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github\biocharStability\biocharStability\database\former-assessment\"/>
    </mc:Choice>
  </mc:AlternateContent>
  <xr:revisionPtr revIDLastSave="0" documentId="13_ncr:1_{1C409BC4-2D44-4721-BFA0-632830E2D6B3}" xr6:coauthVersionLast="47" xr6:coauthVersionMax="47" xr10:uidLastSave="{00000000-0000-0000-0000-000000000000}"/>
  <bookViews>
    <workbookView minimized="1" xWindow="-105" yWindow="-14250" windowWidth="21570" windowHeight="11280" tabRatio="500" activeTab="1" xr2:uid="{00000000-000D-0000-FFFF-FFFF00000000}"/>
  </bookViews>
  <sheets>
    <sheet name="Cover Page" sheetId="1" r:id="rId1"/>
    <sheet name="Fperm" sheetId="2" r:id="rId2"/>
    <sheet name="esa-analysis" sheetId="3" r:id="rId3"/>
    <sheet name="esa-img" sheetId="4" r:id="rId4"/>
  </sheets>
  <definedNames>
    <definedName name="_xlchart.v1.0" hidden="1">Fperm!$T$8</definedName>
    <definedName name="_xlchart.v1.1" hidden="1">Fperm!$T$9:$T$95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E6" i="3" l="1"/>
  <c r="E5" i="3"/>
  <c r="A5" i="3" l="1"/>
  <c r="B5" i="3"/>
  <c r="A6" i="3"/>
  <c r="B6" i="3"/>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B4" i="3"/>
  <c r="A4" i="3"/>
  <c r="C81" i="3"/>
  <c r="C82" i="3"/>
  <c r="C83" i="3"/>
  <c r="C84" i="3"/>
  <c r="C85" i="3"/>
  <c r="C86" i="3"/>
  <c r="C87" i="3"/>
  <c r="C88" i="3"/>
  <c r="C89" i="3"/>
  <c r="C90" i="3"/>
  <c r="C70" i="3"/>
  <c r="C71" i="3"/>
  <c r="C72" i="3"/>
  <c r="C73" i="3"/>
  <c r="C74" i="3"/>
  <c r="C75" i="3"/>
  <c r="C76" i="3"/>
  <c r="C77" i="3"/>
  <c r="C78" i="3"/>
  <c r="C79" i="3"/>
  <c r="C80"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 i="3"/>
  <c r="R9" i="2"/>
  <c r="T9" i="2" s="1"/>
  <c r="W4" i="2" a="1"/>
  <c r="W4" i="2" s="1"/>
  <c r="M9" i="2"/>
  <c r="N9" i="2"/>
  <c r="O9" i="2"/>
  <c r="P9" i="2"/>
  <c r="Q9" i="2"/>
  <c r="S9" i="2"/>
  <c r="M10" i="2"/>
  <c r="N10" i="2"/>
  <c r="O10" i="2"/>
  <c r="P10" i="2"/>
  <c r="Q10" i="2"/>
  <c r="R10" i="2"/>
  <c r="S10" i="2"/>
  <c r="T10" i="2"/>
  <c r="M11" i="2"/>
  <c r="N11" i="2"/>
  <c r="O11" i="2"/>
  <c r="P11" i="2"/>
  <c r="Q11" i="2"/>
  <c r="R11" i="2"/>
  <c r="S11" i="2"/>
  <c r="T11" i="2"/>
  <c r="M12" i="2"/>
  <c r="N12" i="2"/>
  <c r="O12" i="2"/>
  <c r="P12" i="2"/>
  <c r="Q12" i="2"/>
  <c r="R12" i="2"/>
  <c r="S12" i="2"/>
  <c r="T12" i="2"/>
  <c r="M13" i="2"/>
  <c r="N13" i="2"/>
  <c r="O13" i="2"/>
  <c r="P13" i="2"/>
  <c r="Q13" i="2"/>
  <c r="R13" i="2"/>
  <c r="S13" i="2"/>
  <c r="T13" i="2"/>
  <c r="M14" i="2"/>
  <c r="N14" i="2"/>
  <c r="O14" i="2"/>
  <c r="P14" i="2"/>
  <c r="Q14" i="2"/>
  <c r="R14" i="2"/>
  <c r="S14" i="2"/>
  <c r="T14" i="2"/>
  <c r="M15" i="2"/>
  <c r="N15" i="2"/>
  <c r="O15" i="2"/>
  <c r="P15" i="2"/>
  <c r="Q15" i="2"/>
  <c r="R15" i="2"/>
  <c r="S15" i="2"/>
  <c r="T15" i="2"/>
  <c r="M16" i="2"/>
  <c r="N16" i="2"/>
  <c r="O16" i="2"/>
  <c r="P16" i="2"/>
  <c r="Q16" i="2"/>
  <c r="R16" i="2"/>
  <c r="S16" i="2"/>
  <c r="T16" i="2"/>
  <c r="M17" i="2"/>
  <c r="N17" i="2"/>
  <c r="O17" i="2"/>
  <c r="P17" i="2"/>
  <c r="Q17" i="2"/>
  <c r="R17" i="2"/>
  <c r="S17" i="2"/>
  <c r="T17" i="2"/>
  <c r="M18" i="2"/>
  <c r="N18" i="2"/>
  <c r="O18" i="2"/>
  <c r="P18" i="2"/>
  <c r="Q18" i="2"/>
  <c r="R18" i="2"/>
  <c r="S18" i="2"/>
  <c r="T18" i="2"/>
  <c r="M19" i="2"/>
  <c r="N19" i="2"/>
  <c r="O19" i="2"/>
  <c r="P19" i="2"/>
  <c r="Q19" i="2"/>
  <c r="R19" i="2"/>
  <c r="S19" i="2"/>
  <c r="T19" i="2"/>
  <c r="M20" i="2"/>
  <c r="N20" i="2"/>
  <c r="O20" i="2"/>
  <c r="P20" i="2"/>
  <c r="Q20" i="2"/>
  <c r="R20" i="2"/>
  <c r="S20" i="2"/>
  <c r="T20" i="2"/>
  <c r="M21" i="2"/>
  <c r="N21" i="2"/>
  <c r="O21" i="2"/>
  <c r="P21" i="2"/>
  <c r="Q21" i="2"/>
  <c r="R21" i="2"/>
  <c r="S21" i="2"/>
  <c r="T21" i="2"/>
  <c r="M22" i="2"/>
  <c r="N22" i="2"/>
  <c r="O22" i="2"/>
  <c r="P22" i="2"/>
  <c r="Q22" i="2"/>
  <c r="R22" i="2"/>
  <c r="S22" i="2"/>
  <c r="T22" i="2"/>
  <c r="M23" i="2"/>
  <c r="N23" i="2"/>
  <c r="O23" i="2"/>
  <c r="P23" i="2"/>
  <c r="Q23" i="2"/>
  <c r="R23" i="2"/>
  <c r="S23" i="2"/>
  <c r="T23" i="2"/>
  <c r="M24" i="2"/>
  <c r="N24" i="2"/>
  <c r="O24" i="2"/>
  <c r="P24" i="2"/>
  <c r="Q24" i="2"/>
  <c r="R24" i="2"/>
  <c r="S24" i="2"/>
  <c r="T24" i="2"/>
  <c r="M25" i="2"/>
  <c r="N25" i="2"/>
  <c r="O25" i="2"/>
  <c r="P25" i="2"/>
  <c r="Q25" i="2"/>
  <c r="R25" i="2"/>
  <c r="S25" i="2"/>
  <c r="T25" i="2"/>
  <c r="M26" i="2"/>
  <c r="N26" i="2"/>
  <c r="O26" i="2"/>
  <c r="P26" i="2"/>
  <c r="Q26" i="2"/>
  <c r="R26" i="2"/>
  <c r="S26" i="2"/>
  <c r="T26" i="2"/>
  <c r="M27" i="2"/>
  <c r="N27" i="2"/>
  <c r="O27" i="2"/>
  <c r="P27" i="2"/>
  <c r="Q27" i="2"/>
  <c r="R27" i="2"/>
  <c r="S27" i="2"/>
  <c r="T27" i="2"/>
  <c r="M28" i="2"/>
  <c r="N28" i="2"/>
  <c r="O28" i="2"/>
  <c r="P28" i="2"/>
  <c r="Q28" i="2"/>
  <c r="R28" i="2"/>
  <c r="S28" i="2"/>
  <c r="T28" i="2"/>
  <c r="M29" i="2"/>
  <c r="N29" i="2"/>
  <c r="O29" i="2"/>
  <c r="P29" i="2"/>
  <c r="Q29" i="2"/>
  <c r="R29" i="2"/>
  <c r="S29" i="2"/>
  <c r="T29" i="2"/>
  <c r="M30" i="2"/>
  <c r="N30" i="2"/>
  <c r="O30" i="2"/>
  <c r="P30" i="2"/>
  <c r="Q30" i="2"/>
  <c r="R30" i="2"/>
  <c r="S30" i="2"/>
  <c r="T30" i="2"/>
  <c r="M31" i="2"/>
  <c r="N31" i="2"/>
  <c r="O31" i="2"/>
  <c r="P31" i="2"/>
  <c r="Q31" i="2"/>
  <c r="R31" i="2"/>
  <c r="S31" i="2"/>
  <c r="T31" i="2"/>
  <c r="M32" i="2"/>
  <c r="N32" i="2"/>
  <c r="O32" i="2"/>
  <c r="P32" i="2"/>
  <c r="Q32" i="2"/>
  <c r="R32" i="2"/>
  <c r="S32" i="2"/>
  <c r="T32" i="2"/>
  <c r="M33" i="2"/>
  <c r="N33" i="2"/>
  <c r="O33" i="2"/>
  <c r="P33" i="2"/>
  <c r="Q33" i="2"/>
  <c r="R33" i="2"/>
  <c r="S33" i="2"/>
  <c r="T33" i="2"/>
  <c r="M34" i="2"/>
  <c r="N34" i="2"/>
  <c r="O34" i="2"/>
  <c r="P34" i="2"/>
  <c r="Q34" i="2"/>
  <c r="R34" i="2"/>
  <c r="S34" i="2"/>
  <c r="T34" i="2"/>
  <c r="M35" i="2"/>
  <c r="N35" i="2"/>
  <c r="O35" i="2"/>
  <c r="P35" i="2"/>
  <c r="Q35" i="2"/>
  <c r="R35" i="2"/>
  <c r="S35" i="2"/>
  <c r="T35" i="2"/>
  <c r="M36" i="2"/>
  <c r="N36" i="2"/>
  <c r="O36" i="2"/>
  <c r="P36" i="2"/>
  <c r="Q36" i="2"/>
  <c r="R36" i="2"/>
  <c r="S36" i="2"/>
  <c r="T36" i="2"/>
  <c r="M37" i="2"/>
  <c r="N37" i="2"/>
  <c r="O37" i="2"/>
  <c r="P37" i="2"/>
  <c r="Q37" i="2"/>
  <c r="R37" i="2"/>
  <c r="S37" i="2"/>
  <c r="T37" i="2"/>
  <c r="M38" i="2"/>
  <c r="N38" i="2"/>
  <c r="O38" i="2"/>
  <c r="P38" i="2"/>
  <c r="Q38" i="2"/>
  <c r="R38" i="2"/>
  <c r="S38" i="2"/>
  <c r="T38" i="2"/>
  <c r="M39" i="2"/>
  <c r="N39" i="2"/>
  <c r="O39" i="2"/>
  <c r="P39" i="2"/>
  <c r="Q39" i="2"/>
  <c r="R39" i="2"/>
  <c r="S39" i="2"/>
  <c r="T39" i="2"/>
  <c r="M40" i="2"/>
  <c r="N40" i="2"/>
  <c r="O40" i="2"/>
  <c r="P40" i="2"/>
  <c r="Q40" i="2"/>
  <c r="R40" i="2"/>
  <c r="S40" i="2"/>
  <c r="T40" i="2"/>
  <c r="M41" i="2"/>
  <c r="N41" i="2"/>
  <c r="O41" i="2"/>
  <c r="P41" i="2"/>
  <c r="Q41" i="2"/>
  <c r="R41" i="2"/>
  <c r="S41" i="2"/>
  <c r="T41" i="2"/>
  <c r="M42" i="2"/>
  <c r="N42" i="2"/>
  <c r="O42" i="2"/>
  <c r="P42" i="2"/>
  <c r="Q42" i="2"/>
  <c r="R42" i="2"/>
  <c r="S42" i="2"/>
  <c r="T42" i="2"/>
  <c r="M43" i="2"/>
  <c r="N43" i="2"/>
  <c r="O43" i="2"/>
  <c r="P43" i="2"/>
  <c r="Q43" i="2"/>
  <c r="R43" i="2"/>
  <c r="S43" i="2"/>
  <c r="T43" i="2"/>
  <c r="M44" i="2"/>
  <c r="N44" i="2"/>
  <c r="O44" i="2"/>
  <c r="P44" i="2"/>
  <c r="Q44" i="2"/>
  <c r="R44" i="2"/>
  <c r="S44" i="2"/>
  <c r="T44" i="2"/>
  <c r="M45" i="2"/>
  <c r="N45" i="2"/>
  <c r="O45" i="2"/>
  <c r="P45" i="2"/>
  <c r="Q45" i="2"/>
  <c r="R45" i="2"/>
  <c r="S45" i="2"/>
  <c r="T45" i="2"/>
  <c r="M46" i="2"/>
  <c r="N46" i="2"/>
  <c r="O46" i="2"/>
  <c r="P46" i="2"/>
  <c r="Q46" i="2"/>
  <c r="R46" i="2"/>
  <c r="S46" i="2"/>
  <c r="T46" i="2"/>
  <c r="M47" i="2"/>
  <c r="N47" i="2"/>
  <c r="O47" i="2"/>
  <c r="P47" i="2"/>
  <c r="Q47" i="2"/>
  <c r="R47" i="2"/>
  <c r="S47" i="2"/>
  <c r="T47" i="2"/>
  <c r="M48" i="2"/>
  <c r="N48" i="2"/>
  <c r="O48" i="2"/>
  <c r="P48" i="2"/>
  <c r="Q48" i="2"/>
  <c r="R48" i="2"/>
  <c r="S48" i="2"/>
  <c r="T48" i="2"/>
  <c r="M49" i="2"/>
  <c r="N49" i="2"/>
  <c r="O49" i="2"/>
  <c r="P49" i="2"/>
  <c r="Q49" i="2"/>
  <c r="R49" i="2"/>
  <c r="S49" i="2"/>
  <c r="T49" i="2"/>
  <c r="M50" i="2"/>
  <c r="N50" i="2"/>
  <c r="O50" i="2"/>
  <c r="P50" i="2"/>
  <c r="Q50" i="2"/>
  <c r="R50" i="2"/>
  <c r="S50" i="2"/>
  <c r="T50" i="2"/>
  <c r="M51" i="2"/>
  <c r="N51" i="2"/>
  <c r="O51" i="2"/>
  <c r="P51" i="2"/>
  <c r="Q51" i="2"/>
  <c r="R51" i="2"/>
  <c r="S51" i="2"/>
  <c r="T51" i="2"/>
  <c r="M52" i="2"/>
  <c r="N52" i="2"/>
  <c r="O52" i="2"/>
  <c r="P52" i="2"/>
  <c r="Q52" i="2"/>
  <c r="R52" i="2"/>
  <c r="S52" i="2"/>
  <c r="T52" i="2"/>
  <c r="M53" i="2"/>
  <c r="N53" i="2"/>
  <c r="O53" i="2"/>
  <c r="P53" i="2"/>
  <c r="Q53" i="2"/>
  <c r="R53" i="2"/>
  <c r="S53" i="2"/>
  <c r="T53" i="2"/>
  <c r="M54" i="2"/>
  <c r="N54" i="2"/>
  <c r="O54" i="2"/>
  <c r="P54" i="2"/>
  <c r="Q54" i="2"/>
  <c r="R54" i="2"/>
  <c r="S54" i="2"/>
  <c r="T54" i="2"/>
  <c r="M55" i="2"/>
  <c r="N55" i="2"/>
  <c r="O55" i="2"/>
  <c r="P55" i="2"/>
  <c r="Q55" i="2"/>
  <c r="R55" i="2"/>
  <c r="S55" i="2"/>
  <c r="T55" i="2"/>
  <c r="M56" i="2"/>
  <c r="N56" i="2"/>
  <c r="O56" i="2"/>
  <c r="P56" i="2"/>
  <c r="Q56" i="2"/>
  <c r="R56" i="2"/>
  <c r="S56" i="2"/>
  <c r="T56" i="2"/>
  <c r="M57" i="2"/>
  <c r="N57" i="2"/>
  <c r="O57" i="2"/>
  <c r="P57" i="2"/>
  <c r="Q57" i="2"/>
  <c r="R57" i="2"/>
  <c r="S57" i="2"/>
  <c r="T57" i="2"/>
  <c r="M58" i="2"/>
  <c r="N58" i="2"/>
  <c r="O58" i="2"/>
  <c r="P58" i="2"/>
  <c r="Q58" i="2"/>
  <c r="R58" i="2"/>
  <c r="S58" i="2"/>
  <c r="T58" i="2"/>
  <c r="M59" i="2"/>
  <c r="N59" i="2"/>
  <c r="O59" i="2"/>
  <c r="P59" i="2"/>
  <c r="Q59" i="2"/>
  <c r="R59" i="2"/>
  <c r="S59" i="2"/>
  <c r="T59" i="2"/>
  <c r="M60" i="2"/>
  <c r="N60" i="2"/>
  <c r="O60" i="2"/>
  <c r="P60" i="2"/>
  <c r="Q60" i="2"/>
  <c r="R60" i="2"/>
  <c r="S60" i="2"/>
  <c r="T60" i="2"/>
  <c r="M61" i="2"/>
  <c r="N61" i="2"/>
  <c r="O61" i="2"/>
  <c r="P61" i="2"/>
  <c r="Q61" i="2"/>
  <c r="R61" i="2"/>
  <c r="S61" i="2"/>
  <c r="T61" i="2"/>
  <c r="M62" i="2"/>
  <c r="N62" i="2"/>
  <c r="O62" i="2"/>
  <c r="P62" i="2"/>
  <c r="Q62" i="2"/>
  <c r="R62" i="2"/>
  <c r="S62" i="2"/>
  <c r="T62" i="2"/>
  <c r="M63" i="2"/>
  <c r="N63" i="2"/>
  <c r="O63" i="2"/>
  <c r="P63" i="2"/>
  <c r="Q63" i="2"/>
  <c r="R63" i="2"/>
  <c r="S63" i="2"/>
  <c r="T63" i="2"/>
  <c r="M64" i="2"/>
  <c r="N64" i="2"/>
  <c r="O64" i="2"/>
  <c r="P64" i="2"/>
  <c r="Q64" i="2"/>
  <c r="R64" i="2"/>
  <c r="S64" i="2"/>
  <c r="T64" i="2"/>
  <c r="M65" i="2"/>
  <c r="N65" i="2"/>
  <c r="O65" i="2"/>
  <c r="P65" i="2"/>
  <c r="Q65" i="2"/>
  <c r="R65" i="2"/>
  <c r="S65" i="2"/>
  <c r="T65" i="2"/>
  <c r="M66" i="2"/>
  <c r="N66" i="2"/>
  <c r="O66" i="2"/>
  <c r="P66" i="2"/>
  <c r="Q66" i="2"/>
  <c r="R66" i="2"/>
  <c r="S66" i="2"/>
  <c r="T66" i="2"/>
  <c r="M67" i="2"/>
  <c r="N67" i="2"/>
  <c r="O67" i="2"/>
  <c r="P67" i="2"/>
  <c r="Q67" i="2"/>
  <c r="R67" i="2"/>
  <c r="S67" i="2"/>
  <c r="T67" i="2"/>
  <c r="M68" i="2"/>
  <c r="N68" i="2"/>
  <c r="O68" i="2"/>
  <c r="P68" i="2"/>
  <c r="Q68" i="2"/>
  <c r="R68" i="2"/>
  <c r="S68" i="2"/>
  <c r="T68" i="2"/>
  <c r="M69" i="2"/>
  <c r="N69" i="2"/>
  <c r="O69" i="2"/>
  <c r="P69" i="2"/>
  <c r="Q69" i="2"/>
  <c r="R69" i="2"/>
  <c r="S69" i="2"/>
  <c r="T69" i="2"/>
  <c r="M70" i="2"/>
  <c r="N70" i="2"/>
  <c r="O70" i="2"/>
  <c r="P70" i="2"/>
  <c r="Q70" i="2"/>
  <c r="R70" i="2"/>
  <c r="S70" i="2"/>
  <c r="T70" i="2"/>
  <c r="M71" i="2"/>
  <c r="N71" i="2"/>
  <c r="O71" i="2"/>
  <c r="P71" i="2"/>
  <c r="Q71" i="2"/>
  <c r="R71" i="2"/>
  <c r="S71" i="2"/>
  <c r="T71" i="2"/>
  <c r="M72" i="2"/>
  <c r="N72" i="2"/>
  <c r="O72" i="2"/>
  <c r="P72" i="2"/>
  <c r="Q72" i="2"/>
  <c r="R72" i="2"/>
  <c r="S72" i="2"/>
  <c r="T72" i="2"/>
  <c r="M73" i="2"/>
  <c r="N73" i="2"/>
  <c r="O73" i="2"/>
  <c r="P73" i="2"/>
  <c r="Q73" i="2"/>
  <c r="R73" i="2"/>
  <c r="S73" i="2"/>
  <c r="T73" i="2"/>
  <c r="M74" i="2"/>
  <c r="N74" i="2"/>
  <c r="O74" i="2"/>
  <c r="P74" i="2"/>
  <c r="Q74" i="2"/>
  <c r="R74" i="2"/>
  <c r="S74" i="2"/>
  <c r="T74" i="2"/>
  <c r="M75" i="2"/>
  <c r="N75" i="2"/>
  <c r="O75" i="2"/>
  <c r="P75" i="2"/>
  <c r="Q75" i="2"/>
  <c r="R75" i="2"/>
  <c r="S75" i="2"/>
  <c r="T75" i="2"/>
  <c r="M76" i="2"/>
  <c r="N76" i="2"/>
  <c r="O76" i="2"/>
  <c r="P76" i="2"/>
  <c r="Q76" i="2"/>
  <c r="R76" i="2"/>
  <c r="S76" i="2"/>
  <c r="T76" i="2"/>
  <c r="M77" i="2"/>
  <c r="N77" i="2"/>
  <c r="O77" i="2"/>
  <c r="P77" i="2"/>
  <c r="Q77" i="2"/>
  <c r="R77" i="2"/>
  <c r="S77" i="2"/>
  <c r="T77" i="2"/>
  <c r="M78" i="2"/>
  <c r="N78" i="2"/>
  <c r="O78" i="2"/>
  <c r="P78" i="2"/>
  <c r="Q78" i="2"/>
  <c r="R78" i="2"/>
  <c r="S78" i="2"/>
  <c r="T78" i="2"/>
  <c r="M79" i="2"/>
  <c r="N79" i="2"/>
  <c r="O79" i="2"/>
  <c r="P79" i="2"/>
  <c r="Q79" i="2"/>
  <c r="R79" i="2"/>
  <c r="S79" i="2"/>
  <c r="T79" i="2"/>
  <c r="M80" i="2"/>
  <c r="N80" i="2"/>
  <c r="O80" i="2"/>
  <c r="P80" i="2"/>
  <c r="Q80" i="2"/>
  <c r="R80" i="2"/>
  <c r="S80" i="2"/>
  <c r="T80" i="2"/>
  <c r="M81" i="2"/>
  <c r="N81" i="2"/>
  <c r="O81" i="2"/>
  <c r="P81" i="2"/>
  <c r="Q81" i="2"/>
  <c r="R81" i="2"/>
  <c r="S81" i="2"/>
  <c r="T81" i="2"/>
  <c r="M82" i="2"/>
  <c r="N82" i="2"/>
  <c r="O82" i="2"/>
  <c r="P82" i="2"/>
  <c r="Q82" i="2"/>
  <c r="R82" i="2"/>
  <c r="S82" i="2"/>
  <c r="T82" i="2"/>
  <c r="M83" i="2"/>
  <c r="N83" i="2"/>
  <c r="O83" i="2"/>
  <c r="P83" i="2"/>
  <c r="Q83" i="2"/>
  <c r="R83" i="2"/>
  <c r="S83" i="2"/>
  <c r="T83" i="2"/>
  <c r="M84" i="2"/>
  <c r="N84" i="2"/>
  <c r="O84" i="2"/>
  <c r="P84" i="2"/>
  <c r="Q84" i="2"/>
  <c r="R84" i="2"/>
  <c r="S84" i="2"/>
  <c r="T84" i="2"/>
  <c r="M85" i="2"/>
  <c r="N85" i="2"/>
  <c r="O85" i="2"/>
  <c r="P85" i="2"/>
  <c r="Q85" i="2"/>
  <c r="R85" i="2"/>
  <c r="S85" i="2"/>
  <c r="T85" i="2"/>
  <c r="M86" i="2"/>
  <c r="N86" i="2"/>
  <c r="O86" i="2"/>
  <c r="P86" i="2"/>
  <c r="Q86" i="2"/>
  <c r="R86" i="2"/>
  <c r="S86" i="2"/>
  <c r="T86" i="2"/>
  <c r="M87" i="2"/>
  <c r="N87" i="2"/>
  <c r="O87" i="2"/>
  <c r="P87" i="2"/>
  <c r="Q87" i="2"/>
  <c r="R87" i="2"/>
  <c r="S87" i="2"/>
  <c r="T87" i="2"/>
  <c r="M88" i="2"/>
  <c r="N88" i="2"/>
  <c r="O88" i="2"/>
  <c r="P88" i="2"/>
  <c r="Q88" i="2"/>
  <c r="R88" i="2"/>
  <c r="S88" i="2"/>
  <c r="T88" i="2"/>
  <c r="M89" i="2"/>
  <c r="N89" i="2"/>
  <c r="O89" i="2"/>
  <c r="P89" i="2"/>
  <c r="Q89" i="2"/>
  <c r="R89" i="2"/>
  <c r="S89" i="2"/>
  <c r="T89" i="2"/>
  <c r="M90" i="2"/>
  <c r="N90" i="2"/>
  <c r="O90" i="2"/>
  <c r="P90" i="2"/>
  <c r="Q90" i="2"/>
  <c r="R90" i="2"/>
  <c r="S90" i="2"/>
  <c r="T90" i="2"/>
  <c r="M91" i="2"/>
  <c r="N91" i="2"/>
  <c r="O91" i="2"/>
  <c r="P91" i="2"/>
  <c r="Q91" i="2"/>
  <c r="R91" i="2"/>
  <c r="S91" i="2"/>
  <c r="T91" i="2"/>
  <c r="M92" i="2"/>
  <c r="N92" i="2"/>
  <c r="O92" i="2"/>
  <c r="P92" i="2"/>
  <c r="Q92" i="2"/>
  <c r="R92" i="2"/>
  <c r="S92" i="2"/>
  <c r="T92" i="2"/>
  <c r="M93" i="2"/>
  <c r="N93" i="2"/>
  <c r="O93" i="2"/>
  <c r="P93" i="2"/>
  <c r="Q93" i="2"/>
  <c r="R93" i="2"/>
  <c r="S93" i="2"/>
  <c r="T93" i="2"/>
  <c r="M94" i="2"/>
  <c r="N94" i="2"/>
  <c r="O94" i="2"/>
  <c r="P94" i="2"/>
  <c r="Q94" i="2"/>
  <c r="R94" i="2"/>
  <c r="S94" i="2"/>
  <c r="T94" i="2"/>
  <c r="M95" i="2"/>
  <c r="N95" i="2"/>
  <c r="O95" i="2"/>
  <c r="P95" i="2"/>
  <c r="Q95" i="2"/>
  <c r="R95" i="2"/>
  <c r="S95" i="2"/>
  <c r="T95"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J36" i="3"/>
  <c r="K36" i="3" s="1"/>
  <c r="J37" i="3"/>
  <c r="K37" i="3" s="1"/>
  <c r="J38" i="3"/>
  <c r="K38" i="3" s="1"/>
  <c r="J39" i="3"/>
  <c r="K39" i="3" s="1"/>
  <c r="J40" i="3"/>
  <c r="K40" i="3" s="1"/>
  <c r="J41" i="3"/>
  <c r="K41" i="3" s="1"/>
  <c r="J42" i="3"/>
  <c r="K42" i="3" s="1"/>
  <c r="J43" i="3"/>
  <c r="K43" i="3" s="1"/>
  <c r="J44" i="3"/>
  <c r="K44" i="3" s="1"/>
  <c r="J45" i="3"/>
  <c r="K45" i="3" s="1"/>
  <c r="J46" i="3"/>
  <c r="K46" i="3" s="1"/>
  <c r="J47" i="3"/>
  <c r="K47" i="3" s="1"/>
  <c r="J48" i="3"/>
  <c r="K48" i="3" s="1"/>
  <c r="J49" i="3"/>
  <c r="K49" i="3" s="1"/>
  <c r="J50" i="3"/>
  <c r="K50" i="3" s="1"/>
  <c r="J51" i="3"/>
  <c r="K51" i="3" s="1"/>
  <c r="J52" i="3"/>
  <c r="K52" i="3" s="1"/>
  <c r="J53" i="3"/>
  <c r="K53" i="3" s="1"/>
  <c r="J54" i="3"/>
  <c r="K54" i="3" s="1"/>
  <c r="J55" i="3"/>
  <c r="K55" i="3" s="1"/>
  <c r="J56" i="3"/>
  <c r="K56" i="3" s="1"/>
  <c r="J57" i="3"/>
  <c r="K57" i="3" s="1"/>
  <c r="J58" i="3"/>
  <c r="K58" i="3" s="1"/>
  <c r="J59" i="3"/>
  <c r="K59" i="3" s="1"/>
  <c r="J60" i="3"/>
  <c r="K60" i="3" s="1"/>
  <c r="J61" i="3"/>
  <c r="K61" i="3" s="1"/>
  <c r="J62" i="3"/>
  <c r="K62" i="3" s="1"/>
  <c r="J63" i="3"/>
  <c r="K63" i="3" s="1"/>
  <c r="J64" i="3"/>
  <c r="K64" i="3"/>
  <c r="J65" i="3"/>
  <c r="K65" i="3" s="1"/>
  <c r="J66" i="3"/>
  <c r="K66" i="3" s="1"/>
  <c r="J67" i="3"/>
  <c r="K67" i="3" s="1"/>
  <c r="J25" i="3"/>
  <c r="K25" i="3"/>
  <c r="J26" i="3"/>
  <c r="K26" i="3" s="1"/>
  <c r="J27" i="3"/>
  <c r="K27" i="3" s="1"/>
  <c r="J28" i="3"/>
  <c r="K28" i="3" s="1"/>
  <c r="J29" i="3"/>
  <c r="K29" i="3" s="1"/>
  <c r="J30" i="3"/>
  <c r="K30" i="3" s="1"/>
  <c r="J31" i="3"/>
  <c r="K31" i="3" s="1"/>
  <c r="J32" i="3"/>
  <c r="K32" i="3" s="1"/>
  <c r="J33" i="3"/>
  <c r="K33" i="3" s="1"/>
  <c r="J34" i="3"/>
  <c r="K34" i="3" s="1"/>
  <c r="J35" i="3"/>
  <c r="K35" i="3" s="1"/>
  <c r="J5" i="3"/>
  <c r="K5" i="3" s="1"/>
  <c r="J6" i="3"/>
  <c r="K6" i="3" s="1"/>
  <c r="J7" i="3"/>
  <c r="K7" i="3" s="1"/>
  <c r="J8" i="3"/>
  <c r="K8" i="3" s="1"/>
  <c r="J9" i="3"/>
  <c r="K9" i="3" s="1"/>
  <c r="J10" i="3"/>
  <c r="K10" i="3" s="1"/>
  <c r="J11" i="3"/>
  <c r="K11" i="3" s="1"/>
  <c r="J12" i="3"/>
  <c r="K12" i="3" s="1"/>
  <c r="J13" i="3"/>
  <c r="K13" i="3" s="1"/>
  <c r="J14" i="3"/>
  <c r="K14" i="3" s="1"/>
  <c r="J15" i="3"/>
  <c r="K15" i="3" s="1"/>
  <c r="J16" i="3"/>
  <c r="K16" i="3" s="1"/>
  <c r="J17" i="3"/>
  <c r="K17" i="3" s="1"/>
  <c r="J18" i="3"/>
  <c r="K18" i="3" s="1"/>
  <c r="J19" i="3"/>
  <c r="K19" i="3" s="1"/>
  <c r="J20" i="3"/>
  <c r="K20" i="3" s="1"/>
  <c r="J21" i="3"/>
  <c r="K21" i="3" s="1"/>
  <c r="J22" i="3"/>
  <c r="K22" i="3" s="1"/>
  <c r="J23" i="3"/>
  <c r="K23" i="3" s="1"/>
  <c r="J24" i="3"/>
  <c r="K24" i="3" s="1"/>
  <c r="J4" i="3"/>
  <c r="K4" i="3" s="1"/>
  <c r="U4" i="2"/>
  <c r="U9" i="2" l="1"/>
  <c r="V8" i="2"/>
  <c r="U5" i="2"/>
  <c r="X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tc={CC134045-1164-446C-A925-93D16948C1AC}</author>
  </authors>
  <commentList>
    <comment ref="B58" authorId="0" shapeId="0" xr:uid="{CC134045-1164-446C-A925-93D16948C1AC}">
      <text>
        <t>[Threaded comment]
Your version of Excel allows you to read this threaded comment; however, any edits to it will get removed if the file is opened in a newer version of Excel. Learn more: https://go.microsoft.com/fwlink/?linkid=870924
Comment:
    Should be: Singh BP et al 2015 PlosONE</t>
      </text>
    </comment>
  </commentList>
</comments>
</file>

<file path=xl/sharedStrings.xml><?xml version="1.0" encoding="utf-8"?>
<sst xmlns="http://schemas.openxmlformats.org/spreadsheetml/2006/main" count="317" uniqueCount="184">
  <si>
    <t>Supporting Information for:</t>
  </si>
  <si>
    <t>A greenhouse gas inventory model for biochar additions to soil</t>
  </si>
  <si>
    <r>
      <rPr>
        <sz val="14"/>
        <rFont val="Arial"/>
        <family val="2"/>
        <charset val="1"/>
      </rPr>
      <t>Dominic Woolf,</t>
    </r>
    <r>
      <rPr>
        <vertAlign val="superscript"/>
        <sz val="14"/>
        <rFont val="Arial"/>
        <family val="2"/>
        <charset val="1"/>
      </rPr>
      <t>∗,†,‡</t>
    </r>
    <r>
      <rPr>
        <sz val="14"/>
        <rFont val="Arial"/>
        <family val="2"/>
        <charset val="1"/>
      </rPr>
      <t xml:space="preserve"> Johannes Lehmann,</t>
    </r>
    <r>
      <rPr>
        <vertAlign val="superscript"/>
        <sz val="14"/>
        <rFont val="Arial"/>
        <family val="2"/>
        <charset val="1"/>
      </rPr>
      <t>†,‡</t>
    </r>
    <r>
      <rPr>
        <sz val="14"/>
        <rFont val="Arial"/>
        <family val="2"/>
        <charset val="1"/>
      </rPr>
      <t xml:space="preserve"> Stephen Ogle,</t>
    </r>
    <r>
      <rPr>
        <vertAlign val="superscript"/>
        <sz val="14"/>
        <rFont val="Arial"/>
        <family val="2"/>
        <charset val="1"/>
      </rPr>
      <t>¶</t>
    </r>
    <r>
      <rPr>
        <sz val="14"/>
        <rFont val="Arial"/>
        <family val="2"/>
        <charset val="1"/>
      </rPr>
      <t xml:space="preserve"> Ayaka W. Kishimoto-Mo,</t>
    </r>
    <r>
      <rPr>
        <vertAlign val="superscript"/>
        <sz val="14"/>
        <rFont val="Arial"/>
        <family val="2"/>
        <charset val="1"/>
      </rPr>
      <t>§</t>
    </r>
    <r>
      <rPr>
        <sz val="14"/>
        <rFont val="Arial"/>
        <family val="2"/>
        <charset val="1"/>
      </rPr>
      <t xml:space="preserve"> Brian McConkey,</t>
    </r>
    <r>
      <rPr>
        <vertAlign val="superscript"/>
        <sz val="14"/>
        <rFont val="Arial"/>
        <family val="2"/>
        <charset val="1"/>
      </rPr>
      <t>‖</t>
    </r>
    <r>
      <rPr>
        <sz val="14"/>
        <rFont val="Arial"/>
        <family val="2"/>
        <charset val="1"/>
      </rPr>
      <t xml:space="preserve"> and Jeffrey Baldock</t>
    </r>
    <r>
      <rPr>
        <sz val="10"/>
        <rFont val="Arial"/>
        <family val="2"/>
        <charset val="1"/>
      </rPr>
      <t>┴</t>
    </r>
  </si>
  <si>
    <r>
      <rPr>
        <i/>
        <sz val="14"/>
        <rFont val="Arial"/>
        <family val="2"/>
        <charset val="1"/>
      </rPr>
      <t xml:space="preserve">Environmental Science and Technology </t>
    </r>
    <r>
      <rPr>
        <sz val="14"/>
        <rFont val="Arial"/>
        <family val="2"/>
        <charset val="1"/>
      </rPr>
      <t>(2021)</t>
    </r>
  </si>
  <si>
    <r>
      <rPr>
        <vertAlign val="superscript"/>
        <sz val="11"/>
        <rFont val="Arial"/>
        <family val="2"/>
        <charset val="1"/>
      </rPr>
      <t>†</t>
    </r>
    <r>
      <rPr>
        <sz val="11"/>
        <rFont val="Arial"/>
        <family val="2"/>
        <charset val="1"/>
      </rPr>
      <t>School of Integrative Plant Sciences, Cornell University, Ithaca, NY 14953, USA</t>
    </r>
  </si>
  <si>
    <r>
      <rPr>
        <vertAlign val="superscript"/>
        <sz val="11"/>
        <rFont val="Arial"/>
        <family val="2"/>
        <charset val="1"/>
      </rPr>
      <t>‡</t>
    </r>
    <r>
      <rPr>
        <sz val="11"/>
        <rFont val="Arial"/>
        <family val="2"/>
        <charset val="1"/>
      </rPr>
      <t>Cornell Atkinson Center for Sustainability, Cornell University, Ithaca NY, 14953, USA</t>
    </r>
  </si>
  <si>
    <r>
      <rPr>
        <vertAlign val="superscript"/>
        <sz val="11"/>
        <rFont val="Arial"/>
        <family val="2"/>
        <charset val="1"/>
      </rPr>
      <t>¶</t>
    </r>
    <r>
      <rPr>
        <sz val="11"/>
        <rFont val="Arial"/>
        <family val="2"/>
        <charset val="1"/>
      </rPr>
      <t>Natural Resource Ecology Laboratory, Colorado State University, Fort Collins, CO 80523, USA</t>
    </r>
  </si>
  <si>
    <r>
      <rPr>
        <vertAlign val="superscript"/>
        <sz val="11"/>
        <rFont val="Arial"/>
        <family val="2"/>
        <charset val="1"/>
      </rPr>
      <t>§</t>
    </r>
    <r>
      <rPr>
        <sz val="11"/>
        <rFont val="Arial"/>
        <family val="2"/>
        <charset val="1"/>
      </rPr>
      <t>National Agriculture and Food Research Organization, Ibaraki 305-8517, Japan</t>
    </r>
  </si>
  <si>
    <r>
      <rPr>
        <vertAlign val="superscript"/>
        <sz val="11"/>
        <rFont val="Arial"/>
        <family val="2"/>
        <charset val="1"/>
      </rPr>
      <t>‖</t>
    </r>
    <r>
      <rPr>
        <sz val="11"/>
        <rFont val="Arial"/>
        <family val="2"/>
        <charset val="1"/>
      </rPr>
      <t>Ministry of Agriculture and Agri-Food, Canada</t>
    </r>
  </si>
  <si>
    <t>┴CSIRO - Commonwealth Scientific and Industrial Research Organisation, Australia</t>
  </si>
  <si>
    <t>Email: d.woolf@cornell.edu</t>
  </si>
  <si>
    <r>
      <rPr>
        <b/>
        <sz val="12"/>
        <rFont val="Arial"/>
        <family val="2"/>
        <charset val="1"/>
      </rPr>
      <t>Contents</t>
    </r>
    <r>
      <rPr>
        <sz val="12"/>
        <rFont val="Arial"/>
        <family val="2"/>
        <charset val="1"/>
      </rPr>
      <t>: This file contain a single spreadsheet table, which provides the data used to derive the permanence factors for biochar, together with their respective references. The spreadsheet also provides functionality to recalculate the fraction of biochar remaining after decomposition (Fperm) for different time periods and for different soil temperatures.</t>
    </r>
  </si>
  <si>
    <t>Target soil temperature (°C), at which Fperm is calculated</t>
  </si>
  <si>
    <t>Time period over which Fperm is defined (years)</t>
  </si>
  <si>
    <t>These columns calculate Fperm (the fraction of biochar carbon remaining after the length of time specified in cell M2), at the soil temperature specified in cell M1.</t>
  </si>
  <si>
    <r>
      <rPr>
        <b/>
        <sz val="12"/>
        <rFont val="Arial"/>
        <family val="2"/>
        <charset val="1"/>
      </rPr>
      <t>These columns provide the multipool exponential decay coefficients, derived by regression of the experimental mineralization data. C1, C2 and C3 are the fractions of biochar carbon in each pool (dimensionless), and k1, k2 and k3 are their respective decay constants (year</t>
    </r>
    <r>
      <rPr>
        <b/>
        <vertAlign val="superscript"/>
        <sz val="12"/>
        <rFont val="Arial"/>
        <family val="2"/>
        <charset val="1"/>
      </rPr>
      <t>-1</t>
    </r>
    <r>
      <rPr>
        <b/>
        <sz val="12"/>
        <rFont val="Arial"/>
        <family val="2"/>
        <charset val="1"/>
      </rPr>
      <t>)</t>
    </r>
  </si>
  <si>
    <t>Q10 is calculated as the average value of Q10 over the temperature range from the experimental incubation temperature to the target soil temperature for Fperm.  This average is calculated by integrating the Q10 regression curve from Lehmann et al. (2015) over the temperature interval then dividing by the temperature interval</t>
  </si>
  <si>
    <t>fT is the ratio of the decay rate constant at the experimental temperature to the rate constant at the target temperature, as defined by the Q10 in the previous column</t>
  </si>
  <si>
    <t>These columns are the decay rate constants adjusted from the experimental temperature to the target soil temperature, using the ratio (fT) in the previous column</t>
  </si>
  <si>
    <t>Fperm is the fraction of biochar carbon remaining after the specifeid time, at the specified soil temperature</t>
  </si>
  <si>
    <t>Reference</t>
  </si>
  <si>
    <t>Feedstock</t>
  </si>
  <si>
    <t>Pyrolysis temperature (°C)</t>
  </si>
  <si>
    <t>Molar Hydrogen to organic carbon ratio of the biochar</t>
  </si>
  <si>
    <r>
      <rPr>
        <b/>
        <sz val="12"/>
        <rFont val="Arial"/>
        <family val="2"/>
        <charset val="1"/>
      </rPr>
      <t>Temperature at which decomposition experiment was conducted (</t>
    </r>
    <r>
      <rPr>
        <b/>
        <sz val="12"/>
        <rFont val="Calibri"/>
        <family val="2"/>
        <charset val="1"/>
      </rPr>
      <t>°</t>
    </r>
    <r>
      <rPr>
        <b/>
        <sz val="12"/>
        <rFont val="Arial"/>
        <family val="2"/>
        <charset val="1"/>
      </rPr>
      <t>C)</t>
    </r>
  </si>
  <si>
    <t>C1</t>
  </si>
  <si>
    <t>C2</t>
  </si>
  <si>
    <t>C3</t>
  </si>
  <si>
    <t>k1</t>
  </si>
  <si>
    <t>k2</t>
  </si>
  <si>
    <t>k3</t>
  </si>
  <si>
    <t>Q10</t>
  </si>
  <si>
    <t>fT</t>
  </si>
  <si>
    <t>k1_fperm</t>
  </si>
  <si>
    <t>k2_fperm</t>
  </si>
  <si>
    <t>k3_fperm</t>
  </si>
  <si>
    <t>Fperm</t>
  </si>
  <si>
    <r>
      <rPr>
        <sz val="12"/>
        <rFont val="Calibri"/>
        <family val="1"/>
        <charset val="1"/>
        <scheme val="minor"/>
      </rPr>
      <t xml:space="preserve">Budai, A., Rasse, D. P., Lagomarsino, A., Lerch, T. Z. &amp; Paruch, L. Biochar persistence, priming and microbial responses to pyrolysis temperature series. </t>
    </r>
    <r>
      <rPr>
        <i/>
        <sz val="12"/>
        <rFont val="Calibri"/>
        <family val="1"/>
        <charset val="1"/>
        <scheme val="minor"/>
      </rPr>
      <t>Biol. Fertil. Soils</t>
    </r>
    <r>
      <rPr>
        <sz val="12"/>
        <rFont val="Calibri"/>
        <family val="1"/>
        <charset val="1"/>
        <scheme val="minor"/>
      </rPr>
      <t xml:space="preserve"> </t>
    </r>
    <r>
      <rPr>
        <b/>
        <sz val="12"/>
        <rFont val="Calibri"/>
        <family val="1"/>
        <charset val="1"/>
        <scheme val="minor"/>
      </rPr>
      <t>52</t>
    </r>
    <r>
      <rPr>
        <sz val="12"/>
        <rFont val="Calibri"/>
        <family val="1"/>
        <charset val="1"/>
        <scheme val="minor"/>
      </rPr>
      <t>, 749-761 (2016).</t>
    </r>
  </si>
  <si>
    <t>Corn cob</t>
  </si>
  <si>
    <t>Miscanthus</t>
  </si>
  <si>
    <t>Dharmakeerthi, R. S., Hanley, K., Whitman, T., Woolf, D., &amp; Lehmann, J. (2015). Organic carbon dynamics in soils with pyrogenic organic matter that received plant residue additions over seven years. Soil Biology and Biochemistry, 88, 268-274.</t>
  </si>
  <si>
    <t>mango wood</t>
  </si>
  <si>
    <t>Fang, Y., Singh, B., Singh, B. P., &amp; Krull, E. (2014). Biochar carbon stability in four contrasting soils. European Journal of Soil Science, 65(1), 60-71.</t>
  </si>
  <si>
    <t>Eucalyptus wood 450C</t>
  </si>
  <si>
    <t>Eucalyptus wood 550C</t>
  </si>
  <si>
    <t>Eucalyptus saligna wood</t>
  </si>
  <si>
    <t>Herath, H. M. S. K., Camps‐Arbestain, M., Hedley, M. J., Kirschbaum, M. U. F., Wang, T., &amp; Van Hale, R. (2015). Experimental evidence for sequestering C with biochar by avoidance of CO 2 emissions from original feedstock and protection of native soil organic matter. Gcb Bioenergy, 7(3), 512-526.</t>
  </si>
  <si>
    <t>corn stover, 350C,  36°C min</t>
  </si>
  <si>
    <t>corn stover., 550C, 51 °C min</t>
  </si>
  <si>
    <t>Kuzyakov, Y., Bogomolova, I., &amp; Glaser, B. (2014). Biochar stability in soil: decomposition during eight years and transformation as assessed by compound-specific 14C analysis. Soil Biology and Biochemistry, 70, 229-236.</t>
  </si>
  <si>
    <t>Lolium Perenne</t>
  </si>
  <si>
    <t>wheat straw</t>
  </si>
  <si>
    <t>Major, J., Lehmann, J., Rondon, M., &amp; Goodale, C. (2010). Fate of soil‐applied black carbon: downward migration, leaching and soil respiration. Global Change Biology, 16(4), 1366-1379.</t>
  </si>
  <si>
    <t>Liu, B. et al. A fast chemical oxidation method for predicting the long-term mineralization of biochar in soils. Sci. Tot. Environ. 718, 137390 (2020)</t>
  </si>
  <si>
    <t>Singh, B. P., Cowie, A. L., &amp; Smernik, R. J. (2012). Biochar carbon stability in a clayey soil as a function of feedstock and pyrolysis temperature. Environmental science &amp; technology, 46(21), 11770-11778.</t>
  </si>
  <si>
    <t>Eucalyptus wood 400</t>
  </si>
  <si>
    <t>Eucalyptus wood 550</t>
  </si>
  <si>
    <t>Eucalyptus leaves 400</t>
  </si>
  <si>
    <t>Eucalyptus leaves 550</t>
  </si>
  <si>
    <t>Papermill sludge 550</t>
  </si>
  <si>
    <t>Poultry litter</t>
  </si>
  <si>
    <t>Poultry litter 550</t>
  </si>
  <si>
    <t>Cow manure</t>
  </si>
  <si>
    <t>Cow manure 550</t>
  </si>
  <si>
    <t>Wu, M., Han, X., Zhong, T., Yuan, M., &amp; Wu, W. (2016). Soil organic carbon content affects the stability of biochar in paddy soil. Agriculture, Ecosystems &amp; Environment, 223, 59-66.</t>
  </si>
  <si>
    <t>Rice straw</t>
  </si>
  <si>
    <t>Zimmerman, A. R. &amp; Gao, B. (2013) The stability of biochar in the environment,. In: Biochar and Soil Biota, eds. N. Ladygina &amp; F. Rineau, pp. 1-40. Boca Raton, USA: CRC Press</t>
  </si>
  <si>
    <t>grass</t>
  </si>
  <si>
    <t>oak</t>
  </si>
  <si>
    <t>Zimmerman, A. R. (2010). Abiotic and microbial oxidation of laboratory-produced black carbon (biochar). Environmental science &amp; technology, 44(4), 1295-1301.</t>
  </si>
  <si>
    <t>cedar</t>
  </si>
  <si>
    <t>bubinga</t>
  </si>
  <si>
    <t>sugar cane</t>
  </si>
  <si>
    <t>pine (all biotic)</t>
  </si>
  <si>
    <t>pine</t>
  </si>
  <si>
    <t>Ts</t>
  </si>
  <si>
    <t>exp soil temperature</t>
  </si>
  <si>
    <t>target soil temperature</t>
  </si>
  <si>
    <t>Q10,avg</t>
  </si>
  <si>
    <t>Ts0</t>
  </si>
  <si>
    <t>Fperm,initial</t>
  </si>
  <si>
    <t>DeltaFperm</t>
  </si>
  <si>
    <t>RelativeChange</t>
  </si>
  <si>
    <t>X</t>
  </si>
  <si>
    <t>Y</t>
  </si>
  <si>
    <r>
      <t xml:space="preserve">Fang, Y. et al. Interactive carbon priming, microbial response and biochar persistence in a Vertisol with varied inputs of biochar and labile organic matter. </t>
    </r>
    <r>
      <rPr>
        <i/>
        <sz val="12"/>
        <rFont val="Calibri"/>
        <family val="1"/>
        <charset val="1"/>
        <scheme val="minor"/>
      </rPr>
      <t>Eur. J. Soil Sci.</t>
    </r>
    <r>
      <rPr>
        <sz val="12"/>
        <rFont val="Calibri"/>
        <family val="1"/>
        <charset val="1"/>
        <scheme val="minor"/>
      </rPr>
      <t xml:space="preserve"> </t>
    </r>
    <r>
      <rPr>
        <b/>
        <sz val="12"/>
        <rFont val="Calibri"/>
        <family val="1"/>
        <charset val="1"/>
        <scheme val="minor"/>
      </rPr>
      <t>70</t>
    </r>
    <r>
      <rPr>
        <sz val="12"/>
        <rFont val="Calibri"/>
        <family val="1"/>
        <charset val="1"/>
        <scheme val="minor"/>
      </rPr>
      <t>, 960-974 (2019)</t>
    </r>
  </si>
  <si>
    <r>
      <rPr>
        <sz val="12"/>
        <rFont val="Calibri"/>
        <family val="1"/>
        <charset val="1"/>
        <scheme val="minor"/>
      </rPr>
      <t xml:space="preserve">Fang, Y. et al. Interactive carbon priming, microbial response and biochar persistence in a Vertisol with varied inputs of biochar and labile organic matter. </t>
    </r>
    <r>
      <rPr>
        <i/>
        <sz val="12"/>
        <rFont val="Calibri"/>
        <family val="1"/>
        <charset val="1"/>
        <scheme val="minor"/>
      </rPr>
      <t>Eur. J. Soil Sci.</t>
    </r>
    <r>
      <rPr>
        <sz val="12"/>
        <rFont val="Calibri"/>
        <family val="1"/>
        <charset val="1"/>
        <scheme val="minor"/>
      </rPr>
      <t xml:space="preserve"> </t>
    </r>
    <r>
      <rPr>
        <b/>
        <sz val="12"/>
        <rFont val="Calibri"/>
        <family val="1"/>
        <charset val="1"/>
        <scheme val="minor"/>
      </rPr>
      <t>70</t>
    </r>
    <r>
      <rPr>
        <sz val="12"/>
        <rFont val="Calibri"/>
        <family val="1"/>
        <charset val="1"/>
        <scheme val="minor"/>
      </rPr>
      <t>, 960-974 (2019)</t>
    </r>
  </si>
  <si>
    <r>
      <rPr>
        <sz val="12"/>
        <rFont val="Calibri"/>
        <family val="2"/>
        <scheme val="minor"/>
      </rPr>
      <t xml:space="preserve">Liu, B. et al. A fast chemical oxidation method for predicting the long-term mineralization of biochar in soils. </t>
    </r>
    <r>
      <rPr>
        <i/>
        <sz val="12"/>
        <rFont val="Calibri"/>
        <family val="2"/>
        <scheme val="minor"/>
      </rPr>
      <t>Sci. Tot. Environ.</t>
    </r>
    <r>
      <rPr>
        <sz val="12"/>
        <rFont val="Calibri"/>
        <family val="2"/>
        <scheme val="minor"/>
      </rPr>
      <t xml:space="preserve"> </t>
    </r>
    <r>
      <rPr>
        <b/>
        <sz val="12"/>
        <rFont val="Calibri"/>
        <family val="2"/>
        <scheme val="minor"/>
      </rPr>
      <t>718</t>
    </r>
    <r>
      <rPr>
        <sz val="12"/>
        <rFont val="Calibri"/>
        <family val="2"/>
        <scheme val="minor"/>
      </rPr>
      <t>, 137390 (2020)</t>
    </r>
  </si>
  <si>
    <t>Linear regression for Fp = m * H/Corg + c</t>
  </si>
  <si>
    <t>m (slope)</t>
  </si>
  <si>
    <t>c (intercept)</t>
  </si>
  <si>
    <t>r2</t>
  </si>
  <si>
    <t>ID_Woolf2021</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</si>
  <si>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</si>
  <si>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</si>
  <si>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</si>
  <si>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</si>
  <si>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</si>
  <si>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</si>
  <si>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</si>
  <si>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</si>
  <si>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</si>
  <si>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</si>
  <si>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</si>
  <si>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</si>
  <si>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</si>
  <si>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</si>
  <si>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</si>
  <si>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</si>
  <si>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</si>
  <si>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</si>
  <si>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</si>
  <si>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</si>
  <si>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</si>
  <si>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</si>
  <si>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</si>
  <si>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</si>
  <si>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</si>
  <si>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</si>
  <si>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</si>
  <si>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</si>
  <si>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</si>
  <si>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</si>
  <si>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</si>
  <si>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</si>
  <si>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</si>
  <si>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</si>
  <si>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</si>
  <si>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</si>
  <si>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</si>
  <si>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</si>
  <si>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</si>
  <si>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</si>
  <si>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</si>
  <si>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</si>
  <si>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</si>
  <si>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</si>
  <si>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</si>
  <si>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</si>
  <si>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</si>
  <si>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</si>
  <si>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</si>
  <si>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W50</t>
  </si>
  <si>
    <t>W51</t>
  </si>
  <si>
    <t>W52</t>
  </si>
  <si>
    <t>W53</t>
  </si>
  <si>
    <t>W54</t>
  </si>
  <si>
    <t>W55</t>
  </si>
  <si>
    <t>W56</t>
  </si>
  <si>
    <t>W57</t>
  </si>
  <si>
    <t>W58</t>
  </si>
  <si>
    <t>W59</t>
  </si>
  <si>
    <t>W60</t>
  </si>
  <si>
    <t>W61</t>
  </si>
  <si>
    <t>W62</t>
  </si>
  <si>
    <t>W63</t>
  </si>
  <si>
    <t>W64</t>
  </si>
  <si>
    <t>W65</t>
  </si>
  <si>
    <t>W66</t>
  </si>
  <si>
    <t>W67</t>
  </si>
  <si>
    <t>W68</t>
  </si>
  <si>
    <t>W69</t>
  </si>
  <si>
    <t>W70</t>
  </si>
  <si>
    <t>W71</t>
  </si>
  <si>
    <t>W72</t>
  </si>
  <si>
    <t>W73</t>
  </si>
  <si>
    <t>W74</t>
  </si>
  <si>
    <t>W75</t>
  </si>
  <si>
    <t>W76</t>
  </si>
  <si>
    <t>W77</t>
  </si>
  <si>
    <t>W78</t>
  </si>
  <si>
    <t>W79</t>
  </si>
  <si>
    <t>W80</t>
  </si>
  <si>
    <t>W81</t>
  </si>
  <si>
    <t>W82</t>
  </si>
  <si>
    <t>W83</t>
  </si>
  <si>
    <t>W84</t>
  </si>
  <si>
    <t>W85</t>
  </si>
  <si>
    <t>W86</t>
  </si>
  <si>
    <t>W87</t>
  </si>
  <si>
    <t xml:space="preserve">Is the sum of pool sizes set to 100%? </t>
  </si>
  <si>
    <t>How many tripple exponentials?</t>
  </si>
  <si>
    <t>tripple</t>
  </si>
  <si>
    <t>double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</si>
</sst>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name val="Arial"/>
      <family val="2"/>
      <charset val="1"/>
    </font>
    <font>
      <vertAlign val="superscript"/>
      <sz val="14"/>
      <name val="Arial"/>
      <family val="2"/>
      <charset val="1"/>
    </font>
    <font>
      <sz val="10"/>
      <name val="Arial"/>
      <family val="2"/>
      <charset val="1"/>
    </font>
    <font>
      <i/>
      <sz val="14"/>
      <name val="Arial"/>
      <family val="2"/>
      <charset val="1"/>
    </font>
    <font>
      <vertAlign val="superscript"/>
      <sz val="11"/>
      <name val="Arial"/>
      <family val="2"/>
      <charset val="1"/>
    </font>
    <font>
      <sz val="11"/>
      <name val="Arial"/>
      <family val="2"/>
      <charset val="1"/>
    </font>
    <font>
      <b/>
      <sz val="12"/>
      <name val="Arial"/>
      <family val="2"/>
      <charset val="1"/>
    </font>
    <font>
      <sz val="12"/>
      <name val="Arial"/>
      <family val="2"/>
      <charset val="1"/>
    </font>
    <font>
      <b/>
      <vertAlign val="superscript"/>
      <sz val="12"/>
      <name val="Arial"/>
      <family val="2"/>
      <charset val="1"/>
    </font>
    <font>
      <b/>
      <sz val="12"/>
      <name val="Calibri"/>
      <family val="2"/>
      <charset val="1"/>
    </font>
    <font>
      <sz val="12"/>
      <name val="Calibri"/>
      <family val="1"/>
      <charset val="1"/>
      <scheme val="minor"/>
    </font>
    <font>
      <i/>
      <sz val="12"/>
      <name val="Calibri"/>
      <family val="1"/>
      <charset val="1"/>
      <scheme val="minor"/>
    </font>
    <font>
      <b/>
      <sz val="12"/>
      <name val="Calibri"/>
      <family val="1"/>
      <charset val="1"/>
      <scheme val="minor"/>
    </font>
    <font>
      <sz val="11"/>
      <name val="Calibri"/>
      <family val="2"/>
      <scheme val="minor"/>
    </font>
    <font>
      <b/>
      <sz val="11"/>
      <name val="Calibri"/>
      <family val="2"/>
      <scheme val="minor"/>
    </font>
    <font>
      <sz val="11"/>
      <name val="Calibri"/>
      <family val="1"/>
      <charset val="1"/>
      <scheme val="minor"/>
    </font>
    <font>
      <sz val="12"/>
      <name val="Calibri"/>
      <family val="2"/>
      <scheme val="minor"/>
    </font>
    <font>
      <i/>
      <sz val="12"/>
      <name val="Calibri"/>
      <family val="2"/>
      <scheme val="minor"/>
    </font>
    <font>
      <b/>
      <sz val="12"/>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16" fillId="0" borderId="0" xfId="0" applyFont="1"/>
    <xf numFmtId="0" fontId="31" fillId="0" borderId="0" xfId="0" applyFont="1"/>
    <xf numFmtId="0" fontId="31" fillId="33" borderId="0" xfId="0" applyFont="1" applyFill="1"/>
    <xf numFmtId="0" fontId="32" fillId="33" borderId="0" xfId="0" applyFont="1" applyFill="1"/>
    <xf numFmtId="0" fontId="32" fillId="0" borderId="0" xfId="0" applyFont="1"/>
    <xf numFmtId="0" fontId="31" fillId="0" borderId="0" xfId="0" applyFont="1" applyAlignment="1">
      <alignment horizontal="right"/>
    </xf>
    <xf numFmtId="0" fontId="14" fillId="36" borderId="10" xfId="0" applyFont="1" applyFill="1" applyBorder="1" applyAlignment="1">
      <alignment horizontal="left" indent="2"/>
    </xf>
    <xf numFmtId="0" fontId="31" fillId="0" borderId="10" xfId="0" applyFont="1" applyBorder="1"/>
    <xf numFmtId="0" fontId="31" fillId="33" borderId="10" xfId="0" applyFont="1" applyFill="1" applyBorder="1"/>
    <xf numFmtId="2" fontId="32" fillId="33" borderId="10" xfId="0" applyNumberFormat="1" applyFont="1" applyFill="1" applyBorder="1" applyAlignment="1">
      <alignment horizontal="center"/>
    </xf>
    <xf numFmtId="9" fontId="31" fillId="0" borderId="10" xfId="1" applyFont="1" applyBorder="1"/>
    <xf numFmtId="0" fontId="31" fillId="34" borderId="10" xfId="0" applyFont="1" applyFill="1" applyBorder="1"/>
    <xf numFmtId="9" fontId="31" fillId="34" borderId="10" xfId="1" applyFont="1" applyFill="1" applyBorder="1"/>
    <xf numFmtId="0" fontId="31" fillId="35" borderId="10" xfId="0" applyFont="1" applyFill="1" applyBorder="1"/>
    <xf numFmtId="9" fontId="31" fillId="35" borderId="10" xfId="1" applyFont="1" applyFill="1" applyBorder="1"/>
    <xf numFmtId="0" fontId="28" fillId="0" borderId="10" xfId="0" applyFont="1" applyBorder="1"/>
    <xf numFmtId="0" fontId="33" fillId="0" borderId="10" xfId="0" applyFont="1" applyBorder="1"/>
    <xf numFmtId="0" fontId="33" fillId="33" borderId="10" xfId="0" applyFont="1" applyFill="1" applyBorder="1"/>
    <xf numFmtId="9" fontId="33" fillId="0" borderId="10" xfId="1" applyFont="1" applyBorder="1"/>
    <xf numFmtId="0" fontId="14" fillId="33" borderId="10" xfId="0" applyFont="1" applyFill="1" applyBorder="1" applyAlignment="1">
      <alignment horizontal="left" indent="2"/>
    </xf>
    <xf numFmtId="0" fontId="31" fillId="37" borderId="10" xfId="0" applyFont="1" applyFill="1" applyBorder="1"/>
    <xf numFmtId="0" fontId="14" fillId="0" borderId="10" xfId="0" applyFont="1" applyBorder="1"/>
    <xf numFmtId="164" fontId="0" fillId="0" borderId="0" xfId="0" applyNumberFormat="1"/>
    <xf numFmtId="0" fontId="0" fillId="33" borderId="0" xfId="0" applyFill="1"/>
    <xf numFmtId="164" fontId="0" fillId="33" borderId="0" xfId="0" applyNumberFormat="1" applyFill="1"/>
    <xf numFmtId="0" fontId="31" fillId="0" borderId="0" xfId="0" applyFont="1"/>
    <xf numFmtId="0" fontId="31" fillId="33" borderId="0" xfId="0" applyFon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4.2272358045997445E-2"/>
          <c:y val="9.850480082438845E-2"/>
          <c:w val="0.92507308078556527"/>
          <c:h val="0.85890511277109216"/>
        </c:manualLayout>
      </c:layout>
      <c:scatterChart>
        <c:scatterStyle val="lineMarker"/>
        <c:varyColors val="0"/>
        <c:ser>
          <c:idx val="0"/>
          <c:order val="0"/>
          <c:tx>
            <c:strRef>
              <c:f>Fperm!$R$8</c:f>
              <c:strCache>
                <c:ptCount val="1"/>
                <c:pt idx="0">
                  <c:v>Fperm</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3.39322614066319E-2"/>
                  <c:y val="-0.5219582226535893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trendlineLbl>
          </c:trendline>
          <c:xVal>
            <c:numRef>
              <c:f>Fperm!$E$9:$E$95</c:f>
              <c:numCache>
                <c:formatCode>General</c:formatCode>
                <c:ptCount val="87"/>
                <c:pt idx="0">
                  <c:v>0.30080000000000001</c:v>
                </c:pt>
                <c:pt idx="1">
                  <c:v>0.73870000000000002</c:v>
                </c:pt>
                <c:pt idx="2">
                  <c:v>0.5897</c:v>
                </c:pt>
                <c:pt idx="3">
                  <c:v>0.37069999999999997</c:v>
                </c:pt>
                <c:pt idx="4">
                  <c:v>0.13020000000000001</c:v>
                </c:pt>
                <c:pt idx="5">
                  <c:v>1.3957999999999999</c:v>
                </c:pt>
                <c:pt idx="6">
                  <c:v>0.80510000000000004</c:v>
                </c:pt>
                <c:pt idx="7">
                  <c:v>0.5343</c:v>
                </c:pt>
                <c:pt idx="8">
                  <c:v>0.44340000000000002</c:v>
                </c:pt>
                <c:pt idx="9">
                  <c:v>0.33150000000000002</c:v>
                </c:pt>
                <c:pt idx="10">
                  <c:v>0.2364</c:v>
                </c:pt>
                <c:pt idx="11">
                  <c:v>0.26</c:v>
                </c:pt>
                <c:pt idx="12">
                  <c:v>0.26</c:v>
                </c:pt>
                <c:pt idx="13">
                  <c:v>0.60355479439668303</c:v>
                </c:pt>
                <c:pt idx="14">
                  <c:v>0.48025943147781502</c:v>
                </c:pt>
                <c:pt idx="15">
                  <c:v>0.60355479439668303</c:v>
                </c:pt>
                <c:pt idx="16">
                  <c:v>0.48025943147781502</c:v>
                </c:pt>
                <c:pt idx="17">
                  <c:v>0.60355479439668303</c:v>
                </c:pt>
                <c:pt idx="18">
                  <c:v>0.48025943147781502</c:v>
                </c:pt>
                <c:pt idx="19">
                  <c:v>0.60355479439668303</c:v>
                </c:pt>
                <c:pt idx="20">
                  <c:v>0.48025943147781502</c:v>
                </c:pt>
                <c:pt idx="21">
                  <c:v>0.60355479439668303</c:v>
                </c:pt>
                <c:pt idx="22">
                  <c:v>0.48025943147781502</c:v>
                </c:pt>
                <c:pt idx="23">
                  <c:v>0.60355479439668303</c:v>
                </c:pt>
                <c:pt idx="24">
                  <c:v>0.48025943147781502</c:v>
                </c:pt>
                <c:pt idx="25">
                  <c:v>0.60355479439668303</c:v>
                </c:pt>
                <c:pt idx="26">
                  <c:v>0.48025943147781502</c:v>
                </c:pt>
                <c:pt idx="27">
                  <c:v>0.60355479439668303</c:v>
                </c:pt>
                <c:pt idx="28">
                  <c:v>0.48025943147781502</c:v>
                </c:pt>
                <c:pt idx="29">
                  <c:v>0.60355479439668303</c:v>
                </c:pt>
                <c:pt idx="30">
                  <c:v>0.60355479439668303</c:v>
                </c:pt>
                <c:pt idx="31">
                  <c:v>0.60355479439668303</c:v>
                </c:pt>
                <c:pt idx="32">
                  <c:v>0.60355479439668303</c:v>
                </c:pt>
                <c:pt idx="33">
                  <c:v>0.48025943147781502</c:v>
                </c:pt>
                <c:pt idx="34">
                  <c:v>0.48025943147781502</c:v>
                </c:pt>
                <c:pt idx="35">
                  <c:v>0.48025943147781502</c:v>
                </c:pt>
                <c:pt idx="36">
                  <c:v>0.48025943147781502</c:v>
                </c:pt>
                <c:pt idx="37">
                  <c:v>0.68</c:v>
                </c:pt>
                <c:pt idx="38">
                  <c:v>0.47</c:v>
                </c:pt>
                <c:pt idx="39">
                  <c:v>0.68</c:v>
                </c:pt>
                <c:pt idx="40">
                  <c:v>0.47</c:v>
                </c:pt>
                <c:pt idx="43">
                  <c:v>1.3682000000000001</c:v>
                </c:pt>
                <c:pt idx="44">
                  <c:v>0.84630000000000005</c:v>
                </c:pt>
                <c:pt idx="45">
                  <c:v>0.81669999999999998</c:v>
                </c:pt>
                <c:pt idx="46">
                  <c:v>0.49509999999999998</c:v>
                </c:pt>
                <c:pt idx="47">
                  <c:v>0.52759999999999996</c:v>
                </c:pt>
                <c:pt idx="48">
                  <c:v>0.28799999999999998</c:v>
                </c:pt>
                <c:pt idx="49">
                  <c:v>0.63</c:v>
                </c:pt>
                <c:pt idx="50">
                  <c:v>0.63</c:v>
                </c:pt>
                <c:pt idx="51">
                  <c:v>0.63</c:v>
                </c:pt>
                <c:pt idx="52">
                  <c:v>0.53582313005308302</c:v>
                </c:pt>
                <c:pt idx="53">
                  <c:v>0.37041627013954698</c:v>
                </c:pt>
                <c:pt idx="54">
                  <c:v>0.58121660001694597</c:v>
                </c:pt>
                <c:pt idx="55">
                  <c:v>0.375729953983233</c:v>
                </c:pt>
                <c:pt idx="56">
                  <c:v>0.66233669259611505</c:v>
                </c:pt>
                <c:pt idx="57">
                  <c:v>0.49106593090268902</c:v>
                </c:pt>
                <c:pt idx="58">
                  <c:v>0.65326179980072097</c:v>
                </c:pt>
                <c:pt idx="59">
                  <c:v>0.909666199752311</c:v>
                </c:pt>
                <c:pt idx="60">
                  <c:v>0.54881517119437695</c:v>
                </c:pt>
                <c:pt idx="61">
                  <c:v>1.0907156284675501</c:v>
                </c:pt>
                <c:pt idx="62">
                  <c:v>0.72024451302013903</c:v>
                </c:pt>
                <c:pt idx="63">
                  <c:v>0.35930000000000001</c:v>
                </c:pt>
                <c:pt idx="64">
                  <c:v>0.35930000000000001</c:v>
                </c:pt>
                <c:pt idx="65">
                  <c:v>0.35930000000000001</c:v>
                </c:pt>
                <c:pt idx="66">
                  <c:v>0.35930000000000001</c:v>
                </c:pt>
                <c:pt idx="67">
                  <c:v>0.35930000000000001</c:v>
                </c:pt>
                <c:pt idx="68">
                  <c:v>0.92100000000000004</c:v>
                </c:pt>
                <c:pt idx="69">
                  <c:v>0.63700000000000001</c:v>
                </c:pt>
                <c:pt idx="70">
                  <c:v>0.53881744849885005</c:v>
                </c:pt>
                <c:pt idx="71">
                  <c:v>0.71399999999999997</c:v>
                </c:pt>
                <c:pt idx="72">
                  <c:v>0.45500000000000002</c:v>
                </c:pt>
                <c:pt idx="73">
                  <c:v>0.41833774250440903</c:v>
                </c:pt>
                <c:pt idx="74">
                  <c:v>0.35047714995833701</c:v>
                </c:pt>
                <c:pt idx="75">
                  <c:v>0.62</c:v>
                </c:pt>
                <c:pt idx="76">
                  <c:v>0.59</c:v>
                </c:pt>
                <c:pt idx="77">
                  <c:v>0.43</c:v>
                </c:pt>
                <c:pt idx="78">
                  <c:v>0.56000000000000005</c:v>
                </c:pt>
                <c:pt idx="79">
                  <c:v>0.44</c:v>
                </c:pt>
                <c:pt idx="80">
                  <c:v>0.91</c:v>
                </c:pt>
                <c:pt idx="81">
                  <c:v>0.57999999999999996</c:v>
                </c:pt>
                <c:pt idx="82">
                  <c:v>0.51</c:v>
                </c:pt>
                <c:pt idx="83">
                  <c:v>0.91698161663907596</c:v>
                </c:pt>
                <c:pt idx="84">
                  <c:v>0.75733301804065301</c:v>
                </c:pt>
                <c:pt idx="85">
                  <c:v>0.65861856876188196</c:v>
                </c:pt>
                <c:pt idx="86">
                  <c:v>0.42957256929716497</c:v>
                </c:pt>
              </c:numCache>
            </c:numRef>
          </c:xVal>
          <c:yVal>
            <c:numRef>
              <c:f>Fperm!$R$9:$R$95</c:f>
              <c:numCache>
                <c:formatCode>0.00</c:formatCode>
                <c:ptCount val="87"/>
                <c:pt idx="0">
                  <c:v>0.6524953634955486</c:v>
                </c:pt>
                <c:pt idx="1">
                  <c:v>0.80665278977079236</c:v>
                </c:pt>
                <c:pt idx="2">
                  <c:v>0.67751188912922178</c:v>
                </c:pt>
                <c:pt idx="3">
                  <c:v>0.73898929889354836</c:v>
                </c:pt>
                <c:pt idx="4">
                  <c:v>0.66697811658504003</c:v>
                </c:pt>
                <c:pt idx="5">
                  <c:v>5.4785450110619012E-6</c:v>
                </c:pt>
                <c:pt idx="6">
                  <c:v>0.98206020362287416</c:v>
                </c:pt>
                <c:pt idx="7">
                  <c:v>0.6271150534346227</c:v>
                </c:pt>
                <c:pt idx="8">
                  <c:v>0.87977646033874091</c:v>
                </c:pt>
                <c:pt idx="9">
                  <c:v>0.76419287413610626</c:v>
                </c:pt>
                <c:pt idx="10">
                  <c:v>0.80399167326157861</c:v>
                </c:pt>
                <c:pt idx="11">
                  <c:v>0.78484072912240699</c:v>
                </c:pt>
                <c:pt idx="12">
                  <c:v>0.75742589333938204</c:v>
                </c:pt>
                <c:pt idx="13">
                  <c:v>0.73244809053464421</c:v>
                </c:pt>
                <c:pt idx="14">
                  <c:v>0.79156620886486773</c:v>
                </c:pt>
                <c:pt idx="15">
                  <c:v>0.68362483619078651</c:v>
                </c:pt>
                <c:pt idx="16">
                  <c:v>0.87557865419358538</c:v>
                </c:pt>
                <c:pt idx="17">
                  <c:v>0.70873752929285838</c:v>
                </c:pt>
                <c:pt idx="18">
                  <c:v>0.86963468218194317</c:v>
                </c:pt>
                <c:pt idx="19">
                  <c:v>0.69081912934071599</c:v>
                </c:pt>
                <c:pt idx="20">
                  <c:v>0.83657804582482698</c:v>
                </c:pt>
                <c:pt idx="21">
                  <c:v>0.5625796861122051</c:v>
                </c:pt>
                <c:pt idx="22">
                  <c:v>0.87013832526570234</c:v>
                </c:pt>
                <c:pt idx="23">
                  <c:v>0.39231912253193191</c:v>
                </c:pt>
                <c:pt idx="24">
                  <c:v>0.72124968453075633</c:v>
                </c:pt>
                <c:pt idx="25">
                  <c:v>0.57867810751509419</c:v>
                </c:pt>
                <c:pt idx="26">
                  <c:v>0.73573368117116711</c:v>
                </c:pt>
                <c:pt idx="27">
                  <c:v>0.26983966011503169</c:v>
                </c:pt>
                <c:pt idx="28">
                  <c:v>0.63256822776947697</c:v>
                </c:pt>
                <c:pt idx="29">
                  <c:v>0.88538328260643318</c:v>
                </c:pt>
                <c:pt idx="30">
                  <c:v>0.77558290497359406</c:v>
                </c:pt>
                <c:pt idx="31">
                  <c:v>0.77358437966803306</c:v>
                </c:pt>
                <c:pt idx="32">
                  <c:v>0.76720521399738772</c:v>
                </c:pt>
                <c:pt idx="33">
                  <c:v>0.91735063165187936</c:v>
                </c:pt>
                <c:pt idx="34">
                  <c:v>0.88061210483766994</c:v>
                </c:pt>
                <c:pt idx="35">
                  <c:v>0.86926595734668521</c:v>
                </c:pt>
                <c:pt idx="36">
                  <c:v>0.86321899801528557</c:v>
                </c:pt>
                <c:pt idx="37">
                  <c:v>0.13147100598490249</c:v>
                </c:pt>
                <c:pt idx="38">
                  <c:v>0.34990495949648531</c:v>
                </c:pt>
                <c:pt idx="39">
                  <c:v>0.32765666727416543</c:v>
                </c:pt>
                <c:pt idx="40">
                  <c:v>0.32280249442565928</c:v>
                </c:pt>
                <c:pt idx="41">
                  <c:v>0.74169955704725032</c:v>
                </c:pt>
                <c:pt idx="42">
                  <c:v>0.79061607857800476</c:v>
                </c:pt>
                <c:pt idx="43">
                  <c:v>2.0588052290924981E-2</c:v>
                </c:pt>
                <c:pt idx="44">
                  <c:v>0.40283104219123411</c:v>
                </c:pt>
                <c:pt idx="45">
                  <c:v>0.473515843847166</c:v>
                </c:pt>
                <c:pt idx="46">
                  <c:v>0.72139493690297862</c:v>
                </c:pt>
                <c:pt idx="47">
                  <c:v>0.73783753056501289</c:v>
                </c:pt>
                <c:pt idx="48">
                  <c:v>0.82761377181289586</c:v>
                </c:pt>
                <c:pt idx="49">
                  <c:v>0.28671187775097057</c:v>
                </c:pt>
                <c:pt idx="50">
                  <c:v>0.10201783935472329</c:v>
                </c:pt>
                <c:pt idx="51">
                  <c:v>1.4040396978795623E-2</c:v>
                </c:pt>
                <c:pt idx="52">
                  <c:v>0.79161212769009426</c:v>
                </c:pt>
                <c:pt idx="53">
                  <c:v>0.93600636923834712</c:v>
                </c:pt>
                <c:pt idx="54">
                  <c:v>0.77627806488580975</c:v>
                </c:pt>
                <c:pt idx="55">
                  <c:v>0.93853659985340843</c:v>
                </c:pt>
                <c:pt idx="56">
                  <c:v>0.73678523184773193</c:v>
                </c:pt>
                <c:pt idx="57">
                  <c:v>0.86576497932363417</c:v>
                </c:pt>
                <c:pt idx="58">
                  <c:v>0.42803190521945833</c:v>
                </c:pt>
                <c:pt idx="59">
                  <c:v>0.51470315012317447</c:v>
                </c:pt>
                <c:pt idx="60">
                  <c:v>0.77039126677246461</c:v>
                </c:pt>
                <c:pt idx="61">
                  <c:v>0.40046349588130509</c:v>
                </c:pt>
                <c:pt idx="62">
                  <c:v>0.81698896114164665</c:v>
                </c:pt>
                <c:pt idx="63">
                  <c:v>0.91979434981736641</c:v>
                </c:pt>
                <c:pt idx="64">
                  <c:v>0.97384442513682645</c:v>
                </c:pt>
                <c:pt idx="65">
                  <c:v>0.96246532033816024</c:v>
                </c:pt>
                <c:pt idx="66">
                  <c:v>0.92880740989880162</c:v>
                </c:pt>
                <c:pt idx="67">
                  <c:v>0.89102695213363881</c:v>
                </c:pt>
                <c:pt idx="68">
                  <c:v>0.52130353102548577</c:v>
                </c:pt>
                <c:pt idx="69">
                  <c:v>0.76924469687268127</c:v>
                </c:pt>
                <c:pt idx="70">
                  <c:v>0.94698582211238325</c:v>
                </c:pt>
                <c:pt idx="71">
                  <c:v>0.64803151803407144</c:v>
                </c:pt>
                <c:pt idx="72">
                  <c:v>0.81603152166542203</c:v>
                </c:pt>
                <c:pt idx="73">
                  <c:v>0.8566678159677471</c:v>
                </c:pt>
                <c:pt idx="74">
                  <c:v>0.91182725822421407</c:v>
                </c:pt>
                <c:pt idx="75">
                  <c:v>0.64776183650270769</c:v>
                </c:pt>
                <c:pt idx="76">
                  <c:v>0.57101787096125267</c:v>
                </c:pt>
                <c:pt idx="77">
                  <c:v>0.79117854833724932</c:v>
                </c:pt>
                <c:pt idx="78">
                  <c:v>0.59333640966402101</c:v>
                </c:pt>
                <c:pt idx="79">
                  <c:v>0.75570030875461236</c:v>
                </c:pt>
                <c:pt idx="80">
                  <c:v>0.50574958557416505</c:v>
                </c:pt>
                <c:pt idx="81">
                  <c:v>0.63523834720897299</c:v>
                </c:pt>
                <c:pt idx="82">
                  <c:v>0.72657351408182536</c:v>
                </c:pt>
                <c:pt idx="83">
                  <c:v>0.73111812052888914</c:v>
                </c:pt>
                <c:pt idx="84">
                  <c:v>0.78381482276159231</c:v>
                </c:pt>
                <c:pt idx="85">
                  <c:v>0.94375259139117262</c:v>
                </c:pt>
                <c:pt idx="86">
                  <c:v>0.87960583435663398</c:v>
                </c:pt>
              </c:numCache>
            </c:numRef>
          </c:yVal>
          <c:smooth val="0"/>
          <c:extLst>
            <c:ext xmlns:c16="http://schemas.microsoft.com/office/drawing/2014/chart" uri="{C3380CC4-5D6E-409C-BE32-E72D297353CC}">
              <c16:uniqueId val="{00000000-C987-40A5-B9B9-21A8DDA7147A}"/>
            </c:ext>
          </c:extLst>
        </c:ser>
        <c:dLbls>
          <c:showLegendKey val="0"/>
          <c:showVal val="0"/>
          <c:showCatName val="0"/>
          <c:showSerName val="0"/>
          <c:showPercent val="0"/>
          <c:showBubbleSize val="0"/>
        </c:dLbls>
        <c:axId val="1816556320"/>
        <c:axId val="1816557568"/>
      </c:scatterChart>
      <c:valAx>
        <c:axId val="18165563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16557568"/>
        <c:crosses val="autoZero"/>
        <c:crossBetween val="midCat"/>
      </c:valAx>
      <c:valAx>
        <c:axId val="18165575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165563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Ts0 = 14,9</c:v>
          </c:tx>
          <c:spPr>
            <a:ln w="25400" cap="rnd">
              <a:noFill/>
              <a:round/>
            </a:ln>
            <a:effectLst/>
          </c:spPr>
          <c:marker>
            <c:symbol val="circle"/>
            <c:size val="5"/>
            <c:spPr>
              <a:solidFill>
                <a:schemeClr val="accent1"/>
              </a:solidFill>
              <a:ln w="9525">
                <a:solidFill>
                  <a:schemeClr val="accent1"/>
                </a:solidFill>
              </a:ln>
              <a:effectLst/>
            </c:spPr>
          </c:marker>
          <c:xVal>
            <c:numRef>
              <c:f>'esa-analysis'!$H$4:$H$35</c:f>
              <c:numCache>
                <c:formatCode>General</c:formatCode>
                <c:ptCount val="32"/>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14.8</c:v>
                </c:pt>
                <c:pt idx="22">
                  <c:v>14</c:v>
                </c:pt>
                <c:pt idx="23">
                  <c:v>13</c:v>
                </c:pt>
                <c:pt idx="24">
                  <c:v>12</c:v>
                </c:pt>
                <c:pt idx="25">
                  <c:v>11</c:v>
                </c:pt>
                <c:pt idx="26">
                  <c:v>10</c:v>
                </c:pt>
                <c:pt idx="27">
                  <c:v>9</c:v>
                </c:pt>
                <c:pt idx="28">
                  <c:v>8</c:v>
                </c:pt>
                <c:pt idx="29">
                  <c:v>7</c:v>
                </c:pt>
                <c:pt idx="30">
                  <c:v>6</c:v>
                </c:pt>
                <c:pt idx="31">
                  <c:v>5</c:v>
                </c:pt>
              </c:numCache>
            </c:numRef>
          </c:xVal>
          <c:yVal>
            <c:numRef>
              <c:f>'esa-analysis'!$J$4:$J$35</c:f>
              <c:numCache>
                <c:formatCode>General</c:formatCode>
                <c:ptCount val="32"/>
                <c:pt idx="0">
                  <c:v>1.8007681242081377</c:v>
                </c:pt>
                <c:pt idx="1">
                  <c:v>1.738410435105584</c:v>
                </c:pt>
                <c:pt idx="2">
                  <c:v>1.6833495681304598</c:v>
                </c:pt>
                <c:pt idx="3">
                  <c:v>1.6346303068279529</c:v>
                </c:pt>
                <c:pt idx="4">
                  <c:v>1.5914304406345123</c:v>
                </c:pt>
                <c:pt idx="5">
                  <c:v>1.5530415047033828</c:v>
                </c:pt>
                <c:pt idx="6">
                  <c:v>1.5188523854743676</c:v>
                </c:pt>
                <c:pt idx="7">
                  <c:v>1.4883353570075042</c:v>
                </c:pt>
                <c:pt idx="8">
                  <c:v>1.4610341801397224</c:v>
                </c:pt>
                <c:pt idx="9">
                  <c:v>1.4365539531053537</c:v>
                </c:pt>
                <c:pt idx="10">
                  <c:v>1.414552450032931</c:v>
                </c:pt>
                <c:pt idx="11">
                  <c:v>1.3947327240777447</c:v>
                </c:pt>
                <c:pt idx="12">
                  <c:v>1.376836786038101</c:v>
                </c:pt>
                <c:pt idx="13">
                  <c:v>1.3606401981143872</c:v>
                </c:pt>
                <c:pt idx="14">
                  <c:v>1.3459474468299977</c:v>
                </c:pt>
                <c:pt idx="15">
                  <c:v>1.3325879797374403</c:v>
                </c:pt>
                <c:pt idx="16">
                  <c:v>1.3204128079674344</c:v>
                </c:pt>
                <c:pt idx="17">
                  <c:v>1.3092915914370866</c:v>
                </c:pt>
                <c:pt idx="18">
                  <c:v>1.2991101360312851</c:v>
                </c:pt>
                <c:pt idx="19">
                  <c:v>1.2897682426599095</c:v>
                </c:pt>
                <c:pt idx="20">
                  <c:v>1.2811778570680086</c:v>
                </c:pt>
                <c:pt idx="21">
                  <c:v>1.8142100121289571</c:v>
                </c:pt>
                <c:pt idx="22">
                  <c:v>1.8715334981388834</c:v>
                </c:pt>
                <c:pt idx="23">
                  <c:v>1.951999695017447</c:v>
                </c:pt>
                <c:pt idx="24">
                  <c:v>2.0436734667301617</c:v>
                </c:pt>
                <c:pt idx="25">
                  <c:v>2.1483120793444761</c:v>
                </c:pt>
                <c:pt idx="26">
                  <c:v>2.2679667857549979</c:v>
                </c:pt>
                <c:pt idx="27">
                  <c:v>2.4050340674120614</c:v>
                </c:pt>
                <c:pt idx="28">
                  <c:v>2.5623160636431175</c:v>
                </c:pt>
                <c:pt idx="29">
                  <c:v>2.7430918703349847</c:v>
                </c:pt>
                <c:pt idx="30">
                  <c:v>2.95120170249103</c:v>
                </c:pt>
                <c:pt idx="31">
                  <c:v>3.1911462868116436</c:v>
                </c:pt>
              </c:numCache>
            </c:numRef>
          </c:yVal>
          <c:smooth val="0"/>
          <c:extLst>
            <c:ext xmlns:c16="http://schemas.microsoft.com/office/drawing/2014/chart" uri="{C3380CC4-5D6E-409C-BE32-E72D297353CC}">
              <c16:uniqueId val="{00000000-F184-4595-A6E7-A6357B3C8C19}"/>
            </c:ext>
          </c:extLst>
        </c:ser>
        <c:ser>
          <c:idx val="1"/>
          <c:order val="1"/>
          <c:tx>
            <c:v>Ts0 = 12</c:v>
          </c:tx>
          <c:spPr>
            <a:ln w="25400" cap="rnd">
              <a:noFill/>
              <a:round/>
            </a:ln>
            <a:effectLst/>
          </c:spPr>
          <c:marker>
            <c:symbol val="circle"/>
            <c:size val="5"/>
            <c:spPr>
              <a:solidFill>
                <a:schemeClr val="accent2"/>
              </a:solidFill>
              <a:ln w="9525">
                <a:solidFill>
                  <a:schemeClr val="accent2"/>
                </a:solidFill>
              </a:ln>
              <a:effectLst/>
            </c:spPr>
          </c:marker>
          <c:xVal>
            <c:numRef>
              <c:f>'esa-analysis'!$H$36:$H$67</c:f>
              <c:numCache>
                <c:formatCode>General</c:formatCode>
                <c:ptCount val="32"/>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14.8</c:v>
                </c:pt>
                <c:pt idx="22">
                  <c:v>14</c:v>
                </c:pt>
                <c:pt idx="23">
                  <c:v>13</c:v>
                </c:pt>
                <c:pt idx="24">
                  <c:v>12.1</c:v>
                </c:pt>
                <c:pt idx="25">
                  <c:v>11</c:v>
                </c:pt>
                <c:pt idx="26">
                  <c:v>10</c:v>
                </c:pt>
                <c:pt idx="27">
                  <c:v>9</c:v>
                </c:pt>
                <c:pt idx="28">
                  <c:v>8</c:v>
                </c:pt>
                <c:pt idx="29">
                  <c:v>7</c:v>
                </c:pt>
                <c:pt idx="30">
                  <c:v>6</c:v>
                </c:pt>
                <c:pt idx="31">
                  <c:v>5</c:v>
                </c:pt>
              </c:numCache>
            </c:numRef>
          </c:xVal>
          <c:yVal>
            <c:numRef>
              <c:f>'esa-analysis'!$J$36:$J$67</c:f>
              <c:numCache>
                <c:formatCode>General</c:formatCode>
                <c:ptCount val="32"/>
                <c:pt idx="0">
                  <c:v>2.0355766219794273</c:v>
                </c:pt>
                <c:pt idx="1">
                  <c:v>1.9597261330334028</c:v>
                </c:pt>
                <c:pt idx="2">
                  <c:v>1.8923374293182871</c:v>
                </c:pt>
                <c:pt idx="3">
                  <c:v>1.832334500780687</c:v>
                </c:pt>
                <c:pt idx="4">
                  <c:v>1.7787882657312815</c:v>
                </c:pt>
                <c:pt idx="5">
                  <c:v>1.7308955909380901</c:v>
                </c:pt>
                <c:pt idx="6">
                  <c:v>1.6879614005456789</c:v>
                </c:pt>
                <c:pt idx="7">
                  <c:v>1.6493834088270749</c:v>
                </c:pt>
                <c:pt idx="8">
                  <c:v>1.614639082968111</c:v>
                </c:pt>
                <c:pt idx="9">
                  <c:v>1.583274502231349</c:v>
                </c:pt>
                <c:pt idx="10">
                  <c:v>1.5548948306807746</c:v>
                </c:pt>
                <c:pt idx="11">
                  <c:v>1.529156163627174</c:v>
                </c:pt>
                <c:pt idx="12">
                  <c:v>1.5057585443052328</c:v>
                </c:pt>
                <c:pt idx="13">
                  <c:v>1.4844399780509963</c:v>
                </c:pt>
                <c:pt idx="14">
                  <c:v>1.4649712972835549</c:v>
                </c:pt>
                <c:pt idx="15">
                  <c:v>1.4471517526418232</c:v>
                </c:pt>
                <c:pt idx="16">
                  <c:v>1.4308052243049034</c:v>
                </c:pt>
                <c:pt idx="17">
                  <c:v>1.4157769633545825</c:v>
                </c:pt>
                <c:pt idx="18">
                  <c:v>1.4019307864611299</c:v>
                </c:pt>
                <c:pt idx="19">
                  <c:v>1.3891466585600791</c:v>
                </c:pt>
                <c:pt idx="20">
                  <c:v>1.3773186078514974</c:v>
                </c:pt>
                <c:pt idx="21">
                  <c:v>2.0518685901087759</c:v>
                </c:pt>
                <c:pt idx="22">
                  <c:v>2.1211364525962368</c:v>
                </c:pt>
                <c:pt idx="23">
                  <c:v>2.217853632984319</c:v>
                </c:pt>
                <c:pt idx="24">
                  <c:v>2.3158236820818212</c:v>
                </c:pt>
                <c:pt idx="25">
                  <c:v>2.4517640559259886</c:v>
                </c:pt>
                <c:pt idx="26">
                  <c:v>2.5931920983410106</c:v>
                </c:pt>
                <c:pt idx="27">
                  <c:v>2.7543493147378979</c:v>
                </c:pt>
                <c:pt idx="28">
                  <c:v>2.9383319464050102</c:v>
                </c:pt>
                <c:pt idx="29">
                  <c:v>3.1487545444257821</c:v>
                </c:pt>
                <c:pt idx="30">
                  <c:v>3.389840349775449</c:v>
                </c:pt>
                <c:pt idx="31">
                  <c:v>3.6665278837025426</c:v>
                </c:pt>
              </c:numCache>
            </c:numRef>
          </c:yVal>
          <c:smooth val="0"/>
          <c:extLst>
            <c:ext xmlns:c16="http://schemas.microsoft.com/office/drawing/2014/chart" uri="{C3380CC4-5D6E-409C-BE32-E72D297353CC}">
              <c16:uniqueId val="{00000002-F184-4595-A6E7-A6357B3C8C19}"/>
            </c:ext>
          </c:extLst>
        </c:ser>
        <c:dLbls>
          <c:showLegendKey val="0"/>
          <c:showVal val="0"/>
          <c:showCatName val="0"/>
          <c:showSerName val="0"/>
          <c:showPercent val="0"/>
          <c:showBubbleSize val="0"/>
        </c:dLbls>
        <c:axId val="493546496"/>
        <c:axId val="493548464"/>
      </c:scatterChart>
      <c:valAx>
        <c:axId val="493546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fr-FR" sz="1400"/>
                  <a:t>Initial soil temperature, T</a:t>
                </a:r>
                <a:r>
                  <a:rPr lang="fr-FR" sz="1400" baseline="-25000"/>
                  <a:t>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fr-FR"/>
          </a:p>
        </c:txPr>
        <c:crossAx val="493548464"/>
        <c:crosses val="autoZero"/>
        <c:crossBetween val="midCat"/>
      </c:valAx>
      <c:valAx>
        <c:axId val="493548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fr-FR" sz="1800"/>
                  <a:t>Q</a:t>
                </a:r>
                <a:r>
                  <a:rPr lang="fr-FR" sz="1800" baseline="-25000"/>
                  <a:t>10,avg</a:t>
                </a:r>
                <a:r>
                  <a:rPr lang="fr-FR" sz="1800" baseline="0"/>
                  <a:t> </a:t>
                </a:r>
                <a:endParaRPr lang="fr-FR" sz="1800" baseline="-25000"/>
              </a:p>
            </c:rich>
          </c:tx>
          <c:overlay val="0"/>
          <c:spPr>
            <a:noFill/>
            <a:ln>
              <a:noFill/>
            </a:ln>
            <a:effectLst/>
          </c:spPr>
          <c:txPr>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crossAx val="4935464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Ts0 = 14,9</c:v>
          </c:tx>
          <c:spPr>
            <a:ln w="25400" cap="rnd">
              <a:noFill/>
              <a:round/>
            </a:ln>
            <a:effectLst/>
          </c:spPr>
          <c:marker>
            <c:symbol val="circle"/>
            <c:size val="5"/>
            <c:spPr>
              <a:solidFill>
                <a:schemeClr val="accent1"/>
              </a:solidFill>
              <a:ln w="9525">
                <a:solidFill>
                  <a:schemeClr val="accent1"/>
                </a:solidFill>
              </a:ln>
              <a:effectLst/>
            </c:spPr>
          </c:marker>
          <c:xVal>
            <c:numRef>
              <c:f>'esa-analysis'!$H$4:$H$35</c:f>
              <c:numCache>
                <c:formatCode>General</c:formatCode>
                <c:ptCount val="32"/>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14.8</c:v>
                </c:pt>
                <c:pt idx="22">
                  <c:v>14</c:v>
                </c:pt>
                <c:pt idx="23">
                  <c:v>13</c:v>
                </c:pt>
                <c:pt idx="24">
                  <c:v>12</c:v>
                </c:pt>
                <c:pt idx="25">
                  <c:v>11</c:v>
                </c:pt>
                <c:pt idx="26">
                  <c:v>10</c:v>
                </c:pt>
                <c:pt idx="27">
                  <c:v>9</c:v>
                </c:pt>
                <c:pt idx="28">
                  <c:v>8</c:v>
                </c:pt>
                <c:pt idx="29">
                  <c:v>7</c:v>
                </c:pt>
                <c:pt idx="30">
                  <c:v>6</c:v>
                </c:pt>
                <c:pt idx="31">
                  <c:v>5</c:v>
                </c:pt>
              </c:numCache>
            </c:numRef>
          </c:xVal>
          <c:yVal>
            <c:numRef>
              <c:f>'esa-analysis'!$K$4:$K$35</c:f>
              <c:numCache>
                <c:formatCode>General</c:formatCode>
                <c:ptCount val="32"/>
                <c:pt idx="0">
                  <c:v>0.994135132779422</c:v>
                </c:pt>
                <c:pt idx="1">
                  <c:v>0.9409861792631552</c:v>
                </c:pt>
                <c:pt idx="2">
                  <c:v>0.89640319232271748</c:v>
                </c:pt>
                <c:pt idx="3">
                  <c:v>0.85869698992785715</c:v>
                </c:pt>
                <c:pt idx="4">
                  <c:v>0.82654605809954718</c:v>
                </c:pt>
                <c:pt idx="5">
                  <c:v>0.7989077574730733</c:v>
                </c:pt>
                <c:pt idx="6">
                  <c:v>0.77495324964691226</c:v>
                </c:pt>
                <c:pt idx="7">
                  <c:v>0.75401924864046288</c:v>
                </c:pt>
                <c:pt idx="8">
                  <c:v>0.73557184100323914</c:v>
                </c:pt>
                <c:pt idx="9">
                  <c:v>0.71917905902830548</c:v>
                </c:pt>
                <c:pt idx="10">
                  <c:v>0.70448987245862715</c:v>
                </c:pt>
                <c:pt idx="11">
                  <c:v>0.6912179383096877</c:v>
                </c:pt>
                <c:pt idx="12">
                  <c:v>0.67912891611330328</c:v>
                </c:pt>
                <c:pt idx="13">
                  <c:v>0.66803048317400593</c:v>
                </c:pt>
                <c:pt idx="14">
                  <c:v>0.65776441547020459</c:v>
                </c:pt>
                <c:pt idx="15">
                  <c:v>0.64820026436440326</c:v>
                </c:pt>
                <c:pt idx="16">
                  <c:v>0.63923027750799555</c:v>
                </c:pt>
                <c:pt idx="17">
                  <c:v>0.63076529806001136</c:v>
                </c:pt>
                <c:pt idx="18">
                  <c:v>0.62273143911214768</c:v>
                </c:pt>
                <c:pt idx="19">
                  <c:v>0.6150673766321878</c:v>
                </c:pt>
                <c:pt idx="20">
                  <c:v>0.60772213891612614</c:v>
                </c:pt>
                <c:pt idx="21">
                  <c:v>1.0059742764077524</c:v>
                </c:pt>
                <c:pt idx="22">
                  <c:v>1.0580295184211252</c:v>
                </c:pt>
                <c:pt idx="23">
                  <c:v>1.1355104926010176</c:v>
                </c:pt>
                <c:pt idx="24">
                  <c:v>1.2303235495063627</c:v>
                </c:pt>
                <c:pt idx="25">
                  <c:v>1.3474664927083861</c:v>
                </c:pt>
                <c:pt idx="26">
                  <c:v>1.4936951750137091</c:v>
                </c:pt>
                <c:pt idx="27">
                  <c:v>1.6782688245275836</c:v>
                </c:pt>
                <c:pt idx="28">
                  <c:v>1.9140644734932042</c:v>
                </c:pt>
                <c:pt idx="29">
                  <c:v>2.2192686533801886</c:v>
                </c:pt>
                <c:pt idx="30">
                  <c:v>2.6199862648122227</c:v>
                </c:pt>
                <c:pt idx="31">
                  <c:v>3.1543308699668513</c:v>
                </c:pt>
              </c:numCache>
            </c:numRef>
          </c:yVal>
          <c:smooth val="0"/>
          <c:extLst>
            <c:ext xmlns:c16="http://schemas.microsoft.com/office/drawing/2014/chart" uri="{C3380CC4-5D6E-409C-BE32-E72D297353CC}">
              <c16:uniqueId val="{00000000-BF13-46D0-AABC-5828886A60ED}"/>
            </c:ext>
          </c:extLst>
        </c:ser>
        <c:ser>
          <c:idx val="1"/>
          <c:order val="1"/>
          <c:tx>
            <c:v>Ts0 = 12</c:v>
          </c:tx>
          <c:spPr>
            <a:ln w="25400" cap="rnd">
              <a:noFill/>
              <a:round/>
            </a:ln>
            <a:effectLst/>
          </c:spPr>
          <c:marker>
            <c:symbol val="circle"/>
            <c:size val="5"/>
            <c:spPr>
              <a:solidFill>
                <a:schemeClr val="accent2"/>
              </a:solidFill>
              <a:ln w="9525">
                <a:solidFill>
                  <a:schemeClr val="accent2"/>
                </a:solidFill>
              </a:ln>
              <a:effectLst/>
            </c:spPr>
          </c:marker>
          <c:xVal>
            <c:numRef>
              <c:f>'esa-analysis'!$H$36:$H$67</c:f>
              <c:numCache>
                <c:formatCode>General</c:formatCode>
                <c:ptCount val="32"/>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14.8</c:v>
                </c:pt>
                <c:pt idx="22">
                  <c:v>14</c:v>
                </c:pt>
                <c:pt idx="23">
                  <c:v>13</c:v>
                </c:pt>
                <c:pt idx="24">
                  <c:v>12.1</c:v>
                </c:pt>
                <c:pt idx="25">
                  <c:v>11</c:v>
                </c:pt>
                <c:pt idx="26">
                  <c:v>10</c:v>
                </c:pt>
                <c:pt idx="27">
                  <c:v>9</c:v>
                </c:pt>
                <c:pt idx="28">
                  <c:v>8</c:v>
                </c:pt>
                <c:pt idx="29">
                  <c:v>7</c:v>
                </c:pt>
                <c:pt idx="30">
                  <c:v>6</c:v>
                </c:pt>
                <c:pt idx="31">
                  <c:v>5</c:v>
                </c:pt>
              </c:numCache>
            </c:numRef>
          </c:xVal>
          <c:yVal>
            <c:numRef>
              <c:f>'esa-analysis'!$K$36:$K$67</c:f>
              <c:numCache>
                <c:formatCode>General</c:formatCode>
                <c:ptCount val="32"/>
                <c:pt idx="0">
                  <c:v>0.80796726142153541</c:v>
                </c:pt>
                <c:pt idx="1">
                  <c:v>0.76405011671378276</c:v>
                </c:pt>
                <c:pt idx="2">
                  <c:v>0.72694358802966685</c:v>
                </c:pt>
                <c:pt idx="3">
                  <c:v>0.69533989013591257</c:v>
                </c:pt>
                <c:pt idx="4">
                  <c:v>0.66821007722006731</c:v>
                </c:pt>
                <c:pt idx="5">
                  <c:v>0.64473805191030731</c:v>
                </c:pt>
                <c:pt idx="6">
                  <c:v>0.62427183276329534</c:v>
                </c:pt>
                <c:pt idx="7">
                  <c:v>0.60628717049550629</c:v>
                </c:pt>
                <c:pt idx="8">
                  <c:v>0.59036009424570668</c:v>
                </c:pt>
                <c:pt idx="9">
                  <c:v>0.57614598360259206</c:v>
                </c:pt>
                <c:pt idx="10">
                  <c:v>0.5633634591152421</c:v>
                </c:pt>
                <c:pt idx="11">
                  <c:v>0.55178186732010193</c:v>
                </c:pt>
                <c:pt idx="12">
                  <c:v>0.54121147443836903</c:v>
                </c:pt>
                <c:pt idx="13">
                  <c:v>0.53149572146799817</c:v>
                </c:pt>
                <c:pt idx="14">
                  <c:v>0.52250506314282774</c:v>
                </c:pt>
                <c:pt idx="15">
                  <c:v>0.51413203502910276</c:v>
                </c:pt>
                <c:pt idx="16">
                  <c:v>0.50628728116999977</c:v>
                </c:pt>
                <c:pt idx="17">
                  <c:v>0.49889633903290997</c:v>
                </c:pt>
                <c:pt idx="18">
                  <c:v>0.49189702591227019</c:v>
                </c:pt>
                <c:pt idx="19">
                  <c:v>0.48523730618150696</c:v>
                </c:pt>
                <c:pt idx="20">
                  <c:v>0.47887354523935638</c:v>
                </c:pt>
                <c:pt idx="21">
                  <c:v>0.8177077762954853</c:v>
                </c:pt>
                <c:pt idx="22">
                  <c:v>0.86037202030609405</c:v>
                </c:pt>
                <c:pt idx="23">
                  <c:v>0.92343580948894755</c:v>
                </c:pt>
                <c:pt idx="24">
                  <c:v>0.99163750753966706</c:v>
                </c:pt>
                <c:pt idx="25">
                  <c:v>1.093825055852679</c:v>
                </c:pt>
                <c:pt idx="26">
                  <c:v>1.209948646076664</c:v>
                </c:pt>
                <c:pt idx="27">
                  <c:v>1.3552072157513029</c:v>
                </c:pt>
                <c:pt idx="28">
                  <c:v>1.5390061055500548</c:v>
                </c:pt>
                <c:pt idx="29">
                  <c:v>1.7744730328820955</c:v>
                </c:pt>
                <c:pt idx="30">
                  <c:v>2.0802117584806825</c:v>
                </c:pt>
                <c:pt idx="31">
                  <c:v>2.4830101478783817</c:v>
                </c:pt>
              </c:numCache>
            </c:numRef>
          </c:yVal>
          <c:smooth val="0"/>
          <c:extLst>
            <c:ext xmlns:c16="http://schemas.microsoft.com/office/drawing/2014/chart" uri="{C3380CC4-5D6E-409C-BE32-E72D297353CC}">
              <c16:uniqueId val="{00000001-BF13-46D0-AABC-5828886A60ED}"/>
            </c:ext>
          </c:extLst>
        </c:ser>
        <c:dLbls>
          <c:showLegendKey val="0"/>
          <c:showVal val="0"/>
          <c:showCatName val="0"/>
          <c:showSerName val="0"/>
          <c:showPercent val="0"/>
          <c:showBubbleSize val="0"/>
        </c:dLbls>
        <c:axId val="493546496"/>
        <c:axId val="493548464"/>
      </c:scatterChart>
      <c:valAx>
        <c:axId val="493546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fr-FR" sz="1400"/>
                  <a:t>Initial soil temperature, T</a:t>
                </a:r>
                <a:r>
                  <a:rPr lang="fr-FR" sz="1400" baseline="-25000"/>
                  <a:t>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fr-FR"/>
          </a:p>
        </c:txPr>
        <c:crossAx val="493548464"/>
        <c:crosses val="autoZero"/>
        <c:crossBetween val="midCat"/>
      </c:valAx>
      <c:valAx>
        <c:axId val="493548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fr-FR" sz="1800"/>
                  <a:t>fT</a:t>
                </a:r>
                <a:r>
                  <a:rPr lang="fr-FR" sz="1800" baseline="0"/>
                  <a:t> decay rates ratio</a:t>
                </a:r>
                <a:endParaRPr lang="fr-FR" sz="1800" baseline="-25000"/>
              </a:p>
            </c:rich>
          </c:tx>
          <c:overlay val="0"/>
          <c:spPr>
            <a:noFill/>
            <a:ln>
              <a:noFill/>
            </a:ln>
            <a:effectLst/>
          </c:spPr>
          <c:txPr>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crossAx val="4935464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Fperm!$S$8</c:f>
              <c:strCache>
                <c:ptCount val="1"/>
                <c:pt idx="0">
                  <c:v>Fperm,initial</c:v>
                </c:pt>
              </c:strCache>
            </c:strRef>
          </c:tx>
          <c:spPr>
            <a:ln w="25400" cap="rnd">
              <a:noFill/>
              <a:round/>
            </a:ln>
            <a:effectLst/>
          </c:spPr>
          <c:marker>
            <c:symbol val="circle"/>
            <c:size val="5"/>
            <c:spPr>
              <a:solidFill>
                <a:schemeClr val="accent1"/>
              </a:solidFill>
              <a:ln w="9525">
                <a:solidFill>
                  <a:schemeClr val="accent1"/>
                </a:solidFill>
              </a:ln>
              <a:effectLst/>
            </c:spPr>
          </c:marker>
          <c:xVal>
            <c:numRef>
              <c:f>Fperm!$S$9:$S$95</c:f>
              <c:numCache>
                <c:formatCode>General</c:formatCode>
                <c:ptCount val="87"/>
                <c:pt idx="0">
                  <c:v>0.58612346940772631</c:v>
                </c:pt>
                <c:pt idx="1">
                  <c:v>0.7643053070020549</c:v>
                </c:pt>
                <c:pt idx="2">
                  <c:v>0.6146894905673046</c:v>
                </c:pt>
                <c:pt idx="3">
                  <c:v>0.68482173570848315</c:v>
                </c:pt>
                <c:pt idx="4">
                  <c:v>0.60256040404757438</c:v>
                </c:pt>
                <c:pt idx="5">
                  <c:v>2.6097546930186801E-7</c:v>
                </c:pt>
                <c:pt idx="6">
                  <c:v>0.98039786011086472</c:v>
                </c:pt>
                <c:pt idx="7">
                  <c:v>0.55779970969904469</c:v>
                </c:pt>
                <c:pt idx="8">
                  <c:v>0.85639478082708242</c:v>
                </c:pt>
                <c:pt idx="9">
                  <c:v>0.71637634610548129</c:v>
                </c:pt>
                <c:pt idx="10">
                  <c:v>0.76707008839453994</c:v>
                </c:pt>
                <c:pt idx="11">
                  <c:v>0.69142770629351435</c:v>
                </c:pt>
                <c:pt idx="12">
                  <c:v>0.65136702627648324</c:v>
                </c:pt>
                <c:pt idx="13">
                  <c:v>0.67773115295329578</c:v>
                </c:pt>
                <c:pt idx="14">
                  <c:v>0.74662009273730301</c:v>
                </c:pt>
                <c:pt idx="15">
                  <c:v>0.62231160777295558</c:v>
                </c:pt>
                <c:pt idx="16">
                  <c:v>0.84718496332961712</c:v>
                </c:pt>
                <c:pt idx="17">
                  <c:v>0.65061241256525448</c:v>
                </c:pt>
                <c:pt idx="18">
                  <c:v>0.83994991131040342</c:v>
                </c:pt>
                <c:pt idx="19">
                  <c:v>0.62994586650867357</c:v>
                </c:pt>
                <c:pt idx="20">
                  <c:v>0.80001673925420069</c:v>
                </c:pt>
                <c:pt idx="21">
                  <c:v>0.37069949591563611</c:v>
                </c:pt>
                <c:pt idx="22">
                  <c:v>0.78976153167491803</c:v>
                </c:pt>
                <c:pt idx="23">
                  <c:v>0.1975143635482888</c:v>
                </c:pt>
                <c:pt idx="24">
                  <c:v>0.56790236127189575</c:v>
                </c:pt>
                <c:pt idx="25">
                  <c:v>0.38735690793195959</c:v>
                </c:pt>
                <c:pt idx="26">
                  <c:v>0.58811901508866693</c:v>
                </c:pt>
                <c:pt idx="27">
                  <c:v>0.10259807408722198</c:v>
                </c:pt>
                <c:pt idx="28">
                  <c:v>0.45128654055175427</c:v>
                </c:pt>
                <c:pt idx="29">
                  <c:v>0.86076815413597529</c:v>
                </c:pt>
                <c:pt idx="30">
                  <c:v>0.72868459107722305</c:v>
                </c:pt>
                <c:pt idx="31">
                  <c:v>0.72659144311321455</c:v>
                </c:pt>
                <c:pt idx="32">
                  <c:v>0.71957957257856409</c:v>
                </c:pt>
                <c:pt idx="33">
                  <c:v>0.89867268148106161</c:v>
                </c:pt>
                <c:pt idx="34">
                  <c:v>0.85348515940612268</c:v>
                </c:pt>
                <c:pt idx="35">
                  <c:v>0.83988363187684056</c:v>
                </c:pt>
                <c:pt idx="36">
                  <c:v>0.83314179904181485</c:v>
                </c:pt>
                <c:pt idx="37">
                  <c:v>0.10872567618915359</c:v>
                </c:pt>
                <c:pt idx="38">
                  <c:v>0.28937676001054558</c:v>
                </c:pt>
                <c:pt idx="39">
                  <c:v>0.2709770816283722</c:v>
                </c:pt>
                <c:pt idx="40">
                  <c:v>0.26696260634498892</c:v>
                </c:pt>
                <c:pt idx="41">
                  <c:v>0.69296193758060798</c:v>
                </c:pt>
                <c:pt idx="42">
                  <c:v>0.75267693899656496</c:v>
                </c:pt>
                <c:pt idx="43">
                  <c:v>5.1263814145227401E-3</c:v>
                </c:pt>
                <c:pt idx="44">
                  <c:v>0.290790300095983</c:v>
                </c:pt>
                <c:pt idx="45">
                  <c:v>0.36240608682333336</c:v>
                </c:pt>
                <c:pt idx="46">
                  <c:v>0.64206587342698829</c:v>
                </c:pt>
                <c:pt idx="47">
                  <c:v>0.66209199302690025</c:v>
                </c:pt>
                <c:pt idx="48">
                  <c:v>0.76679394588495642</c:v>
                </c:pt>
                <c:pt idx="49">
                  <c:v>0.24371641215109366</c:v>
                </c:pt>
                <c:pt idx="50">
                  <c:v>7.592309254359747E-2</c:v>
                </c:pt>
                <c:pt idx="51">
                  <c:v>2.8353350439284549E-2</c:v>
                </c:pt>
                <c:pt idx="52">
                  <c:v>0.7340836717842727</c:v>
                </c:pt>
                <c:pt idx="53">
                  <c:v>0.91628907328119147</c:v>
                </c:pt>
                <c:pt idx="54">
                  <c:v>0.7154960189790367</c:v>
                </c:pt>
                <c:pt idx="55">
                  <c:v>0.91962001010552419</c:v>
                </c:pt>
                <c:pt idx="56">
                  <c:v>0.66827682372458652</c:v>
                </c:pt>
                <c:pt idx="57">
                  <c:v>0.82688020324029532</c:v>
                </c:pt>
                <c:pt idx="58">
                  <c:v>0.32893189079733615</c:v>
                </c:pt>
                <c:pt idx="59">
                  <c:v>0.41917093713715675</c:v>
                </c:pt>
                <c:pt idx="60">
                  <c:v>0.70903120736783565</c:v>
                </c:pt>
                <c:pt idx="61">
                  <c:v>0.2990864260183333</c:v>
                </c:pt>
                <c:pt idx="62">
                  <c:v>0.76656833530305546</c:v>
                </c:pt>
                <c:pt idx="63">
                  <c:v>0.88861865476426161</c:v>
                </c:pt>
                <c:pt idx="64">
                  <c:v>0.96372483986988111</c:v>
                </c:pt>
                <c:pt idx="65">
                  <c:v>0.94758065515162382</c:v>
                </c:pt>
                <c:pt idx="66">
                  <c:v>0.90096627070547675</c:v>
                </c:pt>
                <c:pt idx="67">
                  <c:v>0.84935734949582165</c:v>
                </c:pt>
                <c:pt idx="68">
                  <c:v>0.35959934418078643</c:v>
                </c:pt>
                <c:pt idx="69">
                  <c:v>0.6637469896192385</c:v>
                </c:pt>
                <c:pt idx="70">
                  <c:v>0.93000654272312189</c:v>
                </c:pt>
                <c:pt idx="71">
                  <c:v>0.50825172364992288</c:v>
                </c:pt>
                <c:pt idx="72">
                  <c:v>0.72772811889928535</c:v>
                </c:pt>
                <c:pt idx="73">
                  <c:v>0.78658183077252142</c:v>
                </c:pt>
                <c:pt idx="74">
                  <c:v>0.86526815487962383</c:v>
                </c:pt>
                <c:pt idx="75">
                  <c:v>0.50463620112270491</c:v>
                </c:pt>
                <c:pt idx="76">
                  <c:v>0.41251954326256762</c:v>
                </c:pt>
                <c:pt idx="77">
                  <c:v>0.69140818329374742</c:v>
                </c:pt>
                <c:pt idx="78">
                  <c:v>0.43806453896064423</c:v>
                </c:pt>
                <c:pt idx="79">
                  <c:v>0.64320363200035446</c:v>
                </c:pt>
                <c:pt idx="80">
                  <c:v>0.3411099485771783</c:v>
                </c:pt>
                <c:pt idx="81">
                  <c:v>0.48881430585238522</c:v>
                </c:pt>
                <c:pt idx="82">
                  <c:v>0.60368443399959926</c:v>
                </c:pt>
                <c:pt idx="83">
                  <c:v>0.61259166203895954</c:v>
                </c:pt>
                <c:pt idx="84">
                  <c:v>0.68138600416282624</c:v>
                </c:pt>
                <c:pt idx="85">
                  <c:v>0.92027755415619927</c:v>
                </c:pt>
                <c:pt idx="86">
                  <c:v>0.81747772824301868</c:v>
                </c:pt>
              </c:numCache>
            </c:numRef>
          </c:xVal>
          <c:yVal>
            <c:numRef>
              <c:f>Fperm!$R$9:$R$95</c:f>
              <c:numCache>
                <c:formatCode>0.00</c:formatCode>
                <c:ptCount val="87"/>
                <c:pt idx="0">
                  <c:v>0.6524953634955486</c:v>
                </c:pt>
                <c:pt idx="1">
                  <c:v>0.80665278977079236</c:v>
                </c:pt>
                <c:pt idx="2">
                  <c:v>0.67751188912922178</c:v>
                </c:pt>
                <c:pt idx="3">
                  <c:v>0.73898929889354836</c:v>
                </c:pt>
                <c:pt idx="4">
                  <c:v>0.66697811658504003</c:v>
                </c:pt>
                <c:pt idx="5">
                  <c:v>5.4785450110619012E-6</c:v>
                </c:pt>
                <c:pt idx="6">
                  <c:v>0.98206020362287416</c:v>
                </c:pt>
                <c:pt idx="7">
                  <c:v>0.6271150534346227</c:v>
                </c:pt>
                <c:pt idx="8">
                  <c:v>0.87977646033874091</c:v>
                </c:pt>
                <c:pt idx="9">
                  <c:v>0.76419287413610626</c:v>
                </c:pt>
                <c:pt idx="10">
                  <c:v>0.80399167326157861</c:v>
                </c:pt>
                <c:pt idx="11">
                  <c:v>0.78484072912240699</c:v>
                </c:pt>
                <c:pt idx="12">
                  <c:v>0.75742589333938204</c:v>
                </c:pt>
                <c:pt idx="13">
                  <c:v>0.73244809053464421</c:v>
                </c:pt>
                <c:pt idx="14">
                  <c:v>0.79156620886486773</c:v>
                </c:pt>
                <c:pt idx="15">
                  <c:v>0.68362483619078651</c:v>
                </c:pt>
                <c:pt idx="16">
                  <c:v>0.87557865419358538</c:v>
                </c:pt>
                <c:pt idx="17">
                  <c:v>0.70873752929285838</c:v>
                </c:pt>
                <c:pt idx="18">
                  <c:v>0.86963468218194317</c:v>
                </c:pt>
                <c:pt idx="19">
                  <c:v>0.69081912934071599</c:v>
                </c:pt>
                <c:pt idx="20">
                  <c:v>0.83657804582482698</c:v>
                </c:pt>
                <c:pt idx="21">
                  <c:v>0.5625796861122051</c:v>
                </c:pt>
                <c:pt idx="22">
                  <c:v>0.87013832526570234</c:v>
                </c:pt>
                <c:pt idx="23">
                  <c:v>0.39231912253193191</c:v>
                </c:pt>
                <c:pt idx="24">
                  <c:v>0.72124968453075633</c:v>
                </c:pt>
                <c:pt idx="25">
                  <c:v>0.57867810751509419</c:v>
                </c:pt>
                <c:pt idx="26">
                  <c:v>0.73573368117116711</c:v>
                </c:pt>
                <c:pt idx="27">
                  <c:v>0.26983966011503169</c:v>
                </c:pt>
                <c:pt idx="28">
                  <c:v>0.63256822776947697</c:v>
                </c:pt>
                <c:pt idx="29">
                  <c:v>0.88538328260643318</c:v>
                </c:pt>
                <c:pt idx="30">
                  <c:v>0.77558290497359406</c:v>
                </c:pt>
                <c:pt idx="31">
                  <c:v>0.77358437966803306</c:v>
                </c:pt>
                <c:pt idx="32">
                  <c:v>0.76720521399738772</c:v>
                </c:pt>
                <c:pt idx="33">
                  <c:v>0.91735063165187936</c:v>
                </c:pt>
                <c:pt idx="34">
                  <c:v>0.88061210483766994</c:v>
                </c:pt>
                <c:pt idx="35">
                  <c:v>0.86926595734668521</c:v>
                </c:pt>
                <c:pt idx="36">
                  <c:v>0.86321899801528557</c:v>
                </c:pt>
                <c:pt idx="37">
                  <c:v>0.13147100598490249</c:v>
                </c:pt>
                <c:pt idx="38">
                  <c:v>0.34990495949648531</c:v>
                </c:pt>
                <c:pt idx="39">
                  <c:v>0.32765666727416543</c:v>
                </c:pt>
                <c:pt idx="40">
                  <c:v>0.32280249442565928</c:v>
                </c:pt>
                <c:pt idx="41">
                  <c:v>0.74169955704725032</c:v>
                </c:pt>
                <c:pt idx="42">
                  <c:v>0.79061607857800476</c:v>
                </c:pt>
                <c:pt idx="43">
                  <c:v>2.0588052290924981E-2</c:v>
                </c:pt>
                <c:pt idx="44">
                  <c:v>0.40283104219123411</c:v>
                </c:pt>
                <c:pt idx="45">
                  <c:v>0.473515843847166</c:v>
                </c:pt>
                <c:pt idx="46">
                  <c:v>0.72139493690297862</c:v>
                </c:pt>
                <c:pt idx="47">
                  <c:v>0.73783753056501289</c:v>
                </c:pt>
                <c:pt idx="48">
                  <c:v>0.82761377181289586</c:v>
                </c:pt>
                <c:pt idx="49">
                  <c:v>0.28671187775097057</c:v>
                </c:pt>
                <c:pt idx="50">
                  <c:v>0.10201783935472329</c:v>
                </c:pt>
                <c:pt idx="51">
                  <c:v>1.4040396978795623E-2</c:v>
                </c:pt>
                <c:pt idx="52">
                  <c:v>0.79161212769009426</c:v>
                </c:pt>
                <c:pt idx="53">
                  <c:v>0.93600636923834712</c:v>
                </c:pt>
                <c:pt idx="54">
                  <c:v>0.77627806488580975</c:v>
                </c:pt>
                <c:pt idx="55">
                  <c:v>0.93853659985340843</c:v>
                </c:pt>
                <c:pt idx="56">
                  <c:v>0.73678523184773193</c:v>
                </c:pt>
                <c:pt idx="57">
                  <c:v>0.86576497932363417</c:v>
                </c:pt>
                <c:pt idx="58">
                  <c:v>0.42803190521945833</c:v>
                </c:pt>
                <c:pt idx="59">
                  <c:v>0.51470315012317447</c:v>
                </c:pt>
                <c:pt idx="60">
                  <c:v>0.77039126677246461</c:v>
                </c:pt>
                <c:pt idx="61">
                  <c:v>0.40046349588130509</c:v>
                </c:pt>
                <c:pt idx="62">
                  <c:v>0.81698896114164665</c:v>
                </c:pt>
                <c:pt idx="63">
                  <c:v>0.91979434981736641</c:v>
                </c:pt>
                <c:pt idx="64">
                  <c:v>0.97384442513682645</c:v>
                </c:pt>
                <c:pt idx="65">
                  <c:v>0.96246532033816024</c:v>
                </c:pt>
                <c:pt idx="66">
                  <c:v>0.92880740989880162</c:v>
                </c:pt>
                <c:pt idx="67">
                  <c:v>0.89102695213363881</c:v>
                </c:pt>
                <c:pt idx="68">
                  <c:v>0.52130353102548577</c:v>
                </c:pt>
                <c:pt idx="69">
                  <c:v>0.76924469687268127</c:v>
                </c:pt>
                <c:pt idx="70">
                  <c:v>0.94698582211238325</c:v>
                </c:pt>
                <c:pt idx="71">
                  <c:v>0.64803151803407144</c:v>
                </c:pt>
                <c:pt idx="72">
                  <c:v>0.81603152166542203</c:v>
                </c:pt>
                <c:pt idx="73">
                  <c:v>0.8566678159677471</c:v>
                </c:pt>
                <c:pt idx="74">
                  <c:v>0.91182725822421407</c:v>
                </c:pt>
                <c:pt idx="75">
                  <c:v>0.64776183650270769</c:v>
                </c:pt>
                <c:pt idx="76">
                  <c:v>0.57101787096125267</c:v>
                </c:pt>
                <c:pt idx="77">
                  <c:v>0.79117854833724932</c:v>
                </c:pt>
                <c:pt idx="78">
                  <c:v>0.59333640966402101</c:v>
                </c:pt>
                <c:pt idx="79">
                  <c:v>0.75570030875461236</c:v>
                </c:pt>
                <c:pt idx="80">
                  <c:v>0.50574958557416505</c:v>
                </c:pt>
                <c:pt idx="81">
                  <c:v>0.63523834720897299</c:v>
                </c:pt>
                <c:pt idx="82">
                  <c:v>0.72657351408182536</c:v>
                </c:pt>
                <c:pt idx="83">
                  <c:v>0.73111812052888914</c:v>
                </c:pt>
                <c:pt idx="84">
                  <c:v>0.78381482276159231</c:v>
                </c:pt>
                <c:pt idx="85">
                  <c:v>0.94375259139117262</c:v>
                </c:pt>
                <c:pt idx="86">
                  <c:v>0.87960583435663398</c:v>
                </c:pt>
              </c:numCache>
            </c:numRef>
          </c:yVal>
          <c:smooth val="0"/>
          <c:extLst>
            <c:ext xmlns:c16="http://schemas.microsoft.com/office/drawing/2014/chart" uri="{C3380CC4-5D6E-409C-BE32-E72D297353CC}">
              <c16:uniqueId val="{00000000-986F-40AC-883F-F08DB4BEEDD5}"/>
            </c:ext>
          </c:extLst>
        </c:ser>
        <c:ser>
          <c:idx val="1"/>
          <c:order val="1"/>
          <c:tx>
            <c:strRef>
              <c:f>'esa-analysis'!$X$6</c:f>
              <c:strCache>
                <c:ptCount val="1"/>
                <c:pt idx="0">
                  <c:v>X</c:v>
                </c:pt>
              </c:strCache>
            </c:strRef>
          </c:tx>
          <c:spPr>
            <a:ln w="19050" cap="rnd">
              <a:solidFill>
                <a:schemeClr val="accent2"/>
              </a:solidFill>
              <a:round/>
            </a:ln>
            <a:effectLst/>
          </c:spPr>
          <c:marker>
            <c:symbol val="none"/>
          </c:marker>
          <c:xVal>
            <c:numRef>
              <c:f>'esa-analysis'!$X$7:$X$8</c:f>
              <c:numCache>
                <c:formatCode>General</c:formatCode>
                <c:ptCount val="2"/>
                <c:pt idx="0">
                  <c:v>0</c:v>
                </c:pt>
                <c:pt idx="1">
                  <c:v>1</c:v>
                </c:pt>
              </c:numCache>
            </c:numRef>
          </c:xVal>
          <c:yVal>
            <c:numRef>
              <c:f>'esa-analysis'!$Y$7:$Y$8</c:f>
              <c:numCache>
                <c:formatCode>General</c:formatCode>
                <c:ptCount val="2"/>
                <c:pt idx="0">
                  <c:v>0</c:v>
                </c:pt>
                <c:pt idx="1">
                  <c:v>1</c:v>
                </c:pt>
              </c:numCache>
            </c:numRef>
          </c:yVal>
          <c:smooth val="0"/>
          <c:extLst>
            <c:ext xmlns:c16="http://schemas.microsoft.com/office/drawing/2014/chart" uri="{C3380CC4-5D6E-409C-BE32-E72D297353CC}">
              <c16:uniqueId val="{00000001-986F-40AC-883F-F08DB4BEEDD5}"/>
            </c:ext>
          </c:extLst>
        </c:ser>
        <c:dLbls>
          <c:showLegendKey val="0"/>
          <c:showVal val="0"/>
          <c:showCatName val="0"/>
          <c:showSerName val="0"/>
          <c:showPercent val="0"/>
          <c:showBubbleSize val="0"/>
        </c:dLbls>
        <c:axId val="410288768"/>
        <c:axId val="410288112"/>
      </c:scatterChart>
      <c:valAx>
        <c:axId val="410288768"/>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fr-FR" sz="1800"/>
                  <a:t>F</a:t>
                </a:r>
                <a:r>
                  <a:rPr lang="fr-FR" sz="1800" baseline="-25000"/>
                  <a:t>perm</a:t>
                </a:r>
                <a:r>
                  <a:rPr lang="fr-FR" sz="1800" baseline="0"/>
                  <a:t> experimental</a:t>
                </a:r>
                <a:endParaRPr lang="fr-FR" sz="1800"/>
              </a:p>
            </c:rich>
          </c:tx>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10288112"/>
        <c:crosses val="autoZero"/>
        <c:crossBetween val="midCat"/>
      </c:valAx>
      <c:valAx>
        <c:axId val="410288112"/>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fr-FR" sz="1600"/>
                  <a:t>F</a:t>
                </a:r>
                <a:r>
                  <a:rPr lang="fr-FR" sz="1600" baseline="-25000"/>
                  <a:t>perm</a:t>
                </a:r>
                <a:r>
                  <a:rPr lang="fr-FR" sz="1600" baseline="0"/>
                  <a:t> </a:t>
                </a:r>
                <a:r>
                  <a:rPr lang="fr-FR" sz="1600"/>
                  <a:t>recalculated at 14.9C</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fr-F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10288768"/>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rot="0" spcFirstLastPara="1" vertOverflow="ellipsis" vert="horz" wrap="square" lIns="0" tIns="0" rIns="0" bIns="0" anchor="ctr" anchorCtr="1"/>
          <a:lstStyle/>
          <a:p>
            <a:pPr algn="ctr">
              <a:defRPr/>
            </a:pPr>
            <a:r>
              <a:rPr lang="sv-SE"/>
              <a:t>Fperm difference, in %point</a:t>
            </a:r>
            <a:endParaRPr lang="ar-LB"/>
          </a:p>
        </cx:rich>
      </cx:tx>
    </cx:title>
    <cx:plotArea>
      <cx:plotAreaRegion>
        <cx:series layoutId="boxWhisker" uniqueId="{5FD72E3E-2AFA-49ED-95F7-012F8C5712C3}">
          <cx:tx>
            <cx:txData>
              <cx:f>_xlchart.v1.0</cx:f>
              <cx:v>DeltaFperm</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12</xdr:col>
      <xdr:colOff>1289780</xdr:colOff>
      <xdr:row>26</xdr:row>
      <xdr:rowOff>47233</xdr:rowOff>
    </xdr:from>
    <xdr:to>
      <xdr:col>21</xdr:col>
      <xdr:colOff>419400</xdr:colOff>
      <xdr:row>55</xdr:row>
      <xdr:rowOff>79635</xdr:rowOff>
    </xdr:to>
    <xdr:graphicFrame macro="">
      <xdr:nvGraphicFramePr>
        <xdr:cNvPr id="2" name="Chart 1">
          <a:extLst>
            <a:ext uri="{FF2B5EF4-FFF2-40B4-BE49-F238E27FC236}">
              <a16:creationId xmlns:a16="http://schemas.microsoft.com/office/drawing/2014/main" id="{994C86E4-3185-40C0-BD2A-53E9C76085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631824</xdr:colOff>
      <xdr:row>0</xdr:row>
      <xdr:rowOff>171450</xdr:rowOff>
    </xdr:from>
    <xdr:to>
      <xdr:col>20</xdr:col>
      <xdr:colOff>374649</xdr:colOff>
      <xdr:row>20</xdr:row>
      <xdr:rowOff>130175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628650</xdr:colOff>
      <xdr:row>20</xdr:row>
      <xdr:rowOff>146050</xdr:rowOff>
    </xdr:from>
    <xdr:to>
      <xdr:col>20</xdr:col>
      <xdr:colOff>371475</xdr:colOff>
      <xdr:row>40</xdr:row>
      <xdr:rowOff>104775</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224118</xdr:colOff>
      <xdr:row>1</xdr:row>
      <xdr:rowOff>33991</xdr:rowOff>
    </xdr:from>
    <xdr:to>
      <xdr:col>28</xdr:col>
      <xdr:colOff>456080</xdr:colOff>
      <xdr:row>24</xdr:row>
      <xdr:rowOff>59391</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649568</xdr:colOff>
      <xdr:row>4</xdr:row>
      <xdr:rowOff>40715</xdr:rowOff>
    </xdr:from>
    <xdr:to>
      <xdr:col>31</xdr:col>
      <xdr:colOff>328706</xdr:colOff>
      <xdr:row>19</xdr:row>
      <xdr:rowOff>118409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7786948" y="772235"/>
              <a:ext cx="1546038" cy="2820894"/>
            </a:xfrm>
            <a:prstGeom prst="rect">
              <a:avLst/>
            </a:prstGeom>
            <a:solidFill>
              <a:prstClr val="white"/>
            </a:solidFill>
            <a:ln w="1">
              <a:solidFill>
                <a:prstClr val="green"/>
              </a:solidFill>
            </a:ln>
          </xdr:spPr>
          <xdr:txBody>
            <a:bodyPr vertOverflow="clip" horzOverflow="clip"/>
            <a:lstStyle/>
            <a:p>
              <a:r>
                <a:rPr lang="fr-F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505385</xdr:colOff>
      <xdr:row>24</xdr:row>
      <xdr:rowOff>75453</xdr:rowOff>
    </xdr:from>
    <xdr:to>
      <xdr:col>29</xdr:col>
      <xdr:colOff>400422</xdr:colOff>
      <xdr:row>28</xdr:row>
      <xdr:rowOff>95998</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10366561" y="4378512"/>
          <a:ext cx="5154332" cy="7377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sv-SE" sz="1100"/>
            <a:t>The temperature correction increases</a:t>
          </a:r>
          <a:r>
            <a:rPr lang="sv-SE" sz="1100" baseline="0"/>
            <a:t> the biochar permanence (100-year stability) in the range of 4% to 10%, on average about 7%. So, if stability at experimental temperature was 70%, after temperature correction it becomes 77%. </a:t>
          </a:r>
          <a:endParaRPr lang="ar-LB"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xdr:colOff>
      <xdr:row>0</xdr:row>
      <xdr:rowOff>12700</xdr:rowOff>
    </xdr:from>
    <xdr:to>
      <xdr:col>10</xdr:col>
      <xdr:colOff>58467</xdr:colOff>
      <xdr:row>56</xdr:row>
      <xdr:rowOff>114300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12700"/>
          <a:ext cx="6637067" cy="10058400"/>
        </a:xfrm>
        <a:prstGeom prst="rect">
          <a:avLst/>
        </a:prstGeom>
      </xdr:spPr>
    </xdr:pic>
    <xdr:clientData/>
  </xdr:twoCellAnchor>
  <xdr:twoCellAnchor editAs="oneCell">
    <xdr:from>
      <xdr:col>10</xdr:col>
      <xdr:colOff>298450</xdr:colOff>
      <xdr:row>0</xdr:row>
      <xdr:rowOff>25400</xdr:rowOff>
    </xdr:from>
    <xdr:to>
      <xdr:col>21</xdr:col>
      <xdr:colOff>115647</xdr:colOff>
      <xdr:row>56</xdr:row>
      <xdr:rowOff>127000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02450" y="25400"/>
          <a:ext cx="7081597" cy="100584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lias Azzi" id="{5D64E03D-9454-4A79-B385-1F39488F0EC7}" userId="S::elias.azzi@slu.se::5cd0a805-888f-479d-b1fd-96024b49efd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8" dT="2022-04-19T13:31:58.09" personId="{5D64E03D-9454-4A79-B385-1F39488F0EC7}" id="{CC134045-1164-446C-A925-93D16948C1AC}">
    <text>Should be: Singh BP et al 2015 PlosONE</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mailto:d.woolf@cornell.ed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5"/>
  <sheetViews>
    <sheetView zoomScaleNormal="100" workbookViewId="0">
      <selection activeCell="B19" sqref="B19"/>
    </sheetView>
  </sheetViews>
  <sheetFormatPr defaultColWidth="11.5546875" defaultRowHeight="14.4" x14ac:dyDescent="0.3"/>
  <cols>
    <col min="2" max="2" width="141" customWidth="1"/>
  </cols>
  <sheetData>
    <row r="1" spans="2:2" x14ac:dyDescent="0.3">
      <c r="B1" t="s">
        <v>0</v>
      </c>
    </row>
    <row r="2" spans="2:2" x14ac:dyDescent="0.3">
      <c r="B2" t="s">
        <v>1</v>
      </c>
    </row>
    <row r="3" spans="2:2" ht="19.8" x14ac:dyDescent="0.3">
      <c r="B3" t="s">
        <v>2</v>
      </c>
    </row>
    <row r="4" spans="2:2" ht="18" x14ac:dyDescent="0.35">
      <c r="B4" t="s">
        <v>3</v>
      </c>
    </row>
    <row r="6" spans="2:2" ht="16.8" x14ac:dyDescent="0.3">
      <c r="B6" t="s">
        <v>4</v>
      </c>
    </row>
    <row r="7" spans="2:2" ht="16.8" x14ac:dyDescent="0.3">
      <c r="B7" t="s">
        <v>5</v>
      </c>
    </row>
    <row r="8" spans="2:2" ht="16.8" x14ac:dyDescent="0.3">
      <c r="B8" t="s">
        <v>6</v>
      </c>
    </row>
    <row r="9" spans="2:2" ht="16.8" x14ac:dyDescent="0.3">
      <c r="B9" t="s">
        <v>7</v>
      </c>
    </row>
    <row r="10" spans="2:2" ht="16.8" x14ac:dyDescent="0.3">
      <c r="B10" t="s">
        <v>8</v>
      </c>
    </row>
    <row r="11" spans="2:2" x14ac:dyDescent="0.3">
      <c r="B11" t="s">
        <v>9</v>
      </c>
    </row>
    <row r="13" spans="2:2" x14ac:dyDescent="0.3">
      <c r="B13" t="s">
        <v>10</v>
      </c>
    </row>
    <row r="15" spans="2:2" ht="15.6" x14ac:dyDescent="0.3">
      <c r="B15" t="s">
        <v>11</v>
      </c>
    </row>
  </sheetData>
  <hyperlinks>
    <hyperlink ref="B13" r:id="rId1" xr:uid="{00000000-0004-0000-0000-00000000000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5"/>
  <sheetViews>
    <sheetView tabSelected="1" topLeftCell="A7" zoomScale="85" zoomScaleNormal="85" workbookViewId="0">
      <selection activeCell="E29" sqref="E29"/>
    </sheetView>
  </sheetViews>
  <sheetFormatPr defaultColWidth="11.44140625" defaultRowHeight="14.4" x14ac:dyDescent="0.3"/>
  <cols>
    <col min="1" max="1" width="13.21875" style="2" customWidth="1"/>
    <col min="2" max="2" width="31" style="2" customWidth="1"/>
    <col min="3" max="3" width="20.5546875" style="2" customWidth="1"/>
    <col min="4" max="4" width="9.6640625" style="2" customWidth="1"/>
    <col min="5" max="5" width="14.77734375" style="2" customWidth="1"/>
    <col min="6" max="6" width="22.77734375" style="2" customWidth="1"/>
    <col min="7" max="8" width="17.6640625" style="3" customWidth="1"/>
    <col min="9" max="9" width="11.77734375" style="3" customWidth="1"/>
    <col min="10" max="10" width="12.109375" style="2" customWidth="1"/>
    <col min="11" max="12" width="9.6640625" style="2" customWidth="1"/>
    <col min="13" max="13" width="28.109375" style="2" customWidth="1"/>
    <col min="14" max="14" width="18.44140625" style="2" customWidth="1"/>
    <col min="15" max="17" width="11.44140625" style="3" customWidth="1"/>
    <col min="18" max="18" width="11.5546875" style="3" bestFit="1" customWidth="1"/>
    <col min="19" max="20" width="12.77734375" style="2" bestFit="1" customWidth="1"/>
    <col min="21" max="22" width="11.5546875" style="2" bestFit="1" customWidth="1"/>
    <col min="23" max="16384" width="11.44140625" style="2"/>
  </cols>
  <sheetData>
    <row r="1" spans="1:24" ht="42.45" customHeight="1" x14ac:dyDescent="0.3">
      <c r="M1" s="2" t="s">
        <v>12</v>
      </c>
      <c r="N1" s="2">
        <v>14.9</v>
      </c>
    </row>
    <row r="2" spans="1:24" x14ac:dyDescent="0.3">
      <c r="M2" s="2" t="s">
        <v>13</v>
      </c>
      <c r="N2" s="2">
        <v>100</v>
      </c>
    </row>
    <row r="3" spans="1:24" x14ac:dyDescent="0.3">
      <c r="T3" s="5" t="s">
        <v>88</v>
      </c>
    </row>
    <row r="4" spans="1:24" x14ac:dyDescent="0.3">
      <c r="T4" s="6" t="s">
        <v>90</v>
      </c>
      <c r="U4" s="2">
        <f>INTERCEPT(R9:R95,E9:E95)</f>
        <v>1.0445057944212819</v>
      </c>
      <c r="W4" s="2" t="e">
        <f t="array" ref="W4:X4">LINEST(R9:R95,E9:E95,TRUE,FALSE)</f>
        <v>#VALUE!</v>
      </c>
      <c r="X4" s="2" t="e">
        <v>#VALUE!</v>
      </c>
    </row>
    <row r="5" spans="1:24" x14ac:dyDescent="0.3">
      <c r="T5" s="6" t="s">
        <v>89</v>
      </c>
      <c r="U5" s="2">
        <f>SLOPE(R9:R95,E9:E95)</f>
        <v>-0.63507816131215233</v>
      </c>
    </row>
    <row r="6" spans="1:24" ht="16.2" customHeight="1" x14ac:dyDescent="0.3">
      <c r="M6" s="26" t="s">
        <v>14</v>
      </c>
      <c r="N6" s="26"/>
      <c r="O6" s="26"/>
      <c r="P6" s="26"/>
      <c r="Q6" s="26"/>
      <c r="R6" s="26"/>
      <c r="T6" s="6" t="s">
        <v>91</v>
      </c>
    </row>
    <row r="7" spans="1:24" ht="124.65" customHeight="1" x14ac:dyDescent="0.3">
      <c r="G7" s="26" t="s">
        <v>15</v>
      </c>
      <c r="H7" s="26"/>
      <c r="I7" s="26"/>
      <c r="J7" s="26"/>
      <c r="K7" s="26"/>
      <c r="L7" s="26"/>
      <c r="M7" s="2" t="s">
        <v>16</v>
      </c>
      <c r="N7" s="2" t="s">
        <v>17</v>
      </c>
      <c r="O7" s="27" t="s">
        <v>18</v>
      </c>
      <c r="P7" s="27"/>
      <c r="Q7" s="27"/>
      <c r="R7" s="3" t="s">
        <v>19</v>
      </c>
    </row>
    <row r="8" spans="1:24" ht="15.6" x14ac:dyDescent="0.3">
      <c r="A8" s="5" t="s">
        <v>92</v>
      </c>
      <c r="B8" s="2" t="s">
        <v>20</v>
      </c>
      <c r="C8" s="2" t="s">
        <v>21</v>
      </c>
      <c r="D8" s="2" t="s">
        <v>22</v>
      </c>
      <c r="E8" s="2" t="s">
        <v>23</v>
      </c>
      <c r="F8" s="2" t="s">
        <v>24</v>
      </c>
      <c r="G8" s="3" t="s">
        <v>25</v>
      </c>
      <c r="H8" s="3" t="s">
        <v>26</v>
      </c>
      <c r="I8" s="3" t="s">
        <v>27</v>
      </c>
      <c r="J8" s="2" t="s">
        <v>28</v>
      </c>
      <c r="K8" s="2" t="s">
        <v>29</v>
      </c>
      <c r="L8" s="2" t="s">
        <v>30</v>
      </c>
      <c r="M8" s="2" t="s">
        <v>31</v>
      </c>
      <c r="N8" s="2" t="s">
        <v>32</v>
      </c>
      <c r="O8" s="3" t="s">
        <v>33</v>
      </c>
      <c r="P8" s="3" t="s">
        <v>34</v>
      </c>
      <c r="Q8" s="3" t="s">
        <v>35</v>
      </c>
      <c r="R8" s="4" t="s">
        <v>36</v>
      </c>
      <c r="S8" s="2" t="s">
        <v>80</v>
      </c>
      <c r="T8" s="2" t="s">
        <v>81</v>
      </c>
      <c r="U8" s="2" t="s">
        <v>82</v>
      </c>
      <c r="V8" s="2">
        <f>MAX(T9:T95)</f>
        <v>0.19480475898364311</v>
      </c>
    </row>
    <row r="9" spans="1:24" s="8" customFormat="1" ht="15.6" x14ac:dyDescent="0.3">
      <c r="A9" s="20" t="s">
        <v>93</v>
      </c>
      <c r="B9" s="8" t="s">
        <v>37</v>
      </c>
      <c r="C9" s="8" t="s">
        <v>38</v>
      </c>
      <c r="D9" s="8">
        <v>580</v>
      </c>
      <c r="E9" s="8">
        <v>0.30080000000000001</v>
      </c>
      <c r="F9" s="8">
        <v>20</v>
      </c>
      <c r="G9" s="9">
        <v>1.74993792189722E-2</v>
      </c>
      <c r="H9" s="9">
        <v>0.98250062078102796</v>
      </c>
      <c r="I9" s="9">
        <v>0</v>
      </c>
      <c r="J9" s="8">
        <v>2.3417600180610002E-3</v>
      </c>
      <c r="K9" s="8">
        <v>5.4047684663689997E-3</v>
      </c>
      <c r="L9" s="8">
        <v>0</v>
      </c>
      <c r="M9" s="8">
        <f>(1.1 *(F9-$N$1) - 63.1579 * EXP(-0.19*F9) + 63.1579 *EXP(-0.19*$N$1)) / (F9-$N$1)</f>
        <v>1.553041504703383</v>
      </c>
      <c r="N9" s="8">
        <f>EXP(LN(M9)*($N$1-F9)/10)</f>
        <v>0.79890775747307319</v>
      </c>
      <c r="O9" s="9">
        <f t="shared" ref="O9:O40" si="0">J9*$N9</f>
        <v>1.8708502445692169E-3</v>
      </c>
      <c r="P9" s="9">
        <f t="shared" ref="P9:P40" si="1">K9*$N9</f>
        <v>4.3179114551280384E-3</v>
      </c>
      <c r="Q9" s="9">
        <f t="shared" ref="Q9:Q40" si="2">L9*$N9</f>
        <v>0</v>
      </c>
      <c r="R9" s="10">
        <f>G9*EXP(-O9*Fperm!$N$2) + H9*EXP(-P9*Fperm!$N$2) + I9*EXP(-Q9*Fperm!$N$2)</f>
        <v>0.6524953634955486</v>
      </c>
      <c r="S9" s="8">
        <f>G9*EXP(-J9*Fperm!$N$2) + H9*EXP(-K9*Fperm!$N$2) + I9*EXP(-L9*Fperm!$N$2)</f>
        <v>0.58612346940772631</v>
      </c>
      <c r="T9" s="8">
        <f t="shared" ref="T9:T40" si="3">R9-S9</f>
        <v>6.6371894087822292E-2</v>
      </c>
      <c r="U9" s="11">
        <f>T9/S9</f>
        <v>0.11323875864396052</v>
      </c>
    </row>
    <row r="10" spans="1:24" s="12" customFormat="1" ht="15.6" x14ac:dyDescent="0.3">
      <c r="A10" s="20" t="s">
        <v>94</v>
      </c>
      <c r="B10" s="12" t="s">
        <v>37</v>
      </c>
      <c r="C10" s="12" t="s">
        <v>38</v>
      </c>
      <c r="D10" s="12">
        <v>369</v>
      </c>
      <c r="E10" s="12">
        <v>0.73870000000000002</v>
      </c>
      <c r="F10" s="12">
        <v>20</v>
      </c>
      <c r="G10" s="9">
        <v>6.2225960222791002E-4</v>
      </c>
      <c r="H10" s="9">
        <v>0.99937774039777205</v>
      </c>
      <c r="I10" s="9">
        <v>0</v>
      </c>
      <c r="J10" s="12">
        <v>89.456114062890506</v>
      </c>
      <c r="K10" s="12">
        <v>2.681654998601E-3</v>
      </c>
      <c r="L10" s="12">
        <v>0</v>
      </c>
      <c r="M10" s="12">
        <f t="shared" ref="M10:M40" si="4">(1.1 *(F10-$N$1) - 63.1579 * EXP(-0.19*F10) + 63.1579 *EXP(-0.19*$N$1)) / (F10-$N$1)</f>
        <v>1.553041504703383</v>
      </c>
      <c r="N10" s="12">
        <f t="shared" ref="N10:N40" si="5">EXP(LN(M10)*($N$1-F10)/10)</f>
        <v>0.79890775747307319</v>
      </c>
      <c r="O10" s="9">
        <f t="shared" si="0"/>
        <v>71.467183478239306</v>
      </c>
      <c r="P10" s="9">
        <f t="shared" si="1"/>
        <v>2.142394981248782E-3</v>
      </c>
      <c r="Q10" s="9">
        <f t="shared" si="2"/>
        <v>0</v>
      </c>
      <c r="R10" s="10">
        <f>G10*EXP(-O10*Fperm!$N$2) + H10*EXP(-P10*Fperm!$N$2) + I10*EXP(-Q10*Fperm!$N$2)</f>
        <v>0.80665278977079236</v>
      </c>
      <c r="S10" s="12">
        <f>G10*EXP(-J10*Fperm!$N$2) + H10*EXP(-K10*Fperm!$N$2) + I10*EXP(-L10*Fperm!$N$2)</f>
        <v>0.7643053070020549</v>
      </c>
      <c r="T10" s="12">
        <f t="shared" si="3"/>
        <v>4.2347482768737454E-2</v>
      </c>
      <c r="U10" s="13">
        <f t="shared" ref="U10:U73" si="6">T10/S10</f>
        <v>5.5406501015730351E-2</v>
      </c>
    </row>
    <row r="11" spans="1:24" s="12" customFormat="1" ht="15.6" x14ac:dyDescent="0.3">
      <c r="A11" s="20" t="s">
        <v>95</v>
      </c>
      <c r="B11" s="12" t="s">
        <v>37</v>
      </c>
      <c r="C11" s="12" t="s">
        <v>38</v>
      </c>
      <c r="D11" s="12">
        <v>416</v>
      </c>
      <c r="E11" s="12">
        <v>0.5897</v>
      </c>
      <c r="F11" s="12">
        <v>20</v>
      </c>
      <c r="G11" s="9">
        <v>3.24774717863947E-2</v>
      </c>
      <c r="H11" s="9">
        <v>0.96752252821360496</v>
      </c>
      <c r="I11" s="9">
        <v>0</v>
      </c>
      <c r="J11" s="12">
        <v>1.0152275718734999E-2</v>
      </c>
      <c r="K11" s="12">
        <v>4.7295045307750002E-3</v>
      </c>
      <c r="L11" s="12">
        <v>0</v>
      </c>
      <c r="M11" s="12">
        <f t="shared" si="4"/>
        <v>1.553041504703383</v>
      </c>
      <c r="N11" s="12">
        <f t="shared" si="5"/>
        <v>0.79890775747307319</v>
      </c>
      <c r="O11" s="9">
        <f t="shared" si="0"/>
        <v>8.1107318277029109E-3</v>
      </c>
      <c r="P11" s="9">
        <f t="shared" si="1"/>
        <v>3.7784378586401945E-3</v>
      </c>
      <c r="Q11" s="9">
        <f t="shared" si="2"/>
        <v>0</v>
      </c>
      <c r="R11" s="10">
        <f>G11*EXP(-O11*Fperm!$N$2) + H11*EXP(-P11*Fperm!$N$2) + I11*EXP(-Q11*Fperm!$N$2)</f>
        <v>0.67751188912922178</v>
      </c>
      <c r="S11" s="12">
        <f>G11*EXP(-J11*Fperm!$N$2) + H11*EXP(-K11*Fperm!$N$2) + I11*EXP(-L11*Fperm!$N$2)</f>
        <v>0.6146894905673046</v>
      </c>
      <c r="T11" s="12">
        <f t="shared" si="3"/>
        <v>6.2822398561917181E-2</v>
      </c>
      <c r="U11" s="13">
        <f t="shared" si="6"/>
        <v>0.10220184259850873</v>
      </c>
    </row>
    <row r="12" spans="1:24" s="12" customFormat="1" ht="15.6" x14ac:dyDescent="0.3">
      <c r="A12" s="20" t="s">
        <v>96</v>
      </c>
      <c r="B12" s="12" t="s">
        <v>37</v>
      </c>
      <c r="C12" s="12" t="s">
        <v>38</v>
      </c>
      <c r="D12" s="12">
        <v>562</v>
      </c>
      <c r="E12" s="12">
        <v>0.37069999999999997</v>
      </c>
      <c r="F12" s="12">
        <v>20</v>
      </c>
      <c r="G12" s="9">
        <v>3.2498740998930797E-2</v>
      </c>
      <c r="H12" s="9">
        <v>0.96750125900106898</v>
      </c>
      <c r="I12" s="9">
        <v>0</v>
      </c>
      <c r="J12" s="12">
        <v>4.3393020469380001E-3</v>
      </c>
      <c r="K12" s="12">
        <v>3.7679016185590002E-3</v>
      </c>
      <c r="L12" s="12">
        <v>0</v>
      </c>
      <c r="M12" s="12">
        <f t="shared" si="4"/>
        <v>1.553041504703383</v>
      </c>
      <c r="N12" s="12">
        <f t="shared" si="5"/>
        <v>0.79890775747307319</v>
      </c>
      <c r="O12" s="9">
        <f t="shared" si="0"/>
        <v>3.4667020673175538E-3</v>
      </c>
      <c r="P12" s="9">
        <f t="shared" si="1"/>
        <v>3.0102058324621337E-3</v>
      </c>
      <c r="Q12" s="9">
        <f t="shared" si="2"/>
        <v>0</v>
      </c>
      <c r="R12" s="10">
        <f>G12*EXP(-O12*Fperm!$N$2) + H12*EXP(-P12*Fperm!$N$2) + I12*EXP(-Q12*Fperm!$N$2)</f>
        <v>0.73898929889354836</v>
      </c>
      <c r="S12" s="12">
        <f>G12*EXP(-J12*Fperm!$N$2) + H12*EXP(-K12*Fperm!$N$2) + I12*EXP(-L12*Fperm!$N$2)</f>
        <v>0.68482173570848315</v>
      </c>
      <c r="T12" s="12">
        <f t="shared" si="3"/>
        <v>5.4167563185065215E-2</v>
      </c>
      <c r="U12" s="13">
        <f t="shared" si="6"/>
        <v>7.9097318850468584E-2</v>
      </c>
    </row>
    <row r="13" spans="1:24" s="12" customFormat="1" ht="15.6" x14ac:dyDescent="0.3">
      <c r="A13" s="20" t="s">
        <v>97</v>
      </c>
      <c r="B13" s="12" t="s">
        <v>37</v>
      </c>
      <c r="C13" s="12" t="s">
        <v>38</v>
      </c>
      <c r="D13" s="12">
        <v>796</v>
      </c>
      <c r="E13" s="12">
        <v>0.13020000000000001</v>
      </c>
      <c r="F13" s="12">
        <v>20</v>
      </c>
      <c r="G13" s="9">
        <v>1.9999999950175099E-2</v>
      </c>
      <c r="H13" s="9">
        <v>0.98000000004982502</v>
      </c>
      <c r="I13" s="9">
        <v>0</v>
      </c>
      <c r="J13" s="12">
        <v>9.9979744262930006E-3</v>
      </c>
      <c r="K13" s="12">
        <v>4.9865286246369997E-3</v>
      </c>
      <c r="L13" s="12">
        <v>0</v>
      </c>
      <c r="M13" s="12">
        <f t="shared" si="4"/>
        <v>1.553041504703383</v>
      </c>
      <c r="N13" s="12">
        <f t="shared" si="5"/>
        <v>0.79890775747307319</v>
      </c>
      <c r="O13" s="9">
        <f t="shared" si="0"/>
        <v>7.9874593281828773E-3</v>
      </c>
      <c r="P13" s="9">
        <f t="shared" si="1"/>
        <v>3.9837764010840337E-3</v>
      </c>
      <c r="Q13" s="9">
        <f t="shared" si="2"/>
        <v>0</v>
      </c>
      <c r="R13" s="10">
        <f>G13*EXP(-O13*Fperm!$N$2) + H13*EXP(-P13*Fperm!$N$2) + I13*EXP(-Q13*Fperm!$N$2)</f>
        <v>0.66697811658504003</v>
      </c>
      <c r="S13" s="12">
        <f>G13*EXP(-J13*Fperm!$N$2) + H13*EXP(-K13*Fperm!$N$2) + I13*EXP(-L13*Fperm!$N$2)</f>
        <v>0.60256040404757438</v>
      </c>
      <c r="T13" s="12">
        <f t="shared" si="3"/>
        <v>6.4417712537465643E-2</v>
      </c>
      <c r="U13" s="13">
        <f t="shared" si="6"/>
        <v>0.106906647208733</v>
      </c>
    </row>
    <row r="14" spans="1:24" s="12" customFormat="1" ht="15.6" x14ac:dyDescent="0.3">
      <c r="A14" s="20" t="s">
        <v>98</v>
      </c>
      <c r="B14" s="12" t="s">
        <v>37</v>
      </c>
      <c r="C14" s="12" t="s">
        <v>39</v>
      </c>
      <c r="D14" s="12">
        <v>235</v>
      </c>
      <c r="E14" s="12">
        <v>1.3957999999999999</v>
      </c>
      <c r="F14" s="12">
        <v>20</v>
      </c>
      <c r="G14" s="9">
        <v>2.04579202128309E-2</v>
      </c>
      <c r="H14" s="9">
        <v>0.97954207978716901</v>
      </c>
      <c r="I14" s="9">
        <v>0</v>
      </c>
      <c r="J14" s="12">
        <v>0.92744159244390401</v>
      </c>
      <c r="K14" s="12">
        <v>0.15138169339346599</v>
      </c>
      <c r="L14" s="12">
        <v>0</v>
      </c>
      <c r="M14" s="12">
        <f t="shared" si="4"/>
        <v>1.553041504703383</v>
      </c>
      <c r="N14" s="12">
        <f t="shared" si="5"/>
        <v>0.79890775747307319</v>
      </c>
      <c r="O14" s="9">
        <f t="shared" si="0"/>
        <v>0.74094028280661528</v>
      </c>
      <c r="P14" s="9">
        <f t="shared" si="1"/>
        <v>0.12094000919145026</v>
      </c>
      <c r="Q14" s="9">
        <f t="shared" si="2"/>
        <v>0</v>
      </c>
      <c r="R14" s="10">
        <f>G14*EXP(-O14*Fperm!$N$2) + H14*EXP(-P14*Fperm!$N$2) + I14*EXP(-Q14*Fperm!$N$2)</f>
        <v>5.4785450110619012E-6</v>
      </c>
      <c r="S14" s="12">
        <f>G14*EXP(-J14*Fperm!$N$2) + H14*EXP(-K14*Fperm!$N$2) + I14*EXP(-L14*Fperm!$N$2)</f>
        <v>2.6097546930186801E-7</v>
      </c>
      <c r="T14" s="12">
        <f t="shared" si="3"/>
        <v>5.2175695417600335E-6</v>
      </c>
      <c r="U14" s="13">
        <f t="shared" si="6"/>
        <v>19.992566947834156</v>
      </c>
    </row>
    <row r="15" spans="1:24" s="12" customFormat="1" ht="15.6" x14ac:dyDescent="0.3">
      <c r="A15" s="20" t="s">
        <v>99</v>
      </c>
      <c r="B15" s="12" t="s">
        <v>37</v>
      </c>
      <c r="C15" s="12" t="s">
        <v>39</v>
      </c>
      <c r="D15" s="12">
        <v>369</v>
      </c>
      <c r="E15" s="12">
        <v>0.80510000000000004</v>
      </c>
      <c r="F15" s="12">
        <v>20</v>
      </c>
      <c r="G15" s="9">
        <v>1.13076780682242E-2</v>
      </c>
      <c r="H15" s="9">
        <v>0.98869232193177603</v>
      </c>
      <c r="I15" s="9">
        <v>0</v>
      </c>
      <c r="J15" s="12">
        <v>0.50366100718149398</v>
      </c>
      <c r="K15" s="12">
        <v>8.4247140688015906E-5</v>
      </c>
      <c r="L15" s="12">
        <v>0</v>
      </c>
      <c r="M15" s="12">
        <f t="shared" si="4"/>
        <v>1.553041504703383</v>
      </c>
      <c r="N15" s="12">
        <f t="shared" si="5"/>
        <v>0.79890775747307319</v>
      </c>
      <c r="O15" s="9">
        <f t="shared" si="0"/>
        <v>0.40237868577399677</v>
      </c>
      <c r="P15" s="9">
        <f t="shared" si="1"/>
        <v>6.7305694240581289E-5</v>
      </c>
      <c r="Q15" s="9">
        <f t="shared" si="2"/>
        <v>0</v>
      </c>
      <c r="R15" s="10">
        <f>G15*EXP(-O15*Fperm!$N$2) + H15*EXP(-P15*Fperm!$N$2) + I15*EXP(-Q15*Fperm!$N$2)</f>
        <v>0.98206020362287416</v>
      </c>
      <c r="S15" s="12">
        <f>G15*EXP(-J15*Fperm!$N$2) + H15*EXP(-K15*Fperm!$N$2) + I15*EXP(-L15*Fperm!$N$2)</f>
        <v>0.98039786011086472</v>
      </c>
      <c r="T15" s="12">
        <f t="shared" si="3"/>
        <v>1.6623435120094454E-3</v>
      </c>
      <c r="U15" s="13">
        <f t="shared" si="6"/>
        <v>1.6955805185269023E-3</v>
      </c>
    </row>
    <row r="16" spans="1:24" s="12" customFormat="1" ht="15.6" x14ac:dyDescent="0.3">
      <c r="A16" s="20" t="s">
        <v>100</v>
      </c>
      <c r="B16" s="12" t="s">
        <v>37</v>
      </c>
      <c r="C16" s="12" t="s">
        <v>39</v>
      </c>
      <c r="D16" s="12">
        <v>416</v>
      </c>
      <c r="E16" s="12">
        <v>0.5343</v>
      </c>
      <c r="F16" s="12">
        <v>20</v>
      </c>
      <c r="G16" s="9">
        <v>1.9999998103340199E-2</v>
      </c>
      <c r="H16" s="9">
        <v>0.98000000189666003</v>
      </c>
      <c r="I16" s="9">
        <v>0</v>
      </c>
      <c r="J16" s="12">
        <v>1.0385300373417001E-2</v>
      </c>
      <c r="K16" s="12">
        <v>5.7632566511930002E-3</v>
      </c>
      <c r="L16" s="12">
        <v>0</v>
      </c>
      <c r="M16" s="12">
        <f t="shared" si="4"/>
        <v>1.553041504703383</v>
      </c>
      <c r="N16" s="12">
        <f t="shared" si="5"/>
        <v>0.79890775747307319</v>
      </c>
      <c r="O16" s="9">
        <f t="shared" si="0"/>
        <v>8.2968970320108446E-3</v>
      </c>
      <c r="P16" s="9">
        <f t="shared" si="1"/>
        <v>4.6043104469463735E-3</v>
      </c>
      <c r="Q16" s="9">
        <f t="shared" si="2"/>
        <v>0</v>
      </c>
      <c r="R16" s="10">
        <f>G16*EXP(-O16*Fperm!$N$2) + H16*EXP(-P16*Fperm!$N$2) + I16*EXP(-Q16*Fperm!$N$2)</f>
        <v>0.6271150534346227</v>
      </c>
      <c r="S16" s="12">
        <f>G16*EXP(-J16*Fperm!$N$2) + H16*EXP(-K16*Fperm!$N$2) + I16*EXP(-L16*Fperm!$N$2)</f>
        <v>0.55779970969904469</v>
      </c>
      <c r="T16" s="12">
        <f t="shared" si="3"/>
        <v>6.9315343735578017E-2</v>
      </c>
      <c r="U16" s="13">
        <f t="shared" si="6"/>
        <v>0.12426565043028873</v>
      </c>
    </row>
    <row r="17" spans="1:21" s="12" customFormat="1" ht="15.6" x14ac:dyDescent="0.3">
      <c r="A17" s="20" t="s">
        <v>101</v>
      </c>
      <c r="B17" s="12" t="s">
        <v>37</v>
      </c>
      <c r="C17" s="12" t="s">
        <v>39</v>
      </c>
      <c r="D17" s="12">
        <v>503</v>
      </c>
      <c r="E17" s="12">
        <v>0.44340000000000002</v>
      </c>
      <c r="F17" s="12">
        <v>20</v>
      </c>
      <c r="G17" s="9">
        <v>2.08529058135319E-2</v>
      </c>
      <c r="H17" s="9">
        <v>0.97914709418646795</v>
      </c>
      <c r="I17" s="9">
        <v>0</v>
      </c>
      <c r="J17" s="12">
        <v>0.221632063308285</v>
      </c>
      <c r="K17" s="12">
        <v>1.3395041829419999E-3</v>
      </c>
      <c r="L17" s="12">
        <v>0</v>
      </c>
      <c r="M17" s="12">
        <f t="shared" si="4"/>
        <v>1.553041504703383</v>
      </c>
      <c r="N17" s="12">
        <f t="shared" si="5"/>
        <v>0.79890775747307319</v>
      </c>
      <c r="O17" s="9">
        <f t="shared" si="0"/>
        <v>0.17706357468175216</v>
      </c>
      <c r="P17" s="9">
        <f t="shared" si="1"/>
        <v>1.0701402829199943E-3</v>
      </c>
      <c r="Q17" s="9">
        <f t="shared" si="2"/>
        <v>0</v>
      </c>
      <c r="R17" s="10">
        <f>G17*EXP(-O17*Fperm!$N$2) + H17*EXP(-P17*Fperm!$N$2) + I17*EXP(-Q17*Fperm!$N$2)</f>
        <v>0.87977646033874091</v>
      </c>
      <c r="S17" s="12">
        <f>G17*EXP(-J17*Fperm!$N$2) + H17*EXP(-K17*Fperm!$N$2) + I17*EXP(-L17*Fperm!$N$2)</f>
        <v>0.85639478082708242</v>
      </c>
      <c r="T17" s="12">
        <f t="shared" si="3"/>
        <v>2.3381679511658482E-2</v>
      </c>
      <c r="U17" s="13">
        <f t="shared" si="6"/>
        <v>2.7302454469744785E-2</v>
      </c>
    </row>
    <row r="18" spans="1:21" s="12" customFormat="1" ht="15.6" x14ac:dyDescent="0.3">
      <c r="A18" s="20" t="s">
        <v>102</v>
      </c>
      <c r="B18" s="12" t="s">
        <v>37</v>
      </c>
      <c r="C18" s="12" t="s">
        <v>39</v>
      </c>
      <c r="D18" s="12">
        <v>600</v>
      </c>
      <c r="E18" s="12">
        <v>0.33150000000000002</v>
      </c>
      <c r="F18" s="12">
        <v>20</v>
      </c>
      <c r="G18" s="9">
        <v>4.9999999543210598E-2</v>
      </c>
      <c r="H18" s="9">
        <v>0.95000000045678901</v>
      </c>
      <c r="I18" s="9">
        <v>0</v>
      </c>
      <c r="J18" s="12">
        <v>1.3675160569289999E-2</v>
      </c>
      <c r="K18" s="12">
        <v>3.0019597654440001E-3</v>
      </c>
      <c r="L18" s="12">
        <v>0</v>
      </c>
      <c r="M18" s="12">
        <f t="shared" si="4"/>
        <v>1.553041504703383</v>
      </c>
      <c r="N18" s="12">
        <f t="shared" si="5"/>
        <v>0.79890775747307319</v>
      </c>
      <c r="O18" s="9">
        <f t="shared" si="0"/>
        <v>1.0925191863495668E-2</v>
      </c>
      <c r="P18" s="9">
        <f t="shared" si="1"/>
        <v>2.3982889442352587E-3</v>
      </c>
      <c r="Q18" s="9">
        <f t="shared" si="2"/>
        <v>0</v>
      </c>
      <c r="R18" s="10">
        <f>G18*EXP(-O18*Fperm!$N$2) + H18*EXP(-P18*Fperm!$N$2) + I18*EXP(-Q18*Fperm!$N$2)</f>
        <v>0.76419287413610626</v>
      </c>
      <c r="S18" s="12">
        <f>G18*EXP(-J18*Fperm!$N$2) + H18*EXP(-K18*Fperm!$N$2) + I18*EXP(-L18*Fperm!$N$2)</f>
        <v>0.71637634610548129</v>
      </c>
      <c r="T18" s="12">
        <f t="shared" si="3"/>
        <v>4.7816528030624972E-2</v>
      </c>
      <c r="U18" s="13">
        <f t="shared" si="6"/>
        <v>6.6747776208099879E-2</v>
      </c>
    </row>
    <row r="19" spans="1:21" s="12" customFormat="1" ht="15.6" x14ac:dyDescent="0.3">
      <c r="A19" s="20" t="s">
        <v>103</v>
      </c>
      <c r="B19" s="12" t="s">
        <v>37</v>
      </c>
      <c r="C19" s="12" t="s">
        <v>39</v>
      </c>
      <c r="D19" s="12">
        <v>682</v>
      </c>
      <c r="E19" s="12">
        <v>0.2364</v>
      </c>
      <c r="F19" s="12">
        <v>20</v>
      </c>
      <c r="G19" s="9">
        <v>3.0928574684313901E-2</v>
      </c>
      <c r="H19" s="9">
        <v>0.96907142531568602</v>
      </c>
      <c r="I19" s="9">
        <v>0</v>
      </c>
      <c r="J19" s="12">
        <v>0.115826286282923</v>
      </c>
      <c r="K19" s="12">
        <v>2.3376051846000002E-3</v>
      </c>
      <c r="L19" s="12">
        <v>0</v>
      </c>
      <c r="M19" s="12">
        <f t="shared" si="4"/>
        <v>1.553041504703383</v>
      </c>
      <c r="N19" s="12">
        <f t="shared" si="5"/>
        <v>0.79890775747307319</v>
      </c>
      <c r="O19" s="9">
        <f t="shared" si="0"/>
        <v>9.2534518630724191E-2</v>
      </c>
      <c r="P19" s="9">
        <f t="shared" si="1"/>
        <v>1.8675309158862155E-3</v>
      </c>
      <c r="Q19" s="9">
        <f t="shared" si="2"/>
        <v>0</v>
      </c>
      <c r="R19" s="10">
        <f>G19*EXP(-O19*Fperm!$N$2) + H19*EXP(-P19*Fperm!$N$2) + I19*EXP(-Q19*Fperm!$N$2)</f>
        <v>0.80399167326157861</v>
      </c>
      <c r="S19" s="12">
        <f>G19*EXP(-J19*Fperm!$N$2) + H19*EXP(-K19*Fperm!$N$2) + I19*EXP(-L19*Fperm!$N$2)</f>
        <v>0.76707008839453994</v>
      </c>
      <c r="T19" s="12">
        <f t="shared" si="3"/>
        <v>3.692158486703867E-2</v>
      </c>
      <c r="U19" s="13">
        <f t="shared" si="6"/>
        <v>4.8133261126521956E-2</v>
      </c>
    </row>
    <row r="20" spans="1:21" s="14" customFormat="1" x14ac:dyDescent="0.3">
      <c r="A20" s="20" t="s">
        <v>104</v>
      </c>
      <c r="B20" s="14" t="s">
        <v>40</v>
      </c>
      <c r="C20" s="14" t="s">
        <v>41</v>
      </c>
      <c r="D20" s="14">
        <v>500</v>
      </c>
      <c r="E20" s="14">
        <v>0.26</v>
      </c>
      <c r="F20" s="14">
        <v>30</v>
      </c>
      <c r="G20" s="9">
        <v>7.8600000000000007E-3</v>
      </c>
      <c r="H20" s="9">
        <v>0.99125300000000005</v>
      </c>
      <c r="I20" s="9">
        <v>0</v>
      </c>
      <c r="J20" s="14">
        <v>1.3505</v>
      </c>
      <c r="K20" s="14">
        <v>3.6021120000000002E-3</v>
      </c>
      <c r="L20" s="14">
        <v>0</v>
      </c>
      <c r="M20" s="14">
        <f t="shared" si="4"/>
        <v>1.3325879797374403</v>
      </c>
      <c r="N20" s="14">
        <f t="shared" si="5"/>
        <v>0.64820026436440326</v>
      </c>
      <c r="O20" s="9">
        <f t="shared" si="0"/>
        <v>0.87539445702412666</v>
      </c>
      <c r="P20" s="9">
        <f t="shared" si="1"/>
        <v>2.3348899506701894E-3</v>
      </c>
      <c r="Q20" s="9">
        <f t="shared" si="2"/>
        <v>0</v>
      </c>
      <c r="R20" s="10">
        <f>G20*EXP(-O20*Fperm!$N$2) + H20*EXP(-P20*Fperm!$N$2) + I20*EXP(-Q20*Fperm!$N$2)</f>
        <v>0.78484072912240699</v>
      </c>
      <c r="S20" s="14">
        <f>G20*EXP(-J20*Fperm!$N$2) + H20*EXP(-K20*Fperm!$N$2) + I20*EXP(-L20*Fperm!$N$2)</f>
        <v>0.69142770629351435</v>
      </c>
      <c r="T20" s="14">
        <f t="shared" si="3"/>
        <v>9.3413022828892633E-2</v>
      </c>
      <c r="U20" s="15">
        <f t="shared" si="6"/>
        <v>0.13510164834100294</v>
      </c>
    </row>
    <row r="21" spans="1:21" s="14" customFormat="1" x14ac:dyDescent="0.3">
      <c r="A21" s="20" t="s">
        <v>105</v>
      </c>
      <c r="B21" s="14" t="s">
        <v>40</v>
      </c>
      <c r="C21" s="14" t="s">
        <v>41</v>
      </c>
      <c r="D21" s="14">
        <v>500</v>
      </c>
      <c r="E21" s="14">
        <v>0.26</v>
      </c>
      <c r="F21" s="14">
        <v>30</v>
      </c>
      <c r="G21" s="9">
        <v>0.444801</v>
      </c>
      <c r="H21" s="9">
        <v>0.55531900000000001</v>
      </c>
      <c r="I21" s="9">
        <v>0</v>
      </c>
      <c r="J21" s="14">
        <v>4.28802E-3</v>
      </c>
      <c r="K21" s="14">
        <v>4.28802E-3</v>
      </c>
      <c r="L21" s="14">
        <v>0</v>
      </c>
      <c r="M21" s="14">
        <f t="shared" si="4"/>
        <v>1.3325879797374403</v>
      </c>
      <c r="N21" s="14">
        <f t="shared" si="5"/>
        <v>0.64820026436440326</v>
      </c>
      <c r="O21" s="9">
        <f t="shared" si="0"/>
        <v>2.7794956975998484E-3</v>
      </c>
      <c r="P21" s="9">
        <f t="shared" si="1"/>
        <v>2.7794956975998484E-3</v>
      </c>
      <c r="Q21" s="9">
        <f t="shared" si="2"/>
        <v>0</v>
      </c>
      <c r="R21" s="10">
        <f>G21*EXP(-O21*Fperm!$N$2) + H21*EXP(-P21*Fperm!$N$2) + I21*EXP(-Q21*Fperm!$N$2)</f>
        <v>0.75742589333938204</v>
      </c>
      <c r="S21" s="14">
        <f>G21*EXP(-J21*Fperm!$N$2) + H21*EXP(-K21*Fperm!$N$2) + I21*EXP(-L21*Fperm!$N$2)</f>
        <v>0.65136702627648324</v>
      </c>
      <c r="T21" s="14">
        <f t="shared" si="3"/>
        <v>0.1060588670628988</v>
      </c>
      <c r="U21" s="15">
        <f t="shared" si="6"/>
        <v>0.16282504760669356</v>
      </c>
    </row>
    <row r="22" spans="1:21" s="14" customFormat="1" x14ac:dyDescent="0.3">
      <c r="A22" s="7" t="s">
        <v>106</v>
      </c>
      <c r="B22" s="14" t="s">
        <v>42</v>
      </c>
      <c r="C22" s="14" t="s">
        <v>43</v>
      </c>
      <c r="D22" s="14">
        <v>450</v>
      </c>
      <c r="E22" s="14">
        <v>0.60355479439668303</v>
      </c>
      <c r="F22" s="14">
        <v>20</v>
      </c>
      <c r="G22" s="9">
        <v>2.8999999999999998E-3</v>
      </c>
      <c r="H22" s="9">
        <v>0.99709999999999999</v>
      </c>
      <c r="I22" s="9">
        <v>0</v>
      </c>
      <c r="J22" s="14">
        <v>28.076923076923102</v>
      </c>
      <c r="K22" s="14">
        <v>3.8610038610039999E-3</v>
      </c>
      <c r="L22" s="14">
        <v>0</v>
      </c>
      <c r="M22" s="14">
        <f t="shared" si="4"/>
        <v>1.553041504703383</v>
      </c>
      <c r="N22" s="14">
        <f t="shared" si="5"/>
        <v>0.79890775747307319</v>
      </c>
      <c r="O22" s="9">
        <f t="shared" si="0"/>
        <v>22.430871652128612</v>
      </c>
      <c r="P22" s="9">
        <f t="shared" si="1"/>
        <v>3.0845859361895828E-3</v>
      </c>
      <c r="Q22" s="9">
        <f t="shared" si="2"/>
        <v>0</v>
      </c>
      <c r="R22" s="10">
        <f>G22*EXP(-O22*Fperm!$N$2) + H22*EXP(-P22*Fperm!$N$2) + I22*EXP(-Q22*Fperm!$N$2)</f>
        <v>0.73244809053464421</v>
      </c>
      <c r="S22" s="14">
        <f>G22*EXP(-J22*Fperm!$N$2) + H22*EXP(-K22*Fperm!$N$2) + I22*EXP(-L22*Fperm!$N$2)</f>
        <v>0.67773115295329578</v>
      </c>
      <c r="T22" s="14">
        <f t="shared" si="3"/>
        <v>5.4716937581348435E-2</v>
      </c>
      <c r="U22" s="15">
        <f t="shared" si="6"/>
        <v>8.0735461757826449E-2</v>
      </c>
    </row>
    <row r="23" spans="1:21" s="14" customFormat="1" x14ac:dyDescent="0.3">
      <c r="A23" s="7" t="s">
        <v>107</v>
      </c>
      <c r="B23" s="14" t="s">
        <v>42</v>
      </c>
      <c r="C23" s="14" t="s">
        <v>44</v>
      </c>
      <c r="D23" s="14">
        <v>550</v>
      </c>
      <c r="E23" s="14">
        <v>0.48025943147781502</v>
      </c>
      <c r="F23" s="14">
        <v>20</v>
      </c>
      <c r="G23" s="9">
        <v>1.5E-3</v>
      </c>
      <c r="H23" s="9">
        <v>0.99850000000000005</v>
      </c>
      <c r="I23" s="9">
        <v>0</v>
      </c>
      <c r="J23" s="14">
        <v>15.2083333333333</v>
      </c>
      <c r="K23" s="14">
        <v>2.9069767441860001E-3</v>
      </c>
      <c r="L23" s="14">
        <v>0</v>
      </c>
      <c r="M23" s="14">
        <f t="shared" si="4"/>
        <v>1.553041504703383</v>
      </c>
      <c r="N23" s="14">
        <f t="shared" si="5"/>
        <v>0.79890775747307319</v>
      </c>
      <c r="O23" s="9">
        <f t="shared" si="0"/>
        <v>12.150055478236295</v>
      </c>
      <c r="P23" s="9">
        <f t="shared" si="1"/>
        <v>2.322406271724013E-3</v>
      </c>
      <c r="Q23" s="9">
        <f t="shared" si="2"/>
        <v>0</v>
      </c>
      <c r="R23" s="10">
        <f>G23*EXP(-O23*Fperm!$N$2) + H23*EXP(-P23*Fperm!$N$2) + I23*EXP(-Q23*Fperm!$N$2)</f>
        <v>0.79156620886486773</v>
      </c>
      <c r="S23" s="14">
        <f>G23*EXP(-J23*Fperm!$N$2) + H23*EXP(-K23*Fperm!$N$2) + I23*EXP(-L23*Fperm!$N$2)</f>
        <v>0.74662009273730301</v>
      </c>
      <c r="T23" s="14">
        <f t="shared" si="3"/>
        <v>4.4946116127564717E-2</v>
      </c>
      <c r="U23" s="15">
        <f t="shared" si="6"/>
        <v>6.0199446230787323E-2</v>
      </c>
    </row>
    <row r="24" spans="1:21" s="14" customFormat="1" x14ac:dyDescent="0.3">
      <c r="A24" s="7" t="s">
        <v>108</v>
      </c>
      <c r="B24" s="14" t="s">
        <v>42</v>
      </c>
      <c r="C24" s="14" t="s">
        <v>43</v>
      </c>
      <c r="D24" s="14">
        <v>450</v>
      </c>
      <c r="E24" s="14">
        <v>0.60355479439668303</v>
      </c>
      <c r="F24" s="14">
        <v>20</v>
      </c>
      <c r="G24" s="9">
        <v>7.0000000000000001E-3</v>
      </c>
      <c r="H24" s="9">
        <v>0.99299999999999999</v>
      </c>
      <c r="I24" s="9">
        <v>0</v>
      </c>
      <c r="J24" s="14">
        <v>3.4112149532710299</v>
      </c>
      <c r="K24" s="14">
        <v>4.6728971962620002E-3</v>
      </c>
      <c r="L24" s="14">
        <v>0</v>
      </c>
      <c r="M24" s="14">
        <f t="shared" si="4"/>
        <v>1.553041504703383</v>
      </c>
      <c r="N24" s="14">
        <f t="shared" si="5"/>
        <v>0.79890775747307319</v>
      </c>
      <c r="O24" s="9">
        <f t="shared" si="0"/>
        <v>2.7252460885763727</v>
      </c>
      <c r="P24" s="9">
        <f t="shared" si="1"/>
        <v>3.7332138199678857E-3</v>
      </c>
      <c r="Q24" s="9">
        <f t="shared" si="2"/>
        <v>0</v>
      </c>
      <c r="R24" s="10">
        <f>G24*EXP(-O24*Fperm!$N$2) + H24*EXP(-P24*Fperm!$N$2) + I24*EXP(-Q24*Fperm!$N$2)</f>
        <v>0.68362483619078651</v>
      </c>
      <c r="S24" s="14">
        <f>G24*EXP(-J24*Fperm!$N$2) + H24*EXP(-K24*Fperm!$N$2) + I24*EXP(-L24*Fperm!$N$2)</f>
        <v>0.62231160777295558</v>
      </c>
      <c r="T24" s="14">
        <f t="shared" si="3"/>
        <v>6.1313228417830934E-2</v>
      </c>
      <c r="U24" s="15">
        <f t="shared" si="6"/>
        <v>9.8524963462035375E-2</v>
      </c>
    </row>
    <row r="25" spans="1:21" s="14" customFormat="1" x14ac:dyDescent="0.3">
      <c r="A25" s="7" t="s">
        <v>109</v>
      </c>
      <c r="B25" s="14" t="s">
        <v>42</v>
      </c>
      <c r="C25" s="14" t="s">
        <v>44</v>
      </c>
      <c r="D25" s="14">
        <v>550</v>
      </c>
      <c r="E25" s="14">
        <v>0.48025943147781502</v>
      </c>
      <c r="F25" s="14">
        <v>20</v>
      </c>
      <c r="G25" s="9">
        <v>1.9E-3</v>
      </c>
      <c r="H25" s="9">
        <v>0.99809999999999999</v>
      </c>
      <c r="I25" s="9">
        <v>0</v>
      </c>
      <c r="J25" s="14">
        <v>7.4489795918367401</v>
      </c>
      <c r="K25" s="14">
        <v>1.639344262295E-3</v>
      </c>
      <c r="L25" s="14">
        <v>0</v>
      </c>
      <c r="M25" s="14">
        <f t="shared" si="4"/>
        <v>1.553041504703383</v>
      </c>
      <c r="N25" s="14">
        <f t="shared" si="5"/>
        <v>0.79890775747307319</v>
      </c>
      <c r="O25" s="9">
        <f t="shared" si="0"/>
        <v>5.9510475811769776</v>
      </c>
      <c r="P25" s="9">
        <f t="shared" si="1"/>
        <v>1.3096848483164479E-3</v>
      </c>
      <c r="Q25" s="9">
        <f t="shared" si="2"/>
        <v>0</v>
      </c>
      <c r="R25" s="10">
        <f>G25*EXP(-O25*Fperm!$N$2) + H25*EXP(-P25*Fperm!$N$2) + I25*EXP(-Q25*Fperm!$N$2)</f>
        <v>0.87557865419358538</v>
      </c>
      <c r="S25" s="14">
        <f>G25*EXP(-J25*Fperm!$N$2) + H25*EXP(-K25*Fperm!$N$2) + I25*EXP(-L25*Fperm!$N$2)</f>
        <v>0.84718496332961712</v>
      </c>
      <c r="T25" s="14">
        <f t="shared" si="3"/>
        <v>2.8393690863968257E-2</v>
      </c>
      <c r="U25" s="15">
        <f t="shared" si="6"/>
        <v>3.3515338554139358E-2</v>
      </c>
    </row>
    <row r="26" spans="1:21" s="14" customFormat="1" x14ac:dyDescent="0.3">
      <c r="A26" s="7" t="s">
        <v>110</v>
      </c>
      <c r="B26" s="14" t="s">
        <v>42</v>
      </c>
      <c r="C26" s="14" t="s">
        <v>43</v>
      </c>
      <c r="D26" s="14">
        <v>450</v>
      </c>
      <c r="E26" s="14">
        <v>0.60355479439668303</v>
      </c>
      <c r="F26" s="14">
        <v>20</v>
      </c>
      <c r="G26" s="9">
        <v>4.3E-3</v>
      </c>
      <c r="H26" s="9">
        <v>0.99570000000000003</v>
      </c>
      <c r="I26" s="9">
        <v>0</v>
      </c>
      <c r="J26" s="14">
        <v>15.2083333333333</v>
      </c>
      <c r="K26" s="14">
        <v>4.2553191489360003E-3</v>
      </c>
      <c r="L26" s="14">
        <v>0</v>
      </c>
      <c r="M26" s="14">
        <f t="shared" si="4"/>
        <v>1.553041504703383</v>
      </c>
      <c r="N26" s="14">
        <f t="shared" si="5"/>
        <v>0.79890775747307319</v>
      </c>
      <c r="O26" s="9">
        <f t="shared" si="0"/>
        <v>12.150055478236295</v>
      </c>
      <c r="P26" s="9">
        <f t="shared" si="1"/>
        <v>3.3996074786086863E-3</v>
      </c>
      <c r="Q26" s="9">
        <f t="shared" si="2"/>
        <v>0</v>
      </c>
      <c r="R26" s="10">
        <f>G26*EXP(-O26*Fperm!$N$2) + H26*EXP(-P26*Fperm!$N$2) + I26*EXP(-Q26*Fperm!$N$2)</f>
        <v>0.70873752929285838</v>
      </c>
      <c r="S26" s="14">
        <f>G26*EXP(-J26*Fperm!$N$2) + H26*EXP(-K26*Fperm!$N$2) + I26*EXP(-L26*Fperm!$N$2)</f>
        <v>0.65061241256525448</v>
      </c>
      <c r="T26" s="14">
        <f t="shared" si="3"/>
        <v>5.8125116727603898E-2</v>
      </c>
      <c r="U26" s="15">
        <f t="shared" si="6"/>
        <v>8.9339083615737377E-2</v>
      </c>
    </row>
    <row r="27" spans="1:21" s="14" customFormat="1" x14ac:dyDescent="0.3">
      <c r="A27" s="7" t="s">
        <v>111</v>
      </c>
      <c r="B27" s="14" t="s">
        <v>42</v>
      </c>
      <c r="C27" s="14" t="s">
        <v>44</v>
      </c>
      <c r="D27" s="14">
        <v>550</v>
      </c>
      <c r="E27" s="14">
        <v>0.48025943147781502</v>
      </c>
      <c r="F27" s="14">
        <v>20</v>
      </c>
      <c r="G27" s="9">
        <v>1.6999999999999999E-3</v>
      </c>
      <c r="H27" s="9">
        <v>0.99829999999999997</v>
      </c>
      <c r="I27" s="9">
        <v>0</v>
      </c>
      <c r="J27" s="14">
        <v>33.181818181818201</v>
      </c>
      <c r="K27" s="14">
        <v>1.727115716753E-3</v>
      </c>
      <c r="L27" s="14">
        <v>0</v>
      </c>
      <c r="M27" s="14">
        <f t="shared" si="4"/>
        <v>1.553041504703383</v>
      </c>
      <c r="N27" s="14">
        <f t="shared" si="5"/>
        <v>0.79890775747307319</v>
      </c>
      <c r="O27" s="9">
        <f t="shared" si="0"/>
        <v>26.509211952515624</v>
      </c>
      <c r="P27" s="9">
        <f t="shared" si="1"/>
        <v>1.3798061441676387E-3</v>
      </c>
      <c r="Q27" s="9">
        <f t="shared" si="2"/>
        <v>0</v>
      </c>
      <c r="R27" s="10">
        <f>G27*EXP(-O27*Fperm!$N$2) + H27*EXP(-P27*Fperm!$N$2) + I27*EXP(-Q27*Fperm!$N$2)</f>
        <v>0.86963468218194317</v>
      </c>
      <c r="S27" s="14">
        <f>G27*EXP(-J27*Fperm!$N$2) + H27*EXP(-K27*Fperm!$N$2) + I27*EXP(-L27*Fperm!$N$2)</f>
        <v>0.83994991131040342</v>
      </c>
      <c r="T27" s="14">
        <f t="shared" si="3"/>
        <v>2.9684770871539756E-2</v>
      </c>
      <c r="U27" s="15">
        <f t="shared" si="6"/>
        <v>3.534112031183935E-2</v>
      </c>
    </row>
    <row r="28" spans="1:21" s="14" customFormat="1" x14ac:dyDescent="0.3">
      <c r="A28" s="7" t="s">
        <v>112</v>
      </c>
      <c r="B28" s="14" t="s">
        <v>42</v>
      </c>
      <c r="C28" s="14" t="s">
        <v>43</v>
      </c>
      <c r="D28" s="14">
        <v>450</v>
      </c>
      <c r="E28" s="14">
        <v>0.60355479439668303</v>
      </c>
      <c r="F28" s="14">
        <v>20</v>
      </c>
      <c r="G28" s="9">
        <v>3.3999999999999998E-3</v>
      </c>
      <c r="H28" s="9">
        <v>0.99660000000000004</v>
      </c>
      <c r="I28" s="9">
        <v>0</v>
      </c>
      <c r="J28" s="14">
        <v>14.038461538461499</v>
      </c>
      <c r="K28" s="14">
        <v>4.5871559633029997E-3</v>
      </c>
      <c r="L28" s="14">
        <v>0</v>
      </c>
      <c r="M28" s="14">
        <f t="shared" si="4"/>
        <v>1.553041504703383</v>
      </c>
      <c r="N28" s="14">
        <f t="shared" si="5"/>
        <v>0.79890775747307319</v>
      </c>
      <c r="O28" s="9">
        <f t="shared" si="0"/>
        <v>11.215435826064265</v>
      </c>
      <c r="P28" s="9">
        <f t="shared" si="1"/>
        <v>3.6647144838216341E-3</v>
      </c>
      <c r="Q28" s="9">
        <f t="shared" si="2"/>
        <v>0</v>
      </c>
      <c r="R28" s="10">
        <f>G28*EXP(-O28*Fperm!$N$2) + H28*EXP(-P28*Fperm!$N$2) + I28*EXP(-Q28*Fperm!$N$2)</f>
        <v>0.69081912934071599</v>
      </c>
      <c r="S28" s="14">
        <f>G28*EXP(-J28*Fperm!$N$2) + H28*EXP(-K28*Fperm!$N$2) + I28*EXP(-L28*Fperm!$N$2)</f>
        <v>0.62994586650867357</v>
      </c>
      <c r="T28" s="14">
        <f t="shared" si="3"/>
        <v>6.0873262832042419E-2</v>
      </c>
      <c r="U28" s="15">
        <f t="shared" si="6"/>
        <v>9.6632529981374629E-2</v>
      </c>
    </row>
    <row r="29" spans="1:21" s="14" customFormat="1" x14ac:dyDescent="0.3">
      <c r="A29" s="7" t="s">
        <v>113</v>
      </c>
      <c r="B29" s="14" t="s">
        <v>42</v>
      </c>
      <c r="C29" s="14" t="s">
        <v>44</v>
      </c>
      <c r="D29" s="14">
        <v>550</v>
      </c>
      <c r="E29" s="14">
        <v>0.48025943147781502</v>
      </c>
      <c r="F29" s="14">
        <v>20</v>
      </c>
      <c r="G29" s="9">
        <v>8.9999999999999998E-4</v>
      </c>
      <c r="H29" s="9">
        <v>0.99909999999999999</v>
      </c>
      <c r="I29" s="9">
        <v>0</v>
      </c>
      <c r="J29" s="14">
        <v>73</v>
      </c>
      <c r="K29" s="14">
        <v>2.2222222222220002E-3</v>
      </c>
      <c r="L29" s="14">
        <v>0</v>
      </c>
      <c r="M29" s="14">
        <f t="shared" si="4"/>
        <v>1.553041504703383</v>
      </c>
      <c r="N29" s="14">
        <f t="shared" si="5"/>
        <v>0.79890775747307319</v>
      </c>
      <c r="O29" s="9">
        <f t="shared" si="0"/>
        <v>58.320266295534346</v>
      </c>
      <c r="P29" s="9">
        <f t="shared" si="1"/>
        <v>1.7753505721622076E-3</v>
      </c>
      <c r="Q29" s="9">
        <f t="shared" si="2"/>
        <v>0</v>
      </c>
      <c r="R29" s="10">
        <f>G29*EXP(-O29*Fperm!$N$2) + H29*EXP(-P29*Fperm!$N$2) + I29*EXP(-Q29*Fperm!$N$2)</f>
        <v>0.83657804582482698</v>
      </c>
      <c r="S29" s="14">
        <f>G29*EXP(-J29*Fperm!$N$2) + H29*EXP(-K29*Fperm!$N$2) + I29*EXP(-L29*Fperm!$N$2)</f>
        <v>0.80001673925420069</v>
      </c>
      <c r="T29" s="14">
        <f t="shared" si="3"/>
        <v>3.6561306570626284E-2</v>
      </c>
      <c r="U29" s="15">
        <f t="shared" si="6"/>
        <v>4.5700676969221692E-2</v>
      </c>
    </row>
    <row r="30" spans="1:21" s="14" customFormat="1" x14ac:dyDescent="0.3">
      <c r="A30" s="7" t="s">
        <v>114</v>
      </c>
      <c r="B30" s="14" t="s">
        <v>42</v>
      </c>
      <c r="C30" s="14" t="s">
        <v>43</v>
      </c>
      <c r="D30" s="14">
        <v>450</v>
      </c>
      <c r="E30" s="14">
        <v>0.60355479439668303</v>
      </c>
      <c r="F30" s="14">
        <v>40</v>
      </c>
      <c r="G30" s="9">
        <v>1.1900000000000001E-2</v>
      </c>
      <c r="H30" s="9">
        <v>0.98809999999999998</v>
      </c>
      <c r="I30" s="9">
        <v>0</v>
      </c>
      <c r="J30" s="14">
        <v>11.0606060606061</v>
      </c>
      <c r="K30" s="14">
        <v>9.8039215686269998E-3</v>
      </c>
      <c r="L30" s="14">
        <v>0</v>
      </c>
      <c r="M30" s="14">
        <f t="shared" si="4"/>
        <v>1.2470834734746485</v>
      </c>
      <c r="N30" s="14">
        <f t="shared" si="5"/>
        <v>0.57451614133544349</v>
      </c>
      <c r="O30" s="9">
        <f t="shared" si="0"/>
        <v>6.3544967147708364</v>
      </c>
      <c r="P30" s="9">
        <f t="shared" si="1"/>
        <v>5.632511189562912E-3</v>
      </c>
      <c r="Q30" s="9">
        <f t="shared" si="2"/>
        <v>0</v>
      </c>
      <c r="R30" s="10">
        <f>G30*EXP(-O30*Fperm!$N$2) + H30*EXP(-P30*Fperm!$N$2) + I30*EXP(-Q30*Fperm!$N$2)</f>
        <v>0.5625796861122051</v>
      </c>
      <c r="S30" s="14">
        <f>G30*EXP(-J30*Fperm!$N$2) + H30*EXP(-K30*Fperm!$N$2) + I30*EXP(-L30*Fperm!$N$2)</f>
        <v>0.37069949591563611</v>
      </c>
      <c r="T30" s="14">
        <f t="shared" si="3"/>
        <v>0.19188019019656899</v>
      </c>
      <c r="U30" s="15">
        <f t="shared" si="6"/>
        <v>0.51761653930124885</v>
      </c>
    </row>
    <row r="31" spans="1:21" s="14" customFormat="1" x14ac:dyDescent="0.3">
      <c r="A31" s="7" t="s">
        <v>115</v>
      </c>
      <c r="B31" s="14" t="s">
        <v>42</v>
      </c>
      <c r="C31" s="14" t="s">
        <v>44</v>
      </c>
      <c r="D31" s="14">
        <v>550</v>
      </c>
      <c r="E31" s="14">
        <v>0.48025943147781502</v>
      </c>
      <c r="F31" s="14">
        <v>40</v>
      </c>
      <c r="G31" s="9">
        <v>8.2000000000000007E-3</v>
      </c>
      <c r="H31" s="9">
        <v>0.99180000000000001</v>
      </c>
      <c r="I31" s="9">
        <v>0</v>
      </c>
      <c r="J31" s="14">
        <v>8.1111111111111107</v>
      </c>
      <c r="K31" s="14">
        <v>2.2779043280180002E-3</v>
      </c>
      <c r="L31" s="14">
        <v>0</v>
      </c>
      <c r="M31" s="14">
        <f t="shared" si="4"/>
        <v>1.2470834734746485</v>
      </c>
      <c r="N31" s="14">
        <f t="shared" si="5"/>
        <v>0.57451614133544349</v>
      </c>
      <c r="O31" s="9">
        <f t="shared" si="0"/>
        <v>4.6599642574985971</v>
      </c>
      <c r="P31" s="9">
        <f t="shared" si="1"/>
        <v>1.3086928048642078E-3</v>
      </c>
      <c r="Q31" s="9">
        <f t="shared" si="2"/>
        <v>0</v>
      </c>
      <c r="R31" s="10">
        <f>G31*EXP(-O31*Fperm!$N$2) + H31*EXP(-P31*Fperm!$N$2) + I31*EXP(-Q31*Fperm!$N$2)</f>
        <v>0.87013832526570234</v>
      </c>
      <c r="S31" s="14">
        <f>G31*EXP(-J31*Fperm!$N$2) + H31*EXP(-K31*Fperm!$N$2) + I31*EXP(-L31*Fperm!$N$2)</f>
        <v>0.78976153167491803</v>
      </c>
      <c r="T31" s="14">
        <f t="shared" si="3"/>
        <v>8.0376793590784312E-2</v>
      </c>
      <c r="U31" s="15">
        <f t="shared" si="6"/>
        <v>0.10177349790679478</v>
      </c>
    </row>
    <row r="32" spans="1:21" s="14" customFormat="1" x14ac:dyDescent="0.3">
      <c r="A32" s="7" t="s">
        <v>116</v>
      </c>
      <c r="B32" s="14" t="s">
        <v>42</v>
      </c>
      <c r="C32" s="14" t="s">
        <v>43</v>
      </c>
      <c r="D32" s="14">
        <v>450</v>
      </c>
      <c r="E32" s="14">
        <v>0.60355479439668303</v>
      </c>
      <c r="F32" s="14">
        <v>40</v>
      </c>
      <c r="G32" s="9">
        <v>8.9999999999999993E-3</v>
      </c>
      <c r="H32" s="9">
        <v>0.99099999999999999</v>
      </c>
      <c r="I32" s="9">
        <v>0</v>
      </c>
      <c r="J32" s="14">
        <v>14.038461538461499</v>
      </c>
      <c r="K32" s="14">
        <v>1.6129032258065001E-2</v>
      </c>
      <c r="L32" s="14">
        <v>0</v>
      </c>
      <c r="M32" s="14">
        <f t="shared" si="4"/>
        <v>1.2470834734746485</v>
      </c>
      <c r="N32" s="14">
        <f t="shared" si="5"/>
        <v>0.57451614133544349</v>
      </c>
      <c r="O32" s="9">
        <f t="shared" si="0"/>
        <v>8.0653227533629348</v>
      </c>
      <c r="P32" s="9">
        <f t="shared" si="1"/>
        <v>9.2663893763783988E-3</v>
      </c>
      <c r="Q32" s="9">
        <f t="shared" si="2"/>
        <v>0</v>
      </c>
      <c r="R32" s="10">
        <f>G32*EXP(-O32*Fperm!$N$2) + H32*EXP(-P32*Fperm!$N$2) + I32*EXP(-Q32*Fperm!$N$2)</f>
        <v>0.39231912253193191</v>
      </c>
      <c r="S32" s="14">
        <f>G32*EXP(-J32*Fperm!$N$2) + H32*EXP(-K32*Fperm!$N$2) + I32*EXP(-L32*Fperm!$N$2)</f>
        <v>0.1975143635482888</v>
      </c>
      <c r="T32" s="14">
        <f t="shared" si="3"/>
        <v>0.19480475898364311</v>
      </c>
      <c r="U32" s="15">
        <f t="shared" si="6"/>
        <v>0.98628148092134449</v>
      </c>
    </row>
    <row r="33" spans="1:21" s="14" customFormat="1" x14ac:dyDescent="0.3">
      <c r="A33" s="7" t="s">
        <v>117</v>
      </c>
      <c r="B33" s="14" t="s">
        <v>42</v>
      </c>
      <c r="C33" s="14" t="s">
        <v>44</v>
      </c>
      <c r="D33" s="14">
        <v>550</v>
      </c>
      <c r="E33" s="14">
        <v>0.48025943147781502</v>
      </c>
      <c r="F33" s="14">
        <v>40</v>
      </c>
      <c r="G33" s="9">
        <v>4.0000000000000001E-3</v>
      </c>
      <c r="H33" s="9">
        <v>0.996</v>
      </c>
      <c r="I33" s="9">
        <v>0</v>
      </c>
      <c r="J33" s="14">
        <v>12.586206896551699</v>
      </c>
      <c r="K33" s="14">
        <v>5.6179775280900002E-3</v>
      </c>
      <c r="L33" s="14">
        <v>0</v>
      </c>
      <c r="M33" s="14">
        <f t="shared" si="4"/>
        <v>1.2470834734746485</v>
      </c>
      <c r="N33" s="14">
        <f t="shared" si="5"/>
        <v>0.57451614133544349</v>
      </c>
      <c r="O33" s="9">
        <f t="shared" si="0"/>
        <v>7.2309790202564299</v>
      </c>
      <c r="P33" s="9">
        <f t="shared" si="1"/>
        <v>3.2276187715475002E-3</v>
      </c>
      <c r="Q33" s="9">
        <f t="shared" si="2"/>
        <v>0</v>
      </c>
      <c r="R33" s="10">
        <f>G33*EXP(-O33*Fperm!$N$2) + H33*EXP(-P33*Fperm!$N$2) + I33*EXP(-Q33*Fperm!$N$2)</f>
        <v>0.72124968453075633</v>
      </c>
      <c r="S33" s="14">
        <f>G33*EXP(-J33*Fperm!$N$2) + H33*EXP(-K33*Fperm!$N$2) + I33*EXP(-L33*Fperm!$N$2)</f>
        <v>0.56790236127189575</v>
      </c>
      <c r="T33" s="14">
        <f t="shared" si="3"/>
        <v>0.15334732325886058</v>
      </c>
      <c r="U33" s="15">
        <f t="shared" si="6"/>
        <v>0.27002409871200056</v>
      </c>
    </row>
    <row r="34" spans="1:21" s="14" customFormat="1" x14ac:dyDescent="0.3">
      <c r="A34" s="7" t="s">
        <v>118</v>
      </c>
      <c r="B34" s="14" t="s">
        <v>42</v>
      </c>
      <c r="C34" s="14" t="s">
        <v>43</v>
      </c>
      <c r="D34" s="14">
        <v>450</v>
      </c>
      <c r="E34" s="14">
        <v>0.60355479439668303</v>
      </c>
      <c r="F34" s="14">
        <v>40</v>
      </c>
      <c r="G34" s="9">
        <v>5.0000000000000001E-3</v>
      </c>
      <c r="H34" s="9">
        <v>0.995</v>
      </c>
      <c r="I34" s="9">
        <v>0</v>
      </c>
      <c r="J34" s="14">
        <v>40.5555555555556</v>
      </c>
      <c r="K34" s="14">
        <v>9.4339622641510003E-3</v>
      </c>
      <c r="L34" s="14">
        <v>0</v>
      </c>
      <c r="M34" s="14">
        <f t="shared" si="4"/>
        <v>1.2470834734746485</v>
      </c>
      <c r="N34" s="14">
        <f t="shared" si="5"/>
        <v>0.57451614133544349</v>
      </c>
      <c r="O34" s="9">
        <f t="shared" si="0"/>
        <v>23.29982128749301</v>
      </c>
      <c r="P34" s="9">
        <f t="shared" si="1"/>
        <v>5.4199635975042161E-3</v>
      </c>
      <c r="Q34" s="9">
        <f t="shared" si="2"/>
        <v>0</v>
      </c>
      <c r="R34" s="10">
        <f>G34*EXP(-O34*Fperm!$N$2) + H34*EXP(-P34*Fperm!$N$2) + I34*EXP(-Q34*Fperm!$N$2)</f>
        <v>0.57867810751509419</v>
      </c>
      <c r="S34" s="14">
        <f>G34*EXP(-J34*Fperm!$N$2) + H34*EXP(-K34*Fperm!$N$2) + I34*EXP(-L34*Fperm!$N$2)</f>
        <v>0.38735690793195959</v>
      </c>
      <c r="T34" s="14">
        <f t="shared" si="3"/>
        <v>0.19132119958313459</v>
      </c>
      <c r="U34" s="15">
        <f t="shared" si="6"/>
        <v>0.49391451569708611</v>
      </c>
    </row>
    <row r="35" spans="1:21" s="14" customFormat="1" x14ac:dyDescent="0.3">
      <c r="A35" s="7" t="s">
        <v>119</v>
      </c>
      <c r="B35" s="14" t="s">
        <v>42</v>
      </c>
      <c r="C35" s="14" t="s">
        <v>44</v>
      </c>
      <c r="D35" s="14">
        <v>550</v>
      </c>
      <c r="E35" s="14">
        <v>0.48025943147781502</v>
      </c>
      <c r="F35" s="14">
        <v>40</v>
      </c>
      <c r="G35" s="9">
        <v>4.4999999999999997E-3</v>
      </c>
      <c r="H35" s="9">
        <v>0.99550000000000005</v>
      </c>
      <c r="I35" s="9">
        <v>0</v>
      </c>
      <c r="J35" s="14">
        <v>12.1666666666667</v>
      </c>
      <c r="K35" s="14">
        <v>5.2631578947369998E-3</v>
      </c>
      <c r="L35" s="14">
        <v>0</v>
      </c>
      <c r="M35" s="14">
        <f t="shared" si="4"/>
        <v>1.2470834734746485</v>
      </c>
      <c r="N35" s="14">
        <f t="shared" si="5"/>
        <v>0.57451614133544349</v>
      </c>
      <c r="O35" s="9">
        <f t="shared" si="0"/>
        <v>6.9899463862479152</v>
      </c>
      <c r="P35" s="9">
        <f t="shared" si="1"/>
        <v>3.0237691649234776E-3</v>
      </c>
      <c r="Q35" s="9">
        <f t="shared" si="2"/>
        <v>0</v>
      </c>
      <c r="R35" s="10">
        <f>G35*EXP(-O35*Fperm!$N$2) + H35*EXP(-P35*Fperm!$N$2) + I35*EXP(-Q35*Fperm!$N$2)</f>
        <v>0.73573368117116711</v>
      </c>
      <c r="S35" s="14">
        <f>G35*EXP(-J35*Fperm!$N$2) + H35*EXP(-K35*Fperm!$N$2) + I35*EXP(-L35*Fperm!$N$2)</f>
        <v>0.58811901508866693</v>
      </c>
      <c r="T35" s="14">
        <f t="shared" si="3"/>
        <v>0.14761466608250018</v>
      </c>
      <c r="U35" s="15">
        <f t="shared" si="6"/>
        <v>0.2509945475241015</v>
      </c>
    </row>
    <row r="36" spans="1:21" s="14" customFormat="1" x14ac:dyDescent="0.3">
      <c r="A36" s="7" t="s">
        <v>120</v>
      </c>
      <c r="B36" s="14" t="s">
        <v>42</v>
      </c>
      <c r="C36" s="14" t="s">
        <v>43</v>
      </c>
      <c r="D36" s="14">
        <v>450</v>
      </c>
      <c r="E36" s="14">
        <v>0.60355479439668303</v>
      </c>
      <c r="F36" s="14">
        <v>40</v>
      </c>
      <c r="G36" s="9">
        <v>4.1999999999999997E-3</v>
      </c>
      <c r="H36" s="9">
        <v>0.99580000000000002</v>
      </c>
      <c r="I36" s="9">
        <v>0</v>
      </c>
      <c r="J36" s="14">
        <v>33.181818181818201</v>
      </c>
      <c r="K36" s="14">
        <v>2.2727272727272999E-2</v>
      </c>
      <c r="L36" s="14">
        <v>0</v>
      </c>
      <c r="M36" s="14">
        <f t="shared" si="4"/>
        <v>1.2470834734746485</v>
      </c>
      <c r="N36" s="14">
        <f t="shared" si="5"/>
        <v>0.57451614133544349</v>
      </c>
      <c r="O36" s="9">
        <f t="shared" si="0"/>
        <v>19.063490144312453</v>
      </c>
      <c r="P36" s="9">
        <f t="shared" si="1"/>
        <v>1.3057185030351144E-2</v>
      </c>
      <c r="Q36" s="9">
        <f t="shared" si="2"/>
        <v>0</v>
      </c>
      <c r="R36" s="10">
        <f>G36*EXP(-O36*Fperm!$N$2) + H36*EXP(-P36*Fperm!$N$2) + I36*EXP(-Q36*Fperm!$N$2)</f>
        <v>0.26983966011503169</v>
      </c>
      <c r="S36" s="14">
        <f>G36*EXP(-J36*Fperm!$N$2) + H36*EXP(-K36*Fperm!$N$2) + I36*EXP(-L36*Fperm!$N$2)</f>
        <v>0.10259807408722198</v>
      </c>
      <c r="T36" s="14">
        <f t="shared" si="3"/>
        <v>0.1672415860278097</v>
      </c>
      <c r="U36" s="15">
        <f t="shared" si="6"/>
        <v>1.6300655496284673</v>
      </c>
    </row>
    <row r="37" spans="1:21" s="14" customFormat="1" x14ac:dyDescent="0.3">
      <c r="A37" s="7" t="s">
        <v>121</v>
      </c>
      <c r="B37" s="14" t="s">
        <v>42</v>
      </c>
      <c r="C37" s="14" t="s">
        <v>44</v>
      </c>
      <c r="D37" s="14">
        <v>550</v>
      </c>
      <c r="E37" s="14">
        <v>0.48025943147781502</v>
      </c>
      <c r="F37" s="14">
        <v>40</v>
      </c>
      <c r="G37" s="9">
        <v>2E-3</v>
      </c>
      <c r="H37" s="9">
        <v>0.998</v>
      </c>
      <c r="I37" s="9">
        <v>0</v>
      </c>
      <c r="J37" s="14">
        <v>40.5555555555556</v>
      </c>
      <c r="K37" s="14">
        <v>7.9365079365080003E-3</v>
      </c>
      <c r="L37" s="14">
        <v>0</v>
      </c>
      <c r="M37" s="14">
        <f t="shared" si="4"/>
        <v>1.2470834734746485</v>
      </c>
      <c r="N37" s="14">
        <f t="shared" si="5"/>
        <v>0.57451614133544349</v>
      </c>
      <c r="O37" s="9">
        <f t="shared" si="0"/>
        <v>23.29982128749301</v>
      </c>
      <c r="P37" s="9">
        <f t="shared" si="1"/>
        <v>4.5596519153606992E-3</v>
      </c>
      <c r="Q37" s="9">
        <f t="shared" si="2"/>
        <v>0</v>
      </c>
      <c r="R37" s="10">
        <f>G37*EXP(-O37*Fperm!$N$2) + H37*EXP(-P37*Fperm!$N$2) + I37*EXP(-Q37*Fperm!$N$2)</f>
        <v>0.63256822776947697</v>
      </c>
      <c r="S37" s="14">
        <f>G37*EXP(-J37*Fperm!$N$2) + H37*EXP(-K37*Fperm!$N$2) + I37*EXP(-L37*Fperm!$N$2)</f>
        <v>0.45128654055175427</v>
      </c>
      <c r="T37" s="14">
        <f t="shared" si="3"/>
        <v>0.1812816872177227</v>
      </c>
      <c r="U37" s="15">
        <f t="shared" si="6"/>
        <v>0.40169974268694819</v>
      </c>
    </row>
    <row r="38" spans="1:21" s="17" customFormat="1" ht="15.6" x14ac:dyDescent="0.3">
      <c r="A38" s="20" t="s">
        <v>122</v>
      </c>
      <c r="B38" s="16" t="s">
        <v>85</v>
      </c>
      <c r="C38" s="17" t="s">
        <v>45</v>
      </c>
      <c r="D38" s="17">
        <v>450</v>
      </c>
      <c r="E38" s="17">
        <v>0.60355479439668303</v>
      </c>
      <c r="F38" s="17">
        <v>20</v>
      </c>
      <c r="G38" s="18">
        <v>9.6715085636601694E-3</v>
      </c>
      <c r="H38" s="18">
        <v>0.99032849143634005</v>
      </c>
      <c r="I38" s="18">
        <v>0</v>
      </c>
      <c r="J38" s="17">
        <v>348.97068509921598</v>
      </c>
      <c r="K38" s="17">
        <v>1.402115045604E-3</v>
      </c>
      <c r="L38" s="17">
        <v>0</v>
      </c>
      <c r="M38" s="17">
        <f t="shared" si="4"/>
        <v>1.553041504703383</v>
      </c>
      <c r="N38" s="17">
        <f t="shared" si="5"/>
        <v>0.79890775747307319</v>
      </c>
      <c r="O38" s="18">
        <f t="shared" si="0"/>
        <v>278.79538745645664</v>
      </c>
      <c r="P38" s="18">
        <f t="shared" si="1"/>
        <v>1.1201605868027473E-3</v>
      </c>
      <c r="Q38" s="18">
        <f t="shared" si="2"/>
        <v>0</v>
      </c>
      <c r="R38" s="10">
        <f>G38*EXP(-O38*Fperm!$N$2) + H38*EXP(-P38*Fperm!$N$2) + I38*EXP(-Q38*Fperm!$N$2)</f>
        <v>0.88538328260643318</v>
      </c>
      <c r="S38" s="17">
        <f>G38*EXP(-J38*Fperm!$N$2) + H38*EXP(-K38*Fperm!$N$2) + I38*EXP(-L38*Fperm!$N$2)</f>
        <v>0.86076815413597529</v>
      </c>
      <c r="T38" s="17">
        <f t="shared" si="3"/>
        <v>2.4615128470457881E-2</v>
      </c>
      <c r="U38" s="19">
        <f t="shared" si="6"/>
        <v>2.8596699764254333E-2</v>
      </c>
    </row>
    <row r="39" spans="1:21" s="17" customFormat="1" ht="15.6" x14ac:dyDescent="0.3">
      <c r="A39" s="20" t="s">
        <v>123</v>
      </c>
      <c r="B39" s="17" t="s">
        <v>86</v>
      </c>
      <c r="C39" s="17" t="s">
        <v>45</v>
      </c>
      <c r="D39" s="17">
        <v>450</v>
      </c>
      <c r="E39" s="17">
        <v>0.60355479439668303</v>
      </c>
      <c r="F39" s="17">
        <v>20</v>
      </c>
      <c r="G39" s="18">
        <v>6.3186707723755899E-3</v>
      </c>
      <c r="H39" s="18">
        <v>0.99368132922762498</v>
      </c>
      <c r="I39" s="18">
        <v>0</v>
      </c>
      <c r="J39" s="17">
        <v>227.18017010816499</v>
      </c>
      <c r="K39" s="17">
        <v>3.1017558223440001E-3</v>
      </c>
      <c r="L39" s="17">
        <v>0</v>
      </c>
      <c r="M39" s="17">
        <f t="shared" si="4"/>
        <v>1.553041504703383</v>
      </c>
      <c r="N39" s="17">
        <f t="shared" si="5"/>
        <v>0.79890775747307319</v>
      </c>
      <c r="O39" s="18">
        <f t="shared" si="0"/>
        <v>181.49600024346537</v>
      </c>
      <c r="P39" s="18">
        <f t="shared" si="1"/>
        <v>2.478016788257893E-3</v>
      </c>
      <c r="Q39" s="18">
        <f t="shared" si="2"/>
        <v>0</v>
      </c>
      <c r="R39" s="10">
        <f>G39*EXP(-O39*Fperm!$N$2) + H39*EXP(-P39*Fperm!$N$2) + I39*EXP(-Q39*Fperm!$N$2)</f>
        <v>0.77558290497359406</v>
      </c>
      <c r="S39" s="17">
        <f>G39*EXP(-J39*Fperm!$N$2) + H39*EXP(-K39*Fperm!$N$2) + I39*EXP(-L39*Fperm!$N$2)</f>
        <v>0.72868459107722305</v>
      </c>
      <c r="T39" s="17">
        <f t="shared" si="3"/>
        <v>4.6898313896371002E-2</v>
      </c>
      <c r="U39" s="19">
        <f t="shared" si="6"/>
        <v>6.4360238257598762E-2</v>
      </c>
    </row>
    <row r="40" spans="1:21" s="17" customFormat="1" ht="15.6" x14ac:dyDescent="0.3">
      <c r="A40" s="20" t="s">
        <v>124</v>
      </c>
      <c r="B40" s="17" t="s">
        <v>86</v>
      </c>
      <c r="C40" s="17" t="s">
        <v>45</v>
      </c>
      <c r="D40" s="17">
        <v>450</v>
      </c>
      <c r="E40" s="17">
        <v>0.60355479439668303</v>
      </c>
      <c r="F40" s="17">
        <v>20</v>
      </c>
      <c r="G40" s="18">
        <v>7.71099423811656E-3</v>
      </c>
      <c r="H40" s="18">
        <v>0.99228900576188295</v>
      </c>
      <c r="I40" s="18">
        <v>0</v>
      </c>
      <c r="J40" s="17">
        <v>279.94574155865098</v>
      </c>
      <c r="K40" s="17">
        <v>3.1165005820310001E-3</v>
      </c>
      <c r="L40" s="17">
        <v>0</v>
      </c>
      <c r="M40" s="17">
        <f t="shared" si="4"/>
        <v>1.553041504703383</v>
      </c>
      <c r="N40" s="17">
        <f t="shared" si="5"/>
        <v>0.79890775747307319</v>
      </c>
      <c r="O40" s="18">
        <f t="shared" si="0"/>
        <v>223.65082460275838</v>
      </c>
      <c r="P40" s="18">
        <f t="shared" si="1"/>
        <v>2.4897964911539138E-3</v>
      </c>
      <c r="Q40" s="18">
        <f t="shared" si="2"/>
        <v>0</v>
      </c>
      <c r="R40" s="10">
        <f>G40*EXP(-O40*Fperm!$N$2) + H40*EXP(-P40*Fperm!$N$2) + I40*EXP(-Q40*Fperm!$N$2)</f>
        <v>0.77358437966803306</v>
      </c>
      <c r="S40" s="17">
        <f>G40*EXP(-J40*Fperm!$N$2) + H40*EXP(-K40*Fperm!$N$2) + I40*EXP(-L40*Fperm!$N$2)</f>
        <v>0.72659144311321455</v>
      </c>
      <c r="T40" s="17">
        <f t="shared" si="3"/>
        <v>4.699293655481851E-2</v>
      </c>
      <c r="U40" s="19">
        <f t="shared" si="6"/>
        <v>6.4675873904416814E-2</v>
      </c>
    </row>
    <row r="41" spans="1:21" s="17" customFormat="1" ht="15.6" x14ac:dyDescent="0.3">
      <c r="A41" s="20" t="s">
        <v>125</v>
      </c>
      <c r="B41" s="17" t="s">
        <v>86</v>
      </c>
      <c r="C41" s="17" t="s">
        <v>45</v>
      </c>
      <c r="D41" s="17">
        <v>450</v>
      </c>
      <c r="E41" s="17">
        <v>0.60355479439668303</v>
      </c>
      <c r="F41" s="17">
        <v>20</v>
      </c>
      <c r="G41" s="18">
        <v>1.03387862213364E-2</v>
      </c>
      <c r="H41" s="18">
        <v>0.98966121377866401</v>
      </c>
      <c r="I41" s="18">
        <v>0</v>
      </c>
      <c r="J41" s="17">
        <v>261.92574740904502</v>
      </c>
      <c r="K41" s="17">
        <v>3.1869556177349999E-3</v>
      </c>
      <c r="L41" s="17">
        <v>0</v>
      </c>
      <c r="M41" s="17">
        <f t="shared" ref="M41:M72" si="7">(1.1 *(F41-$N$1) - 63.1579 * EXP(-0.19*F41) + 63.1579 *EXP(-0.19*$N$1)) / (F41-$N$1)</f>
        <v>1.553041504703383</v>
      </c>
      <c r="N41" s="17">
        <f t="shared" ref="N41:N72" si="8">EXP(LN(M41)*($N$1-F41)/10)</f>
        <v>0.79890775747307319</v>
      </c>
      <c r="O41" s="18">
        <f t="shared" ref="O41:O72" si="9">J41*$N41</f>
        <v>209.25451148701876</v>
      </c>
      <c r="P41" s="18">
        <f t="shared" ref="P41:P72" si="10">K41*$N41</f>
        <v>2.5460835657308816E-3</v>
      </c>
      <c r="Q41" s="18">
        <f t="shared" ref="Q41:Q72" si="11">L41*$N41</f>
        <v>0</v>
      </c>
      <c r="R41" s="10">
        <f>G41*EXP(-O41*Fperm!$N$2) + H41*EXP(-P41*Fperm!$N$2) + I41*EXP(-Q41*Fperm!$N$2)</f>
        <v>0.76720521399738772</v>
      </c>
      <c r="S41" s="17">
        <f>G41*EXP(-J41*Fperm!$N$2) + H41*EXP(-K41*Fperm!$N$2) + I41*EXP(-L41*Fperm!$N$2)</f>
        <v>0.71957957257856409</v>
      </c>
      <c r="T41" s="17">
        <f t="shared" ref="T41:T72" si="12">R41-S41</f>
        <v>4.7625641418823639E-2</v>
      </c>
      <c r="U41" s="19">
        <f t="shared" si="6"/>
        <v>6.6185371616596086E-2</v>
      </c>
    </row>
    <row r="42" spans="1:21" s="17" customFormat="1" ht="15.6" x14ac:dyDescent="0.3">
      <c r="A42" s="20" t="s">
        <v>126</v>
      </c>
      <c r="B42" s="17" t="s">
        <v>86</v>
      </c>
      <c r="C42" s="17" t="s">
        <v>45</v>
      </c>
      <c r="D42" s="17">
        <v>550</v>
      </c>
      <c r="E42" s="17">
        <v>0.48025943147781502</v>
      </c>
      <c r="F42" s="17">
        <v>20</v>
      </c>
      <c r="G42" s="18">
        <v>4.5303137131667802E-3</v>
      </c>
      <c r="H42" s="18">
        <v>0.99546968628683297</v>
      </c>
      <c r="I42" s="18">
        <v>0</v>
      </c>
      <c r="J42" s="17">
        <v>149.36223076170501</v>
      </c>
      <c r="K42" s="17">
        <v>1.022957959147E-3</v>
      </c>
      <c r="L42" s="17">
        <v>0</v>
      </c>
      <c r="M42" s="17">
        <f t="shared" si="7"/>
        <v>1.553041504703383</v>
      </c>
      <c r="N42" s="17">
        <f t="shared" si="8"/>
        <v>0.79890775747307319</v>
      </c>
      <c r="O42" s="18">
        <f t="shared" si="9"/>
        <v>119.32664482900941</v>
      </c>
      <c r="P42" s="18">
        <f t="shared" si="10"/>
        <v>8.1724904913136134E-4</v>
      </c>
      <c r="Q42" s="18">
        <f t="shared" si="11"/>
        <v>0</v>
      </c>
      <c r="R42" s="10">
        <f>G42*EXP(-O42*Fperm!$N$2) + H42*EXP(-P42*Fperm!$N$2) + I42*EXP(-Q42*Fperm!$N$2)</f>
        <v>0.91735063165187936</v>
      </c>
      <c r="S42" s="17">
        <f>G42*EXP(-J42*Fperm!$N$2) + H42*EXP(-K42*Fperm!$N$2) + I42*EXP(-L42*Fperm!$N$2)</f>
        <v>0.89867268148106161</v>
      </c>
      <c r="T42" s="17">
        <f t="shared" si="12"/>
        <v>1.8677950170817748E-2</v>
      </c>
      <c r="U42" s="19">
        <f t="shared" si="6"/>
        <v>2.0783930073445058E-2</v>
      </c>
    </row>
    <row r="43" spans="1:21" s="17" customFormat="1" ht="15.6" x14ac:dyDescent="0.3">
      <c r="A43" s="20" t="s">
        <v>127</v>
      </c>
      <c r="B43" s="17" t="s">
        <v>86</v>
      </c>
      <c r="C43" s="17" t="s">
        <v>45</v>
      </c>
      <c r="D43" s="17">
        <v>550</v>
      </c>
      <c r="E43" s="17">
        <v>0.48025943147781502</v>
      </c>
      <c r="F43" s="17">
        <v>20</v>
      </c>
      <c r="G43" s="18">
        <v>2.8274352295418301E-3</v>
      </c>
      <c r="H43" s="18">
        <v>0.99717256477045801</v>
      </c>
      <c r="I43" s="18">
        <v>0</v>
      </c>
      <c r="J43" s="17">
        <v>102.843553916631</v>
      </c>
      <c r="K43" s="17">
        <v>1.555956848486E-3</v>
      </c>
      <c r="L43" s="17">
        <v>0</v>
      </c>
      <c r="M43" s="17">
        <f t="shared" si="7"/>
        <v>1.553041504703383</v>
      </c>
      <c r="N43" s="17">
        <f t="shared" si="8"/>
        <v>0.79890775747307319</v>
      </c>
      <c r="O43" s="18">
        <f t="shared" si="9"/>
        <v>82.162513030096761</v>
      </c>
      <c r="P43" s="18">
        <f t="shared" si="10"/>
        <v>1.2430659965488207E-3</v>
      </c>
      <c r="Q43" s="18">
        <f t="shared" si="11"/>
        <v>0</v>
      </c>
      <c r="R43" s="10">
        <f>G43*EXP(-O43*Fperm!$N$2) + H43*EXP(-P43*Fperm!$N$2) + I43*EXP(-Q43*Fperm!$N$2)</f>
        <v>0.88061210483766994</v>
      </c>
      <c r="S43" s="17">
        <f>G43*EXP(-J43*Fperm!$N$2) + H43*EXP(-K43*Fperm!$N$2) + I43*EXP(-L43*Fperm!$N$2)</f>
        <v>0.85348515940612268</v>
      </c>
      <c r="T43" s="17">
        <f t="shared" si="12"/>
        <v>2.7126945431547256E-2</v>
      </c>
      <c r="U43" s="19">
        <f t="shared" si="6"/>
        <v>3.1783734178134855E-2</v>
      </c>
    </row>
    <row r="44" spans="1:21" s="17" customFormat="1" ht="15.6" x14ac:dyDescent="0.3">
      <c r="A44" s="20" t="s">
        <v>128</v>
      </c>
      <c r="B44" s="17" t="s">
        <v>86</v>
      </c>
      <c r="C44" s="17" t="s">
        <v>45</v>
      </c>
      <c r="D44" s="17">
        <v>550</v>
      </c>
      <c r="E44" s="17">
        <v>0.48025943147781502</v>
      </c>
      <c r="F44" s="17">
        <v>20</v>
      </c>
      <c r="G44" s="18">
        <v>3.4907658402309198E-3</v>
      </c>
      <c r="H44" s="18">
        <v>0.996509234159769</v>
      </c>
      <c r="I44" s="18">
        <v>0</v>
      </c>
      <c r="J44" s="17">
        <v>124.108170684288</v>
      </c>
      <c r="K44" s="17">
        <v>1.7099505744200001E-3</v>
      </c>
      <c r="L44" s="17">
        <v>0</v>
      </c>
      <c r="M44" s="17">
        <f t="shared" si="7"/>
        <v>1.553041504703383</v>
      </c>
      <c r="N44" s="17">
        <f t="shared" si="8"/>
        <v>0.79890775747307319</v>
      </c>
      <c r="O44" s="18">
        <f t="shared" si="9"/>
        <v>99.150980325469931</v>
      </c>
      <c r="P44" s="18">
        <f t="shared" si="10"/>
        <v>1.3660927787996755E-3</v>
      </c>
      <c r="Q44" s="18">
        <f t="shared" si="11"/>
        <v>0</v>
      </c>
      <c r="R44" s="10">
        <f>G44*EXP(-O44*Fperm!$N$2) + H44*EXP(-P44*Fperm!$N$2) + I44*EXP(-Q44*Fperm!$N$2)</f>
        <v>0.86926595734668521</v>
      </c>
      <c r="S44" s="17">
        <f>G44*EXP(-J44*Fperm!$N$2) + H44*EXP(-K44*Fperm!$N$2) + I44*EXP(-L44*Fperm!$N$2)</f>
        <v>0.83988363187684056</v>
      </c>
      <c r="T44" s="17">
        <f t="shared" si="12"/>
        <v>2.938232546984465E-2</v>
      </c>
      <c r="U44" s="19">
        <f t="shared" si="6"/>
        <v>3.4983805320965268E-2</v>
      </c>
    </row>
    <row r="45" spans="1:21" s="17" customFormat="1" ht="15.6" x14ac:dyDescent="0.3">
      <c r="A45" s="20" t="s">
        <v>129</v>
      </c>
      <c r="B45" s="17" t="s">
        <v>86</v>
      </c>
      <c r="C45" s="17" t="s">
        <v>45</v>
      </c>
      <c r="D45" s="17">
        <v>550</v>
      </c>
      <c r="E45" s="17">
        <v>0.48025943147781502</v>
      </c>
      <c r="F45" s="17">
        <v>20</v>
      </c>
      <c r="G45" s="18">
        <v>6.1725934635377998E-3</v>
      </c>
      <c r="H45" s="18">
        <v>0.99382740653646195</v>
      </c>
      <c r="I45" s="18">
        <v>0</v>
      </c>
      <c r="J45" s="17">
        <v>178.21488843103199</v>
      </c>
      <c r="K45" s="17">
        <v>1.763597016842E-3</v>
      </c>
      <c r="L45" s="17">
        <v>0</v>
      </c>
      <c r="M45" s="17">
        <f t="shared" si="7"/>
        <v>1.553041504703383</v>
      </c>
      <c r="N45" s="17">
        <f t="shared" si="8"/>
        <v>0.79890775747307319</v>
      </c>
      <c r="O45" s="18">
        <f t="shared" si="9"/>
        <v>142.37725686474971</v>
      </c>
      <c r="P45" s="18">
        <f t="shared" si="10"/>
        <v>1.4089513378114438E-3</v>
      </c>
      <c r="Q45" s="18">
        <f t="shared" si="11"/>
        <v>0</v>
      </c>
      <c r="R45" s="10">
        <f>G45*EXP(-O45*Fperm!$N$2) + H45*EXP(-P45*Fperm!$N$2) + I45*EXP(-Q45*Fperm!$N$2)</f>
        <v>0.86321899801528557</v>
      </c>
      <c r="S45" s="17">
        <f>G45*EXP(-J45*Fperm!$N$2) + H45*EXP(-K45*Fperm!$N$2) + I45*EXP(-L45*Fperm!$N$2)</f>
        <v>0.83314179904181485</v>
      </c>
      <c r="T45" s="17">
        <f t="shared" si="12"/>
        <v>3.007719897347072E-2</v>
      </c>
      <c r="U45" s="19">
        <f t="shared" si="6"/>
        <v>3.6100936248861959E-2</v>
      </c>
    </row>
    <row r="46" spans="1:21" s="14" customFormat="1" x14ac:dyDescent="0.3">
      <c r="A46" s="20" t="s">
        <v>130</v>
      </c>
      <c r="B46" s="14" t="s">
        <v>46</v>
      </c>
      <c r="C46" s="14" t="s">
        <v>47</v>
      </c>
      <c r="D46" s="14">
        <v>350</v>
      </c>
      <c r="E46" s="14">
        <v>0.68</v>
      </c>
      <c r="F46" s="14">
        <v>19</v>
      </c>
      <c r="G46" s="9">
        <v>8.9999999999999993E-3</v>
      </c>
      <c r="H46" s="9">
        <v>0.66600000000000004</v>
      </c>
      <c r="I46" s="9">
        <v>0.32500000000000001</v>
      </c>
      <c r="J46" s="14">
        <v>199.80099999999999</v>
      </c>
      <c r="K46" s="14">
        <v>0.14599999999999999</v>
      </c>
      <c r="L46" s="14">
        <v>1.095E-2</v>
      </c>
      <c r="M46" s="14">
        <f t="shared" si="7"/>
        <v>1.5914304406345123</v>
      </c>
      <c r="N46" s="14">
        <f t="shared" si="8"/>
        <v>0.82654605809954718</v>
      </c>
      <c r="O46" s="9">
        <f t="shared" si="9"/>
        <v>165.14472895434761</v>
      </c>
      <c r="P46" s="9">
        <f t="shared" si="10"/>
        <v>0.12067572448253389</v>
      </c>
      <c r="Q46" s="9">
        <f t="shared" si="11"/>
        <v>9.0506793361900418E-3</v>
      </c>
      <c r="R46" s="10">
        <f>G46*EXP(-O46*Fperm!$N$2) + H46*EXP(-P46*Fperm!$N$2) + I46*EXP(-Q46*Fperm!$N$2)</f>
        <v>0.13147100598490249</v>
      </c>
      <c r="S46" s="14">
        <f>G46*EXP(-J46*Fperm!$N$2) + H46*EXP(-K46*Fperm!$N$2) + I46*EXP(-L46*Fperm!$N$2)</f>
        <v>0.10872567618915359</v>
      </c>
      <c r="T46" s="14">
        <f t="shared" si="12"/>
        <v>2.2745329795748906E-2</v>
      </c>
      <c r="U46" s="15">
        <f t="shared" si="6"/>
        <v>0.20919924890766481</v>
      </c>
    </row>
    <row r="47" spans="1:21" s="14" customFormat="1" x14ac:dyDescent="0.3">
      <c r="A47" s="20" t="s">
        <v>131</v>
      </c>
      <c r="B47" s="14" t="s">
        <v>46</v>
      </c>
      <c r="C47" s="14" t="s">
        <v>48</v>
      </c>
      <c r="D47" s="14">
        <v>550</v>
      </c>
      <c r="E47" s="14">
        <v>0.47</v>
      </c>
      <c r="F47" s="14">
        <v>19</v>
      </c>
      <c r="G47" s="9">
        <v>1.0999999999999999E-2</v>
      </c>
      <c r="H47" s="9">
        <v>0.124</v>
      </c>
      <c r="I47" s="9">
        <v>0.86499999999999999</v>
      </c>
      <c r="J47" s="14">
        <v>250.90100000000001</v>
      </c>
      <c r="K47" s="14">
        <v>0.83950000000000002</v>
      </c>
      <c r="L47" s="14">
        <v>1.095E-2</v>
      </c>
      <c r="M47" s="14">
        <f t="shared" si="7"/>
        <v>1.5914304406345123</v>
      </c>
      <c r="N47" s="14">
        <f t="shared" si="8"/>
        <v>0.82654605809954718</v>
      </c>
      <c r="O47" s="9">
        <f t="shared" si="9"/>
        <v>207.3812325232345</v>
      </c>
      <c r="P47" s="9">
        <f t="shared" si="10"/>
        <v>0.69388541577456986</v>
      </c>
      <c r="Q47" s="9">
        <f t="shared" si="11"/>
        <v>9.0506793361900418E-3</v>
      </c>
      <c r="R47" s="10">
        <f>G47*EXP(-O47*Fperm!$N$2) + H47*EXP(-P47*Fperm!$N$2) + I47*EXP(-Q47*Fperm!$N$2)</f>
        <v>0.34990495949648531</v>
      </c>
      <c r="S47" s="14">
        <f>G47*EXP(-J47*Fperm!$N$2) + H47*EXP(-K47*Fperm!$N$2) + I47*EXP(-L47*Fperm!$N$2)</f>
        <v>0.28937676001054558</v>
      </c>
      <c r="T47" s="14">
        <f t="shared" si="12"/>
        <v>6.0528199485939738E-2</v>
      </c>
      <c r="U47" s="15">
        <f t="shared" si="6"/>
        <v>0.20916745174606954</v>
      </c>
    </row>
    <row r="48" spans="1:21" s="14" customFormat="1" x14ac:dyDescent="0.3">
      <c r="A48" s="20" t="s">
        <v>132</v>
      </c>
      <c r="B48" s="14" t="s">
        <v>46</v>
      </c>
      <c r="C48" s="14" t="s">
        <v>47</v>
      </c>
      <c r="D48" s="14">
        <v>350</v>
      </c>
      <c r="E48" s="14">
        <v>0.68</v>
      </c>
      <c r="F48" s="14">
        <v>19</v>
      </c>
      <c r="G48" s="9">
        <v>3.3000000000000002E-2</v>
      </c>
      <c r="H48" s="9">
        <v>0.157</v>
      </c>
      <c r="I48" s="9">
        <v>0.81</v>
      </c>
      <c r="J48" s="14">
        <v>65.116</v>
      </c>
      <c r="K48" s="14">
        <v>0.876</v>
      </c>
      <c r="L48" s="14">
        <v>1.095E-2</v>
      </c>
      <c r="M48" s="14">
        <f t="shared" si="7"/>
        <v>1.5914304406345123</v>
      </c>
      <c r="N48" s="14">
        <f t="shared" si="8"/>
        <v>0.82654605809954718</v>
      </c>
      <c r="O48" s="9">
        <f t="shared" si="9"/>
        <v>53.821373119210115</v>
      </c>
      <c r="P48" s="9">
        <f t="shared" si="10"/>
        <v>0.72405434689520332</v>
      </c>
      <c r="Q48" s="9">
        <f t="shared" si="11"/>
        <v>9.0506793361900418E-3</v>
      </c>
      <c r="R48" s="10">
        <f>G48*EXP(-O48*Fperm!$N$2) + H48*EXP(-P48*Fperm!$N$2) + I48*EXP(-Q48*Fperm!$N$2)</f>
        <v>0.32765666727416543</v>
      </c>
      <c r="S48" s="14">
        <f>G48*EXP(-J48*Fperm!$N$2) + H48*EXP(-K48*Fperm!$N$2) + I48*EXP(-L48*Fperm!$N$2)</f>
        <v>0.2709770816283722</v>
      </c>
      <c r="T48" s="14">
        <f t="shared" si="12"/>
        <v>5.6679585645793229E-2</v>
      </c>
      <c r="U48" s="15">
        <f t="shared" si="6"/>
        <v>0.20916745174606932</v>
      </c>
    </row>
    <row r="49" spans="1:21" s="14" customFormat="1" x14ac:dyDescent="0.3">
      <c r="A49" s="20" t="s">
        <v>133</v>
      </c>
      <c r="B49" s="14" t="s">
        <v>46</v>
      </c>
      <c r="C49" s="14" t="s">
        <v>48</v>
      </c>
      <c r="D49" s="14">
        <v>550</v>
      </c>
      <c r="E49" s="14">
        <v>0.47</v>
      </c>
      <c r="F49" s="14">
        <v>19</v>
      </c>
      <c r="G49" s="9">
        <v>3.2000000000000001E-2</v>
      </c>
      <c r="H49" s="9">
        <v>0.17100000000000001</v>
      </c>
      <c r="I49" s="9">
        <v>0.79800000000000004</v>
      </c>
      <c r="J49" s="14">
        <v>58.838000000000001</v>
      </c>
      <c r="K49" s="14">
        <v>0.94899999999999995</v>
      </c>
      <c r="L49" s="14">
        <v>1.095E-2</v>
      </c>
      <c r="M49" s="14">
        <f t="shared" si="7"/>
        <v>1.5914304406345123</v>
      </c>
      <c r="N49" s="14">
        <f t="shared" si="8"/>
        <v>0.82654605809954718</v>
      </c>
      <c r="O49" s="9">
        <f t="shared" si="9"/>
        <v>48.632316966461154</v>
      </c>
      <c r="P49" s="9">
        <f t="shared" si="10"/>
        <v>0.78439220913647023</v>
      </c>
      <c r="Q49" s="9">
        <f t="shared" si="11"/>
        <v>9.0506793361900418E-3</v>
      </c>
      <c r="R49" s="10">
        <f>G49*EXP(-O49*Fperm!$N$2) + H49*EXP(-P49*Fperm!$N$2) + I49*EXP(-Q49*Fperm!$N$2)</f>
        <v>0.32280249442565928</v>
      </c>
      <c r="S49" s="14">
        <f>G49*EXP(-J49*Fperm!$N$2) + H49*EXP(-K49*Fperm!$N$2) + I49*EXP(-L49*Fperm!$N$2)</f>
        <v>0.26696260634498892</v>
      </c>
      <c r="T49" s="14">
        <f t="shared" si="12"/>
        <v>5.5839888080670363E-2</v>
      </c>
      <c r="U49" s="15">
        <f t="shared" si="6"/>
        <v>0.20916745174606929</v>
      </c>
    </row>
    <row r="50" spans="1:21" s="14" customFormat="1" x14ac:dyDescent="0.3">
      <c r="A50" s="20" t="s">
        <v>134</v>
      </c>
      <c r="B50" s="14" t="s">
        <v>49</v>
      </c>
      <c r="C50" s="14" t="s">
        <v>50</v>
      </c>
      <c r="D50" s="14">
        <v>400</v>
      </c>
      <c r="F50" s="14">
        <v>20</v>
      </c>
      <c r="G50" s="9">
        <v>1.592E-2</v>
      </c>
      <c r="H50" s="9">
        <v>1.2449999999999999E-2</v>
      </c>
      <c r="I50" s="9">
        <v>0.97162999999999999</v>
      </c>
      <c r="J50" s="14">
        <v>187.18</v>
      </c>
      <c r="K50" s="14">
        <v>2.52</v>
      </c>
      <c r="L50" s="14">
        <v>3.3800000000000002E-3</v>
      </c>
      <c r="M50" s="14">
        <f t="shared" si="7"/>
        <v>1.553041504703383</v>
      </c>
      <c r="N50" s="14">
        <f t="shared" si="8"/>
        <v>0.79890775747307319</v>
      </c>
      <c r="O50" s="9">
        <f t="shared" si="9"/>
        <v>149.53955404380986</v>
      </c>
      <c r="P50" s="9">
        <f t="shared" si="10"/>
        <v>2.0132475488321444</v>
      </c>
      <c r="Q50" s="9">
        <f t="shared" si="11"/>
        <v>2.7003082202589875E-3</v>
      </c>
      <c r="R50" s="10">
        <f>G50*EXP(-O50*Fperm!$N$2) + H50*EXP(-P50*Fperm!$N$2) + I50*EXP(-Q50*Fperm!$N$2)</f>
        <v>0.74169955704725032</v>
      </c>
      <c r="S50" s="14">
        <f>G50*EXP(-J50*Fperm!$N$2) + H50*EXP(-K50*Fperm!$N$2) + I50*EXP(-L50*Fperm!$N$2)</f>
        <v>0.69296193758060798</v>
      </c>
      <c r="T50" s="14">
        <f t="shared" si="12"/>
        <v>4.8737619466642346E-2</v>
      </c>
      <c r="U50" s="15">
        <f t="shared" si="6"/>
        <v>7.0332318159932128E-2</v>
      </c>
    </row>
    <row r="51" spans="1:21" s="14" customFormat="1" x14ac:dyDescent="0.3">
      <c r="A51" s="20" t="s">
        <v>135</v>
      </c>
      <c r="B51" s="14" t="s">
        <v>49</v>
      </c>
      <c r="C51" s="14" t="s">
        <v>50</v>
      </c>
      <c r="D51" s="14">
        <v>400</v>
      </c>
      <c r="F51" s="14">
        <v>20</v>
      </c>
      <c r="G51" s="9">
        <v>1.8339999999999999E-2</v>
      </c>
      <c r="H51" s="9">
        <v>2.0459999999999999E-2</v>
      </c>
      <c r="I51" s="9">
        <v>0.96120000000000005</v>
      </c>
      <c r="J51" s="14">
        <v>24.877376268999999</v>
      </c>
      <c r="K51" s="14">
        <v>0.35842844699999998</v>
      </c>
      <c r="L51" s="14">
        <v>2.4454640000000001E-3</v>
      </c>
      <c r="M51" s="14">
        <f t="shared" si="7"/>
        <v>1.553041504703383</v>
      </c>
      <c r="N51" s="14">
        <f t="shared" si="8"/>
        <v>0.79890775747307319</v>
      </c>
      <c r="O51" s="9">
        <f t="shared" si="9"/>
        <v>19.874728886880639</v>
      </c>
      <c r="P51" s="9">
        <f t="shared" si="10"/>
        <v>0.28635126680732625</v>
      </c>
      <c r="Q51" s="9">
        <f t="shared" si="11"/>
        <v>1.9537001602211316E-3</v>
      </c>
      <c r="R51" s="10">
        <f>G51*EXP(-O51*Fperm!$N$2) + H51*EXP(-P51*Fperm!$N$2) + I51*EXP(-Q51*Fperm!$N$2)</f>
        <v>0.79061607857800476</v>
      </c>
      <c r="S51" s="14">
        <f>G51*EXP(-J51*Fperm!$N$2) + H51*EXP(-K51*Fperm!$N$2) + I51*EXP(-L51*Fperm!$N$2)</f>
        <v>0.75267693899656496</v>
      </c>
      <c r="T51" s="14">
        <f t="shared" si="12"/>
        <v>3.7939139581439796E-2</v>
      </c>
      <c r="U51" s="15">
        <f t="shared" si="6"/>
        <v>5.0405609120984296E-2</v>
      </c>
    </row>
    <row r="52" spans="1:21" s="8" customFormat="1" ht="15.6" x14ac:dyDescent="0.3">
      <c r="A52" s="20" t="s">
        <v>136</v>
      </c>
      <c r="B52" s="21" t="s">
        <v>87</v>
      </c>
      <c r="C52" s="21" t="s">
        <v>51</v>
      </c>
      <c r="D52" s="21">
        <v>200</v>
      </c>
      <c r="E52" s="8">
        <v>1.3682000000000001</v>
      </c>
      <c r="F52" s="8">
        <v>23</v>
      </c>
      <c r="G52" s="9">
        <v>1.54329731312416E-2</v>
      </c>
      <c r="H52" s="9">
        <v>0.98456702686875797</v>
      </c>
      <c r="I52" s="9">
        <v>0</v>
      </c>
      <c r="J52" s="8">
        <v>49.732094911357898</v>
      </c>
      <c r="K52" s="8">
        <v>5.2578019449026001E-2</v>
      </c>
      <c r="L52" s="8">
        <v>0</v>
      </c>
      <c r="M52" s="8">
        <f t="shared" si="7"/>
        <v>1.4610341801397224</v>
      </c>
      <c r="N52" s="8">
        <f t="shared" si="8"/>
        <v>0.73557184100323914</v>
      </c>
      <c r="O52" s="9">
        <f t="shared" si="9"/>
        <v>36.581528610895347</v>
      </c>
      <c r="P52" s="9">
        <f t="shared" si="10"/>
        <v>3.867491056242417E-2</v>
      </c>
      <c r="Q52" s="9">
        <f t="shared" si="11"/>
        <v>0</v>
      </c>
      <c r="R52" s="10">
        <f>G52*EXP(-O52*Fperm!$N$2) + H52*EXP(-P52*Fperm!$N$2) + I52*EXP(-Q52*Fperm!$N$2)</f>
        <v>2.0588052290924981E-2</v>
      </c>
      <c r="S52" s="8">
        <f>G52*EXP(-J52*Fperm!$N$2) + H52*EXP(-K52*Fperm!$N$2) + I52*EXP(-L52*Fperm!$N$2)</f>
        <v>5.1263814145227401E-3</v>
      </c>
      <c r="T52" s="8">
        <f t="shared" si="12"/>
        <v>1.5461670876402241E-2</v>
      </c>
      <c r="U52" s="11">
        <f t="shared" si="6"/>
        <v>3.0160984183892809</v>
      </c>
    </row>
    <row r="53" spans="1:21" s="8" customFormat="1" ht="15.6" x14ac:dyDescent="0.3">
      <c r="A53" s="20" t="s">
        <v>137</v>
      </c>
      <c r="B53" s="21" t="s">
        <v>87</v>
      </c>
      <c r="C53" s="21" t="s">
        <v>51</v>
      </c>
      <c r="D53" s="21">
        <v>300</v>
      </c>
      <c r="E53" s="8">
        <v>0.84630000000000005</v>
      </c>
      <c r="F53" s="8">
        <v>23</v>
      </c>
      <c r="G53" s="9">
        <v>2.6224859382381399E-3</v>
      </c>
      <c r="H53" s="9">
        <v>0.997377514061762</v>
      </c>
      <c r="I53" s="9">
        <v>0</v>
      </c>
      <c r="J53" s="8">
        <v>92.647887327412306</v>
      </c>
      <c r="K53" s="8">
        <v>1.2325269591293E-2</v>
      </c>
      <c r="L53" s="8">
        <v>0</v>
      </c>
      <c r="M53" s="8">
        <f t="shared" si="7"/>
        <v>1.4610341801397224</v>
      </c>
      <c r="N53" s="8">
        <f t="shared" si="8"/>
        <v>0.73557184100323914</v>
      </c>
      <c r="O53" s="9">
        <f t="shared" si="9"/>
        <v>68.149177046485335</v>
      </c>
      <c r="P53" s="9">
        <f t="shared" si="10"/>
        <v>9.0661212441286339E-3</v>
      </c>
      <c r="Q53" s="9">
        <f t="shared" si="11"/>
        <v>0</v>
      </c>
      <c r="R53" s="10">
        <f>G53*EXP(-O53*Fperm!$N$2) + H53*EXP(-P53*Fperm!$N$2) + I53*EXP(-Q53*Fperm!$N$2)</f>
        <v>0.40283104219123411</v>
      </c>
      <c r="S53" s="8">
        <f>G53*EXP(-J53*Fperm!$N$2) + H53*EXP(-K53*Fperm!$N$2) + I53*EXP(-L53*Fperm!$N$2)</f>
        <v>0.290790300095983</v>
      </c>
      <c r="T53" s="8">
        <f t="shared" si="12"/>
        <v>0.11204074209525111</v>
      </c>
      <c r="U53" s="11">
        <f t="shared" si="6"/>
        <v>0.38529738460419455</v>
      </c>
    </row>
    <row r="54" spans="1:21" s="8" customFormat="1" ht="15.6" x14ac:dyDescent="0.3">
      <c r="A54" s="20" t="s">
        <v>138</v>
      </c>
      <c r="B54" s="21" t="s">
        <v>87</v>
      </c>
      <c r="C54" s="21" t="s">
        <v>51</v>
      </c>
      <c r="D54" s="21">
        <v>300</v>
      </c>
      <c r="E54" s="8">
        <v>0.81669999999999998</v>
      </c>
      <c r="F54" s="8">
        <v>23</v>
      </c>
      <c r="G54" s="9">
        <v>3.6687689084806698E-3</v>
      </c>
      <c r="H54" s="9">
        <v>0.996331231091519</v>
      </c>
      <c r="I54" s="9">
        <v>0</v>
      </c>
      <c r="J54" s="8">
        <v>36.3050731584772</v>
      </c>
      <c r="K54" s="8">
        <v>1.0113143937373E-2</v>
      </c>
      <c r="L54" s="8">
        <v>0</v>
      </c>
      <c r="M54" s="8">
        <f t="shared" si="7"/>
        <v>1.4610341801397224</v>
      </c>
      <c r="N54" s="8">
        <f t="shared" si="8"/>
        <v>0.73557184100323914</v>
      </c>
      <c r="O54" s="9">
        <f t="shared" si="9"/>
        <v>26.704989500938357</v>
      </c>
      <c r="P54" s="9">
        <f t="shared" si="10"/>
        <v>7.4389439043442045E-3</v>
      </c>
      <c r="Q54" s="9">
        <f t="shared" si="11"/>
        <v>0</v>
      </c>
      <c r="R54" s="10">
        <f>G54*EXP(-O54*Fperm!$N$2) + H54*EXP(-P54*Fperm!$N$2) + I54*EXP(-Q54*Fperm!$N$2)</f>
        <v>0.473515843847166</v>
      </c>
      <c r="S54" s="8">
        <f>G54*EXP(-J54*Fperm!$N$2) + H54*EXP(-K54*Fperm!$N$2) + I54*EXP(-L54*Fperm!$N$2)</f>
        <v>0.36240608682333336</v>
      </c>
      <c r="T54" s="8">
        <f t="shared" si="12"/>
        <v>0.11110975702383263</v>
      </c>
      <c r="U54" s="11">
        <f t="shared" si="6"/>
        <v>0.30658910284251573</v>
      </c>
    </row>
    <row r="55" spans="1:21" s="8" customFormat="1" ht="15.6" x14ac:dyDescent="0.3">
      <c r="A55" s="20" t="s">
        <v>139</v>
      </c>
      <c r="B55" s="21" t="s">
        <v>87</v>
      </c>
      <c r="C55" s="21" t="s">
        <v>51</v>
      </c>
      <c r="D55" s="21">
        <v>500</v>
      </c>
      <c r="E55" s="8">
        <v>0.49509999999999998</v>
      </c>
      <c r="F55" s="8">
        <v>23</v>
      </c>
      <c r="G55" s="9">
        <v>2.5035972839072898E-3</v>
      </c>
      <c r="H55" s="9">
        <v>0.99749640271609297</v>
      </c>
      <c r="I55" s="9">
        <v>0</v>
      </c>
      <c r="J55" s="8">
        <v>7.4100908118108597</v>
      </c>
      <c r="K55" s="8">
        <v>4.4055763744750001E-3</v>
      </c>
      <c r="L55" s="8">
        <v>0</v>
      </c>
      <c r="M55" s="8">
        <f t="shared" si="7"/>
        <v>1.4610341801397224</v>
      </c>
      <c r="N55" s="8">
        <f t="shared" si="8"/>
        <v>0.73557184100323914</v>
      </c>
      <c r="O55" s="9">
        <f t="shared" si="9"/>
        <v>5.4506541404449012</v>
      </c>
      <c r="P55" s="9">
        <f t="shared" si="10"/>
        <v>3.2406179244529516E-3</v>
      </c>
      <c r="Q55" s="9">
        <f t="shared" si="11"/>
        <v>0</v>
      </c>
      <c r="R55" s="10">
        <f>G55*EXP(-O55*Fperm!$N$2) + H55*EXP(-P55*Fperm!$N$2) + I55*EXP(-Q55*Fperm!$N$2)</f>
        <v>0.72139493690297862</v>
      </c>
      <c r="S55" s="8">
        <f>G55*EXP(-J55*Fperm!$N$2) + H55*EXP(-K55*Fperm!$N$2) + I55*EXP(-L55*Fperm!$N$2)</f>
        <v>0.64206587342698829</v>
      </c>
      <c r="T55" s="8">
        <f t="shared" si="12"/>
        <v>7.9329063475990336E-2</v>
      </c>
      <c r="U55" s="11">
        <f t="shared" si="6"/>
        <v>0.123552842097924</v>
      </c>
    </row>
    <row r="56" spans="1:21" s="8" customFormat="1" ht="15.6" x14ac:dyDescent="0.3">
      <c r="A56" s="20" t="s">
        <v>140</v>
      </c>
      <c r="B56" s="21" t="s">
        <v>87</v>
      </c>
      <c r="C56" s="21" t="s">
        <v>51</v>
      </c>
      <c r="D56" s="21">
        <v>500</v>
      </c>
      <c r="E56" s="8">
        <v>0.52759999999999996</v>
      </c>
      <c r="F56" s="8">
        <v>23</v>
      </c>
      <c r="G56" s="9">
        <v>2.7116538087478899E-3</v>
      </c>
      <c r="H56" s="9">
        <v>0.99728834619125195</v>
      </c>
      <c r="I56" s="9">
        <v>0</v>
      </c>
      <c r="J56" s="8">
        <v>12.4012546846064</v>
      </c>
      <c r="K56" s="8">
        <v>4.0963543342140002E-3</v>
      </c>
      <c r="L56" s="8">
        <v>0</v>
      </c>
      <c r="M56" s="8">
        <f t="shared" si="7"/>
        <v>1.4610341801397224</v>
      </c>
      <c r="N56" s="8">
        <f t="shared" si="8"/>
        <v>0.73557184100323914</v>
      </c>
      <c r="O56" s="9">
        <f t="shared" si="9"/>
        <v>9.1220137391059737</v>
      </c>
      <c r="P56" s="9">
        <f t="shared" si="10"/>
        <v>3.01316289901939E-3</v>
      </c>
      <c r="Q56" s="9">
        <f t="shared" si="11"/>
        <v>0</v>
      </c>
      <c r="R56" s="10">
        <f>G56*EXP(-O56*Fperm!$N$2) + H56*EXP(-P56*Fperm!$N$2) + I56*EXP(-Q56*Fperm!$N$2)</f>
        <v>0.73783753056501289</v>
      </c>
      <c r="S56" s="8">
        <f>G56*EXP(-J56*Fperm!$N$2) + H56*EXP(-K56*Fperm!$N$2) + I56*EXP(-L56*Fperm!$N$2)</f>
        <v>0.66209199302690025</v>
      </c>
      <c r="T56" s="8">
        <f t="shared" si="12"/>
        <v>7.5745537538112639E-2</v>
      </c>
      <c r="U56" s="11">
        <f t="shared" si="6"/>
        <v>0.11440334324513597</v>
      </c>
    </row>
    <row r="57" spans="1:21" s="14" customFormat="1" x14ac:dyDescent="0.3">
      <c r="A57" s="20" t="s">
        <v>141</v>
      </c>
      <c r="B57" s="14" t="s">
        <v>52</v>
      </c>
      <c r="D57" s="14">
        <v>500</v>
      </c>
      <c r="E57" s="14">
        <v>0.28799999999999998</v>
      </c>
      <c r="F57" s="14">
        <v>26</v>
      </c>
      <c r="G57" s="9">
        <v>1.8177866721234701E-2</v>
      </c>
      <c r="H57" s="9">
        <v>0.981822133278765</v>
      </c>
      <c r="I57" s="9">
        <v>0</v>
      </c>
      <c r="J57" s="14">
        <v>2.6579611268110002</v>
      </c>
      <c r="K57" s="14">
        <v>2.4719204910000001E-3</v>
      </c>
      <c r="L57" s="14">
        <v>0</v>
      </c>
      <c r="M57" s="14">
        <f t="shared" si="7"/>
        <v>1.3947327240777447</v>
      </c>
      <c r="N57" s="14">
        <f t="shared" si="8"/>
        <v>0.6912179383096877</v>
      </c>
      <c r="O57" s="9">
        <f t="shared" si="9"/>
        <v>1.8372304101815939</v>
      </c>
      <c r="P57" s="9">
        <f t="shared" si="10"/>
        <v>1.708635785454491E-3</v>
      </c>
      <c r="Q57" s="9">
        <f t="shared" si="11"/>
        <v>0</v>
      </c>
      <c r="R57" s="10">
        <f>G57*EXP(-O57*Fperm!$N$2) + H57*EXP(-P57*Fperm!$N$2) + I57*EXP(-Q57*Fperm!$N$2)</f>
        <v>0.82761377181289586</v>
      </c>
      <c r="S57" s="14">
        <f>G57*EXP(-J57*Fperm!$N$2) + H57*EXP(-K57*Fperm!$N$2) + I57*EXP(-L57*Fperm!$N$2)</f>
        <v>0.76679394588495642</v>
      </c>
      <c r="T57" s="14">
        <f t="shared" si="12"/>
        <v>6.0819825927939442E-2</v>
      </c>
      <c r="U57" s="15">
        <f t="shared" si="6"/>
        <v>7.9317039804933931E-2</v>
      </c>
    </row>
    <row r="58" spans="1:21" s="8" customFormat="1" x14ac:dyDescent="0.3">
      <c r="A58" s="20" t="s">
        <v>142</v>
      </c>
      <c r="B58" s="22" t="s">
        <v>53</v>
      </c>
      <c r="C58" s="8" t="s">
        <v>45</v>
      </c>
      <c r="D58" s="8">
        <v>450</v>
      </c>
      <c r="E58" s="8">
        <v>0.63</v>
      </c>
      <c r="F58" s="8">
        <v>17.3</v>
      </c>
      <c r="G58" s="9">
        <v>5.8284716859812501E-3</v>
      </c>
      <c r="H58" s="9">
        <v>0.994171528314019</v>
      </c>
      <c r="I58" s="9">
        <v>0</v>
      </c>
      <c r="J58" s="8">
        <v>15.476451002036701</v>
      </c>
      <c r="K58" s="8">
        <v>1.4059044513854001E-2</v>
      </c>
      <c r="L58" s="8">
        <v>0</v>
      </c>
      <c r="M58" s="8">
        <f t="shared" si="7"/>
        <v>1.6681077199180259</v>
      </c>
      <c r="N58" s="8">
        <f t="shared" si="8"/>
        <v>0.88443560514460817</v>
      </c>
      <c r="O58" s="9">
        <f t="shared" si="9"/>
        <v>13.687924307477207</v>
      </c>
      <c r="P58" s="9">
        <f t="shared" si="10"/>
        <v>1.2434319542365447E-2</v>
      </c>
      <c r="Q58" s="9">
        <f t="shared" si="11"/>
        <v>0</v>
      </c>
      <c r="R58" s="10">
        <f>G58*EXP(-O58*Fperm!$N$2) + H58*EXP(-P58*Fperm!$N$2) + I58*EXP(-Q58*Fperm!$N$2)</f>
        <v>0.28671187775097057</v>
      </c>
      <c r="S58" s="8">
        <f>G58*EXP(-J58*Fperm!$N$2) + H58*EXP(-K58*Fperm!$N$2) + I58*EXP(-L58*Fperm!$N$2)</f>
        <v>0.24371641215109366</v>
      </c>
      <c r="T58" s="8">
        <f t="shared" si="12"/>
        <v>4.2995465599876909E-2</v>
      </c>
      <c r="U58" s="11">
        <f t="shared" si="6"/>
        <v>0.17641596321064162</v>
      </c>
    </row>
    <row r="59" spans="1:21" s="8" customFormat="1" x14ac:dyDescent="0.3">
      <c r="A59" s="20" t="s">
        <v>143</v>
      </c>
      <c r="B59" s="22" t="s">
        <v>53</v>
      </c>
      <c r="C59" s="8" t="s">
        <v>45</v>
      </c>
      <c r="D59" s="8">
        <v>450</v>
      </c>
      <c r="E59" s="8">
        <v>0.63</v>
      </c>
      <c r="F59" s="8">
        <v>17.3</v>
      </c>
      <c r="G59" s="9">
        <v>2.1419093108251699E-2</v>
      </c>
      <c r="H59" s="9">
        <v>0.97858090689174804</v>
      </c>
      <c r="I59" s="9">
        <v>0</v>
      </c>
      <c r="J59" s="8">
        <v>6.3195209575953699</v>
      </c>
      <c r="K59" s="8">
        <v>2.5563825803154999E-2</v>
      </c>
      <c r="L59" s="8">
        <v>0</v>
      </c>
      <c r="M59" s="8">
        <f t="shared" si="7"/>
        <v>1.6681077199180259</v>
      </c>
      <c r="N59" s="8">
        <f t="shared" si="8"/>
        <v>0.88443560514460817</v>
      </c>
      <c r="O59" s="9">
        <f t="shared" si="9"/>
        <v>5.589209342354895</v>
      </c>
      <c r="P59" s="9">
        <f t="shared" si="10"/>
        <v>2.260955774402474E-2</v>
      </c>
      <c r="Q59" s="9">
        <f t="shared" si="11"/>
        <v>0</v>
      </c>
      <c r="R59" s="10">
        <f>G59*EXP(-O59*Fperm!$N$2) + H59*EXP(-P59*Fperm!$N$2) + I59*EXP(-Q59*Fperm!$N$2)</f>
        <v>0.10201783935472329</v>
      </c>
      <c r="S59" s="8">
        <f>G59*EXP(-J59*Fperm!$N$2) + H59*EXP(-K59*Fperm!$N$2) + I59*EXP(-L59*Fperm!$N$2)</f>
        <v>7.592309254359747E-2</v>
      </c>
      <c r="T59" s="8">
        <f t="shared" si="12"/>
        <v>2.6094746811125821E-2</v>
      </c>
      <c r="U59" s="11">
        <f t="shared" si="6"/>
        <v>0.34369973530966724</v>
      </c>
    </row>
    <row r="60" spans="1:21" s="8" customFormat="1" x14ac:dyDescent="0.3">
      <c r="A60" s="20" t="s">
        <v>144</v>
      </c>
      <c r="B60" s="22" t="s">
        <v>53</v>
      </c>
      <c r="C60" s="8" t="s">
        <v>45</v>
      </c>
      <c r="D60" s="8">
        <v>450</v>
      </c>
      <c r="E60" s="8">
        <v>0.63</v>
      </c>
      <c r="F60" s="8">
        <v>12.3</v>
      </c>
      <c r="G60" s="9">
        <v>4.4292635314979699E-2</v>
      </c>
      <c r="H60" s="9">
        <v>0.95570736468502004</v>
      </c>
      <c r="I60" s="9">
        <v>0</v>
      </c>
      <c r="J60" s="8">
        <v>2.3809682444781699</v>
      </c>
      <c r="K60" s="8">
        <v>3.5177065578352998E-2</v>
      </c>
      <c r="L60" s="8">
        <v>0</v>
      </c>
      <c r="M60" s="8">
        <f t="shared" si="7"/>
        <v>2.014895252135612</v>
      </c>
      <c r="N60" s="8">
        <f t="shared" si="8"/>
        <v>1.1997911195476003</v>
      </c>
      <c r="O60" s="9">
        <f t="shared" si="9"/>
        <v>2.8566645556497479</v>
      </c>
      <c r="P60" s="9">
        <f t="shared" si="10"/>
        <v>4.2205130892651495E-2</v>
      </c>
      <c r="Q60" s="9">
        <f t="shared" si="11"/>
        <v>0</v>
      </c>
      <c r="R60" s="10">
        <f>G60*EXP(-O60*Fperm!$N$2) + H60*EXP(-P60*Fperm!$N$2) + I60*EXP(-Q60*Fperm!$N$2)</f>
        <v>1.4040396978795623E-2</v>
      </c>
      <c r="S60" s="8">
        <f>G60*EXP(-J60*Fperm!$N$2) + H60*EXP(-K60*Fperm!$N$2) + I60*EXP(-L60*Fperm!$N$2)</f>
        <v>2.8353350439284549E-2</v>
      </c>
      <c r="T60" s="8">
        <f t="shared" si="12"/>
        <v>-1.4312953460488926E-2</v>
      </c>
      <c r="U60" s="11">
        <f t="shared" si="6"/>
        <v>-0.50480642459304681</v>
      </c>
    </row>
    <row r="61" spans="1:21" s="8" customFormat="1" x14ac:dyDescent="0.3">
      <c r="A61" s="20" t="s">
        <v>145</v>
      </c>
      <c r="B61" s="8" t="s">
        <v>54</v>
      </c>
      <c r="C61" s="8" t="s">
        <v>55</v>
      </c>
      <c r="D61" s="8">
        <v>400</v>
      </c>
      <c r="E61" s="8">
        <v>0.53582313005308302</v>
      </c>
      <c r="F61" s="8">
        <v>22</v>
      </c>
      <c r="G61" s="9">
        <v>2.4040764714426898E-3</v>
      </c>
      <c r="H61" s="9">
        <v>0.99759592352855697</v>
      </c>
      <c r="I61" s="9">
        <v>0</v>
      </c>
      <c r="J61" s="8">
        <v>10.968390210243401</v>
      </c>
      <c r="K61" s="8">
        <v>3.067252917048E-3</v>
      </c>
      <c r="L61" s="8">
        <v>0</v>
      </c>
      <c r="M61" s="8">
        <f t="shared" si="7"/>
        <v>1.4883353570075042</v>
      </c>
      <c r="N61" s="8">
        <f t="shared" si="8"/>
        <v>0.75401924864046288</v>
      </c>
      <c r="O61" s="9">
        <f t="shared" si="9"/>
        <v>8.270377345123137</v>
      </c>
      <c r="P61" s="9">
        <f t="shared" si="10"/>
        <v>2.3127677399028008E-3</v>
      </c>
      <c r="Q61" s="9">
        <f t="shared" si="11"/>
        <v>0</v>
      </c>
      <c r="R61" s="10">
        <f>G61*EXP(-O61*Fperm!$N$2) + H61*EXP(-P61*Fperm!$N$2) + I61*EXP(-Q61*Fperm!$N$2)</f>
        <v>0.79161212769009426</v>
      </c>
      <c r="S61" s="8">
        <f>G61*EXP(-J61*Fperm!$N$2) + H61*EXP(-K61*Fperm!$N$2) + I61*EXP(-L61*Fperm!$N$2)</f>
        <v>0.7340836717842727</v>
      </c>
      <c r="T61" s="8">
        <f t="shared" si="12"/>
        <v>5.7528455905821563E-2</v>
      </c>
      <c r="U61" s="11">
        <f t="shared" si="6"/>
        <v>7.8367709454689544E-2</v>
      </c>
    </row>
    <row r="62" spans="1:21" s="8" customFormat="1" x14ac:dyDescent="0.3">
      <c r="A62" s="20" t="s">
        <v>146</v>
      </c>
      <c r="B62" s="8" t="s">
        <v>54</v>
      </c>
      <c r="C62" s="8" t="s">
        <v>56</v>
      </c>
      <c r="D62" s="8">
        <v>550</v>
      </c>
      <c r="E62" s="8">
        <v>0.37041627013954698</v>
      </c>
      <c r="F62" s="8">
        <v>22</v>
      </c>
      <c r="G62" s="9">
        <v>8.6995388289482997E-4</v>
      </c>
      <c r="H62" s="9">
        <v>0.99913004611710499</v>
      </c>
      <c r="I62" s="9">
        <v>0</v>
      </c>
      <c r="J62" s="8">
        <v>119.514372110952</v>
      </c>
      <c r="K62" s="8">
        <v>8.6553049396499997E-4</v>
      </c>
      <c r="L62" s="8">
        <v>0</v>
      </c>
      <c r="M62" s="8">
        <f t="shared" si="7"/>
        <v>1.4883353570075042</v>
      </c>
      <c r="N62" s="8">
        <f t="shared" si="8"/>
        <v>0.75401924864046288</v>
      </c>
      <c r="O62" s="9">
        <f t="shared" si="9"/>
        <v>90.116137060836721</v>
      </c>
      <c r="P62" s="9">
        <f t="shared" si="10"/>
        <v>6.5262665273489793E-4</v>
      </c>
      <c r="Q62" s="9">
        <f t="shared" si="11"/>
        <v>0</v>
      </c>
      <c r="R62" s="10">
        <f>G62*EXP(-O62*Fperm!$N$2) + H62*EXP(-P62*Fperm!$N$2) + I62*EXP(-Q62*Fperm!$N$2)</f>
        <v>0.93600636923834712</v>
      </c>
      <c r="S62" s="8">
        <f>G62*EXP(-J62*Fperm!$N$2) + H62*EXP(-K62*Fperm!$N$2) + I62*EXP(-L62*Fperm!$N$2)</f>
        <v>0.91628907328119147</v>
      </c>
      <c r="T62" s="8">
        <f t="shared" si="12"/>
        <v>1.9717295957155656E-2</v>
      </c>
      <c r="U62" s="11">
        <f t="shared" si="6"/>
        <v>2.151864136778241E-2</v>
      </c>
    </row>
    <row r="63" spans="1:21" s="8" customFormat="1" x14ac:dyDescent="0.3">
      <c r="A63" s="20" t="s">
        <v>147</v>
      </c>
      <c r="B63" s="8" t="s">
        <v>54</v>
      </c>
      <c r="C63" s="8" t="s">
        <v>55</v>
      </c>
      <c r="D63" s="8">
        <v>400</v>
      </c>
      <c r="E63" s="8">
        <v>0.58121660001694597</v>
      </c>
      <c r="F63" s="8">
        <v>22</v>
      </c>
      <c r="G63" s="9">
        <v>3.30575028696467E-3</v>
      </c>
      <c r="H63" s="9">
        <v>0.996694249713035</v>
      </c>
      <c r="I63" s="9">
        <v>0</v>
      </c>
      <c r="J63" s="8">
        <v>5.1209928092283503</v>
      </c>
      <c r="K63" s="8">
        <v>3.3146801762059998E-3</v>
      </c>
      <c r="L63" s="8">
        <v>0</v>
      </c>
      <c r="M63" s="8">
        <f t="shared" si="7"/>
        <v>1.4883353570075042</v>
      </c>
      <c r="N63" s="8">
        <f t="shared" si="8"/>
        <v>0.75401924864046288</v>
      </c>
      <c r="O63" s="9">
        <f t="shared" si="9"/>
        <v>3.8613271503075741</v>
      </c>
      <c r="P63" s="9">
        <f t="shared" si="10"/>
        <v>2.4993326559462851E-3</v>
      </c>
      <c r="Q63" s="9">
        <f t="shared" si="11"/>
        <v>0</v>
      </c>
      <c r="R63" s="10">
        <f>G63*EXP(-O63*Fperm!$N$2) + H63*EXP(-P63*Fperm!$N$2) + I63*EXP(-Q63*Fperm!$N$2)</f>
        <v>0.77627806488580975</v>
      </c>
      <c r="S63" s="8">
        <f>G63*EXP(-J63*Fperm!$N$2) + H63*EXP(-K63*Fperm!$N$2) + I63*EXP(-L63*Fperm!$N$2)</f>
        <v>0.7154960189790367</v>
      </c>
      <c r="T63" s="8">
        <f t="shared" si="12"/>
        <v>6.0782045906773052E-2</v>
      </c>
      <c r="U63" s="11">
        <f t="shared" si="6"/>
        <v>8.4950921171448063E-2</v>
      </c>
    </row>
    <row r="64" spans="1:21" s="8" customFormat="1" x14ac:dyDescent="0.3">
      <c r="A64" s="20" t="s">
        <v>148</v>
      </c>
      <c r="B64" s="8" t="s">
        <v>54</v>
      </c>
      <c r="C64" s="8" t="s">
        <v>56</v>
      </c>
      <c r="D64" s="8">
        <v>550</v>
      </c>
      <c r="E64" s="8">
        <v>0.375729953983233</v>
      </c>
      <c r="F64" s="8">
        <v>22</v>
      </c>
      <c r="G64" s="9">
        <v>1.0182136758667699E-3</v>
      </c>
      <c r="H64" s="9">
        <v>0.99898178632413304</v>
      </c>
      <c r="I64" s="9">
        <v>0</v>
      </c>
      <c r="J64" s="8">
        <v>51.765620757892101</v>
      </c>
      <c r="K64" s="8">
        <v>8.2775994346900004E-4</v>
      </c>
      <c r="L64" s="8">
        <v>0</v>
      </c>
      <c r="M64" s="8">
        <f t="shared" si="7"/>
        <v>1.4883353570075042</v>
      </c>
      <c r="N64" s="8">
        <f t="shared" si="8"/>
        <v>0.75401924864046288</v>
      </c>
      <c r="O64" s="9">
        <f t="shared" si="9"/>
        <v>39.032274469272949</v>
      </c>
      <c r="P64" s="9">
        <f t="shared" si="10"/>
        <v>6.2414693062916749E-4</v>
      </c>
      <c r="Q64" s="9">
        <f t="shared" si="11"/>
        <v>0</v>
      </c>
      <c r="R64" s="10">
        <f>G64*EXP(-O64*Fperm!$N$2) + H64*EXP(-P64*Fperm!$N$2) + I64*EXP(-Q64*Fperm!$N$2)</f>
        <v>0.93853659985340843</v>
      </c>
      <c r="S64" s="8">
        <f>G64*EXP(-J64*Fperm!$N$2) + H64*EXP(-K64*Fperm!$N$2) + I64*EXP(-L64*Fperm!$N$2)</f>
        <v>0.91962001010552419</v>
      </c>
      <c r="T64" s="8">
        <f t="shared" si="12"/>
        <v>1.8916589747884238E-2</v>
      </c>
      <c r="U64" s="11">
        <f t="shared" si="6"/>
        <v>2.0570006676685522E-2</v>
      </c>
    </row>
    <row r="65" spans="1:21" s="8" customFormat="1" x14ac:dyDescent="0.3">
      <c r="A65" s="20" t="s">
        <v>149</v>
      </c>
      <c r="B65" s="8" t="s">
        <v>54</v>
      </c>
      <c r="C65" s="8" t="s">
        <v>57</v>
      </c>
      <c r="D65" s="8">
        <v>400</v>
      </c>
      <c r="E65" s="8">
        <v>0.66233669259611505</v>
      </c>
      <c r="F65" s="8">
        <v>22</v>
      </c>
      <c r="G65" s="9">
        <v>6.2785863472340497E-3</v>
      </c>
      <c r="H65" s="9">
        <v>0.99372141365276601</v>
      </c>
      <c r="I65" s="9">
        <v>0</v>
      </c>
      <c r="J65" s="8">
        <v>8.8189635082696398</v>
      </c>
      <c r="K65" s="8">
        <v>3.96754404952E-3</v>
      </c>
      <c r="L65" s="8">
        <v>0</v>
      </c>
      <c r="M65" s="8">
        <f t="shared" si="7"/>
        <v>1.4883353570075042</v>
      </c>
      <c r="N65" s="8">
        <f t="shared" si="8"/>
        <v>0.75401924864046288</v>
      </c>
      <c r="O65" s="9">
        <f t="shared" si="9"/>
        <v>6.6496682382931347</v>
      </c>
      <c r="P65" s="9">
        <f t="shared" si="10"/>
        <v>2.99160458316701E-3</v>
      </c>
      <c r="Q65" s="9">
        <f t="shared" si="11"/>
        <v>0</v>
      </c>
      <c r="R65" s="10">
        <f>G65*EXP(-O65*Fperm!$N$2) + H65*EXP(-P65*Fperm!$N$2) + I65*EXP(-Q65*Fperm!$N$2)</f>
        <v>0.73678523184773193</v>
      </c>
      <c r="S65" s="8">
        <f>G65*EXP(-J65*Fperm!$N$2) + H65*EXP(-K65*Fperm!$N$2) + I65*EXP(-L65*Fperm!$N$2)</f>
        <v>0.66827682372458652</v>
      </c>
      <c r="T65" s="8">
        <f t="shared" si="12"/>
        <v>6.8508408123145403E-2</v>
      </c>
      <c r="U65" s="11">
        <f t="shared" si="6"/>
        <v>0.10251501427405392</v>
      </c>
    </row>
    <row r="66" spans="1:21" s="8" customFormat="1" x14ac:dyDescent="0.3">
      <c r="A66" s="20" t="s">
        <v>150</v>
      </c>
      <c r="B66" s="8" t="s">
        <v>54</v>
      </c>
      <c r="C66" s="8" t="s">
        <v>58</v>
      </c>
      <c r="D66" s="8">
        <v>550</v>
      </c>
      <c r="E66" s="8">
        <v>0.49106593090268902</v>
      </c>
      <c r="F66" s="8">
        <v>22</v>
      </c>
      <c r="G66" s="9">
        <v>3.2719821350296399E-3</v>
      </c>
      <c r="H66" s="9">
        <v>0.99672801786497001</v>
      </c>
      <c r="I66" s="9">
        <v>0</v>
      </c>
      <c r="J66" s="8">
        <v>58.048718772955297</v>
      </c>
      <c r="K66" s="8">
        <v>1.868181047025E-3</v>
      </c>
      <c r="L66" s="8">
        <v>0</v>
      </c>
      <c r="M66" s="8">
        <f t="shared" si="7"/>
        <v>1.4883353570075042</v>
      </c>
      <c r="N66" s="8">
        <f t="shared" si="8"/>
        <v>0.75401924864046288</v>
      </c>
      <c r="O66" s="9">
        <f t="shared" si="9"/>
        <v>43.769851313725283</v>
      </c>
      <c r="P66" s="9">
        <f t="shared" si="10"/>
        <v>1.4086444694021438E-3</v>
      </c>
      <c r="Q66" s="9">
        <f t="shared" si="11"/>
        <v>0</v>
      </c>
      <c r="R66" s="10">
        <f>G66*EXP(-O66*Fperm!$N$2) + H66*EXP(-P66*Fperm!$N$2) + I66*EXP(-Q66*Fperm!$N$2)</f>
        <v>0.86576497932363417</v>
      </c>
      <c r="S66" s="8">
        <f>G66*EXP(-J66*Fperm!$N$2) + H66*EXP(-K66*Fperm!$N$2) + I66*EXP(-L66*Fperm!$N$2)</f>
        <v>0.82688020324029532</v>
      </c>
      <c r="T66" s="8">
        <f t="shared" si="12"/>
        <v>3.8884776083338846E-2</v>
      </c>
      <c r="U66" s="11">
        <f t="shared" si="6"/>
        <v>4.7025888310012844E-2</v>
      </c>
    </row>
    <row r="67" spans="1:21" s="8" customFormat="1" x14ac:dyDescent="0.3">
      <c r="A67" s="20" t="s">
        <v>151</v>
      </c>
      <c r="B67" s="8" t="s">
        <v>54</v>
      </c>
      <c r="C67" s="8" t="s">
        <v>59</v>
      </c>
      <c r="D67" s="8">
        <v>550</v>
      </c>
      <c r="E67" s="8">
        <v>0.65326179980072097</v>
      </c>
      <c r="F67" s="8">
        <v>22</v>
      </c>
      <c r="G67" s="9">
        <v>4.0463023421484098E-2</v>
      </c>
      <c r="H67" s="9">
        <v>0.959536976578516</v>
      </c>
      <c r="I67" s="9">
        <v>0</v>
      </c>
      <c r="J67" s="8">
        <v>6.2654642358489898</v>
      </c>
      <c r="K67" s="8">
        <v>1.0706001415650999E-2</v>
      </c>
      <c r="L67" s="8">
        <v>0</v>
      </c>
      <c r="M67" s="8">
        <f t="shared" si="7"/>
        <v>1.4883353570075042</v>
      </c>
      <c r="N67" s="8">
        <f t="shared" si="8"/>
        <v>0.75401924864046288</v>
      </c>
      <c r="O67" s="9">
        <f t="shared" si="9"/>
        <v>4.7242806354985474</v>
      </c>
      <c r="P67" s="9">
        <f t="shared" si="10"/>
        <v>8.0725311433728977E-3</v>
      </c>
      <c r="Q67" s="9">
        <f t="shared" si="11"/>
        <v>0</v>
      </c>
      <c r="R67" s="10">
        <f>G67*EXP(-O67*Fperm!$N$2) + H67*EXP(-P67*Fperm!$N$2) + I67*EXP(-Q67*Fperm!$N$2)</f>
        <v>0.42803190521945833</v>
      </c>
      <c r="S67" s="8">
        <f>G67*EXP(-J67*Fperm!$N$2) + H67*EXP(-K67*Fperm!$N$2) + I67*EXP(-L67*Fperm!$N$2)</f>
        <v>0.32893189079733615</v>
      </c>
      <c r="T67" s="8">
        <f t="shared" si="12"/>
        <v>9.9100014422122185E-2</v>
      </c>
      <c r="U67" s="11">
        <f t="shared" si="6"/>
        <v>0.30127821957883794</v>
      </c>
    </row>
    <row r="68" spans="1:21" s="8" customFormat="1" x14ac:dyDescent="0.3">
      <c r="A68" s="20" t="s">
        <v>152</v>
      </c>
      <c r="B68" s="8" t="s">
        <v>54</v>
      </c>
      <c r="C68" s="8" t="s">
        <v>60</v>
      </c>
      <c r="D68" s="8">
        <v>400</v>
      </c>
      <c r="E68" s="8">
        <v>0.909666199752311</v>
      </c>
      <c r="F68" s="8">
        <v>22</v>
      </c>
      <c r="G68" s="9">
        <v>3.4212521148912302E-2</v>
      </c>
      <c r="H68" s="9">
        <v>0.96578747885108795</v>
      </c>
      <c r="I68" s="9">
        <v>0</v>
      </c>
      <c r="J68" s="8">
        <v>30.3532056892778</v>
      </c>
      <c r="K68" s="8">
        <v>8.3466500756429994E-3</v>
      </c>
      <c r="L68" s="8">
        <v>0</v>
      </c>
      <c r="M68" s="8">
        <f t="shared" si="7"/>
        <v>1.4883353570075042</v>
      </c>
      <c r="N68" s="8">
        <f t="shared" si="8"/>
        <v>0.75401924864046288</v>
      </c>
      <c r="O68" s="9">
        <f t="shared" si="9"/>
        <v>22.886901347658672</v>
      </c>
      <c r="P68" s="9">
        <f t="shared" si="10"/>
        <v>6.293534818701197E-3</v>
      </c>
      <c r="Q68" s="9">
        <f t="shared" si="11"/>
        <v>0</v>
      </c>
      <c r="R68" s="10">
        <f>G68*EXP(-O68*Fperm!$N$2) + H68*EXP(-P68*Fperm!$N$2) + I68*EXP(-Q68*Fperm!$N$2)</f>
        <v>0.51470315012317447</v>
      </c>
      <c r="S68" s="8">
        <f>G68*EXP(-J68*Fperm!$N$2) + H68*EXP(-K68*Fperm!$N$2) + I68*EXP(-L68*Fperm!$N$2)</f>
        <v>0.41917093713715675</v>
      </c>
      <c r="T68" s="8">
        <f t="shared" si="12"/>
        <v>9.5532212986017717E-2</v>
      </c>
      <c r="U68" s="11">
        <f t="shared" si="6"/>
        <v>0.22790753013193435</v>
      </c>
    </row>
    <row r="69" spans="1:21" s="8" customFormat="1" x14ac:dyDescent="0.3">
      <c r="A69" s="20" t="s">
        <v>153</v>
      </c>
      <c r="B69" s="8" t="s">
        <v>54</v>
      </c>
      <c r="C69" s="8" t="s">
        <v>61</v>
      </c>
      <c r="D69" s="8">
        <v>550</v>
      </c>
      <c r="E69" s="8">
        <v>0.54881517119437695</v>
      </c>
      <c r="F69" s="8">
        <v>22</v>
      </c>
      <c r="G69" s="9">
        <v>6.4144352517219103E-3</v>
      </c>
      <c r="H69" s="9">
        <v>0.99358556474827797</v>
      </c>
      <c r="I69" s="9">
        <v>0</v>
      </c>
      <c r="J69" s="8">
        <v>53.298044407687698</v>
      </c>
      <c r="K69" s="8">
        <v>3.3742064124420001E-3</v>
      </c>
      <c r="L69" s="8">
        <v>0</v>
      </c>
      <c r="M69" s="8">
        <f t="shared" si="7"/>
        <v>1.4883353570075042</v>
      </c>
      <c r="N69" s="8">
        <f t="shared" si="8"/>
        <v>0.75401924864046288</v>
      </c>
      <c r="O69" s="9">
        <f t="shared" si="9"/>
        <v>40.1877513982907</v>
      </c>
      <c r="P69" s="9">
        <f t="shared" si="10"/>
        <v>2.5442165838673488E-3</v>
      </c>
      <c r="Q69" s="9">
        <f t="shared" si="11"/>
        <v>0</v>
      </c>
      <c r="R69" s="10">
        <f>G69*EXP(-O69*Fperm!$N$2) + H69*EXP(-P69*Fperm!$N$2) + I69*EXP(-Q69*Fperm!$N$2)</f>
        <v>0.77039126677246461</v>
      </c>
      <c r="S69" s="8">
        <f>G69*EXP(-J69*Fperm!$N$2) + H69*EXP(-K69*Fperm!$N$2) + I69*EXP(-L69*Fperm!$N$2)</f>
        <v>0.70903120736783565</v>
      </c>
      <c r="T69" s="8">
        <f t="shared" si="12"/>
        <v>6.1360059404628964E-2</v>
      </c>
      <c r="U69" s="11">
        <f t="shared" si="6"/>
        <v>8.6540703380910855E-2</v>
      </c>
    </row>
    <row r="70" spans="1:21" s="8" customFormat="1" x14ac:dyDescent="0.3">
      <c r="A70" s="20" t="s">
        <v>154</v>
      </c>
      <c r="B70" s="8" t="s">
        <v>54</v>
      </c>
      <c r="C70" s="8" t="s">
        <v>62</v>
      </c>
      <c r="D70" s="8">
        <v>400</v>
      </c>
      <c r="E70" s="8">
        <v>1.0907156284675501</v>
      </c>
      <c r="F70" s="8">
        <v>22</v>
      </c>
      <c r="G70" s="9">
        <v>2.01786233500077E-2</v>
      </c>
      <c r="H70" s="9">
        <v>0.97982137664999203</v>
      </c>
      <c r="I70" s="9">
        <v>0</v>
      </c>
      <c r="J70" s="8">
        <v>33.295495700881503</v>
      </c>
      <c r="K70" s="8">
        <v>1.1866377044749001E-2</v>
      </c>
      <c r="L70" s="8">
        <v>0</v>
      </c>
      <c r="M70" s="8">
        <f t="shared" si="7"/>
        <v>1.4883353570075042</v>
      </c>
      <c r="N70" s="8">
        <f t="shared" si="8"/>
        <v>0.75401924864046288</v>
      </c>
      <c r="O70" s="9">
        <f t="shared" si="9"/>
        <v>25.105444651490433</v>
      </c>
      <c r="P70" s="9">
        <f t="shared" si="10"/>
        <v>8.9474767033660783E-3</v>
      </c>
      <c r="Q70" s="9">
        <f t="shared" si="11"/>
        <v>0</v>
      </c>
      <c r="R70" s="10">
        <f>G70*EXP(-O70*Fperm!$N$2) + H70*EXP(-P70*Fperm!$N$2) + I70*EXP(-Q70*Fperm!$N$2)</f>
        <v>0.40046349588130509</v>
      </c>
      <c r="S70" s="8">
        <f>G70*EXP(-J70*Fperm!$N$2) + H70*EXP(-K70*Fperm!$N$2) + I70*EXP(-L70*Fperm!$N$2)</f>
        <v>0.2990864260183333</v>
      </c>
      <c r="T70" s="8">
        <f t="shared" si="12"/>
        <v>0.10137706986297179</v>
      </c>
      <c r="U70" s="11">
        <f t="shared" si="6"/>
        <v>0.3389557701182922</v>
      </c>
    </row>
    <row r="71" spans="1:21" s="8" customFormat="1" x14ac:dyDescent="0.3">
      <c r="A71" s="20" t="s">
        <v>155</v>
      </c>
      <c r="B71" s="8" t="s">
        <v>54</v>
      </c>
      <c r="C71" s="8" t="s">
        <v>63</v>
      </c>
      <c r="D71" s="8">
        <v>550</v>
      </c>
      <c r="E71" s="8">
        <v>0.72024451302013903</v>
      </c>
      <c r="F71" s="8">
        <v>22</v>
      </c>
      <c r="G71" s="9">
        <v>6.8375369234630603E-3</v>
      </c>
      <c r="H71" s="9">
        <v>0.99316246307653699</v>
      </c>
      <c r="I71" s="9">
        <v>0</v>
      </c>
      <c r="J71" s="8">
        <v>13.2305277490803</v>
      </c>
      <c r="K71" s="8">
        <v>2.589704122747E-3</v>
      </c>
      <c r="L71" s="8">
        <v>0</v>
      </c>
      <c r="M71" s="8">
        <f t="shared" si="7"/>
        <v>1.4883353570075042</v>
      </c>
      <c r="N71" s="8">
        <f t="shared" si="8"/>
        <v>0.75401924864046288</v>
      </c>
      <c r="O71" s="9">
        <f t="shared" si="9"/>
        <v>9.9760725924783227</v>
      </c>
      <c r="P71" s="9">
        <f t="shared" si="10"/>
        <v>1.952686756834802E-3</v>
      </c>
      <c r="Q71" s="9">
        <f t="shared" si="11"/>
        <v>0</v>
      </c>
      <c r="R71" s="10">
        <f>G71*EXP(-O71*Fperm!$N$2) + H71*EXP(-P71*Fperm!$N$2) + I71*EXP(-Q71*Fperm!$N$2)</f>
        <v>0.81698896114164665</v>
      </c>
      <c r="S71" s="8">
        <f>G71*EXP(-J71*Fperm!$N$2) + H71*EXP(-K71*Fperm!$N$2) + I71*EXP(-L71*Fperm!$N$2)</f>
        <v>0.76656833530305546</v>
      </c>
      <c r="T71" s="8">
        <f t="shared" si="12"/>
        <v>5.0420625838591193E-2</v>
      </c>
      <c r="U71" s="11">
        <f t="shared" si="6"/>
        <v>6.5774469824217141E-2</v>
      </c>
    </row>
    <row r="72" spans="1:21" s="14" customFormat="1" x14ac:dyDescent="0.3">
      <c r="A72" s="20" t="s">
        <v>156</v>
      </c>
      <c r="B72" s="14" t="s">
        <v>64</v>
      </c>
      <c r="C72" s="14" t="s">
        <v>65</v>
      </c>
      <c r="D72" s="14">
        <v>500</v>
      </c>
      <c r="E72" s="14">
        <v>0.35930000000000001</v>
      </c>
      <c r="F72" s="14">
        <v>25</v>
      </c>
      <c r="G72" s="9">
        <v>1.4E-3</v>
      </c>
      <c r="H72" s="9">
        <v>0.99860000000000004</v>
      </c>
      <c r="I72" s="9">
        <v>0</v>
      </c>
      <c r="J72" s="14">
        <v>19.210526315789501</v>
      </c>
      <c r="K72" s="14">
        <v>1.1668611435239999E-3</v>
      </c>
      <c r="L72" s="14">
        <v>0</v>
      </c>
      <c r="M72" s="14">
        <f t="shared" si="7"/>
        <v>1.414552450032931</v>
      </c>
      <c r="N72" s="14">
        <f t="shared" si="8"/>
        <v>0.70448987245862715</v>
      </c>
      <c r="O72" s="9">
        <f t="shared" si="9"/>
        <v>13.533621234073646</v>
      </c>
      <c r="P72" s="9">
        <f t="shared" si="10"/>
        <v>8.2204185817815053E-4</v>
      </c>
      <c r="Q72" s="9">
        <f t="shared" si="11"/>
        <v>0</v>
      </c>
      <c r="R72" s="10">
        <f>G72*EXP(-O72*Fperm!$N$2) + H72*EXP(-P72*Fperm!$N$2) + I72*EXP(-Q72*Fperm!$N$2)</f>
        <v>0.91979434981736641</v>
      </c>
      <c r="S72" s="14">
        <f>G72*EXP(-J72*Fperm!$N$2) + H72*EXP(-K72*Fperm!$N$2) + I72*EXP(-L72*Fperm!$N$2)</f>
        <v>0.88861865476426161</v>
      </c>
      <c r="T72" s="14">
        <f t="shared" si="12"/>
        <v>3.1175695053104802E-2</v>
      </c>
      <c r="U72" s="15">
        <f t="shared" si="6"/>
        <v>3.5083322734627137E-2</v>
      </c>
    </row>
    <row r="73" spans="1:21" s="14" customFormat="1" x14ac:dyDescent="0.3">
      <c r="A73" s="20" t="s">
        <v>157</v>
      </c>
      <c r="B73" s="14" t="s">
        <v>64</v>
      </c>
      <c r="C73" s="14" t="s">
        <v>65</v>
      </c>
      <c r="D73" s="14">
        <v>500</v>
      </c>
      <c r="E73" s="14">
        <v>0.35930000000000001</v>
      </c>
      <c r="F73" s="14">
        <v>25</v>
      </c>
      <c r="G73" s="9">
        <v>1.6000000000000001E-3</v>
      </c>
      <c r="H73" s="9">
        <v>0.99839999999999995</v>
      </c>
      <c r="I73" s="9">
        <v>0</v>
      </c>
      <c r="J73" s="14">
        <v>9.8648648648648702</v>
      </c>
      <c r="K73" s="14">
        <v>3.5348179568800003E-4</v>
      </c>
      <c r="L73" s="14">
        <v>0</v>
      </c>
      <c r="M73" s="14">
        <f t="shared" ref="M73:M95" si="13">(1.1 *(F73-$N$1) - 63.1579 * EXP(-0.19*F73) + 63.1579 *EXP(-0.19*$N$1)) / (F73-$N$1)</f>
        <v>1.414552450032931</v>
      </c>
      <c r="N73" s="14">
        <f t="shared" ref="N73:N95" si="14">EXP(LN(M73)*($N$1-F73)/10)</f>
        <v>0.70448987245862715</v>
      </c>
      <c r="O73" s="9">
        <f t="shared" ref="O73:O95" si="15">J73*$N73</f>
        <v>6.949697390470245</v>
      </c>
      <c r="P73" s="9">
        <f t="shared" ref="P73:P95" si="16">K73*$N73</f>
        <v>2.4902434516068566E-4</v>
      </c>
      <c r="Q73" s="9">
        <f t="shared" ref="Q73:Q95" si="17">L73*$N73</f>
        <v>0</v>
      </c>
      <c r="R73" s="10">
        <f>G73*EXP(-O73*Fperm!$N$2) + H73*EXP(-P73*Fperm!$N$2) + I73*EXP(-Q73*Fperm!$N$2)</f>
        <v>0.97384442513682645</v>
      </c>
      <c r="S73" s="14">
        <f>G73*EXP(-J73*Fperm!$N$2) + H73*EXP(-K73*Fperm!$N$2) + I73*EXP(-L73*Fperm!$N$2)</f>
        <v>0.96372483986988111</v>
      </c>
      <c r="T73" s="14">
        <f t="shared" ref="T73:T95" si="18">R73-S73</f>
        <v>1.0119585266945341E-2</v>
      </c>
      <c r="U73" s="15">
        <f t="shared" si="6"/>
        <v>1.050049230682033E-2</v>
      </c>
    </row>
    <row r="74" spans="1:21" s="14" customFormat="1" x14ac:dyDescent="0.3">
      <c r="A74" s="20" t="s">
        <v>158</v>
      </c>
      <c r="B74" s="14" t="s">
        <v>64</v>
      </c>
      <c r="C74" s="14" t="s">
        <v>65</v>
      </c>
      <c r="D74" s="14">
        <v>500</v>
      </c>
      <c r="E74" s="14">
        <v>0.35930000000000001</v>
      </c>
      <c r="F74" s="14">
        <v>25</v>
      </c>
      <c r="G74" s="9">
        <v>1.1000000000000001E-3</v>
      </c>
      <c r="H74" s="9">
        <v>0.99890000000000001</v>
      </c>
      <c r="I74" s="9">
        <v>0</v>
      </c>
      <c r="J74" s="14">
        <v>20.2777777777778</v>
      </c>
      <c r="K74" s="14">
        <v>5.2742616033800004E-4</v>
      </c>
      <c r="L74" s="14">
        <v>0</v>
      </c>
      <c r="M74" s="14">
        <f t="shared" si="13"/>
        <v>1.414552450032931</v>
      </c>
      <c r="N74" s="14">
        <f t="shared" si="14"/>
        <v>0.70448987245862715</v>
      </c>
      <c r="O74" s="9">
        <f t="shared" si="15"/>
        <v>14.285489080411066</v>
      </c>
      <c r="P74" s="9">
        <f t="shared" si="16"/>
        <v>3.715663884278611E-4</v>
      </c>
      <c r="Q74" s="9">
        <f t="shared" si="17"/>
        <v>0</v>
      </c>
      <c r="R74" s="10">
        <f>G74*EXP(-O74*Fperm!$N$2) + H74*EXP(-P74*Fperm!$N$2) + I74*EXP(-Q74*Fperm!$N$2)</f>
        <v>0.96246532033816024</v>
      </c>
      <c r="S74" s="14">
        <f>G74*EXP(-J74*Fperm!$N$2) + H74*EXP(-K74*Fperm!$N$2) + I74*EXP(-L74*Fperm!$N$2)</f>
        <v>0.94758065515162382</v>
      </c>
      <c r="T74" s="14">
        <f t="shared" si="18"/>
        <v>1.4884665186536417E-2</v>
      </c>
      <c r="U74" s="15">
        <f t="shared" ref="U74:U95" si="19">T74/S74</f>
        <v>1.5708072031245402E-2</v>
      </c>
    </row>
    <row r="75" spans="1:21" s="14" customFormat="1" x14ac:dyDescent="0.3">
      <c r="A75" s="20" t="s">
        <v>159</v>
      </c>
      <c r="B75" s="14" t="s">
        <v>64</v>
      </c>
      <c r="C75" s="14" t="s">
        <v>65</v>
      </c>
      <c r="D75" s="14">
        <v>500</v>
      </c>
      <c r="E75" s="14">
        <v>0.35930000000000001</v>
      </c>
      <c r="F75" s="14">
        <v>25</v>
      </c>
      <c r="G75" s="9">
        <v>1.2999999999999999E-3</v>
      </c>
      <c r="H75" s="9">
        <v>0.99870000000000003</v>
      </c>
      <c r="I75" s="9">
        <v>0</v>
      </c>
      <c r="J75" s="14">
        <v>17.380952380952401</v>
      </c>
      <c r="K75" s="14">
        <v>1.0298661174049999E-3</v>
      </c>
      <c r="L75" s="14">
        <v>0</v>
      </c>
      <c r="M75" s="14">
        <f t="shared" si="13"/>
        <v>1.414552450032931</v>
      </c>
      <c r="N75" s="14">
        <f t="shared" si="14"/>
        <v>0.70448987245862715</v>
      </c>
      <c r="O75" s="9">
        <f t="shared" si="15"/>
        <v>12.244704926066628</v>
      </c>
      <c r="P75" s="9">
        <f t="shared" si="16"/>
        <v>7.2553024970010993E-4</v>
      </c>
      <c r="Q75" s="9">
        <f t="shared" si="17"/>
        <v>0</v>
      </c>
      <c r="R75" s="10">
        <f>G75*EXP(-O75*Fperm!$N$2) + H75*EXP(-P75*Fperm!$N$2) + I75*EXP(-Q75*Fperm!$N$2)</f>
        <v>0.92880740989880162</v>
      </c>
      <c r="S75" s="14">
        <f>G75*EXP(-J75*Fperm!$N$2) + H75*EXP(-K75*Fperm!$N$2) + I75*EXP(-L75*Fperm!$N$2)</f>
        <v>0.90096627070547675</v>
      </c>
      <c r="T75" s="14">
        <f t="shared" si="18"/>
        <v>2.7841139193324871E-2</v>
      </c>
      <c r="U75" s="15">
        <f t="shared" si="19"/>
        <v>3.0901422282461958E-2</v>
      </c>
    </row>
    <row r="76" spans="1:21" s="14" customFormat="1" x14ac:dyDescent="0.3">
      <c r="A76" s="20" t="s">
        <v>160</v>
      </c>
      <c r="B76" s="14" t="s">
        <v>64</v>
      </c>
      <c r="C76" s="14" t="s">
        <v>65</v>
      </c>
      <c r="D76" s="14">
        <v>500</v>
      </c>
      <c r="E76" s="14">
        <v>0.35930000000000001</v>
      </c>
      <c r="F76" s="14">
        <v>25</v>
      </c>
      <c r="G76" s="9">
        <v>1.1999999999999999E-3</v>
      </c>
      <c r="H76" s="9">
        <v>0.99880000000000002</v>
      </c>
      <c r="I76" s="9">
        <v>0</v>
      </c>
      <c r="J76" s="14">
        <v>14.038461538461499</v>
      </c>
      <c r="K76" s="14">
        <v>1.6207455429500001E-3</v>
      </c>
      <c r="L76" s="14">
        <v>0</v>
      </c>
      <c r="M76" s="14">
        <f t="shared" si="13"/>
        <v>1.414552450032931</v>
      </c>
      <c r="N76" s="14">
        <f t="shared" si="14"/>
        <v>0.70448987245862715</v>
      </c>
      <c r="O76" s="9">
        <f t="shared" si="15"/>
        <v>9.8899539787460835</v>
      </c>
      <c r="P76" s="9">
        <f t="shared" si="16"/>
        <v>1.141798820840734E-3</v>
      </c>
      <c r="Q76" s="9">
        <f t="shared" si="17"/>
        <v>0</v>
      </c>
      <c r="R76" s="10">
        <f>G76*EXP(-O76*Fperm!$N$2) + H76*EXP(-P76*Fperm!$N$2) + I76*EXP(-Q76*Fperm!$N$2)</f>
        <v>0.89102695213363881</v>
      </c>
      <c r="S76" s="14">
        <f>G76*EXP(-J76*Fperm!$N$2) + H76*EXP(-K76*Fperm!$N$2) + I76*EXP(-L76*Fperm!$N$2)</f>
        <v>0.84935734949582165</v>
      </c>
      <c r="T76" s="14">
        <f t="shared" si="18"/>
        <v>4.166960263781716E-2</v>
      </c>
      <c r="U76" s="15">
        <f t="shared" si="19"/>
        <v>4.9060154318500013E-2</v>
      </c>
    </row>
    <row r="77" spans="1:21" s="8" customFormat="1" x14ac:dyDescent="0.3">
      <c r="A77" s="20" t="s">
        <v>161</v>
      </c>
      <c r="B77" s="8" t="s">
        <v>66</v>
      </c>
      <c r="C77" s="8" t="s">
        <v>67</v>
      </c>
      <c r="D77" s="8">
        <v>400</v>
      </c>
      <c r="E77" s="8">
        <v>0.92100000000000004</v>
      </c>
      <c r="F77" s="8">
        <v>32</v>
      </c>
      <c r="G77" s="9">
        <v>1.69129744364062E-2</v>
      </c>
      <c r="H77" s="9">
        <v>0.98308702556359395</v>
      </c>
      <c r="I77" s="9">
        <v>0</v>
      </c>
      <c r="J77" s="8">
        <v>5.7657513409107599</v>
      </c>
      <c r="K77" s="8">
        <v>1.0057071679627E-2</v>
      </c>
      <c r="L77" s="8">
        <v>0</v>
      </c>
      <c r="M77" s="8">
        <f t="shared" si="13"/>
        <v>1.3092915914370866</v>
      </c>
      <c r="N77" s="8">
        <f t="shared" si="14"/>
        <v>0.63076529806001136</v>
      </c>
      <c r="O77" s="9">
        <f t="shared" si="15"/>
        <v>3.6368358630894857</v>
      </c>
      <c r="P77" s="9">
        <f t="shared" si="16"/>
        <v>6.3436518156108233E-3</v>
      </c>
      <c r="Q77" s="9">
        <f t="shared" si="17"/>
        <v>0</v>
      </c>
      <c r="R77" s="10">
        <f>G77*EXP(-O77*Fperm!$N$2) + H77*EXP(-P77*Fperm!$N$2) + I77*EXP(-Q77*Fperm!$N$2)</f>
        <v>0.52130353102548577</v>
      </c>
      <c r="S77" s="8">
        <f>G77*EXP(-J77*Fperm!$N$2) + H77*EXP(-K77*Fperm!$N$2) + I77*EXP(-L77*Fperm!$N$2)</f>
        <v>0.35959934418078643</v>
      </c>
      <c r="T77" s="8">
        <f t="shared" si="18"/>
        <v>0.16170418684469934</v>
      </c>
      <c r="U77" s="11">
        <f t="shared" si="19"/>
        <v>0.44967875904524318</v>
      </c>
    </row>
    <row r="78" spans="1:21" s="8" customFormat="1" x14ac:dyDescent="0.3">
      <c r="A78" s="20" t="s">
        <v>162</v>
      </c>
      <c r="B78" s="8" t="s">
        <v>66</v>
      </c>
      <c r="C78" s="8" t="s">
        <v>67</v>
      </c>
      <c r="D78" s="8">
        <v>525</v>
      </c>
      <c r="E78" s="8">
        <v>0.63700000000000001</v>
      </c>
      <c r="F78" s="8">
        <v>32</v>
      </c>
      <c r="G78" s="9">
        <v>1.03039848275792E-2</v>
      </c>
      <c r="H78" s="9">
        <v>0.98969601517242101</v>
      </c>
      <c r="I78" s="9">
        <v>0</v>
      </c>
      <c r="J78" s="8">
        <v>2.37327717981626</v>
      </c>
      <c r="K78" s="8">
        <v>3.9949680346379997E-3</v>
      </c>
      <c r="L78" s="8">
        <v>0</v>
      </c>
      <c r="M78" s="8">
        <f t="shared" si="13"/>
        <v>1.3092915914370866</v>
      </c>
      <c r="N78" s="8">
        <f t="shared" si="14"/>
        <v>0.63076529806001136</v>
      </c>
      <c r="O78" s="9">
        <f t="shared" si="15"/>
        <v>1.4969808877058264</v>
      </c>
      <c r="P78" s="9">
        <f t="shared" si="16"/>
        <v>2.5198872031086555E-3</v>
      </c>
      <c r="Q78" s="9">
        <f t="shared" si="17"/>
        <v>0</v>
      </c>
      <c r="R78" s="10">
        <f>G78*EXP(-O78*Fperm!$N$2) + H78*EXP(-P78*Fperm!$N$2) + I78*EXP(-Q78*Fperm!$N$2)</f>
        <v>0.76924469687268127</v>
      </c>
      <c r="S78" s="8">
        <f>G78*EXP(-J78*Fperm!$N$2) + H78*EXP(-K78*Fperm!$N$2) + I78*EXP(-L78*Fperm!$N$2)</f>
        <v>0.6637469896192385</v>
      </c>
      <c r="T78" s="8">
        <f t="shared" si="18"/>
        <v>0.10549770725344276</v>
      </c>
      <c r="U78" s="11">
        <f t="shared" si="19"/>
        <v>0.15894265270259381</v>
      </c>
    </row>
    <row r="79" spans="1:21" s="8" customFormat="1" x14ac:dyDescent="0.3">
      <c r="A79" s="20" t="s">
        <v>163</v>
      </c>
      <c r="B79" s="8" t="s">
        <v>66</v>
      </c>
      <c r="C79" s="8" t="s">
        <v>67</v>
      </c>
      <c r="D79" s="8">
        <v>650</v>
      </c>
      <c r="E79" s="8">
        <v>0.53881744849885005</v>
      </c>
      <c r="F79" s="8">
        <v>32</v>
      </c>
      <c r="G79" s="9">
        <v>2.32882025108022E-2</v>
      </c>
      <c r="H79" s="9">
        <v>0.97671179748919801</v>
      </c>
      <c r="I79" s="9">
        <v>0</v>
      </c>
      <c r="J79" s="8">
        <v>0.78776461809680498</v>
      </c>
      <c r="K79" s="8">
        <v>4.8999999999999998E-4</v>
      </c>
      <c r="L79" s="8">
        <v>0</v>
      </c>
      <c r="M79" s="8">
        <f t="shared" si="13"/>
        <v>1.3092915914370866</v>
      </c>
      <c r="N79" s="8">
        <f t="shared" si="14"/>
        <v>0.63076529806001136</v>
      </c>
      <c r="O79" s="9">
        <f t="shared" si="15"/>
        <v>0.49689458413496224</v>
      </c>
      <c r="P79" s="9">
        <f t="shared" si="16"/>
        <v>3.0907499604940556E-4</v>
      </c>
      <c r="Q79" s="9">
        <f t="shared" si="17"/>
        <v>0</v>
      </c>
      <c r="R79" s="10">
        <f>G79*EXP(-O79*Fperm!$N$2) + H79*EXP(-P79*Fperm!$N$2) + I79*EXP(-Q79*Fperm!$N$2)</f>
        <v>0.94698582211238325</v>
      </c>
      <c r="S79" s="8">
        <f>G79*EXP(-J79*Fperm!$N$2) + H79*EXP(-K79*Fperm!$N$2) + I79*EXP(-L79*Fperm!$N$2)</f>
        <v>0.93000654272312189</v>
      </c>
      <c r="T79" s="8">
        <f t="shared" si="18"/>
        <v>1.6979279389261359E-2</v>
      </c>
      <c r="U79" s="11">
        <f t="shared" si="19"/>
        <v>1.8257161223344604E-2</v>
      </c>
    </row>
    <row r="80" spans="1:21" s="8" customFormat="1" x14ac:dyDescent="0.3">
      <c r="A80" s="20" t="s">
        <v>164</v>
      </c>
      <c r="B80" s="8" t="s">
        <v>66</v>
      </c>
      <c r="C80" s="8" t="s">
        <v>68</v>
      </c>
      <c r="D80" s="8">
        <v>400</v>
      </c>
      <c r="E80" s="8">
        <v>0.71399999999999997</v>
      </c>
      <c r="F80" s="8">
        <v>32</v>
      </c>
      <c r="G80" s="9">
        <v>1.85871212632772E-2</v>
      </c>
      <c r="H80" s="9">
        <v>0.981412878736723</v>
      </c>
      <c r="I80" s="9">
        <v>0</v>
      </c>
      <c r="J80" s="8">
        <v>3.7955603323074998</v>
      </c>
      <c r="K80" s="8">
        <v>6.5801640254550004E-3</v>
      </c>
      <c r="L80" s="8">
        <v>0</v>
      </c>
      <c r="M80" s="8">
        <f t="shared" si="13"/>
        <v>1.3092915914370866</v>
      </c>
      <c r="N80" s="8">
        <f t="shared" si="14"/>
        <v>0.63076529806001136</v>
      </c>
      <c r="O80" s="9">
        <f t="shared" si="15"/>
        <v>2.3941077443126959</v>
      </c>
      <c r="P80" s="9">
        <f t="shared" si="16"/>
        <v>4.1505391227998874E-3</v>
      </c>
      <c r="Q80" s="9">
        <f t="shared" si="17"/>
        <v>0</v>
      </c>
      <c r="R80" s="10">
        <f>G80*EXP(-O80*Fperm!$N$2) + H80*EXP(-P80*Fperm!$N$2) + I80*EXP(-Q80*Fperm!$N$2)</f>
        <v>0.64803151803407144</v>
      </c>
      <c r="S80" s="8">
        <f>G80*EXP(-J80*Fperm!$N$2) + H80*EXP(-K80*Fperm!$N$2) + I80*EXP(-L80*Fperm!$N$2)</f>
        <v>0.50825172364992288</v>
      </c>
      <c r="T80" s="8">
        <f t="shared" si="18"/>
        <v>0.13977979438414856</v>
      </c>
      <c r="U80" s="11">
        <f t="shared" si="19"/>
        <v>0.27502079752990083</v>
      </c>
    </row>
    <row r="81" spans="1:21" s="8" customFormat="1" x14ac:dyDescent="0.3">
      <c r="A81" s="20" t="s">
        <v>165</v>
      </c>
      <c r="B81" s="8" t="s">
        <v>66</v>
      </c>
      <c r="C81" s="8" t="s">
        <v>68</v>
      </c>
      <c r="D81" s="8">
        <v>525</v>
      </c>
      <c r="E81" s="8">
        <v>0.45500000000000002</v>
      </c>
      <c r="F81" s="8">
        <v>32</v>
      </c>
      <c r="G81" s="9">
        <v>7.6286766805571202E-3</v>
      </c>
      <c r="H81" s="9">
        <v>0.992371323319443</v>
      </c>
      <c r="I81" s="9">
        <v>0</v>
      </c>
      <c r="J81" s="8">
        <v>4.5272095775729104</v>
      </c>
      <c r="K81" s="8">
        <v>3.1016983971619999E-3</v>
      </c>
      <c r="L81" s="8">
        <v>0</v>
      </c>
      <c r="M81" s="8">
        <f t="shared" si="13"/>
        <v>1.3092915914370866</v>
      </c>
      <c r="N81" s="8">
        <f t="shared" si="14"/>
        <v>0.63076529806001136</v>
      </c>
      <c r="O81" s="9">
        <f t="shared" si="15"/>
        <v>2.8556066985779149</v>
      </c>
      <c r="P81" s="9">
        <f t="shared" si="16"/>
        <v>1.9564437139781483E-3</v>
      </c>
      <c r="Q81" s="9">
        <f t="shared" si="17"/>
        <v>0</v>
      </c>
      <c r="R81" s="10">
        <f>G81*EXP(-O81*Fperm!$N$2) + H81*EXP(-P81*Fperm!$N$2) + I81*EXP(-Q81*Fperm!$N$2)</f>
        <v>0.81603152166542203</v>
      </c>
      <c r="S81" s="8">
        <f>G81*EXP(-J81*Fperm!$N$2) + H81*EXP(-K81*Fperm!$N$2) + I81*EXP(-L81*Fperm!$N$2)</f>
        <v>0.72772811889928535</v>
      </c>
      <c r="T81" s="8">
        <f t="shared" si="18"/>
        <v>8.8303402766136685E-2</v>
      </c>
      <c r="U81" s="11">
        <f t="shared" si="19"/>
        <v>0.12134119937497911</v>
      </c>
    </row>
    <row r="82" spans="1:21" s="8" customFormat="1" x14ac:dyDescent="0.3">
      <c r="A82" s="20" t="s">
        <v>166</v>
      </c>
      <c r="B82" s="8" t="s">
        <v>66</v>
      </c>
      <c r="C82" s="8" t="s">
        <v>68</v>
      </c>
      <c r="D82" s="8">
        <v>650</v>
      </c>
      <c r="E82" s="8">
        <v>0.41833774250440903</v>
      </c>
      <c r="F82" s="8">
        <v>32</v>
      </c>
      <c r="G82" s="9">
        <v>8.8558867828360793E-3</v>
      </c>
      <c r="H82" s="9">
        <v>0.991144113217164</v>
      </c>
      <c r="I82" s="9">
        <v>0</v>
      </c>
      <c r="J82" s="8">
        <v>3.2937082511579399</v>
      </c>
      <c r="K82" s="8">
        <v>2.311631844747E-3</v>
      </c>
      <c r="L82" s="8">
        <v>0</v>
      </c>
      <c r="M82" s="8">
        <f t="shared" si="13"/>
        <v>1.3092915914370866</v>
      </c>
      <c r="N82" s="8">
        <f t="shared" si="14"/>
        <v>0.63076529806001136</v>
      </c>
      <c r="O82" s="9">
        <f t="shared" si="15"/>
        <v>2.0775568667643567</v>
      </c>
      <c r="P82" s="9">
        <f t="shared" si="16"/>
        <v>1.4580971495568554E-3</v>
      </c>
      <c r="Q82" s="9">
        <f t="shared" si="17"/>
        <v>0</v>
      </c>
      <c r="R82" s="10">
        <f>G82*EXP(-O82*Fperm!$N$2) + H82*EXP(-P82*Fperm!$N$2) + I82*EXP(-Q82*Fperm!$N$2)</f>
        <v>0.8566678159677471</v>
      </c>
      <c r="S82" s="8">
        <f>G82*EXP(-J82*Fperm!$N$2) + H82*EXP(-K82*Fperm!$N$2) + I82*EXP(-L82*Fperm!$N$2)</f>
        <v>0.78658183077252142</v>
      </c>
      <c r="T82" s="8">
        <f t="shared" si="18"/>
        <v>7.0085985195225686E-2</v>
      </c>
      <c r="U82" s="11">
        <f t="shared" si="19"/>
        <v>8.9101963016858035E-2</v>
      </c>
    </row>
    <row r="83" spans="1:21" s="8" customFormat="1" x14ac:dyDescent="0.3">
      <c r="A83" s="20" t="s">
        <v>167</v>
      </c>
      <c r="B83" s="8" t="s">
        <v>66</v>
      </c>
      <c r="C83" s="8" t="s">
        <v>68</v>
      </c>
      <c r="D83" s="8">
        <v>650</v>
      </c>
      <c r="E83" s="8">
        <v>0.35047714995833701</v>
      </c>
      <c r="F83" s="8">
        <v>32</v>
      </c>
      <c r="G83" s="9">
        <v>2.7667686403780702E-3</v>
      </c>
      <c r="H83" s="9">
        <v>0.99723323135962205</v>
      </c>
      <c r="I83" s="9">
        <v>0</v>
      </c>
      <c r="J83" s="8">
        <v>6.3900536207829504</v>
      </c>
      <c r="K83" s="8">
        <v>1.4194521123159999E-3</v>
      </c>
      <c r="L83" s="8">
        <v>0</v>
      </c>
      <c r="M83" s="8">
        <f t="shared" si="13"/>
        <v>1.3092915914370866</v>
      </c>
      <c r="N83" s="8">
        <f t="shared" si="14"/>
        <v>0.63076529806001136</v>
      </c>
      <c r="O83" s="9">
        <f t="shared" si="15"/>
        <v>4.0306240767326127</v>
      </c>
      <c r="P83" s="9">
        <f t="shared" si="16"/>
        <v>8.9534113470691437E-4</v>
      </c>
      <c r="Q83" s="9">
        <f t="shared" si="17"/>
        <v>0</v>
      </c>
      <c r="R83" s="10">
        <f>G83*EXP(-O83*Fperm!$N$2) + H83*EXP(-P83*Fperm!$N$2) + I83*EXP(-Q83*Fperm!$N$2)</f>
        <v>0.91182725822421407</v>
      </c>
      <c r="S83" s="8">
        <f>G83*EXP(-J83*Fperm!$N$2) + H83*EXP(-K83*Fperm!$N$2) + I83*EXP(-L83*Fperm!$N$2)</f>
        <v>0.86526815487962383</v>
      </c>
      <c r="T83" s="8">
        <f t="shared" si="18"/>
        <v>4.6559103344590236E-2</v>
      </c>
      <c r="U83" s="11">
        <f t="shared" si="19"/>
        <v>5.3808871945677399E-2</v>
      </c>
    </row>
    <row r="84" spans="1:21" s="14" customFormat="1" x14ac:dyDescent="0.3">
      <c r="A84" s="20" t="s">
        <v>168</v>
      </c>
      <c r="B84" s="14" t="s">
        <v>69</v>
      </c>
      <c r="C84" s="14" t="s">
        <v>70</v>
      </c>
      <c r="D84" s="14">
        <v>400</v>
      </c>
      <c r="E84" s="14">
        <v>0.62</v>
      </c>
      <c r="F84" s="14">
        <v>32</v>
      </c>
      <c r="G84" s="9">
        <v>7.6641193454630397E-3</v>
      </c>
      <c r="H84" s="9">
        <v>0.99233588065453704</v>
      </c>
      <c r="I84" s="9">
        <v>0</v>
      </c>
      <c r="J84" s="14">
        <v>9.0424811814905102</v>
      </c>
      <c r="K84" s="14">
        <v>6.7622386349530002E-3</v>
      </c>
      <c r="L84" s="14">
        <v>0</v>
      </c>
      <c r="M84" s="14">
        <f t="shared" si="13"/>
        <v>1.3092915914370866</v>
      </c>
      <c r="N84" s="14">
        <f t="shared" si="14"/>
        <v>0.63076529806001136</v>
      </c>
      <c r="O84" s="9">
        <f t="shared" si="15"/>
        <v>5.7036833376449056</v>
      </c>
      <c r="P84" s="9">
        <f t="shared" si="16"/>
        <v>4.2653854681290538E-3</v>
      </c>
      <c r="Q84" s="9">
        <f t="shared" si="17"/>
        <v>0</v>
      </c>
      <c r="R84" s="10">
        <f>G84*EXP(-O84*Fperm!$N$2) + H84*EXP(-P84*Fperm!$N$2) + I84*EXP(-Q84*Fperm!$N$2)</f>
        <v>0.64776183650270769</v>
      </c>
      <c r="S84" s="14">
        <f>G84*EXP(-J84*Fperm!$N$2) + H84*EXP(-K84*Fperm!$N$2) + I84*EXP(-L84*Fperm!$N$2)</f>
        <v>0.50463620112270491</v>
      </c>
      <c r="T84" s="14">
        <f t="shared" si="18"/>
        <v>0.14312563538000278</v>
      </c>
      <c r="U84" s="15">
        <f t="shared" si="19"/>
        <v>0.28362141887874792</v>
      </c>
    </row>
    <row r="85" spans="1:21" s="14" customFormat="1" x14ac:dyDescent="0.3">
      <c r="A85" s="20" t="s">
        <v>169</v>
      </c>
      <c r="B85" s="14" t="s">
        <v>69</v>
      </c>
      <c r="C85" s="14" t="s">
        <v>70</v>
      </c>
      <c r="D85" s="14">
        <v>525</v>
      </c>
      <c r="E85" s="14">
        <v>0.59</v>
      </c>
      <c r="F85" s="14">
        <v>32</v>
      </c>
      <c r="G85" s="9">
        <v>4.8899103282742098E-3</v>
      </c>
      <c r="H85" s="9">
        <v>0.99511008967172598</v>
      </c>
      <c r="I85" s="9">
        <v>0</v>
      </c>
      <c r="J85" s="14">
        <v>12.5057976030583</v>
      </c>
      <c r="K85" s="14">
        <v>8.8056979166560006E-3</v>
      </c>
      <c r="L85" s="14">
        <v>0</v>
      </c>
      <c r="M85" s="14">
        <f t="shared" si="13"/>
        <v>1.3092915914370866</v>
      </c>
      <c r="N85" s="14">
        <f t="shared" si="14"/>
        <v>0.63076529806001136</v>
      </c>
      <c r="O85" s="9">
        <f t="shared" si="15"/>
        <v>7.8882231525712436</v>
      </c>
      <c r="P85" s="9">
        <f t="shared" si="16"/>
        <v>5.554328671025943E-3</v>
      </c>
      <c r="Q85" s="9">
        <f t="shared" si="17"/>
        <v>0</v>
      </c>
      <c r="R85" s="10">
        <f>G85*EXP(-O85*Fperm!$N$2) + H85*EXP(-P85*Fperm!$N$2) + I85*EXP(-Q85*Fperm!$N$2)</f>
        <v>0.57101787096125267</v>
      </c>
      <c r="S85" s="14">
        <f>G85*EXP(-J85*Fperm!$N$2) + H85*EXP(-K85*Fperm!$N$2) + I85*EXP(-L85*Fperm!$N$2)</f>
        <v>0.41251954326256762</v>
      </c>
      <c r="T85" s="14">
        <f t="shared" si="18"/>
        <v>0.15849832769868505</v>
      </c>
      <c r="U85" s="15">
        <f t="shared" si="19"/>
        <v>0.38422016674686676</v>
      </c>
    </row>
    <row r="86" spans="1:21" s="14" customFormat="1" x14ac:dyDescent="0.3">
      <c r="A86" s="20" t="s">
        <v>170</v>
      </c>
      <c r="B86" s="14" t="s">
        <v>69</v>
      </c>
      <c r="C86" s="14" t="s">
        <v>70</v>
      </c>
      <c r="D86" s="14">
        <v>650</v>
      </c>
      <c r="E86" s="14">
        <v>0.43</v>
      </c>
      <c r="F86" s="14">
        <v>32</v>
      </c>
      <c r="G86" s="9">
        <v>3.9557613261170903E-3</v>
      </c>
      <c r="H86" s="9">
        <v>0.99604423867388303</v>
      </c>
      <c r="I86" s="9">
        <v>0</v>
      </c>
      <c r="J86" s="14">
        <v>10.924954630467299</v>
      </c>
      <c r="K86" s="14">
        <v>3.6506130968870002E-3</v>
      </c>
      <c r="L86" s="14">
        <v>0</v>
      </c>
      <c r="M86" s="14">
        <f t="shared" si="13"/>
        <v>1.3092915914370866</v>
      </c>
      <c r="N86" s="14">
        <f t="shared" si="14"/>
        <v>0.63076529806001136</v>
      </c>
      <c r="O86" s="9">
        <f t="shared" si="15"/>
        <v>6.8910822637788076</v>
      </c>
      <c r="P86" s="9">
        <f t="shared" si="16"/>
        <v>2.3026800581597098E-3</v>
      </c>
      <c r="Q86" s="9">
        <f t="shared" si="17"/>
        <v>0</v>
      </c>
      <c r="R86" s="10">
        <f>G86*EXP(-O86*Fperm!$N$2) + H86*EXP(-P86*Fperm!$N$2) + I86*EXP(-Q86*Fperm!$N$2)</f>
        <v>0.79117854833724932</v>
      </c>
      <c r="S86" s="14">
        <f>G86*EXP(-J86*Fperm!$N$2) + H86*EXP(-K86*Fperm!$N$2) + I86*EXP(-L86*Fperm!$N$2)</f>
        <v>0.69140818329374742</v>
      </c>
      <c r="T86" s="14">
        <f t="shared" si="18"/>
        <v>9.9770365043501896E-2</v>
      </c>
      <c r="U86" s="15">
        <f t="shared" si="19"/>
        <v>0.14430023747797338</v>
      </c>
    </row>
    <row r="87" spans="1:21" s="14" customFormat="1" x14ac:dyDescent="0.3">
      <c r="A87" s="20" t="s">
        <v>171</v>
      </c>
      <c r="B87" s="14" t="s">
        <v>69</v>
      </c>
      <c r="C87" s="14" t="s">
        <v>71</v>
      </c>
      <c r="D87" s="14">
        <v>400</v>
      </c>
      <c r="E87" s="14">
        <v>0.56000000000000005</v>
      </c>
      <c r="F87" s="14">
        <v>32</v>
      </c>
      <c r="G87" s="9">
        <v>3.6953584510382798E-3</v>
      </c>
      <c r="H87" s="9">
        <v>0.99630464154896203</v>
      </c>
      <c r="I87" s="9">
        <v>0</v>
      </c>
      <c r="J87" s="14">
        <v>17.266041064709999</v>
      </c>
      <c r="K87" s="14">
        <v>8.2168682707960006E-3</v>
      </c>
      <c r="L87" s="14">
        <v>0</v>
      </c>
      <c r="M87" s="14">
        <f t="shared" si="13"/>
        <v>1.3092915914370866</v>
      </c>
      <c r="N87" s="14">
        <f t="shared" si="14"/>
        <v>0.63076529806001136</v>
      </c>
      <c r="O87" s="9">
        <f t="shared" si="15"/>
        <v>10.890819538498198</v>
      </c>
      <c r="P87" s="9">
        <f t="shared" si="16"/>
        <v>5.1829153639484891E-3</v>
      </c>
      <c r="Q87" s="9">
        <f t="shared" si="17"/>
        <v>0</v>
      </c>
      <c r="R87" s="10">
        <f>G87*EXP(-O87*Fperm!$N$2) + H87*EXP(-P87*Fperm!$N$2) + I87*EXP(-Q87*Fperm!$N$2)</f>
        <v>0.59333640966402101</v>
      </c>
      <c r="S87" s="14">
        <f>G87*EXP(-J87*Fperm!$N$2) + H87*EXP(-K87*Fperm!$N$2) + I87*EXP(-L87*Fperm!$N$2)</f>
        <v>0.43806453896064423</v>
      </c>
      <c r="T87" s="14">
        <f t="shared" si="18"/>
        <v>0.15527187070337678</v>
      </c>
      <c r="U87" s="15">
        <f t="shared" si="19"/>
        <v>0.35444976000973777</v>
      </c>
    </row>
    <row r="88" spans="1:21" s="14" customFormat="1" x14ac:dyDescent="0.3">
      <c r="A88" s="20" t="s">
        <v>172</v>
      </c>
      <c r="B88" s="14" t="s">
        <v>69</v>
      </c>
      <c r="C88" s="14" t="s">
        <v>71</v>
      </c>
      <c r="D88" s="14">
        <v>650</v>
      </c>
      <c r="E88" s="14">
        <v>0.44</v>
      </c>
      <c r="F88" s="14">
        <v>32</v>
      </c>
      <c r="G88" s="9">
        <v>4.74856456779673E-3</v>
      </c>
      <c r="H88" s="9">
        <v>0.99525143543220296</v>
      </c>
      <c r="I88" s="9">
        <v>0</v>
      </c>
      <c r="J88" s="14">
        <v>11.6477987391395</v>
      </c>
      <c r="K88" s="14">
        <v>4.3653403954690001E-3</v>
      </c>
      <c r="L88" s="14">
        <v>0</v>
      </c>
      <c r="M88" s="14">
        <f t="shared" si="13"/>
        <v>1.3092915914370866</v>
      </c>
      <c r="N88" s="14">
        <f t="shared" si="14"/>
        <v>0.63076529806001136</v>
      </c>
      <c r="O88" s="9">
        <f t="shared" si="15"/>
        <v>7.3470272434363508</v>
      </c>
      <c r="P88" s="9">
        <f t="shared" si="16"/>
        <v>2.7535052356814117E-3</v>
      </c>
      <c r="Q88" s="9">
        <f t="shared" si="17"/>
        <v>0</v>
      </c>
      <c r="R88" s="10">
        <f>G88*EXP(-O88*Fperm!$N$2) + H88*EXP(-P88*Fperm!$N$2) + I88*EXP(-Q88*Fperm!$N$2)</f>
        <v>0.75570030875461236</v>
      </c>
      <c r="S88" s="14">
        <f>G88*EXP(-J88*Fperm!$N$2) + H88*EXP(-K88*Fperm!$N$2) + I88*EXP(-L88*Fperm!$N$2)</f>
        <v>0.64320363200035446</v>
      </c>
      <c r="T88" s="14">
        <f t="shared" si="18"/>
        <v>0.1124966767542579</v>
      </c>
      <c r="U88" s="15">
        <f t="shared" si="19"/>
        <v>0.17490056205745413</v>
      </c>
    </row>
    <row r="89" spans="1:21" s="14" customFormat="1" x14ac:dyDescent="0.3">
      <c r="A89" s="20" t="s">
        <v>173</v>
      </c>
      <c r="B89" s="14" t="s">
        <v>69</v>
      </c>
      <c r="C89" s="14" t="s">
        <v>72</v>
      </c>
      <c r="D89" s="14">
        <v>400</v>
      </c>
      <c r="E89" s="14">
        <v>0.91</v>
      </c>
      <c r="F89" s="14">
        <v>32</v>
      </c>
      <c r="G89" s="9">
        <v>8.8807781576417093E-3</v>
      </c>
      <c r="H89" s="9">
        <v>0.99111922184235801</v>
      </c>
      <c r="I89" s="9">
        <v>0</v>
      </c>
      <c r="J89" s="14">
        <v>9.6214748417137805</v>
      </c>
      <c r="K89" s="14">
        <v>1.0666299765182999E-2</v>
      </c>
      <c r="L89" s="14">
        <v>0</v>
      </c>
      <c r="M89" s="14">
        <f t="shared" si="13"/>
        <v>1.3092915914370866</v>
      </c>
      <c r="N89" s="14">
        <f t="shared" si="14"/>
        <v>0.63076529806001136</v>
      </c>
      <c r="O89" s="9">
        <f t="shared" si="15"/>
        <v>6.0688924463104934</v>
      </c>
      <c r="P89" s="9">
        <f t="shared" si="16"/>
        <v>6.7279317505830839E-3</v>
      </c>
      <c r="Q89" s="9">
        <f t="shared" si="17"/>
        <v>0</v>
      </c>
      <c r="R89" s="10">
        <f>G89*EXP(-O89*Fperm!$N$2) + H89*EXP(-P89*Fperm!$N$2) + I89*EXP(-Q89*Fperm!$N$2)</f>
        <v>0.50574958557416505</v>
      </c>
      <c r="S89" s="14">
        <f>G89*EXP(-J89*Fperm!$N$2) + H89*EXP(-K89*Fperm!$N$2) + I89*EXP(-L89*Fperm!$N$2)</f>
        <v>0.3411099485771783</v>
      </c>
      <c r="T89" s="14">
        <f t="shared" si="18"/>
        <v>0.16463963699698675</v>
      </c>
      <c r="U89" s="15">
        <f t="shared" si="19"/>
        <v>0.48265856121676842</v>
      </c>
    </row>
    <row r="90" spans="1:21" s="14" customFormat="1" x14ac:dyDescent="0.3">
      <c r="A90" s="20" t="s">
        <v>174</v>
      </c>
      <c r="B90" s="14" t="s">
        <v>69</v>
      </c>
      <c r="C90" s="14" t="s">
        <v>72</v>
      </c>
      <c r="D90" s="14">
        <v>525</v>
      </c>
      <c r="E90" s="14">
        <v>0.57999999999999996</v>
      </c>
      <c r="F90" s="14">
        <v>32</v>
      </c>
      <c r="G90" s="9">
        <v>6.1302852077905296E-3</v>
      </c>
      <c r="H90" s="9">
        <v>0.99386971479220998</v>
      </c>
      <c r="I90" s="9">
        <v>0</v>
      </c>
      <c r="J90" s="14">
        <v>4.8453984796551897</v>
      </c>
      <c r="K90" s="14">
        <v>7.0962345170709996E-3</v>
      </c>
      <c r="L90" s="14">
        <v>0</v>
      </c>
      <c r="M90" s="14">
        <f t="shared" si="13"/>
        <v>1.3092915914370866</v>
      </c>
      <c r="N90" s="14">
        <f t="shared" si="14"/>
        <v>0.63076529806001136</v>
      </c>
      <c r="O90" s="9">
        <f t="shared" si="15"/>
        <v>3.0563092162392316</v>
      </c>
      <c r="P90" s="9">
        <f t="shared" si="16"/>
        <v>4.4760584802640297E-3</v>
      </c>
      <c r="Q90" s="9">
        <f t="shared" si="17"/>
        <v>0</v>
      </c>
      <c r="R90" s="10">
        <f>G90*EXP(-O90*Fperm!$N$2) + H90*EXP(-P90*Fperm!$N$2) + I90*EXP(-Q90*Fperm!$N$2)</f>
        <v>0.63523834720897299</v>
      </c>
      <c r="S90" s="14">
        <f>G90*EXP(-J90*Fperm!$N$2) + H90*EXP(-K90*Fperm!$N$2) + I90*EXP(-L90*Fperm!$N$2)</f>
        <v>0.48881430585238522</v>
      </c>
      <c r="T90" s="14">
        <f t="shared" si="18"/>
        <v>0.14642404135658776</v>
      </c>
      <c r="U90" s="15">
        <f t="shared" si="19"/>
        <v>0.2995494190810481</v>
      </c>
    </row>
    <row r="91" spans="1:21" s="14" customFormat="1" x14ac:dyDescent="0.3">
      <c r="A91" s="20" t="s">
        <v>175</v>
      </c>
      <c r="B91" s="14" t="s">
        <v>69</v>
      </c>
      <c r="C91" s="14" t="s">
        <v>72</v>
      </c>
      <c r="D91" s="14">
        <v>650</v>
      </c>
      <c r="E91" s="14">
        <v>0.51</v>
      </c>
      <c r="F91" s="14">
        <v>32</v>
      </c>
      <c r="G91" s="9">
        <v>2.8830130839334498E-3</v>
      </c>
      <c r="H91" s="9">
        <v>0.99711698691606698</v>
      </c>
      <c r="I91" s="9">
        <v>0</v>
      </c>
      <c r="J91" s="14">
        <v>12.9298297517514</v>
      </c>
      <c r="K91" s="14">
        <v>5.018165008717E-3</v>
      </c>
      <c r="L91" s="14">
        <v>0</v>
      </c>
      <c r="M91" s="14">
        <f t="shared" si="13"/>
        <v>1.3092915914370866</v>
      </c>
      <c r="N91" s="14">
        <f t="shared" si="14"/>
        <v>0.63076529806001136</v>
      </c>
      <c r="O91" s="9">
        <f t="shared" si="15"/>
        <v>8.1556879172286756</v>
      </c>
      <c r="P91" s="9">
        <f t="shared" si="16"/>
        <v>3.1652843474376979E-3</v>
      </c>
      <c r="Q91" s="9">
        <f t="shared" si="17"/>
        <v>0</v>
      </c>
      <c r="R91" s="10">
        <f>G91*EXP(-O91*Fperm!$N$2) + H91*EXP(-P91*Fperm!$N$2) + I91*EXP(-Q91*Fperm!$N$2)</f>
        <v>0.72657351408182536</v>
      </c>
      <c r="S91" s="14">
        <f>G91*EXP(-J91*Fperm!$N$2) + H91*EXP(-K91*Fperm!$N$2) + I91*EXP(-L91*Fperm!$N$2)</f>
        <v>0.60368443399959926</v>
      </c>
      <c r="T91" s="14">
        <f t="shared" si="18"/>
        <v>0.1228890800822261</v>
      </c>
      <c r="U91" s="15">
        <f t="shared" si="19"/>
        <v>0.20356509653238414</v>
      </c>
    </row>
    <row r="92" spans="1:21" s="14" customFormat="1" x14ac:dyDescent="0.3">
      <c r="A92" s="20" t="s">
        <v>176</v>
      </c>
      <c r="B92" s="14" t="s">
        <v>69</v>
      </c>
      <c r="C92" s="14" t="s">
        <v>73</v>
      </c>
      <c r="D92" s="14">
        <v>400</v>
      </c>
      <c r="E92" s="14">
        <v>0.91698161663907596</v>
      </c>
      <c r="F92" s="14">
        <v>32</v>
      </c>
      <c r="G92" s="9">
        <v>1.09608970096926E-2</v>
      </c>
      <c r="H92" s="9">
        <v>0.98903910299030795</v>
      </c>
      <c r="I92" s="9">
        <v>0</v>
      </c>
      <c r="J92" s="14">
        <v>1.7337630335001</v>
      </c>
      <c r="K92" s="14">
        <v>4.7903528521780004E-3</v>
      </c>
      <c r="L92" s="14">
        <v>0</v>
      </c>
      <c r="M92" s="14">
        <f t="shared" si="13"/>
        <v>1.3092915914370866</v>
      </c>
      <c r="N92" s="14">
        <f t="shared" si="14"/>
        <v>0.63076529806001136</v>
      </c>
      <c r="O92" s="9">
        <f t="shared" si="15"/>
        <v>1.09359755659112</v>
      </c>
      <c r="P92" s="9">
        <f t="shared" si="16"/>
        <v>3.0215883446166819E-3</v>
      </c>
      <c r="Q92" s="9">
        <f t="shared" si="17"/>
        <v>0</v>
      </c>
      <c r="R92" s="10">
        <f>G92*EXP(-O92*Fperm!$N$2) + H92*EXP(-P92*Fperm!$N$2) + I92*EXP(-Q92*Fperm!$N$2)</f>
        <v>0.73111812052888914</v>
      </c>
      <c r="S92" s="14">
        <f>G92*EXP(-J92*Fperm!$N$2) + H92*EXP(-K92*Fperm!$N$2) + I92*EXP(-L92*Fperm!$N$2)</f>
        <v>0.61259166203895954</v>
      </c>
      <c r="T92" s="14">
        <f t="shared" si="18"/>
        <v>0.1185264584899296</v>
      </c>
      <c r="U92" s="15">
        <f t="shared" si="19"/>
        <v>0.19348363001779081</v>
      </c>
    </row>
    <row r="93" spans="1:21" s="14" customFormat="1" x14ac:dyDescent="0.3">
      <c r="A93" s="20" t="s">
        <v>177</v>
      </c>
      <c r="B93" s="14" t="s">
        <v>69</v>
      </c>
      <c r="C93" s="14" t="s">
        <v>74</v>
      </c>
      <c r="D93" s="14">
        <v>525</v>
      </c>
      <c r="E93" s="14">
        <v>0.75733301804065301</v>
      </c>
      <c r="F93" s="14">
        <v>32</v>
      </c>
      <c r="G93" s="9">
        <v>4.3355499963046501E-3</v>
      </c>
      <c r="H93" s="9">
        <v>0.99566445000369597</v>
      </c>
      <c r="I93" s="9">
        <v>0</v>
      </c>
      <c r="J93" s="14">
        <v>3.7972706201197299</v>
      </c>
      <c r="K93" s="14">
        <v>3.7928133804489999E-3</v>
      </c>
      <c r="L93" s="14">
        <v>0</v>
      </c>
      <c r="M93" s="14">
        <f t="shared" si="13"/>
        <v>1.3092915914370866</v>
      </c>
      <c r="N93" s="14">
        <f t="shared" si="14"/>
        <v>0.63076529806001136</v>
      </c>
      <c r="O93" s="9">
        <f t="shared" si="15"/>
        <v>2.3951865345143455</v>
      </c>
      <c r="P93" s="9">
        <f t="shared" si="16"/>
        <v>2.3923750624049128E-3</v>
      </c>
      <c r="Q93" s="9">
        <f t="shared" si="17"/>
        <v>0</v>
      </c>
      <c r="R93" s="10">
        <f>G93*EXP(-O93*Fperm!$N$2) + H93*EXP(-P93*Fperm!$N$2) + I93*EXP(-Q93*Fperm!$N$2)</f>
        <v>0.78381482276159231</v>
      </c>
      <c r="S93" s="14">
        <f>G93*EXP(-J93*Fperm!$N$2) + H93*EXP(-K93*Fperm!$N$2) + I93*EXP(-L93*Fperm!$N$2)</f>
        <v>0.68138600416282624</v>
      </c>
      <c r="T93" s="14">
        <f t="shared" si="18"/>
        <v>0.10242881859876607</v>
      </c>
      <c r="U93" s="15">
        <f t="shared" si="19"/>
        <v>0.15032421853837982</v>
      </c>
    </row>
    <row r="94" spans="1:21" s="14" customFormat="1" x14ac:dyDescent="0.3">
      <c r="A94" s="20" t="s">
        <v>178</v>
      </c>
      <c r="B94" s="14" t="s">
        <v>69</v>
      </c>
      <c r="C94" s="14" t="s">
        <v>74</v>
      </c>
      <c r="D94" s="14">
        <v>650</v>
      </c>
      <c r="E94" s="14">
        <v>0.65861856876188196</v>
      </c>
      <c r="F94" s="14">
        <v>32</v>
      </c>
      <c r="G94" s="9">
        <v>1.47513249807248E-2</v>
      </c>
      <c r="H94" s="9">
        <v>0.98524867501927504</v>
      </c>
      <c r="I94" s="9">
        <v>0</v>
      </c>
      <c r="J94" s="14">
        <v>1.59349043595132</v>
      </c>
      <c r="K94" s="14">
        <v>6.8218757413199998E-4</v>
      </c>
      <c r="L94" s="14">
        <v>0</v>
      </c>
      <c r="M94" s="14">
        <f t="shared" si="13"/>
        <v>1.3092915914370866</v>
      </c>
      <c r="N94" s="14">
        <f t="shared" si="14"/>
        <v>0.63076529806001136</v>
      </c>
      <c r="O94" s="9">
        <f t="shared" si="15"/>
        <v>1.0051184697886117</v>
      </c>
      <c r="P94" s="9">
        <f t="shared" si="16"/>
        <v>4.3030024853020704E-4</v>
      </c>
      <c r="Q94" s="9">
        <f t="shared" si="17"/>
        <v>0</v>
      </c>
      <c r="R94" s="10">
        <f>G94*EXP(-O94*Fperm!$N$2) + H94*EXP(-P94*Fperm!$N$2) + I94*EXP(-Q94*Fperm!$N$2)</f>
        <v>0.94375259139117262</v>
      </c>
      <c r="S94" s="14">
        <f>G94*EXP(-J94*Fperm!$N$2) + H94*EXP(-K94*Fperm!$N$2) + I94*EXP(-L94*Fperm!$N$2)</f>
        <v>0.92027755415619927</v>
      </c>
      <c r="T94" s="14">
        <f t="shared" si="18"/>
        <v>2.347503723497335E-2</v>
      </c>
      <c r="U94" s="15">
        <f t="shared" si="19"/>
        <v>2.5508649134116466E-2</v>
      </c>
    </row>
    <row r="95" spans="1:21" s="14" customFormat="1" x14ac:dyDescent="0.3">
      <c r="A95" s="20" t="s">
        <v>179</v>
      </c>
      <c r="B95" s="14" t="s">
        <v>69</v>
      </c>
      <c r="C95" s="14" t="s">
        <v>74</v>
      </c>
      <c r="D95" s="14">
        <v>650</v>
      </c>
      <c r="E95" s="14">
        <v>0.42957256929716497</v>
      </c>
      <c r="F95" s="14">
        <v>32</v>
      </c>
      <c r="G95" s="9">
        <v>3.1427369476387701E-3</v>
      </c>
      <c r="H95" s="9">
        <v>0.996857263052361</v>
      </c>
      <c r="I95" s="9">
        <v>0</v>
      </c>
      <c r="J95" s="14">
        <v>8.5766959478779903</v>
      </c>
      <c r="K95" s="14">
        <v>1.9838393460469999E-3</v>
      </c>
      <c r="L95" s="14">
        <v>0</v>
      </c>
      <c r="M95" s="14">
        <f t="shared" si="13"/>
        <v>1.3092915914370866</v>
      </c>
      <c r="N95" s="14">
        <f t="shared" si="14"/>
        <v>0.63076529806001136</v>
      </c>
      <c r="O95" s="9">
        <f t="shared" si="15"/>
        <v>5.409882175933352</v>
      </c>
      <c r="P95" s="9">
        <f t="shared" si="16"/>
        <v>1.2513370164125139E-3</v>
      </c>
      <c r="Q95" s="9">
        <f t="shared" si="17"/>
        <v>0</v>
      </c>
      <c r="R95" s="10">
        <f>G95*EXP(-O95*Fperm!$N$2) + H95*EXP(-P95*Fperm!$N$2) + I95*EXP(-Q95*Fperm!$N$2)</f>
        <v>0.87960583435663398</v>
      </c>
      <c r="S95" s="14">
        <f>G95*EXP(-J95*Fperm!$N$2) + H95*EXP(-K95*Fperm!$N$2) + I95*EXP(-L95*Fperm!$N$2)</f>
        <v>0.81747772824301868</v>
      </c>
      <c r="T95" s="14">
        <f t="shared" si="18"/>
        <v>6.21281061136153E-2</v>
      </c>
      <c r="U95" s="15">
        <f t="shared" si="19"/>
        <v>7.5999753836897124E-2</v>
      </c>
    </row>
  </sheetData>
  <mergeCells count="3">
    <mergeCell ref="M6:R6"/>
    <mergeCell ref="G7:L7"/>
    <mergeCell ref="O7:Q7"/>
  </mergeCells>
  <phoneticPr fontId="37" type="noConversion"/>
  <conditionalFormatting sqref="R9:R95">
    <cfRule type="dataBar" priority="2">
      <dataBar>
        <cfvo type="min"/>
        <cfvo type="max"/>
        <color rgb="FF638EC6"/>
      </dataBar>
      <extLst>
        <ext xmlns:x14="http://schemas.microsoft.com/office/spreadsheetml/2009/9/main" uri="{B025F937-C7B1-47D3-B67F-A62EFF666E3E}">
          <x14:id>{6EB6F1EC-4270-48F6-8A52-3955D9D1945B}</x14:id>
        </ext>
      </extLst>
    </cfRule>
  </conditionalFormatting>
  <conditionalFormatting sqref="E9:E95">
    <cfRule type="dataBar" priority="1">
      <dataBar>
        <cfvo type="min"/>
        <cfvo type="max"/>
        <color rgb="FF63C384"/>
      </dataBar>
      <extLst>
        <ext xmlns:x14="http://schemas.microsoft.com/office/spreadsheetml/2009/9/main" uri="{B025F937-C7B1-47D3-B67F-A62EFF666E3E}">
          <x14:id>{599DB483-CC30-4999-852F-3669022F204D}</x14:id>
        </ext>
      </extLs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drawing r:id="rId2"/>
  <legacyDrawing r:id="rId3"/>
  <extLst>
    <ext xmlns:x14="http://schemas.microsoft.com/office/spreadsheetml/2009/9/main" uri="{78C0D931-6437-407d-A8EE-F0AAD7539E65}">
      <x14:conditionalFormattings>
        <x14:conditionalFormatting xmlns:xm="http://schemas.microsoft.com/office/excel/2006/main">
          <x14:cfRule type="dataBar" id="{6EB6F1EC-4270-48F6-8A52-3955D9D1945B}">
            <x14:dataBar minLength="0" maxLength="100" border="1" negativeBarBorderColorSameAsPositive="0">
              <x14:cfvo type="autoMin"/>
              <x14:cfvo type="autoMax"/>
              <x14:borderColor rgb="FF638EC6"/>
              <x14:negativeFillColor rgb="FFFF0000"/>
              <x14:negativeBorderColor rgb="FFFF0000"/>
              <x14:axisColor rgb="FF000000"/>
            </x14:dataBar>
          </x14:cfRule>
          <xm:sqref>R9:R95</xm:sqref>
        </x14:conditionalFormatting>
        <x14:conditionalFormatting xmlns:xm="http://schemas.microsoft.com/office/excel/2006/main">
          <x14:cfRule type="dataBar" id="{599DB483-CC30-4999-852F-3669022F204D}">
            <x14:dataBar minLength="0" maxLength="100" gradient="0">
              <x14:cfvo type="autoMin"/>
              <x14:cfvo type="autoMax"/>
              <x14:negativeFillColor rgb="FFFF0000"/>
              <x14:axisColor rgb="FF000000"/>
            </x14:dataBar>
          </x14:cfRule>
          <xm:sqref>E9:E95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Y95"/>
  <sheetViews>
    <sheetView zoomScale="70" zoomScaleNormal="70" workbookViewId="0">
      <selection activeCell="F6" sqref="F6"/>
    </sheetView>
  </sheetViews>
  <sheetFormatPr defaultRowHeight="14.4" x14ac:dyDescent="0.3"/>
  <cols>
    <col min="1" max="1" width="20.88671875" customWidth="1"/>
    <col min="2" max="2" width="20.33203125" customWidth="1"/>
    <col min="3" max="3" width="10.44140625" bestFit="1" customWidth="1"/>
  </cols>
  <sheetData>
    <row r="2" spans="1:25" x14ac:dyDescent="0.3">
      <c r="H2" t="s">
        <v>76</v>
      </c>
      <c r="I2" t="s">
        <v>77</v>
      </c>
    </row>
    <row r="3" spans="1:25" x14ac:dyDescent="0.3">
      <c r="C3" t="s">
        <v>180</v>
      </c>
      <c r="H3" s="1" t="s">
        <v>75</v>
      </c>
      <c r="I3" s="1" t="s">
        <v>79</v>
      </c>
      <c r="J3" s="1" t="s">
        <v>78</v>
      </c>
      <c r="K3" s="1" t="s">
        <v>32</v>
      </c>
    </row>
    <row r="4" spans="1:25" x14ac:dyDescent="0.3">
      <c r="A4" t="str">
        <f>Fperm!B9</f>
        <v>Budai, A., Rasse, D. P., Lagomarsino, A., Lerch, T. Z. &amp; Paruch, L. Biochar persistence, priming and microbial responses to pyrolysis temperature series. Biol. Fertil. Soils 52, 749-761 (2016).</v>
      </c>
      <c r="B4" t="str">
        <f>Fperm!C9</f>
        <v>Corn cob</v>
      </c>
      <c r="C4" s="23">
        <f>SUM(Fperm!G9:I9)</f>
        <v>1.0000000000000002</v>
      </c>
      <c r="E4" t="s">
        <v>181</v>
      </c>
      <c r="H4">
        <v>15</v>
      </c>
      <c r="I4">
        <v>14.9</v>
      </c>
      <c r="J4">
        <f>1.1+63.1579*(EXP(-0.19*I4)-EXP(-0.19*H4))/(H4-I4)</f>
        <v>1.8007681242081377</v>
      </c>
      <c r="K4">
        <f>EXP(LN(J4)*(I4-H4)/10)</f>
        <v>0.994135132779422</v>
      </c>
    </row>
    <row r="5" spans="1:25" x14ac:dyDescent="0.3">
      <c r="A5" t="str">
        <f>Fperm!B10</f>
        <v>Budai, A., Rasse, D. P., Lagomarsino, A., Lerch, T. Z. &amp; Paruch, L. Biochar persistence, priming and microbial responses to pyrolysis temperature series. Biol. Fertil. Soils 52, 749-761 (2016).</v>
      </c>
      <c r="B5" t="str">
        <f>Fperm!C10</f>
        <v>Corn cob</v>
      </c>
      <c r="C5" s="23">
        <f>SUM(Fperm!G10:I10)</f>
        <v>1</v>
      </c>
      <c r="E5">
        <f>COUNTIF(Fperm!I9:I95,0)</f>
        <v>81</v>
      </c>
      <c r="F5" t="s">
        <v>183</v>
      </c>
      <c r="H5">
        <v>16</v>
      </c>
      <c r="I5">
        <v>14.9</v>
      </c>
      <c r="J5">
        <f t="shared" ref="J5:J24" si="0">1.1+63.1579*(EXP(-0.19*I5)-EXP(-0.19*H5))/(H5-I5)</f>
        <v>1.738410435105584</v>
      </c>
      <c r="K5">
        <f t="shared" ref="K5:K24" si="1">EXP(LN(J5)*(I5-H5)/10)</f>
        <v>0.9409861792631552</v>
      </c>
    </row>
    <row r="6" spans="1:25" x14ac:dyDescent="0.3">
      <c r="A6" t="str">
        <f>Fperm!B11</f>
        <v>Budai, A., Rasse, D. P., Lagomarsino, A., Lerch, T. Z. &amp; Paruch, L. Biochar persistence, priming and microbial responses to pyrolysis temperature series. Biol. Fertil. Soils 52, 749-761 (2016).</v>
      </c>
      <c r="B6" t="str">
        <f>Fperm!C11</f>
        <v>Corn cob</v>
      </c>
      <c r="C6" s="23">
        <f>SUM(Fperm!G11:I11)</f>
        <v>0.99999999999999967</v>
      </c>
      <c r="E6">
        <f>COUNTIF(Fperm!I9:I95,"&gt;0")</f>
        <v>6</v>
      </c>
      <c r="F6" t="s">
        <v>182</v>
      </c>
      <c r="H6">
        <v>17</v>
      </c>
      <c r="I6">
        <v>14.9</v>
      </c>
      <c r="J6">
        <f t="shared" si="0"/>
        <v>1.6833495681304598</v>
      </c>
      <c r="K6">
        <f t="shared" si="1"/>
        <v>0.89640319232271748</v>
      </c>
      <c r="X6" t="s">
        <v>83</v>
      </c>
      <c r="Y6" t="s">
        <v>84</v>
      </c>
    </row>
    <row r="7" spans="1:25" x14ac:dyDescent="0.3">
      <c r="A7" t="str">
        <f>Fperm!B12</f>
        <v>Budai, A., Rasse, D. P., Lagomarsino, A., Lerch, T. Z. &amp; Paruch, L. Biochar persistence, priming and microbial responses to pyrolysis temperature series. Biol. Fertil. Soils 52, 749-761 (2016).</v>
      </c>
      <c r="B7" t="str">
        <f>Fperm!C12</f>
        <v>Corn cob</v>
      </c>
      <c r="C7" s="23">
        <f>SUM(Fperm!G12:I12)</f>
        <v>0.99999999999999978</v>
      </c>
      <c r="H7">
        <v>18</v>
      </c>
      <c r="I7">
        <v>14.9</v>
      </c>
      <c r="J7">
        <f t="shared" si="0"/>
        <v>1.6346303068279529</v>
      </c>
      <c r="K7">
        <f t="shared" si="1"/>
        <v>0.85869698992785715</v>
      </c>
      <c r="X7">
        <v>0</v>
      </c>
      <c r="Y7">
        <v>0</v>
      </c>
    </row>
    <row r="8" spans="1:25" x14ac:dyDescent="0.3">
      <c r="A8" t="str">
        <f>Fperm!B13</f>
        <v>Budai, A., Rasse, D. P., Lagomarsino, A., Lerch, T. Z. &amp; Paruch, L. Biochar persistence, priming and microbial responses to pyrolysis temperature series. Biol. Fertil. Soils 52, 749-761 (2016).</v>
      </c>
      <c r="B8" t="str">
        <f>Fperm!C13</f>
        <v>Corn cob</v>
      </c>
      <c r="C8" s="23">
        <f>SUM(Fperm!G13:I13)</f>
        <v>1.0000000000000002</v>
      </c>
      <c r="H8">
        <v>19</v>
      </c>
      <c r="I8">
        <v>14.9</v>
      </c>
      <c r="J8">
        <f t="shared" si="0"/>
        <v>1.5914304406345123</v>
      </c>
      <c r="K8">
        <f t="shared" si="1"/>
        <v>0.82654605809954718</v>
      </c>
      <c r="X8">
        <v>1</v>
      </c>
      <c r="Y8">
        <v>1</v>
      </c>
    </row>
    <row r="9" spans="1:25" x14ac:dyDescent="0.3">
      <c r="A9" t="str">
        <f>Fperm!B14</f>
        <v>Budai, A., Rasse, D. P., Lagomarsino, A., Lerch, T. Z. &amp; Paruch, L. Biochar persistence, priming and microbial responses to pyrolysis temperature series. Biol. Fertil. Soils 52, 749-761 (2016).</v>
      </c>
      <c r="B9" t="str">
        <f>Fperm!C14</f>
        <v>Miscanthus</v>
      </c>
      <c r="C9" s="23">
        <f>SUM(Fperm!G14:I14)</f>
        <v>0.99999999999999989</v>
      </c>
      <c r="H9">
        <v>20</v>
      </c>
      <c r="I9">
        <v>14.9</v>
      </c>
      <c r="J9">
        <f t="shared" si="0"/>
        <v>1.5530415047033828</v>
      </c>
      <c r="K9">
        <f t="shared" si="1"/>
        <v>0.7989077574730733</v>
      </c>
    </row>
    <row r="10" spans="1:25" x14ac:dyDescent="0.3">
      <c r="A10" t="str">
        <f>Fperm!B15</f>
        <v>Budai, A., Rasse, D. P., Lagomarsino, A., Lerch, T. Z. &amp; Paruch, L. Biochar persistence, priming and microbial responses to pyrolysis temperature series. Biol. Fertil. Soils 52, 749-761 (2016).</v>
      </c>
      <c r="B10" t="str">
        <f>Fperm!C15</f>
        <v>Miscanthus</v>
      </c>
      <c r="C10" s="23">
        <f>SUM(Fperm!G15:I15)</f>
        <v>1.0000000000000002</v>
      </c>
      <c r="H10">
        <v>21</v>
      </c>
      <c r="I10">
        <v>14.9</v>
      </c>
      <c r="J10">
        <f t="shared" si="0"/>
        <v>1.5188523854743676</v>
      </c>
      <c r="K10">
        <f t="shared" si="1"/>
        <v>0.77495324964691226</v>
      </c>
    </row>
    <row r="11" spans="1:25" x14ac:dyDescent="0.3">
      <c r="A11" t="str">
        <f>Fperm!B16</f>
        <v>Budai, A., Rasse, D. P., Lagomarsino, A., Lerch, T. Z. &amp; Paruch, L. Biochar persistence, priming and microbial responses to pyrolysis temperature series. Biol. Fertil. Soils 52, 749-761 (2016).</v>
      </c>
      <c r="B11" t="str">
        <f>Fperm!C16</f>
        <v>Miscanthus</v>
      </c>
      <c r="C11" s="23">
        <f>SUM(Fperm!G16:I16)</f>
        <v>1.0000000000000002</v>
      </c>
      <c r="H11">
        <v>22</v>
      </c>
      <c r="I11">
        <v>14.9</v>
      </c>
      <c r="J11">
        <f t="shared" si="0"/>
        <v>1.4883353570075042</v>
      </c>
      <c r="K11">
        <f t="shared" si="1"/>
        <v>0.75401924864046288</v>
      </c>
    </row>
    <row r="12" spans="1:25" x14ac:dyDescent="0.3">
      <c r="A12" t="str">
        <f>Fperm!B17</f>
        <v>Budai, A., Rasse, D. P., Lagomarsino, A., Lerch, T. Z. &amp; Paruch, L. Biochar persistence, priming and microbial responses to pyrolysis temperature series. Biol. Fertil. Soils 52, 749-761 (2016).</v>
      </c>
      <c r="B12" t="str">
        <f>Fperm!C17</f>
        <v>Miscanthus</v>
      </c>
      <c r="C12" s="23">
        <f>SUM(Fperm!G17:I17)</f>
        <v>0.99999999999999989</v>
      </c>
      <c r="H12">
        <v>23</v>
      </c>
      <c r="I12">
        <v>14.9</v>
      </c>
      <c r="J12">
        <f t="shared" si="0"/>
        <v>1.4610341801397224</v>
      </c>
      <c r="K12">
        <f t="shared" si="1"/>
        <v>0.73557184100323914</v>
      </c>
    </row>
    <row r="13" spans="1:25" x14ac:dyDescent="0.3">
      <c r="A13" t="str">
        <f>Fperm!B18</f>
        <v>Budai, A., Rasse, D. P., Lagomarsino, A., Lerch, T. Z. &amp; Paruch, L. Biochar persistence, priming and microbial responses to pyrolysis temperature series. Biol. Fertil. Soils 52, 749-761 (2016).</v>
      </c>
      <c r="B13" t="str">
        <f>Fperm!C18</f>
        <v>Miscanthus</v>
      </c>
      <c r="C13" s="23">
        <f>SUM(Fperm!G18:I18)</f>
        <v>0.99999999999999956</v>
      </c>
      <c r="H13">
        <v>24</v>
      </c>
      <c r="I13">
        <v>14.9</v>
      </c>
      <c r="J13">
        <f t="shared" si="0"/>
        <v>1.4365539531053537</v>
      </c>
      <c r="K13">
        <f t="shared" si="1"/>
        <v>0.71917905902830548</v>
      </c>
    </row>
    <row r="14" spans="1:25" x14ac:dyDescent="0.3">
      <c r="A14" t="str">
        <f>Fperm!B19</f>
        <v>Budai, A., Rasse, D. P., Lagomarsino, A., Lerch, T. Z. &amp; Paruch, L. Biochar persistence, priming and microbial responses to pyrolysis temperature series. Biol. Fertil. Soils 52, 749-761 (2016).</v>
      </c>
      <c r="B14" t="str">
        <f>Fperm!C19</f>
        <v>Miscanthus</v>
      </c>
      <c r="C14" s="23">
        <f>SUM(Fperm!G19:I19)</f>
        <v>0.99999999999999989</v>
      </c>
      <c r="H14">
        <v>25</v>
      </c>
      <c r="I14">
        <v>14.9</v>
      </c>
      <c r="J14">
        <f t="shared" si="0"/>
        <v>1.414552450032931</v>
      </c>
      <c r="K14">
        <f t="shared" si="1"/>
        <v>0.70448987245862715</v>
      </c>
    </row>
    <row r="15" spans="1:25" x14ac:dyDescent="0.3">
      <c r="A15" s="24" t="str">
        <f>Fperm!B20</f>
        <v>Dharmakeerthi, R. S., Hanley, K., Whitman, T., Woolf, D., &amp; Lehmann, J. (2015). Organic carbon dynamics in soils with pyrogenic organic matter that received plant residue additions over seven years. Soil Biology and Biochemistry, 88, 268-274.</v>
      </c>
      <c r="B15" s="24" t="str">
        <f>Fperm!C20</f>
        <v>mango wood</v>
      </c>
      <c r="C15" s="25">
        <f>SUM(Fperm!G20:I20)</f>
        <v>0.99911300000000003</v>
      </c>
      <c r="H15">
        <v>26</v>
      </c>
      <c r="I15">
        <v>14.9</v>
      </c>
      <c r="J15">
        <f t="shared" si="0"/>
        <v>1.3947327240777447</v>
      </c>
      <c r="K15">
        <f t="shared" si="1"/>
        <v>0.6912179383096877</v>
      </c>
    </row>
    <row r="16" spans="1:25" x14ac:dyDescent="0.3">
      <c r="A16" s="24" t="str">
        <f>Fperm!B21</f>
        <v>Dharmakeerthi, R. S., Hanley, K., Whitman, T., Woolf, D., &amp; Lehmann, J. (2015). Organic carbon dynamics in soils with pyrogenic organic matter that received plant residue additions over seven years. Soil Biology and Biochemistry, 88, 268-274.</v>
      </c>
      <c r="B16" s="24" t="str">
        <f>Fperm!C21</f>
        <v>mango wood</v>
      </c>
      <c r="C16" s="25">
        <f>SUM(Fperm!G21:I21)</f>
        <v>1.0001199999999999</v>
      </c>
      <c r="H16">
        <v>27</v>
      </c>
      <c r="I16">
        <v>14.9</v>
      </c>
      <c r="J16">
        <f t="shared" si="0"/>
        <v>1.376836786038101</v>
      </c>
      <c r="K16">
        <f t="shared" si="1"/>
        <v>0.67912891611330328</v>
      </c>
    </row>
    <row r="17" spans="1:11" x14ac:dyDescent="0.3">
      <c r="A17" t="str">
        <f>Fperm!B22</f>
        <v>Fang, Y., Singh, B., Singh, B. P., &amp; Krull, E. (2014). Biochar carbon stability in four contrasting soils. European Journal of Soil Science, 65(1), 60-71.</v>
      </c>
      <c r="B17" t="str">
        <f>Fperm!C22</f>
        <v>Eucalyptus wood 450C</v>
      </c>
      <c r="C17" s="23">
        <f>SUM(Fperm!G22:I22)</f>
        <v>1</v>
      </c>
      <c r="H17">
        <v>28</v>
      </c>
      <c r="I17">
        <v>14.9</v>
      </c>
      <c r="J17">
        <f t="shared" si="0"/>
        <v>1.3606401981143872</v>
      </c>
      <c r="K17">
        <f t="shared" si="1"/>
        <v>0.66803048317400593</v>
      </c>
    </row>
    <row r="18" spans="1:11" x14ac:dyDescent="0.3">
      <c r="A18" t="str">
        <f>Fperm!B23</f>
        <v>Fang, Y., Singh, B., Singh, B. P., &amp; Krull, E. (2014). Biochar carbon stability in four contrasting soils. European Journal of Soil Science, 65(1), 60-71.</v>
      </c>
      <c r="B18" t="str">
        <f>Fperm!C23</f>
        <v>Eucalyptus wood 550C</v>
      </c>
      <c r="C18" s="23">
        <f>SUM(Fperm!G23:I23)</f>
        <v>1</v>
      </c>
      <c r="H18">
        <v>29</v>
      </c>
      <c r="I18">
        <v>14.9</v>
      </c>
      <c r="J18">
        <f t="shared" si="0"/>
        <v>1.3459474468299977</v>
      </c>
      <c r="K18">
        <f t="shared" si="1"/>
        <v>0.65776441547020459</v>
      </c>
    </row>
    <row r="19" spans="1:11" x14ac:dyDescent="0.3">
      <c r="A19" t="str">
        <f>Fperm!B24</f>
        <v>Fang, Y., Singh, B., Singh, B. P., &amp; Krull, E. (2014). Biochar carbon stability in four contrasting soils. European Journal of Soil Science, 65(1), 60-71.</v>
      </c>
      <c r="B19" t="str">
        <f>Fperm!C24</f>
        <v>Eucalyptus wood 450C</v>
      </c>
      <c r="C19" s="23">
        <f>SUM(Fperm!G24:I24)</f>
        <v>1</v>
      </c>
      <c r="H19">
        <v>30</v>
      </c>
      <c r="I19">
        <v>14.9</v>
      </c>
      <c r="J19">
        <f t="shared" si="0"/>
        <v>1.3325879797374403</v>
      </c>
      <c r="K19">
        <f t="shared" si="1"/>
        <v>0.64820026436440326</v>
      </c>
    </row>
    <row r="20" spans="1:11" x14ac:dyDescent="0.3">
      <c r="A20" t="str">
        <f>Fperm!B25</f>
        <v>Fang, Y., Singh, B., Singh, B. P., &amp; Krull, E. (2014). Biochar carbon stability in four contrasting soils. European Journal of Soil Science, 65(1), 60-71.</v>
      </c>
      <c r="B20" t="str">
        <f>Fperm!C25</f>
        <v>Eucalyptus wood 550C</v>
      </c>
      <c r="C20" s="23">
        <f>SUM(Fperm!G25:I25)</f>
        <v>1</v>
      </c>
      <c r="H20">
        <v>31</v>
      </c>
      <c r="I20">
        <v>14.9</v>
      </c>
      <c r="J20">
        <f t="shared" si="0"/>
        <v>1.3204128079674344</v>
      </c>
      <c r="K20">
        <f t="shared" si="1"/>
        <v>0.63923027750799555</v>
      </c>
    </row>
    <row r="21" spans="1:11" x14ac:dyDescent="0.3">
      <c r="A21" t="str">
        <f>Fperm!B26</f>
        <v>Fang, Y., Singh, B., Singh, B. P., &amp; Krull, E. (2014). Biochar carbon stability in four contrasting soils. European Journal of Soil Science, 65(1), 60-71.</v>
      </c>
      <c r="B21" t="str">
        <f>Fperm!C26</f>
        <v>Eucalyptus wood 450C</v>
      </c>
      <c r="C21" s="23">
        <f>SUM(Fperm!G26:I26)</f>
        <v>1</v>
      </c>
      <c r="H21">
        <v>32</v>
      </c>
      <c r="I21">
        <v>14.9</v>
      </c>
      <c r="J21">
        <f t="shared" si="0"/>
        <v>1.3092915914370866</v>
      </c>
      <c r="K21">
        <f t="shared" si="1"/>
        <v>0.63076529806001136</v>
      </c>
    </row>
    <row r="22" spans="1:11" x14ac:dyDescent="0.3">
      <c r="A22" t="str">
        <f>Fperm!B27</f>
        <v>Fang, Y., Singh, B., Singh, B. P., &amp; Krull, E. (2014). Biochar carbon stability in four contrasting soils. European Journal of Soil Science, 65(1), 60-71.</v>
      </c>
      <c r="B22" t="str">
        <f>Fperm!C27</f>
        <v>Eucalyptus wood 550C</v>
      </c>
      <c r="C22" s="23">
        <f>SUM(Fperm!G27:I27)</f>
        <v>1</v>
      </c>
      <c r="H22">
        <v>33</v>
      </c>
      <c r="I22">
        <v>14.9</v>
      </c>
      <c r="J22">
        <f t="shared" si="0"/>
        <v>1.2991101360312851</v>
      </c>
      <c r="K22">
        <f t="shared" si="1"/>
        <v>0.62273143911214768</v>
      </c>
    </row>
    <row r="23" spans="1:11" x14ac:dyDescent="0.3">
      <c r="A23" t="str">
        <f>Fperm!B28</f>
        <v>Fang, Y., Singh, B., Singh, B. P., &amp; Krull, E. (2014). Biochar carbon stability in four contrasting soils. European Journal of Soil Science, 65(1), 60-71.</v>
      </c>
      <c r="B23" t="str">
        <f>Fperm!C28</f>
        <v>Eucalyptus wood 450C</v>
      </c>
      <c r="C23" s="23">
        <f>SUM(Fperm!G28:I28)</f>
        <v>1</v>
      </c>
      <c r="H23">
        <v>34</v>
      </c>
      <c r="I23">
        <v>14.9</v>
      </c>
      <c r="J23">
        <f t="shared" si="0"/>
        <v>1.2897682426599095</v>
      </c>
      <c r="K23">
        <f t="shared" si="1"/>
        <v>0.6150673766321878</v>
      </c>
    </row>
    <row r="24" spans="1:11" x14ac:dyDescent="0.3">
      <c r="A24" t="str">
        <f>Fperm!B29</f>
        <v>Fang, Y., Singh, B., Singh, B. P., &amp; Krull, E. (2014). Biochar carbon stability in four contrasting soils. European Journal of Soil Science, 65(1), 60-71.</v>
      </c>
      <c r="B24" t="str">
        <f>Fperm!C29</f>
        <v>Eucalyptus wood 550C</v>
      </c>
      <c r="C24" s="23">
        <f>SUM(Fperm!G29:I29)</f>
        <v>1</v>
      </c>
      <c r="H24">
        <v>35</v>
      </c>
      <c r="I24">
        <v>14.9</v>
      </c>
      <c r="J24">
        <f t="shared" si="0"/>
        <v>1.2811778570680086</v>
      </c>
      <c r="K24">
        <f t="shared" si="1"/>
        <v>0.60772213891612614</v>
      </c>
    </row>
    <row r="25" spans="1:11" x14ac:dyDescent="0.3">
      <c r="A25" t="str">
        <f>Fperm!B30</f>
        <v>Fang, Y., Singh, B., Singh, B. P., &amp; Krull, E. (2014). Biochar carbon stability in four contrasting soils. European Journal of Soil Science, 65(1), 60-71.</v>
      </c>
      <c r="B25" t="str">
        <f>Fperm!C30</f>
        <v>Eucalyptus wood 450C</v>
      </c>
      <c r="C25" s="23">
        <f>SUM(Fperm!G30:I30)</f>
        <v>1</v>
      </c>
      <c r="H25">
        <v>14.8</v>
      </c>
      <c r="I25">
        <v>14.9</v>
      </c>
      <c r="J25">
        <f t="shared" ref="J25:J35" si="2">1.1+63.1579*(EXP(-0.19*I25)-EXP(-0.19*H25))/(H25-I25)</f>
        <v>1.8142100121289571</v>
      </c>
      <c r="K25">
        <f t="shared" ref="K25:K35" si="3">EXP(LN(J25)*(I25-H25)/10)</f>
        <v>1.0059742764077524</v>
      </c>
    </row>
    <row r="26" spans="1:11" x14ac:dyDescent="0.3">
      <c r="A26" t="str">
        <f>Fperm!B31</f>
        <v>Fang, Y., Singh, B., Singh, B. P., &amp; Krull, E. (2014). Biochar carbon stability in four contrasting soils. European Journal of Soil Science, 65(1), 60-71.</v>
      </c>
      <c r="B26" t="str">
        <f>Fperm!C31</f>
        <v>Eucalyptus wood 550C</v>
      </c>
      <c r="C26" s="23">
        <f>SUM(Fperm!G31:I31)</f>
        <v>1</v>
      </c>
      <c r="H26">
        <v>14</v>
      </c>
      <c r="I26">
        <v>14.9</v>
      </c>
      <c r="J26">
        <f t="shared" si="2"/>
        <v>1.8715334981388834</v>
      </c>
      <c r="K26">
        <f t="shared" si="3"/>
        <v>1.0580295184211252</v>
      </c>
    </row>
    <row r="27" spans="1:11" x14ac:dyDescent="0.3">
      <c r="A27" t="str">
        <f>Fperm!B32</f>
        <v>Fang, Y., Singh, B., Singh, B. P., &amp; Krull, E. (2014). Biochar carbon stability in four contrasting soils. European Journal of Soil Science, 65(1), 60-71.</v>
      </c>
      <c r="B27" t="str">
        <f>Fperm!C32</f>
        <v>Eucalyptus wood 450C</v>
      </c>
      <c r="C27" s="23">
        <f>SUM(Fperm!G32:I32)</f>
        <v>1</v>
      </c>
      <c r="H27">
        <v>13</v>
      </c>
      <c r="I27">
        <v>14.9</v>
      </c>
      <c r="J27">
        <f t="shared" si="2"/>
        <v>1.951999695017447</v>
      </c>
      <c r="K27">
        <f t="shared" si="3"/>
        <v>1.1355104926010176</v>
      </c>
    </row>
    <row r="28" spans="1:11" x14ac:dyDescent="0.3">
      <c r="A28" t="str">
        <f>Fperm!B33</f>
        <v>Fang, Y., Singh, B., Singh, B. P., &amp; Krull, E. (2014). Biochar carbon stability in four contrasting soils. European Journal of Soil Science, 65(1), 60-71.</v>
      </c>
      <c r="B28" t="str">
        <f>Fperm!C33</f>
        <v>Eucalyptus wood 550C</v>
      </c>
      <c r="C28" s="23">
        <f>SUM(Fperm!G33:I33)</f>
        <v>1</v>
      </c>
      <c r="H28">
        <v>12</v>
      </c>
      <c r="I28">
        <v>14.9</v>
      </c>
      <c r="J28">
        <f t="shared" si="2"/>
        <v>2.0436734667301617</v>
      </c>
      <c r="K28">
        <f t="shared" si="3"/>
        <v>1.2303235495063627</v>
      </c>
    </row>
    <row r="29" spans="1:11" x14ac:dyDescent="0.3">
      <c r="A29" t="str">
        <f>Fperm!B34</f>
        <v>Fang, Y., Singh, B., Singh, B. P., &amp; Krull, E. (2014). Biochar carbon stability in four contrasting soils. European Journal of Soil Science, 65(1), 60-71.</v>
      </c>
      <c r="B29" t="str">
        <f>Fperm!C34</f>
        <v>Eucalyptus wood 450C</v>
      </c>
      <c r="C29" s="23">
        <f>SUM(Fperm!G34:I34)</f>
        <v>1</v>
      </c>
      <c r="H29">
        <v>11</v>
      </c>
      <c r="I29">
        <v>14.9</v>
      </c>
      <c r="J29">
        <f t="shared" si="2"/>
        <v>2.1483120793444761</v>
      </c>
      <c r="K29">
        <f t="shared" si="3"/>
        <v>1.3474664927083861</v>
      </c>
    </row>
    <row r="30" spans="1:11" x14ac:dyDescent="0.3">
      <c r="A30" t="str">
        <f>Fperm!B35</f>
        <v>Fang, Y., Singh, B., Singh, B. P., &amp; Krull, E. (2014). Biochar carbon stability in four contrasting soils. European Journal of Soil Science, 65(1), 60-71.</v>
      </c>
      <c r="B30" t="str">
        <f>Fperm!C35</f>
        <v>Eucalyptus wood 550C</v>
      </c>
      <c r="C30" s="23">
        <f>SUM(Fperm!G35:I35)</f>
        <v>1</v>
      </c>
      <c r="H30">
        <v>10</v>
      </c>
      <c r="I30">
        <v>14.9</v>
      </c>
      <c r="J30">
        <f t="shared" si="2"/>
        <v>2.2679667857549979</v>
      </c>
      <c r="K30">
        <f t="shared" si="3"/>
        <v>1.4936951750137091</v>
      </c>
    </row>
    <row r="31" spans="1:11" x14ac:dyDescent="0.3">
      <c r="A31" t="str">
        <f>Fperm!B36</f>
        <v>Fang, Y., Singh, B., Singh, B. P., &amp; Krull, E. (2014). Biochar carbon stability in four contrasting soils. European Journal of Soil Science, 65(1), 60-71.</v>
      </c>
      <c r="B31" t="str">
        <f>Fperm!C36</f>
        <v>Eucalyptus wood 450C</v>
      </c>
      <c r="C31" s="23">
        <f>SUM(Fperm!G36:I36)</f>
        <v>1</v>
      </c>
      <c r="H31">
        <v>9</v>
      </c>
      <c r="I31">
        <v>14.9</v>
      </c>
      <c r="J31">
        <f t="shared" si="2"/>
        <v>2.4050340674120614</v>
      </c>
      <c r="K31">
        <f t="shared" si="3"/>
        <v>1.6782688245275836</v>
      </c>
    </row>
    <row r="32" spans="1:11" x14ac:dyDescent="0.3">
      <c r="A32" t="str">
        <f>Fperm!B37</f>
        <v>Fang, Y., Singh, B., Singh, B. P., &amp; Krull, E. (2014). Biochar carbon stability in four contrasting soils. European Journal of Soil Science, 65(1), 60-71.</v>
      </c>
      <c r="B32" t="str">
        <f>Fperm!C37</f>
        <v>Eucalyptus wood 550C</v>
      </c>
      <c r="C32" s="23">
        <f>SUM(Fperm!G37:I37)</f>
        <v>1</v>
      </c>
      <c r="H32">
        <v>8</v>
      </c>
      <c r="I32">
        <v>14.9</v>
      </c>
      <c r="J32">
        <f t="shared" si="2"/>
        <v>2.5623160636431175</v>
      </c>
      <c r="K32">
        <f t="shared" si="3"/>
        <v>1.9140644734932042</v>
      </c>
    </row>
    <row r="33" spans="1:11" x14ac:dyDescent="0.3">
      <c r="A33" t="str">
        <f>Fperm!B38</f>
        <v>Fang, Y. et al. Interactive carbon priming, microbial response and biochar persistence in a Vertisol with varied inputs of biochar and labile organic matter. Eur. J. Soil Sci. 70, 960-974 (2019)</v>
      </c>
      <c r="B33" t="str">
        <f>Fperm!C38</f>
        <v>Eucalyptus saligna wood</v>
      </c>
      <c r="C33" s="23">
        <f>SUM(Fperm!G38:I38)</f>
        <v>1.0000000000000002</v>
      </c>
      <c r="H33">
        <v>7</v>
      </c>
      <c r="I33">
        <v>14.9</v>
      </c>
      <c r="J33">
        <f t="shared" si="2"/>
        <v>2.7430918703349847</v>
      </c>
      <c r="K33">
        <f t="shared" si="3"/>
        <v>2.2192686533801886</v>
      </c>
    </row>
    <row r="34" spans="1:11" x14ac:dyDescent="0.3">
      <c r="A34" t="str">
        <f>Fperm!B39</f>
        <v>Fang, Y. et al. Interactive carbon priming, microbial response and biochar persistence in a Vertisol with varied inputs of biochar and labile organic matter. Eur. J. Soil Sci. 70, 960-974 (2019)</v>
      </c>
      <c r="B34" t="str">
        <f>Fperm!C39</f>
        <v>Eucalyptus saligna wood</v>
      </c>
      <c r="C34" s="23">
        <f>SUM(Fperm!G39:I39)</f>
        <v>1.0000000000000007</v>
      </c>
      <c r="H34">
        <v>6</v>
      </c>
      <c r="I34">
        <v>14.9</v>
      </c>
      <c r="J34">
        <f t="shared" si="2"/>
        <v>2.95120170249103</v>
      </c>
      <c r="K34">
        <f t="shared" si="3"/>
        <v>2.6199862648122227</v>
      </c>
    </row>
    <row r="35" spans="1:11" x14ac:dyDescent="0.3">
      <c r="A35" t="str">
        <f>Fperm!B40</f>
        <v>Fang, Y. et al. Interactive carbon priming, microbial response and biochar persistence in a Vertisol with varied inputs of biochar and labile organic matter. Eur. J. Soil Sci. 70, 960-974 (2019)</v>
      </c>
      <c r="B35" t="str">
        <f>Fperm!C40</f>
        <v>Eucalyptus saligna wood</v>
      </c>
      <c r="C35" s="23">
        <f>SUM(Fperm!G40:I40)</f>
        <v>0.99999999999999956</v>
      </c>
      <c r="H35">
        <v>5</v>
      </c>
      <c r="I35">
        <v>14.9</v>
      </c>
      <c r="J35">
        <f t="shared" si="2"/>
        <v>3.1911462868116436</v>
      </c>
      <c r="K35">
        <f t="shared" si="3"/>
        <v>3.1543308699668513</v>
      </c>
    </row>
    <row r="36" spans="1:11" x14ac:dyDescent="0.3">
      <c r="A36" t="str">
        <f>Fperm!B41</f>
        <v>Fang, Y. et al. Interactive carbon priming, microbial response and biochar persistence in a Vertisol with varied inputs of biochar and labile organic matter. Eur. J. Soil Sci. 70, 960-974 (2019)</v>
      </c>
      <c r="B36" t="str">
        <f>Fperm!C41</f>
        <v>Eucalyptus saligna wood</v>
      </c>
      <c r="C36" s="23">
        <f>SUM(Fperm!G41:I41)</f>
        <v>1.0000000000000004</v>
      </c>
      <c r="H36">
        <v>15</v>
      </c>
      <c r="I36">
        <v>12</v>
      </c>
      <c r="J36">
        <f t="shared" ref="J36:J67" si="4">1.1+63.1579*(EXP(-0.19*I36)-EXP(-0.19*H36))/(H36-I36)</f>
        <v>2.0355766219794273</v>
      </c>
      <c r="K36">
        <f t="shared" ref="K36:K67" si="5">EXP(LN(J36)*(I36-H36)/10)</f>
        <v>0.80796726142153541</v>
      </c>
    </row>
    <row r="37" spans="1:11" x14ac:dyDescent="0.3">
      <c r="A37" t="str">
        <f>Fperm!B42</f>
        <v>Fang, Y. et al. Interactive carbon priming, microbial response and biochar persistence in a Vertisol with varied inputs of biochar and labile organic matter. Eur. J. Soil Sci. 70, 960-974 (2019)</v>
      </c>
      <c r="B37" t="str">
        <f>Fperm!C42</f>
        <v>Eucalyptus saligna wood</v>
      </c>
      <c r="C37" s="23">
        <f>SUM(Fperm!G42:I42)</f>
        <v>0.99999999999999978</v>
      </c>
      <c r="H37">
        <v>16</v>
      </c>
      <c r="I37">
        <v>12</v>
      </c>
      <c r="J37">
        <f t="shared" si="4"/>
        <v>1.9597261330334028</v>
      </c>
      <c r="K37">
        <f t="shared" si="5"/>
        <v>0.76405011671378276</v>
      </c>
    </row>
    <row r="38" spans="1:11" x14ac:dyDescent="0.3">
      <c r="A38" t="str">
        <f>Fperm!B43</f>
        <v>Fang, Y. et al. Interactive carbon priming, microbial response and biochar persistence in a Vertisol with varied inputs of biochar and labile organic matter. Eur. J. Soil Sci. 70, 960-974 (2019)</v>
      </c>
      <c r="B38" t="str">
        <f>Fperm!C43</f>
        <v>Eucalyptus saligna wood</v>
      </c>
      <c r="C38" s="23">
        <f>SUM(Fperm!G43:I43)</f>
        <v>0.99999999999999989</v>
      </c>
      <c r="H38">
        <v>17</v>
      </c>
      <c r="I38">
        <v>12</v>
      </c>
      <c r="J38">
        <f t="shared" si="4"/>
        <v>1.8923374293182871</v>
      </c>
      <c r="K38">
        <f t="shared" si="5"/>
        <v>0.72694358802966685</v>
      </c>
    </row>
    <row r="39" spans="1:11" x14ac:dyDescent="0.3">
      <c r="A39" t="str">
        <f>Fperm!B44</f>
        <v>Fang, Y. et al. Interactive carbon priming, microbial response and biochar persistence in a Vertisol with varied inputs of biochar and labile organic matter. Eur. J. Soil Sci. 70, 960-974 (2019)</v>
      </c>
      <c r="B39" t="str">
        <f>Fperm!C44</f>
        <v>Eucalyptus saligna wood</v>
      </c>
      <c r="C39" s="23">
        <f>SUM(Fperm!G44:I44)</f>
        <v>0.99999999999999989</v>
      </c>
      <c r="H39">
        <v>18</v>
      </c>
      <c r="I39">
        <v>12</v>
      </c>
      <c r="J39">
        <f t="shared" si="4"/>
        <v>1.832334500780687</v>
      </c>
      <c r="K39">
        <f t="shared" si="5"/>
        <v>0.69533989013591257</v>
      </c>
    </row>
    <row r="40" spans="1:11" x14ac:dyDescent="0.3">
      <c r="A40" t="str">
        <f>Fperm!B45</f>
        <v>Fang, Y. et al. Interactive carbon priming, microbial response and biochar persistence in a Vertisol with varied inputs of biochar and labile organic matter. Eur. J. Soil Sci. 70, 960-974 (2019)</v>
      </c>
      <c r="B40" t="str">
        <f>Fperm!C45</f>
        <v>Eucalyptus saligna wood</v>
      </c>
      <c r="C40" s="23">
        <f>SUM(Fperm!G45:I45)</f>
        <v>0.99999999999999978</v>
      </c>
      <c r="H40">
        <v>19</v>
      </c>
      <c r="I40">
        <v>12</v>
      </c>
      <c r="J40">
        <f t="shared" si="4"/>
        <v>1.7787882657312815</v>
      </c>
      <c r="K40">
        <f t="shared" si="5"/>
        <v>0.66821007722006731</v>
      </c>
    </row>
    <row r="41" spans="1:11" x14ac:dyDescent="0.3">
      <c r="A41" t="str">
        <f>Fperm!B46</f>
        <v>Herath, H. M. S. K., Camps‐Arbestain, M., Hedley, M. J., Kirschbaum, M. U. F., Wang, T., &amp; Van Hale, R. (2015). Experimental evidence for sequestering C with biochar by avoidance of CO 2 emissions from original feedstock and protection of native soil organic matter. Gcb Bioenergy, 7(3), 512-526.</v>
      </c>
      <c r="B41" t="str">
        <f>Fperm!C46</f>
        <v>corn stover, 350C,  36°C min</v>
      </c>
      <c r="C41" s="23">
        <f>SUM(Fperm!G46:I46)</f>
        <v>1</v>
      </c>
      <c r="H41">
        <v>20</v>
      </c>
      <c r="I41">
        <v>12</v>
      </c>
      <c r="J41">
        <f t="shared" si="4"/>
        <v>1.7308955909380901</v>
      </c>
      <c r="K41">
        <f t="shared" si="5"/>
        <v>0.64473805191030731</v>
      </c>
    </row>
    <row r="42" spans="1:11" x14ac:dyDescent="0.3">
      <c r="A42" t="str">
        <f>Fperm!B47</f>
        <v>Herath, H. M. S. K., Camps‐Arbestain, M., Hedley, M. J., Kirschbaum, M. U. F., Wang, T., &amp; Van Hale, R. (2015). Experimental evidence for sequestering C with biochar by avoidance of CO 2 emissions from original feedstock and protection of native soil organic matter. Gcb Bioenergy, 7(3), 512-526.</v>
      </c>
      <c r="B42" t="str">
        <f>Fperm!C47</f>
        <v>corn stover., 550C, 51 °C min</v>
      </c>
      <c r="C42" s="23">
        <f>SUM(Fperm!G47:I47)</f>
        <v>1</v>
      </c>
      <c r="H42">
        <v>21</v>
      </c>
      <c r="I42">
        <v>12</v>
      </c>
      <c r="J42">
        <f t="shared" si="4"/>
        <v>1.6879614005456789</v>
      </c>
      <c r="K42">
        <f t="shared" si="5"/>
        <v>0.62427183276329534</v>
      </c>
    </row>
    <row r="43" spans="1:11" x14ac:dyDescent="0.3">
      <c r="A43" t="str">
        <f>Fperm!B48</f>
        <v>Herath, H. M. S. K., Camps‐Arbestain, M., Hedley, M. J., Kirschbaum, M. U. F., Wang, T., &amp; Van Hale, R. (2015). Experimental evidence for sequestering C with biochar by avoidance of CO 2 emissions from original feedstock and protection of native soil organic matter. Gcb Bioenergy, 7(3), 512-526.</v>
      </c>
      <c r="B43" t="str">
        <f>Fperm!C48</f>
        <v>corn stover, 350C,  36°C min</v>
      </c>
      <c r="C43" s="23">
        <f>SUM(Fperm!G48:I48)</f>
        <v>1</v>
      </c>
      <c r="H43">
        <v>22</v>
      </c>
      <c r="I43">
        <v>12</v>
      </c>
      <c r="J43">
        <f t="shared" si="4"/>
        <v>1.6493834088270749</v>
      </c>
      <c r="K43">
        <f t="shared" si="5"/>
        <v>0.60628717049550629</v>
      </c>
    </row>
    <row r="44" spans="1:11" x14ac:dyDescent="0.3">
      <c r="A44" t="str">
        <f>Fperm!B49</f>
        <v>Herath, H. M. S. K., Camps‐Arbestain, M., Hedley, M. J., Kirschbaum, M. U. F., Wang, T., &amp; Van Hale, R. (2015). Experimental evidence for sequestering C with biochar by avoidance of CO 2 emissions from original feedstock and protection of native soil organic matter. Gcb Bioenergy, 7(3), 512-526.</v>
      </c>
      <c r="B44" t="str">
        <f>Fperm!C49</f>
        <v>corn stover., 550C, 51 °C min</v>
      </c>
      <c r="C44" s="23">
        <f>SUM(Fperm!G49:I49)</f>
        <v>1.0010000000000001</v>
      </c>
      <c r="H44">
        <v>23</v>
      </c>
      <c r="I44">
        <v>12</v>
      </c>
      <c r="J44">
        <f t="shared" si="4"/>
        <v>1.614639082968111</v>
      </c>
      <c r="K44">
        <f t="shared" si="5"/>
        <v>0.59036009424570668</v>
      </c>
    </row>
    <row r="45" spans="1:11" x14ac:dyDescent="0.3">
      <c r="A45" t="str">
        <f>Fperm!B50</f>
        <v>Kuzyakov, Y., Bogomolova, I., &amp; Glaser, B. (2014). Biochar stability in soil: decomposition during eight years and transformation as assessed by compound-specific 14C analysis. Soil Biology and Biochemistry, 70, 229-236.</v>
      </c>
      <c r="B45" t="str">
        <f>Fperm!C50</f>
        <v>Lolium Perenne</v>
      </c>
      <c r="C45" s="23">
        <f>SUM(Fperm!G50:I50)</f>
        <v>1</v>
      </c>
      <c r="H45">
        <v>24</v>
      </c>
      <c r="I45">
        <v>12</v>
      </c>
      <c r="J45">
        <f t="shared" si="4"/>
        <v>1.583274502231349</v>
      </c>
      <c r="K45">
        <f t="shared" si="5"/>
        <v>0.57614598360259206</v>
      </c>
    </row>
    <row r="46" spans="1:11" x14ac:dyDescent="0.3">
      <c r="A46" t="str">
        <f>Fperm!B51</f>
        <v>Kuzyakov, Y., Bogomolova, I., &amp; Glaser, B. (2014). Biochar stability in soil: decomposition during eight years and transformation as assessed by compound-specific 14C analysis. Soil Biology and Biochemistry, 70, 229-236.</v>
      </c>
      <c r="B46" t="str">
        <f>Fperm!C51</f>
        <v>Lolium Perenne</v>
      </c>
      <c r="C46" s="23">
        <f>SUM(Fperm!G51:I51)</f>
        <v>1</v>
      </c>
      <c r="H46">
        <v>25</v>
      </c>
      <c r="I46">
        <v>12</v>
      </c>
      <c r="J46">
        <f t="shared" si="4"/>
        <v>1.5548948306807746</v>
      </c>
      <c r="K46">
        <f t="shared" si="5"/>
        <v>0.5633634591152421</v>
      </c>
    </row>
    <row r="47" spans="1:11" x14ac:dyDescent="0.3">
      <c r="A47" t="str">
        <f>Fperm!B52</f>
        <v>Liu, B. et al. A fast chemical oxidation method for predicting the long-term mineralization of biochar in soils. Sci. Tot. Environ. 718, 137390 (2020)</v>
      </c>
      <c r="B47" t="str">
        <f>Fperm!C52</f>
        <v>wheat straw</v>
      </c>
      <c r="C47" s="23">
        <f>SUM(Fperm!G52:I52)</f>
        <v>0.99999999999999956</v>
      </c>
      <c r="H47">
        <v>26</v>
      </c>
      <c r="I47">
        <v>12</v>
      </c>
      <c r="J47">
        <f t="shared" si="4"/>
        <v>1.529156163627174</v>
      </c>
      <c r="K47">
        <f t="shared" si="5"/>
        <v>0.55178186732010193</v>
      </c>
    </row>
    <row r="48" spans="1:11" x14ac:dyDescent="0.3">
      <c r="A48" t="str">
        <f>Fperm!B53</f>
        <v>Liu, B. et al. A fast chemical oxidation method for predicting the long-term mineralization of biochar in soils. Sci. Tot. Environ. 718, 137390 (2020)</v>
      </c>
      <c r="B48" t="str">
        <f>Fperm!C53</f>
        <v>wheat straw</v>
      </c>
      <c r="C48" s="23">
        <f>SUM(Fperm!G53:I53)</f>
        <v>1.0000000000000002</v>
      </c>
      <c r="H48">
        <v>27</v>
      </c>
      <c r="I48">
        <v>12</v>
      </c>
      <c r="J48">
        <f t="shared" si="4"/>
        <v>1.5057585443052328</v>
      </c>
      <c r="K48">
        <f t="shared" si="5"/>
        <v>0.54121147443836903</v>
      </c>
    </row>
    <row r="49" spans="1:11" x14ac:dyDescent="0.3">
      <c r="A49" t="str">
        <f>Fperm!B54</f>
        <v>Liu, B. et al. A fast chemical oxidation method for predicting the long-term mineralization of biochar in soils. Sci. Tot. Environ. 718, 137390 (2020)</v>
      </c>
      <c r="B49" t="str">
        <f>Fperm!C54</f>
        <v>wheat straw</v>
      </c>
      <c r="C49" s="23">
        <f>SUM(Fperm!G54:I54)</f>
        <v>0.99999999999999967</v>
      </c>
      <c r="H49">
        <v>28</v>
      </c>
      <c r="I49">
        <v>12</v>
      </c>
      <c r="J49">
        <f t="shared" si="4"/>
        <v>1.4844399780509963</v>
      </c>
      <c r="K49">
        <f t="shared" si="5"/>
        <v>0.53149572146799817</v>
      </c>
    </row>
    <row r="50" spans="1:11" x14ac:dyDescent="0.3">
      <c r="A50" t="str">
        <f>Fperm!B55</f>
        <v>Liu, B. et al. A fast chemical oxidation method for predicting the long-term mineralization of biochar in soils. Sci. Tot. Environ. 718, 137390 (2020)</v>
      </c>
      <c r="B50" t="str">
        <f>Fperm!C55</f>
        <v>wheat straw</v>
      </c>
      <c r="C50" s="23">
        <f>SUM(Fperm!G55:I55)</f>
        <v>1.0000000000000002</v>
      </c>
      <c r="H50">
        <v>29</v>
      </c>
      <c r="I50">
        <v>12</v>
      </c>
      <c r="J50">
        <f t="shared" si="4"/>
        <v>1.4649712972835549</v>
      </c>
      <c r="K50">
        <f t="shared" si="5"/>
        <v>0.52250506314282774</v>
      </c>
    </row>
    <row r="51" spans="1:11" x14ac:dyDescent="0.3">
      <c r="A51" t="str">
        <f>Fperm!B56</f>
        <v>Liu, B. et al. A fast chemical oxidation method for predicting the long-term mineralization of biochar in soils. Sci. Tot. Environ. 718, 137390 (2020)</v>
      </c>
      <c r="B51" t="str">
        <f>Fperm!C56</f>
        <v>wheat straw</v>
      </c>
      <c r="C51" s="23">
        <f>SUM(Fperm!G56:I56)</f>
        <v>0.99999999999999989</v>
      </c>
      <c r="H51">
        <v>30</v>
      </c>
      <c r="I51">
        <v>12</v>
      </c>
      <c r="J51">
        <f t="shared" si="4"/>
        <v>1.4471517526418232</v>
      </c>
      <c r="K51">
        <f t="shared" si="5"/>
        <v>0.51413203502910276</v>
      </c>
    </row>
    <row r="52" spans="1:11" x14ac:dyDescent="0.3">
      <c r="A52" t="str">
        <f>Fperm!B57</f>
        <v>Major, J., Lehmann, J., Rondon, M., &amp; Goodale, C. (2010). Fate of soil‐applied black carbon: downward migration, leaching and soil respiration. Global Change Biology, 16(4), 1366-1379.</v>
      </c>
      <c r="B52">
        <f>Fperm!C57</f>
        <v>0</v>
      </c>
      <c r="C52" s="23">
        <f>SUM(Fperm!G57:I57)</f>
        <v>0.99999999999999967</v>
      </c>
      <c r="H52">
        <v>31</v>
      </c>
      <c r="I52">
        <v>12</v>
      </c>
      <c r="J52">
        <f t="shared" si="4"/>
        <v>1.4308052243049034</v>
      </c>
      <c r="K52">
        <f t="shared" si="5"/>
        <v>0.50628728116999977</v>
      </c>
    </row>
    <row r="53" spans="1:11" x14ac:dyDescent="0.3">
      <c r="A53" t="str">
        <f>Fperm!B58</f>
        <v>Liu, B. et al. A fast chemical oxidation method for predicting the long-term mineralization of biochar in soils. Sci. Tot. Environ. 718, 137390 (2020)</v>
      </c>
      <c r="B53" t="str">
        <f>Fperm!C58</f>
        <v>Eucalyptus saligna wood</v>
      </c>
      <c r="C53" s="23">
        <f>SUM(Fperm!G58:I58)</f>
        <v>1.0000000000000002</v>
      </c>
      <c r="H53">
        <v>32</v>
      </c>
      <c r="I53">
        <v>12</v>
      </c>
      <c r="J53">
        <f t="shared" si="4"/>
        <v>1.4157769633545825</v>
      </c>
      <c r="K53">
        <f t="shared" si="5"/>
        <v>0.49889633903290997</v>
      </c>
    </row>
    <row r="54" spans="1:11" x14ac:dyDescent="0.3">
      <c r="A54" t="str">
        <f>Fperm!B59</f>
        <v>Liu, B. et al. A fast chemical oxidation method for predicting the long-term mineralization of biochar in soils. Sci. Tot. Environ. 718, 137390 (2020)</v>
      </c>
      <c r="B54" t="str">
        <f>Fperm!C59</f>
        <v>Eucalyptus saligna wood</v>
      </c>
      <c r="C54" s="23">
        <f>SUM(Fperm!G59:I59)</f>
        <v>0.99999999999999978</v>
      </c>
      <c r="H54">
        <v>33</v>
      </c>
      <c r="I54">
        <v>12</v>
      </c>
      <c r="J54">
        <f t="shared" si="4"/>
        <v>1.4019307864611299</v>
      </c>
      <c r="K54">
        <f t="shared" si="5"/>
        <v>0.49189702591227019</v>
      </c>
    </row>
    <row r="55" spans="1:11" x14ac:dyDescent="0.3">
      <c r="A55" t="str">
        <f>Fperm!B60</f>
        <v>Liu, B. et al. A fast chemical oxidation method for predicting the long-term mineralization of biochar in soils. Sci. Tot. Environ. 718, 137390 (2020)</v>
      </c>
      <c r="B55" t="str">
        <f>Fperm!C60</f>
        <v>Eucalyptus saligna wood</v>
      </c>
      <c r="C55" s="23">
        <f>SUM(Fperm!G60:I60)</f>
        <v>0.99999999999999978</v>
      </c>
      <c r="H55">
        <v>34</v>
      </c>
      <c r="I55">
        <v>12</v>
      </c>
      <c r="J55">
        <f t="shared" si="4"/>
        <v>1.3891466585600791</v>
      </c>
      <c r="K55">
        <f t="shared" si="5"/>
        <v>0.48523730618150696</v>
      </c>
    </row>
    <row r="56" spans="1:11" x14ac:dyDescent="0.3">
      <c r="A56" t="str">
        <f>Fperm!B61</f>
        <v>Singh, B. P., Cowie, A. L., &amp; Smernik, R. J. (2012). Biochar carbon stability in a clayey soil as a function of feedstock and pyrolysis temperature. Environmental science &amp; technology, 46(21), 11770-11778.</v>
      </c>
      <c r="B56" t="str">
        <f>Fperm!C61</f>
        <v>Eucalyptus wood 400</v>
      </c>
      <c r="C56" s="23">
        <f>SUM(Fperm!G61:I61)</f>
        <v>0.99999999999999967</v>
      </c>
      <c r="H56">
        <v>35</v>
      </c>
      <c r="I56">
        <v>12</v>
      </c>
      <c r="J56">
        <f t="shared" si="4"/>
        <v>1.3773186078514974</v>
      </c>
      <c r="K56">
        <f t="shared" si="5"/>
        <v>0.47887354523935638</v>
      </c>
    </row>
    <row r="57" spans="1:11" x14ac:dyDescent="0.3">
      <c r="A57" t="str">
        <f>Fperm!B62</f>
        <v>Singh, B. P., Cowie, A. L., &amp; Smernik, R. J. (2012). Biochar carbon stability in a clayey soil as a function of feedstock and pyrolysis temperature. Environmental science &amp; technology, 46(21), 11770-11778.</v>
      </c>
      <c r="B57" t="str">
        <f>Fperm!C62</f>
        <v>Eucalyptus wood 550</v>
      </c>
      <c r="C57" s="23">
        <f>SUM(Fperm!G62:I62)</f>
        <v>0.99999999999999978</v>
      </c>
      <c r="H57">
        <v>14.8</v>
      </c>
      <c r="I57">
        <v>12</v>
      </c>
      <c r="J57">
        <f t="shared" si="4"/>
        <v>2.0518685901087759</v>
      </c>
      <c r="K57">
        <f t="shared" si="5"/>
        <v>0.8177077762954853</v>
      </c>
    </row>
    <row r="58" spans="1:11" x14ac:dyDescent="0.3">
      <c r="A58" t="str">
        <f>Fperm!B63</f>
        <v>Singh, B. P., Cowie, A. L., &amp; Smernik, R. J. (2012). Biochar carbon stability in a clayey soil as a function of feedstock and pyrolysis temperature. Environmental science &amp; technology, 46(21), 11770-11778.</v>
      </c>
      <c r="B58" t="str">
        <f>Fperm!C63</f>
        <v>Eucalyptus wood 400</v>
      </c>
      <c r="C58" s="23">
        <f>SUM(Fperm!G63:I63)</f>
        <v>0.99999999999999967</v>
      </c>
      <c r="H58">
        <v>14</v>
      </c>
      <c r="I58">
        <v>12</v>
      </c>
      <c r="J58">
        <f t="shared" si="4"/>
        <v>2.1211364525962368</v>
      </c>
      <c r="K58">
        <f t="shared" si="5"/>
        <v>0.86037202030609405</v>
      </c>
    </row>
    <row r="59" spans="1:11" x14ac:dyDescent="0.3">
      <c r="A59" t="str">
        <f>Fperm!B64</f>
        <v>Singh, B. P., Cowie, A. L., &amp; Smernik, R. J. (2012). Biochar carbon stability in a clayey soil as a function of feedstock and pyrolysis temperature. Environmental science &amp; technology, 46(21), 11770-11778.</v>
      </c>
      <c r="B59" t="str">
        <f>Fperm!C64</f>
        <v>Eucalyptus wood 550</v>
      </c>
      <c r="C59" s="23">
        <f>SUM(Fperm!G64:I64)</f>
        <v>0.99999999999999978</v>
      </c>
      <c r="H59">
        <v>13</v>
      </c>
      <c r="I59">
        <v>12</v>
      </c>
      <c r="J59">
        <f t="shared" si="4"/>
        <v>2.217853632984319</v>
      </c>
      <c r="K59">
        <f t="shared" si="5"/>
        <v>0.92343580948894755</v>
      </c>
    </row>
    <row r="60" spans="1:11" x14ac:dyDescent="0.3">
      <c r="A60" t="str">
        <f>Fperm!B65</f>
        <v>Singh, B. P., Cowie, A. L., &amp; Smernik, R. J. (2012). Biochar carbon stability in a clayey soil as a function of feedstock and pyrolysis temperature. Environmental science &amp; technology, 46(21), 11770-11778.</v>
      </c>
      <c r="B60" t="str">
        <f>Fperm!C65</f>
        <v>Eucalyptus leaves 400</v>
      </c>
      <c r="C60" s="23">
        <f>SUM(Fperm!G65:I65)</f>
        <v>1</v>
      </c>
      <c r="H60">
        <v>12.1</v>
      </c>
      <c r="I60">
        <v>12</v>
      </c>
      <c r="J60">
        <f t="shared" si="4"/>
        <v>2.3158236820818212</v>
      </c>
      <c r="K60">
        <f t="shared" si="5"/>
        <v>0.99163750753966706</v>
      </c>
    </row>
    <row r="61" spans="1:11" x14ac:dyDescent="0.3">
      <c r="A61" t="str">
        <f>Fperm!B66</f>
        <v>Singh, B. P., Cowie, A. L., &amp; Smernik, R. J. (2012). Biochar carbon stability in a clayey soil as a function of feedstock and pyrolysis temperature. Environmental science &amp; technology, 46(21), 11770-11778.</v>
      </c>
      <c r="B61" t="str">
        <f>Fperm!C66</f>
        <v>Eucalyptus leaves 550</v>
      </c>
      <c r="C61" s="23">
        <f>SUM(Fperm!G66:I66)</f>
        <v>0.99999999999999967</v>
      </c>
      <c r="H61">
        <v>11</v>
      </c>
      <c r="I61">
        <v>12</v>
      </c>
      <c r="J61">
        <f t="shared" si="4"/>
        <v>2.4517640559259886</v>
      </c>
      <c r="K61">
        <f t="shared" si="5"/>
        <v>1.093825055852679</v>
      </c>
    </row>
    <row r="62" spans="1:11" x14ac:dyDescent="0.3">
      <c r="A62" t="str">
        <f>Fperm!B67</f>
        <v>Singh, B. P., Cowie, A. L., &amp; Smernik, R. J. (2012). Biochar carbon stability in a clayey soil as a function of feedstock and pyrolysis temperature. Environmental science &amp; technology, 46(21), 11770-11778.</v>
      </c>
      <c r="B62" t="str">
        <f>Fperm!C67</f>
        <v>Papermill sludge 550</v>
      </c>
      <c r="C62" s="23">
        <f>SUM(Fperm!G67:I67)</f>
        <v>1</v>
      </c>
      <c r="H62">
        <v>10</v>
      </c>
      <c r="I62">
        <v>12</v>
      </c>
      <c r="J62">
        <f t="shared" si="4"/>
        <v>2.5931920983410106</v>
      </c>
      <c r="K62">
        <f t="shared" si="5"/>
        <v>1.209948646076664</v>
      </c>
    </row>
    <row r="63" spans="1:11" x14ac:dyDescent="0.3">
      <c r="A63" t="str">
        <f>Fperm!B68</f>
        <v>Singh, B. P., Cowie, A. L., &amp; Smernik, R. J. (2012). Biochar carbon stability in a clayey soil as a function of feedstock and pyrolysis temperature. Environmental science &amp; technology, 46(21), 11770-11778.</v>
      </c>
      <c r="B63" t="str">
        <f>Fperm!C68</f>
        <v>Poultry litter</v>
      </c>
      <c r="C63" s="23">
        <f>SUM(Fperm!G68:I68)</f>
        <v>1.0000000000000002</v>
      </c>
      <c r="H63">
        <v>9</v>
      </c>
      <c r="I63">
        <v>12</v>
      </c>
      <c r="J63">
        <f t="shared" si="4"/>
        <v>2.7543493147378979</v>
      </c>
      <c r="K63">
        <f t="shared" si="5"/>
        <v>1.3552072157513029</v>
      </c>
    </row>
    <row r="64" spans="1:11" x14ac:dyDescent="0.3">
      <c r="A64" t="str">
        <f>Fperm!B69</f>
        <v>Singh, B. P., Cowie, A. L., &amp; Smernik, R. J. (2012). Biochar carbon stability in a clayey soil as a function of feedstock and pyrolysis temperature. Environmental science &amp; technology, 46(21), 11770-11778.</v>
      </c>
      <c r="B64" t="str">
        <f>Fperm!C69</f>
        <v>Poultry litter 550</v>
      </c>
      <c r="C64" s="23">
        <f>SUM(Fperm!G69:I69)</f>
        <v>0.99999999999999989</v>
      </c>
      <c r="H64">
        <v>8</v>
      </c>
      <c r="I64">
        <v>12</v>
      </c>
      <c r="J64">
        <f t="shared" si="4"/>
        <v>2.9383319464050102</v>
      </c>
      <c r="K64">
        <f t="shared" si="5"/>
        <v>1.5390061055500548</v>
      </c>
    </row>
    <row r="65" spans="1:11" x14ac:dyDescent="0.3">
      <c r="A65" t="str">
        <f>Fperm!B70</f>
        <v>Singh, B. P., Cowie, A. L., &amp; Smernik, R. J. (2012). Biochar carbon stability in a clayey soil as a function of feedstock and pyrolysis temperature. Environmental science &amp; technology, 46(21), 11770-11778.</v>
      </c>
      <c r="B65" t="str">
        <f>Fperm!C70</f>
        <v>Cow manure</v>
      </c>
      <c r="C65" s="23">
        <f>SUM(Fperm!G70:I70)</f>
        <v>0.99999999999999978</v>
      </c>
      <c r="H65">
        <v>7</v>
      </c>
      <c r="I65">
        <v>12</v>
      </c>
      <c r="J65">
        <f t="shared" si="4"/>
        <v>3.1487545444257821</v>
      </c>
      <c r="K65">
        <f t="shared" si="5"/>
        <v>1.7744730328820955</v>
      </c>
    </row>
    <row r="66" spans="1:11" x14ac:dyDescent="0.3">
      <c r="A66" t="str">
        <f>Fperm!B71</f>
        <v>Singh, B. P., Cowie, A. L., &amp; Smernik, R. J. (2012). Biochar carbon stability in a clayey soil as a function of feedstock and pyrolysis temperature. Environmental science &amp; technology, 46(21), 11770-11778.</v>
      </c>
      <c r="B66" t="str">
        <f>Fperm!C71</f>
        <v>Cow manure 550</v>
      </c>
      <c r="C66" s="23">
        <f>SUM(Fperm!G71:I71)</f>
        <v>1</v>
      </c>
      <c r="H66">
        <v>6</v>
      </c>
      <c r="I66">
        <v>12</v>
      </c>
      <c r="J66">
        <f t="shared" si="4"/>
        <v>3.389840349775449</v>
      </c>
      <c r="K66">
        <f t="shared" si="5"/>
        <v>2.0802117584806825</v>
      </c>
    </row>
    <row r="67" spans="1:11" x14ac:dyDescent="0.3">
      <c r="A67" t="str">
        <f>Fperm!B72</f>
        <v>Wu, M., Han, X., Zhong, T., Yuan, M., &amp; Wu, W. (2016). Soil organic carbon content affects the stability of biochar in paddy soil. Agriculture, Ecosystems &amp; Environment, 223, 59-66.</v>
      </c>
      <c r="B67" t="str">
        <f>Fperm!C72</f>
        <v>Rice straw</v>
      </c>
      <c r="C67" s="23">
        <f>SUM(Fperm!G72:I72)</f>
        <v>1</v>
      </c>
      <c r="H67">
        <v>5</v>
      </c>
      <c r="I67">
        <v>12</v>
      </c>
      <c r="J67">
        <f t="shared" si="4"/>
        <v>3.6665278837025426</v>
      </c>
      <c r="K67">
        <f t="shared" si="5"/>
        <v>2.4830101478783817</v>
      </c>
    </row>
    <row r="68" spans="1:11" x14ac:dyDescent="0.3">
      <c r="A68" t="str">
        <f>Fperm!B73</f>
        <v>Wu, M., Han, X., Zhong, T., Yuan, M., &amp; Wu, W. (2016). Soil organic carbon content affects the stability of biochar in paddy soil. Agriculture, Ecosystems &amp; Environment, 223, 59-66.</v>
      </c>
      <c r="B68" t="str">
        <f>Fperm!C73</f>
        <v>Rice straw</v>
      </c>
      <c r="C68" s="23">
        <f>SUM(Fperm!G73:I73)</f>
        <v>1</v>
      </c>
    </row>
    <row r="69" spans="1:11" x14ac:dyDescent="0.3">
      <c r="A69" t="str">
        <f>Fperm!B74</f>
        <v>Wu, M., Han, X., Zhong, T., Yuan, M., &amp; Wu, W. (2016). Soil organic carbon content affects the stability of biochar in paddy soil. Agriculture, Ecosystems &amp; Environment, 223, 59-66.</v>
      </c>
      <c r="B69" t="str">
        <f>Fperm!C74</f>
        <v>Rice straw</v>
      </c>
      <c r="C69" s="23">
        <f>SUM(Fperm!G74:I74)</f>
        <v>1</v>
      </c>
    </row>
    <row r="70" spans="1:11" x14ac:dyDescent="0.3">
      <c r="A70" t="str">
        <f>Fperm!B75</f>
        <v>Wu, M., Han, X., Zhong, T., Yuan, M., &amp; Wu, W. (2016). Soil organic carbon content affects the stability of biochar in paddy soil. Agriculture, Ecosystems &amp; Environment, 223, 59-66.</v>
      </c>
      <c r="B70" t="str">
        <f>Fperm!C75</f>
        <v>Rice straw</v>
      </c>
      <c r="C70" s="23">
        <f>SUM(Fperm!G75:I75)</f>
        <v>1</v>
      </c>
    </row>
    <row r="71" spans="1:11" x14ac:dyDescent="0.3">
      <c r="A71" t="str">
        <f>Fperm!B76</f>
        <v>Wu, M., Han, X., Zhong, T., Yuan, M., &amp; Wu, W. (2016). Soil organic carbon content affects the stability of biochar in paddy soil. Agriculture, Ecosystems &amp; Environment, 223, 59-66.</v>
      </c>
      <c r="B71" t="str">
        <f>Fperm!C76</f>
        <v>Rice straw</v>
      </c>
      <c r="C71" s="23">
        <f>SUM(Fperm!G76:I76)</f>
        <v>1</v>
      </c>
    </row>
    <row r="72" spans="1:11" x14ac:dyDescent="0.3">
      <c r="A72" t="str">
        <f>Fperm!B77</f>
        <v>Zimmerman, A. R. &amp; Gao, B. (2013) The stability of biochar in the environment,. In: Biochar and Soil Biota, eds. N. Ladygina &amp; F. Rineau, pp. 1-40. Boca Raton, USA: CRC Press</v>
      </c>
      <c r="B72" t="str">
        <f>Fperm!C77</f>
        <v>grass</v>
      </c>
      <c r="C72" s="23">
        <f>SUM(Fperm!G77:I77)</f>
        <v>1.0000000000000002</v>
      </c>
    </row>
    <row r="73" spans="1:11" x14ac:dyDescent="0.3">
      <c r="A73" t="str">
        <f>Fperm!B78</f>
        <v>Zimmerman, A. R. &amp; Gao, B. (2013) The stability of biochar in the environment,. In: Biochar and Soil Biota, eds. N. Ladygina &amp; F. Rineau, pp. 1-40. Boca Raton, USA: CRC Press</v>
      </c>
      <c r="B73" t="str">
        <f>Fperm!C78</f>
        <v>grass</v>
      </c>
      <c r="C73" s="23">
        <f>SUM(Fperm!G78:I78)</f>
        <v>1.0000000000000002</v>
      </c>
    </row>
    <row r="74" spans="1:11" x14ac:dyDescent="0.3">
      <c r="A74" t="str">
        <f>Fperm!B79</f>
        <v>Zimmerman, A. R. &amp; Gao, B. (2013) The stability of biochar in the environment,. In: Biochar and Soil Biota, eds. N. Ladygina &amp; F. Rineau, pp. 1-40. Boca Raton, USA: CRC Press</v>
      </c>
      <c r="B74" t="str">
        <f>Fperm!C79</f>
        <v>grass</v>
      </c>
      <c r="C74" s="23">
        <f>SUM(Fperm!G79:I79)</f>
        <v>1.0000000000000002</v>
      </c>
    </row>
    <row r="75" spans="1:11" x14ac:dyDescent="0.3">
      <c r="A75" t="str">
        <f>Fperm!B80</f>
        <v>Zimmerman, A. R. &amp; Gao, B. (2013) The stability of biochar in the environment,. In: Biochar and Soil Biota, eds. N. Ladygina &amp; F. Rineau, pp. 1-40. Boca Raton, USA: CRC Press</v>
      </c>
      <c r="B75" t="str">
        <f>Fperm!C80</f>
        <v>oak</v>
      </c>
      <c r="C75" s="23">
        <f>SUM(Fperm!G80:I80)</f>
        <v>1.0000000000000002</v>
      </c>
    </row>
    <row r="76" spans="1:11" x14ac:dyDescent="0.3">
      <c r="A76" t="str">
        <f>Fperm!B81</f>
        <v>Zimmerman, A. R. &amp; Gao, B. (2013) The stability of biochar in the environment,. In: Biochar and Soil Biota, eds. N. Ladygina &amp; F. Rineau, pp. 1-40. Boca Raton, USA: CRC Press</v>
      </c>
      <c r="B76" t="str">
        <f>Fperm!C81</f>
        <v>oak</v>
      </c>
      <c r="C76" s="23">
        <f>SUM(Fperm!G81:I81)</f>
        <v>1.0000000000000002</v>
      </c>
    </row>
    <row r="77" spans="1:11" x14ac:dyDescent="0.3">
      <c r="A77" t="str">
        <f>Fperm!B82</f>
        <v>Zimmerman, A. R. &amp; Gao, B. (2013) The stability of biochar in the environment,. In: Biochar and Soil Biota, eds. N. Ladygina &amp; F. Rineau, pp. 1-40. Boca Raton, USA: CRC Press</v>
      </c>
      <c r="B77" t="str">
        <f>Fperm!C82</f>
        <v>oak</v>
      </c>
      <c r="C77" s="23">
        <f>SUM(Fperm!G82:I82)</f>
        <v>1</v>
      </c>
    </row>
    <row r="78" spans="1:11" x14ac:dyDescent="0.3">
      <c r="A78" t="str">
        <f>Fperm!B83</f>
        <v>Zimmerman, A. R. &amp; Gao, B. (2013) The stability of biochar in the environment,. In: Biochar and Soil Biota, eds. N. Ladygina &amp; F. Rineau, pp. 1-40. Boca Raton, USA: CRC Press</v>
      </c>
      <c r="B78" t="str">
        <f>Fperm!C83</f>
        <v>oak</v>
      </c>
      <c r="C78" s="23">
        <f>SUM(Fperm!G83:I83)</f>
        <v>1.0000000000000002</v>
      </c>
    </row>
    <row r="79" spans="1:11" x14ac:dyDescent="0.3">
      <c r="A79" t="str">
        <f>Fperm!B84</f>
        <v>Zimmerman, A. R. (2010). Abiotic and microbial oxidation of laboratory-produced black carbon (biochar). Environmental science &amp; technology, 44(4), 1295-1301.</v>
      </c>
      <c r="B79" t="str">
        <f>Fperm!C84</f>
        <v>cedar</v>
      </c>
      <c r="C79" s="23">
        <f>SUM(Fperm!G84:I84)</f>
        <v>1</v>
      </c>
    </row>
    <row r="80" spans="1:11" x14ac:dyDescent="0.3">
      <c r="A80" t="str">
        <f>Fperm!B85</f>
        <v>Zimmerman, A. R. (2010). Abiotic and microbial oxidation of laboratory-produced black carbon (biochar). Environmental science &amp; technology, 44(4), 1295-1301.</v>
      </c>
      <c r="B80" t="str">
        <f>Fperm!C85</f>
        <v>cedar</v>
      </c>
      <c r="C80" s="23">
        <f>SUM(Fperm!G85:I85)</f>
        <v>1.0000000000000002</v>
      </c>
    </row>
    <row r="81" spans="1:3" x14ac:dyDescent="0.3">
      <c r="A81" t="str">
        <f>Fperm!B86</f>
        <v>Zimmerman, A. R. (2010). Abiotic and microbial oxidation of laboratory-produced black carbon (biochar). Environmental science &amp; technology, 44(4), 1295-1301.</v>
      </c>
      <c r="B81" t="str">
        <f>Fperm!C86</f>
        <v>cedar</v>
      </c>
      <c r="C81" s="23">
        <f>SUM(Fperm!G86:I86)</f>
        <v>1.0000000000000002</v>
      </c>
    </row>
    <row r="82" spans="1:3" x14ac:dyDescent="0.3">
      <c r="A82" t="str">
        <f>Fperm!B87</f>
        <v>Zimmerman, A. R. (2010). Abiotic and microbial oxidation of laboratory-produced black carbon (biochar). Environmental science &amp; technology, 44(4), 1295-1301.</v>
      </c>
      <c r="B82" t="str">
        <f>Fperm!C87</f>
        <v>bubinga</v>
      </c>
      <c r="C82" s="23">
        <f>SUM(Fperm!G87:I87)</f>
        <v>1.0000000000000002</v>
      </c>
    </row>
    <row r="83" spans="1:3" x14ac:dyDescent="0.3">
      <c r="A83" t="str">
        <f>Fperm!B88</f>
        <v>Zimmerman, A. R. (2010). Abiotic and microbial oxidation of laboratory-produced black carbon (biochar). Environmental science &amp; technology, 44(4), 1295-1301.</v>
      </c>
      <c r="B83" t="str">
        <f>Fperm!C88</f>
        <v>bubinga</v>
      </c>
      <c r="C83" s="23">
        <f>SUM(Fperm!G88:I88)</f>
        <v>0.99999999999999967</v>
      </c>
    </row>
    <row r="84" spans="1:3" x14ac:dyDescent="0.3">
      <c r="A84" t="str">
        <f>Fperm!B89</f>
        <v>Zimmerman, A. R. (2010). Abiotic and microbial oxidation of laboratory-produced black carbon (biochar). Environmental science &amp; technology, 44(4), 1295-1301.</v>
      </c>
      <c r="B84" t="str">
        <f>Fperm!C89</f>
        <v>sugar cane</v>
      </c>
      <c r="C84" s="23">
        <f>SUM(Fperm!G89:I89)</f>
        <v>0.99999999999999967</v>
      </c>
    </row>
    <row r="85" spans="1:3" x14ac:dyDescent="0.3">
      <c r="A85" t="str">
        <f>Fperm!B90</f>
        <v>Zimmerman, A. R. (2010). Abiotic and microbial oxidation of laboratory-produced black carbon (biochar). Environmental science &amp; technology, 44(4), 1295-1301.</v>
      </c>
      <c r="B85" t="str">
        <f>Fperm!C90</f>
        <v>sugar cane</v>
      </c>
      <c r="C85" s="23">
        <f>SUM(Fperm!G90:I90)</f>
        <v>1.0000000000000004</v>
      </c>
    </row>
    <row r="86" spans="1:3" x14ac:dyDescent="0.3">
      <c r="A86" t="str">
        <f>Fperm!B91</f>
        <v>Zimmerman, A. R. (2010). Abiotic and microbial oxidation of laboratory-produced black carbon (biochar). Environmental science &amp; technology, 44(4), 1295-1301.</v>
      </c>
      <c r="B86" t="str">
        <f>Fperm!C91</f>
        <v>sugar cane</v>
      </c>
      <c r="C86" s="23">
        <f>SUM(Fperm!G91:I91)</f>
        <v>1.0000000000000004</v>
      </c>
    </row>
    <row r="87" spans="1:3" x14ac:dyDescent="0.3">
      <c r="A87" t="str">
        <f>Fperm!B92</f>
        <v>Zimmerman, A. R. (2010). Abiotic and microbial oxidation of laboratory-produced black carbon (biochar). Environmental science &amp; technology, 44(4), 1295-1301.</v>
      </c>
      <c r="B87" t="str">
        <f>Fperm!C92</f>
        <v>pine (all biotic)</v>
      </c>
      <c r="C87" s="23">
        <f>SUM(Fperm!G92:I92)</f>
        <v>1.0000000000000004</v>
      </c>
    </row>
    <row r="88" spans="1:3" x14ac:dyDescent="0.3">
      <c r="A88" t="str">
        <f>Fperm!B93</f>
        <v>Zimmerman, A. R. (2010). Abiotic and microbial oxidation of laboratory-produced black carbon (biochar). Environmental science &amp; technology, 44(4), 1295-1301.</v>
      </c>
      <c r="B88" t="str">
        <f>Fperm!C93</f>
        <v>pine</v>
      </c>
      <c r="C88" s="23">
        <f>SUM(Fperm!G93:I93)</f>
        <v>1.0000000000000007</v>
      </c>
    </row>
    <row r="89" spans="1:3" x14ac:dyDescent="0.3">
      <c r="A89" t="str">
        <f>Fperm!B94</f>
        <v>Zimmerman, A. R. (2010). Abiotic and microbial oxidation of laboratory-produced black carbon (biochar). Environmental science &amp; technology, 44(4), 1295-1301.</v>
      </c>
      <c r="B89" t="str">
        <f>Fperm!C94</f>
        <v>pine</v>
      </c>
      <c r="C89" s="23">
        <f>SUM(Fperm!G94:I94)</f>
        <v>0.99999999999999989</v>
      </c>
    </row>
    <row r="90" spans="1:3" x14ac:dyDescent="0.3">
      <c r="A90" t="str">
        <f>Fperm!B95</f>
        <v>Zimmerman, A. R. (2010). Abiotic and microbial oxidation of laboratory-produced black carbon (biochar). Environmental science &amp; technology, 44(4), 1295-1301.</v>
      </c>
      <c r="B90" t="str">
        <f>Fperm!C95</f>
        <v>pine</v>
      </c>
      <c r="C90" s="23">
        <f>SUM(Fperm!G95:I95)</f>
        <v>0.99999999999999978</v>
      </c>
    </row>
    <row r="91" spans="1:3" x14ac:dyDescent="0.3">
      <c r="C91" s="23"/>
    </row>
    <row r="92" spans="1:3" x14ac:dyDescent="0.3">
      <c r="C92" s="23"/>
    </row>
    <row r="93" spans="1:3" x14ac:dyDescent="0.3">
      <c r="C93" s="23"/>
    </row>
    <row r="94" spans="1:3" x14ac:dyDescent="0.3">
      <c r="C94" s="23"/>
    </row>
    <row r="95" spans="1:3" x14ac:dyDescent="0.3">
      <c r="C95" s="23"/>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1" zoomScale="70" zoomScaleNormal="70" workbookViewId="0">
      <selection activeCell="H64" sqref="H63:H64"/>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
  <TotalTime>69</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Fperm</vt:lpstr>
      <vt:lpstr>esa-analysis</vt:lpstr>
      <vt:lpstr>esa-img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Elias Sebastian Azzi</dc:creator>
  <dc:description/>
  <cp:lastModifiedBy>Elias S. Azzi</cp:lastModifiedBy>
  <cp:revision>12</cp:revision>
  <dcterms:created xsi:type="dcterms:W3CDTF">2021-11-12T09:18:13Z</dcterms:created>
  <dcterms:modified xsi:type="dcterms:W3CDTF">2023-07-02T11:41:56Z</dcterms:modified>
  <dc:language>en-US</dc:language>
</cp:coreProperties>
</file>