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wilhelmwanecek/dev/safad/data-preprocessing/rpc-footprints/2 - Livestock/"/>
    </mc:Choice>
  </mc:AlternateContent>
  <xr:revisionPtr revIDLastSave="0" documentId="13_ncr:1_{A7AD142D-BDCC-A241-AB39-5F93F0B254AE}" xr6:coauthVersionLast="47" xr6:coauthVersionMax="47" xr10:uidLastSave="{00000000-0000-0000-0000-000000000000}"/>
  <bookViews>
    <workbookView xWindow="0" yWindow="660" windowWidth="19420" windowHeight="11500" activeTab="5" xr2:uid="{00000000-000D-0000-FFFF-FFFF00000000}"/>
  </bookViews>
  <sheets>
    <sheet name="README" sheetId="1" r:id="rId1"/>
    <sheet name="Figures" sheetId="2" r:id="rId2"/>
    <sheet name="Footprints, per kg milk" sheetId="3" r:id="rId3"/>
    <sheet name="GHG det, per kg milk" sheetId="4" r:id="rId4"/>
    <sheet name="Footprints, per kg meat" sheetId="5" r:id="rId5"/>
    <sheet name="GHG det, per kg meat" sheetId="6" r:id="rId6"/>
    <sheet name="Footprints, results per calf" sheetId="7" r:id="rId7"/>
    <sheet name="GHG det, results per calf" sheetId="8" r:id="rId8"/>
    <sheet name="Footprints, per kg offal" sheetId="9" r:id="rId9"/>
    <sheet name="GHG det, per kg offal" sheetId="10" r:id="rId10"/>
    <sheet name="Footprints, per kg tallow" sheetId="11" r:id="rId11"/>
    <sheet name="GHG det, per kg tallow" sheetId="12" r:id="rId12"/>
    <sheet name="Footprints, absolute" sheetId="13" r:id="rId13"/>
    <sheet name="GHG detailed, absolute" sheetId="14" r:id="rId14"/>
    <sheet name="Production" sheetId="15" r:id="rId15"/>
    <sheet name="Parameters, country spec" sheetId="16" r:id="rId16"/>
    <sheet name="Manure" sheetId="17" r:id="rId17"/>
    <sheet name="CO2 per kg feed" sheetId="18" r:id="rId18"/>
    <sheet name="CH4 per kg feed" sheetId="19" r:id="rId19"/>
    <sheet name="N2O per kg feed" sheetId="20" r:id="rId20"/>
    <sheet name="EFP per kg feed" sheetId="21" r:id="rId21"/>
    <sheet name="Parameters, general" sheetId="22" r:id="rId22"/>
    <sheet name="Forage crops, CF" sheetId="23" r:id="rId23"/>
    <sheet name="Forage crops, footprints" sheetId="24" r:id="rId24"/>
    <sheet name="Forage, input data per ha" sheetId="25" r:id="rId25"/>
    <sheet name="Off-farm feed" sheetId="26" r:id="rId26"/>
    <sheet name="Forage feed OLD" sheetId="27" r:id="rId27"/>
    <sheet name="Verification" sheetId="28" r:id="rId28"/>
    <sheet name="References" sheetId="29" r:id="rId29"/>
  </sheets>
  <definedNames>
    <definedName name="_xlnm._FilterDatabase" localSheetId="1" hidden="1">Figures!$A$6:$M$6</definedName>
    <definedName name="Ability_to_perceive_handling">'Parameters, general'!#REF!</definedName>
    <definedName name="AF_beef">'Parameters, general'!$B$39</definedName>
    <definedName name="AF_beef_DE">'Parameters, country spec'!$D$98</definedName>
    <definedName name="AF_beef_DK">'Parameters, country spec'!$B$98</definedName>
    <definedName name="AF_beef_ES">'Parameters, country spec'!$K$98</definedName>
    <definedName name="AF_beef_FR">'Parameters, country spec'!$C$98</definedName>
    <definedName name="AF_beef_GR">'Parameters, country spec'!$E$98</definedName>
    <definedName name="AF_beef_HU">'Parameters, country spec'!$F$98</definedName>
    <definedName name="AF_beef_IE">'Parameters, country spec'!$G$98</definedName>
    <definedName name="AF_beef_IT">'Parameters, country spec'!$H$98</definedName>
    <definedName name="AF_beef_NL">'Parameters, country spec'!$I$98</definedName>
    <definedName name="AF_beef_PL">'Parameters, country spec'!$J$98</definedName>
    <definedName name="AF_beef_SE">'Parameters, country spec'!$L$98</definedName>
    <definedName name="AF_calves">'Parameters, general'!$B$40</definedName>
    <definedName name="AF_calves_DE">'Parameters, country spec'!$D$97</definedName>
    <definedName name="AF_calves_DK">'Parameters, country spec'!$B$97</definedName>
    <definedName name="AF_calves_ES">'Parameters, country spec'!$K$97</definedName>
    <definedName name="AF_calves_FR">'Parameters, country spec'!$C$97</definedName>
    <definedName name="AF_calves_GR">'Parameters, country spec'!$E$97</definedName>
    <definedName name="AF_calves_HU">'Parameters, country spec'!$F$97</definedName>
    <definedName name="AF_calves_IE">'Parameters, country spec'!$G$97</definedName>
    <definedName name="AF_calves_IT">'Parameters, country spec'!$H$97</definedName>
    <definedName name="AF_calves_NL">'Parameters, country spec'!$I$97</definedName>
    <definedName name="AF_calves_PL">'Parameters, country spec'!$J$97</definedName>
    <definedName name="AF_calves_SE">'Parameters, country spec'!$L$97</definedName>
    <definedName name="AF_milk">'Parameters, general'!$B$38</definedName>
    <definedName name="AF_milk_DE">'Parameters, country spec'!$D$95</definedName>
    <definedName name="AF_milk_DK">'Parameters, country spec'!$B$95</definedName>
    <definedName name="AF_milk_ES">'Parameters, country spec'!$K$95</definedName>
    <definedName name="AF_milk_FR">'Parameters, country spec'!$C$95</definedName>
    <definedName name="AF_milk_GR">'Parameters, country spec'!$E$95</definedName>
    <definedName name="AF_milk_HU">'Parameters, country spec'!$F$95</definedName>
    <definedName name="AF_milk_IE">'Parameters, country spec'!$G$95</definedName>
    <definedName name="AF_milk_IT">'Parameters, country spec'!$H$95</definedName>
    <definedName name="AF_milk_NL">'Parameters, country spec'!$I$95</definedName>
    <definedName name="AF_milk_PL">'Parameters, country spec'!$J$95</definedName>
    <definedName name="AF_milk_SE">'Parameters, country spec'!$L$95</definedName>
    <definedName name="AF_offal">'Parameters, general'!$B$41</definedName>
    <definedName name="AF_offal_DE">'Parameters, country spec'!$D$99</definedName>
    <definedName name="AF_offal_DK">'Parameters, country spec'!$B$99</definedName>
    <definedName name="AF_offal_ES">'Parameters, country spec'!$K$99</definedName>
    <definedName name="AF_offal_FR">'Parameters, country spec'!$C$99</definedName>
    <definedName name="AF_offal_GR">'Parameters, country spec'!$E$99</definedName>
    <definedName name="AF_offal_HU">'Parameters, country spec'!$F$99</definedName>
    <definedName name="AF_offal_IE">'Parameters, country spec'!$G$99</definedName>
    <definedName name="AF_offal_IT">'Parameters, country spec'!$H$99</definedName>
    <definedName name="AF_offal_NL">'Parameters, country spec'!$I$99</definedName>
    <definedName name="AF_offal_PL">'Parameters, country spec'!$J$99</definedName>
    <definedName name="AF_offal_SE">'Parameters, country spec'!$L$99</definedName>
    <definedName name="AF_tallow">'Parameters, general'!$B$42</definedName>
    <definedName name="AF_tallow_DE">'Parameters, country spec'!$D$100</definedName>
    <definedName name="AF_tallow_DK">'Parameters, country spec'!$B$100</definedName>
    <definedName name="AF_tallow_ES">'Parameters, country spec'!$K$100</definedName>
    <definedName name="AF_tallow_FR">'Parameters, country spec'!$C$100</definedName>
    <definedName name="AF_tallow_GR">'Parameters, country spec'!$E$100</definedName>
    <definedName name="AF_tallow_HU">'Parameters, country spec'!$F$100</definedName>
    <definedName name="AF_tallow_IE">'Parameters, country spec'!$G$100</definedName>
    <definedName name="AF_tallow_IT">'Parameters, country spec'!$H$100</definedName>
    <definedName name="AF_tallow_NL">'Parameters, country spec'!$I$100</definedName>
    <definedName name="AF_tallow_PL">'Parameters, country spec'!$J$100</definedName>
    <definedName name="AF_tallow_SE">'Parameters, country spec'!$L$100</definedName>
    <definedName name="Boars_per_sow">'Parameters, country spec'!#REF!</definedName>
    <definedName name="CF_GWP_CH4_biog">'Parameters, general'!$B$26</definedName>
    <definedName name="CF_GWP_CH4_biogenic">'Parameters, general'!$B$26</definedName>
    <definedName name="CF_GWP_CH4_fossil">'Parameters, general'!$B$25</definedName>
    <definedName name="CF_GWP_N2O">'Parameters, general'!$B$27</definedName>
    <definedName name="Crop_data" localSheetId="22">'Forage crops, CF'!$A$6:$Z$75</definedName>
    <definedName name="Crop_data" localSheetId="24">'Forage, input data per ha'!#REF!</definedName>
    <definedName name="Crop_data">'Forage crops, footprints'!$A$6:$Z$21</definedName>
    <definedName name="Crop_data_codes" localSheetId="22">'Forage crops, CF'!$A$66:$A$145</definedName>
    <definedName name="Crop_data_codes" localSheetId="24">'Forage, input data per ha'!#REF!</definedName>
    <definedName name="Crop_data_codes">'Forage crops, footprints'!$A$22:$A$37</definedName>
    <definedName name="EF_biofuel_CH4">'Parameters, general'!$C$7</definedName>
    <definedName name="EF_biofuel_N2O">'Parameters, general'!$D$7</definedName>
    <definedName name="EF_biofuels_CO2">'Parameters, general'!$B$7</definedName>
    <definedName name="EF_capital_goods_CH4">'Parameters, general'!$C$11</definedName>
    <definedName name="EF_capital_goods_CO2">'Parameters, general'!$B$11</definedName>
    <definedName name="EF_capital_goods_N2O">'Parameters, general'!$D$11</definedName>
    <definedName name="EF_diesel_CH4">'Parameters, general'!$C$8</definedName>
    <definedName name="EF_diesel_CO2">'Parameters, general'!$B$8</definedName>
    <definedName name="EF_diesel_N2O">'Parameters, general'!$D$8</definedName>
    <definedName name="EF_el_CH4_DE">'Parameters, country spec'!$D$71</definedName>
    <definedName name="EF_el_CH4_DK">'Parameters, country spec'!$B$71</definedName>
    <definedName name="EF_el_CH4_ES">'Parameters, country spec'!$K$71</definedName>
    <definedName name="EF_el_CH4_FR">'Parameters, country spec'!$C$71</definedName>
    <definedName name="EF_el_CH4_GR">'Parameters, country spec'!$E$71</definedName>
    <definedName name="EF_el_CH4_HU">'Parameters, country spec'!$F$71</definedName>
    <definedName name="EF_el_CH4_IE">'Parameters, country spec'!$G$71</definedName>
    <definedName name="EF_el_CH4_IT">'Parameters, country spec'!$H$71</definedName>
    <definedName name="EF_el_CH4_NL">'Parameters, country spec'!$I$71</definedName>
    <definedName name="EF_el_CH4_PL">'Parameters, country spec'!$J$71</definedName>
    <definedName name="EF_el_CH4_SE">'Parameters, country spec'!$L$71</definedName>
    <definedName name="EF_el_CO2_DE">'Parameters, country spec'!$D$70</definedName>
    <definedName name="EF_el_CO2_DK">'Parameters, country spec'!$B$70</definedName>
    <definedName name="EF_el_CO2_ES">'Parameters, country spec'!$K$70</definedName>
    <definedName name="EF_el_CO2_FR">'Parameters, country spec'!$C$70</definedName>
    <definedName name="EF_el_CO2_GR">'Parameters, country spec'!$E$70</definedName>
    <definedName name="EF_el_CO2_HU">'Parameters, country spec'!$F$70</definedName>
    <definedName name="EF_el_CO2_IE">'Parameters, country spec'!$G$70</definedName>
    <definedName name="EF_el_CO2_IT">'Parameters, country spec'!$H$70</definedName>
    <definedName name="EF_el_CO2_NL">'Parameters, country spec'!$I$70</definedName>
    <definedName name="EF_el_CO2_PL">'Parameters, country spec'!$J$70</definedName>
    <definedName name="EF_el_CO2_SE">'Parameters, country spec'!$L$70</definedName>
    <definedName name="EF_el_N2O_DE">'Parameters, country spec'!$D$72</definedName>
    <definedName name="EF_el_N2O_DK">'Parameters, country spec'!$B$72</definedName>
    <definedName name="EF_el_N2O_ES">'Parameters, country spec'!$K$72</definedName>
    <definedName name="EF_el_N2O_FR">'Parameters, country spec'!$C$72</definedName>
    <definedName name="EF_el_N2O_GR">'Parameters, country spec'!$E$72</definedName>
    <definedName name="EF_el_N2O_HU">'Parameters, country spec'!$F$72</definedName>
    <definedName name="EF_el_N2O_IE">'Parameters, country spec'!$G$72</definedName>
    <definedName name="EF_el_N2O_IT">'Parameters, country spec'!$H$72</definedName>
    <definedName name="EF_el_N2O_NL">'Parameters, country spec'!$I$72</definedName>
    <definedName name="EF_el_N2O_PL">'Parameters, country spec'!$J$72</definedName>
    <definedName name="EF_el_N2O_SE">'Parameters, country spec'!$L$72</definedName>
    <definedName name="EF_electricity">'Parameters, country spec'!$L$69</definedName>
    <definedName name="EF_ent_ferm_DE">'Parameters, country spec'!$D$58</definedName>
    <definedName name="EF_ent_ferm_DK">'Parameters, country spec'!$B$58</definedName>
    <definedName name="EF_ent_ferm_ES">'Parameters, country spec'!$K$58</definedName>
    <definedName name="EF_ent_ferm_FR">'Parameters, country spec'!$C$58</definedName>
    <definedName name="EF_ent_ferm_GR">'Parameters, country spec'!$E$58</definedName>
    <definedName name="EF_ent_ferm_heif_DE">'Parameters, country spec'!$D$59</definedName>
    <definedName name="EF_ent_ferm_heif_DK">'Parameters, country spec'!$B$59</definedName>
    <definedName name="EF_ent_ferm_heif_ES">'Parameters, country spec'!$K$59</definedName>
    <definedName name="EF_ent_ferm_heif_FR">'Parameters, country spec'!$C$59</definedName>
    <definedName name="EF_ent_ferm_heif_GR">'Parameters, country spec'!$E$59</definedName>
    <definedName name="EF_ent_ferm_heif_HU">'Parameters, country spec'!$F$59</definedName>
    <definedName name="EF_ent_ferm_heif_IE">'Parameters, country spec'!$G$59</definedName>
    <definedName name="EF_ent_ferm_heif_IT">'Parameters, country spec'!$H$59</definedName>
    <definedName name="EF_ent_ferm_heif_NL">'Parameters, country spec'!$I$59</definedName>
    <definedName name="EF_ent_ferm_heif_PL">'Parameters, country spec'!$J$59</definedName>
    <definedName name="EF_ent_ferm_heif_SE">'Parameters, country spec'!$L$59</definedName>
    <definedName name="EF_ent_ferm_HU">'Parameters, country spec'!$F$58</definedName>
    <definedName name="EF_ent_ferm_IE">'Parameters, country spec'!$G$58</definedName>
    <definedName name="EF_ent_ferm_IT">'Parameters, country spec'!$H$58</definedName>
    <definedName name="EF_ent_ferm_NL">'Parameters, country spec'!$I$58</definedName>
    <definedName name="EF_ent_ferm_PL">'Parameters, country spec'!$J$58</definedName>
    <definedName name="EF_ent_ferm_SE">'Parameters, country spec'!$L$58</definedName>
    <definedName name="EF_gas_CH4">'Parameters, general'!$C$6</definedName>
    <definedName name="EF_gas_CO2">'Parameters, general'!$B$6</definedName>
    <definedName name="EF_gas_N2O">'Parameters, general'!$D$6</definedName>
    <definedName name="EF_GWP_CH4_biog">'Parameters, general'!$B$27</definedName>
    <definedName name="EF_indirect_N2O_DE">'Parameters, country spec'!$D$83</definedName>
    <definedName name="EF_indirect_N2O_DK">'Parameters, country spec'!$B$83</definedName>
    <definedName name="EF_indirect_N2O_ES">'Parameters, country spec'!$K$83</definedName>
    <definedName name="EF_indirect_N2O_FR">'Parameters, country spec'!$C$83</definedName>
    <definedName name="EF_indirect_N2O_GR">'Parameters, country spec'!$E$83</definedName>
    <definedName name="EF_indirect_N2O_HU">'Parameters, country spec'!$F$83</definedName>
    <definedName name="EF_indirect_N2O_IE">'Parameters, country spec'!$G$83</definedName>
    <definedName name="EF_indirect_N2O_IT">'Parameters, country spec'!$H$83</definedName>
    <definedName name="EF_indirect_N2O_NL">'Parameters, country spec'!$I$83</definedName>
    <definedName name="EF_indirect_N2O_PL">'Parameters, country spec'!$J$83</definedName>
    <definedName name="EF_indirect_N2O_SE">'Parameters, country spec'!$L$83</definedName>
    <definedName name="EF_min_fert_AN_CH4">'Parameters, general'!$C$15</definedName>
    <definedName name="EF_min_fert_AN_CO2">'Parameters, general'!$B$15</definedName>
    <definedName name="EF_min_fert_AN_N2O">'Parameters, general'!$D$15</definedName>
    <definedName name="EF_min_fert_BAT_CH4">'Parameters, general'!$C$14</definedName>
    <definedName name="EF_min_fert_BAT_CO2">'Parameters, general'!$B$14</definedName>
    <definedName name="EF_min_fert_BAT_N2O">'Parameters, general'!$D$14</definedName>
    <definedName name="EF_min_fert_CH4_DE">'Parameters, country spec'!$D$76</definedName>
    <definedName name="EF_min_fert_CH4_DK">'Parameters, country spec'!$B$76</definedName>
    <definedName name="EF_min_fert_CH4_ES">'Parameters, country spec'!$K$76</definedName>
    <definedName name="EF_min_fert_CH4_FR">'Parameters, country spec'!$C$76</definedName>
    <definedName name="EF_min_fert_CH4_GR">'Parameters, country spec'!$E$76</definedName>
    <definedName name="EF_min_fert_CH4_HU">'Parameters, country spec'!$F$76</definedName>
    <definedName name="EF_min_fert_CH4_IE">'Parameters, country spec'!$G$76</definedName>
    <definedName name="EF_min_fert_CH4_IT">'Parameters, country spec'!$H$76</definedName>
    <definedName name="EF_min_fert_CH4_NL">'Parameters, country spec'!$I$76</definedName>
    <definedName name="EF_min_fert_CH4_PL">'Parameters, country spec'!$J$76</definedName>
    <definedName name="EF_min_fert_CH4_SE">'Parameters, country spec'!$L$76</definedName>
    <definedName name="EF_min_fert_CO2_DE">'Parameters, country spec'!$D$75</definedName>
    <definedName name="EF_min_fert_CO2_DK">'Parameters, country spec'!$B$75</definedName>
    <definedName name="EF_min_fert_CO2_ES">'Parameters, country spec'!$K$75</definedName>
    <definedName name="EF_min_fert_CO2_FR">'Parameters, country spec'!$C$75</definedName>
    <definedName name="EF_min_fert_CO2_GR">'Parameters, country spec'!$E$75</definedName>
    <definedName name="EF_min_fert_CO2_HU">'Parameters, country spec'!$F$75</definedName>
    <definedName name="EF_min_fert_CO2_IE">'Parameters, country spec'!$G$75</definedName>
    <definedName name="EF_min_fert_CO2_IT">'Parameters, country spec'!$H$75</definedName>
    <definedName name="EF_min_fert_CO2_NL">'Parameters, country spec'!$I$75</definedName>
    <definedName name="EF_min_fert_CO2_PL">'Parameters, country spec'!$J$75</definedName>
    <definedName name="EF_min_fert_CO2_SE">'Parameters, country spec'!$L$75</definedName>
    <definedName name="EF_min_fert_N2O_DE">'Parameters, country spec'!$D$77</definedName>
    <definedName name="EF_min_fert_N2O_DK">'Parameters, country spec'!$B$77</definedName>
    <definedName name="EF_min_fert_N2O_ES">'Parameters, country spec'!$K$77</definedName>
    <definedName name="EF_min_fert_N2O_FR">'Parameters, country spec'!$C$77</definedName>
    <definedName name="EF_min_fert_N2O_GR">'Parameters, country spec'!$E$77</definedName>
    <definedName name="EF_min_fert_N2O_HU">'Parameters, country spec'!$F$77</definedName>
    <definedName name="EF_min_fert_N2O_IE">'Parameters, country spec'!$G$77</definedName>
    <definedName name="EF_min_fert_N2O_IT">'Parameters, country spec'!$H$77</definedName>
    <definedName name="EF_min_fert_N2O_NL">'Parameters, country spec'!$I$77</definedName>
    <definedName name="EF_min_fert_N2O_PL">'Parameters, country spec'!$J$77</definedName>
    <definedName name="EF_min_fert_N2O_SE">'Parameters, country spec'!$L$77</definedName>
    <definedName name="EF_N2O_diff_DE">'Parameters, country spec'!$D$82</definedName>
    <definedName name="EF_N2O_diff_DK">'Parameters, country spec'!$B$82</definedName>
    <definedName name="EF_N2O_diff_ES">'Parameters, country spec'!$K$82</definedName>
    <definedName name="EF_N2O_diff_FR">'Parameters, country spec'!$C$82</definedName>
    <definedName name="EF_N2O_diff_GR">'Parameters, country spec'!$E$82</definedName>
    <definedName name="EF_N2O_diff_HU">'Parameters, country spec'!$F$82</definedName>
    <definedName name="EF_N2O_diff_IE">'Parameters, country spec'!$G$82</definedName>
    <definedName name="EF_N2O_diff_IT">'Parameters, country spec'!$H$82</definedName>
    <definedName name="EF_N2O_diff_NL">'Parameters, country spec'!$I$82</definedName>
    <definedName name="EF_N2O_diff_PL">'Parameters, country spec'!$J$82</definedName>
    <definedName name="EF_N2O_diff_SE">'Parameters, country spec'!$L$82</definedName>
    <definedName name="EF_NH3">'Parameters, general'!$B$33</definedName>
    <definedName name="EF_oil_CH4">'Parameters, general'!$C$5</definedName>
    <definedName name="EF_oil_CO2">'Parameters, general'!$B$5</definedName>
    <definedName name="EF_oil_N2O">'Parameters, general'!$D$5</definedName>
    <definedName name="Energy_slaughter_el_DE">'Parameters, country spec'!$D$65</definedName>
    <definedName name="Energy_slaughter_el_DK">'Parameters, country spec'!$B$65</definedName>
    <definedName name="Energy_slaughter_el_ES">'Parameters, country spec'!$K$65</definedName>
    <definedName name="Energy_slaughter_el_FR">'Parameters, country spec'!$C$65</definedName>
    <definedName name="Energy_slaughter_el_GR">'Parameters, country spec'!$E$65</definedName>
    <definedName name="Energy_slaughter_el_HU">'Parameters, country spec'!$F$65</definedName>
    <definedName name="Energy_slaughter_el_IE">'Parameters, country spec'!$G$65</definedName>
    <definedName name="Energy_slaughter_el_IT">'Parameters, country spec'!$H$65</definedName>
    <definedName name="Energy_slaughter_el_NL">'Parameters, country spec'!$I$65</definedName>
    <definedName name="Energy_slaughter_el_PL">'Parameters, country spec'!$J$65</definedName>
    <definedName name="Energy_slaughter_el_SE">'Parameters, country spec'!$L$65</definedName>
    <definedName name="Energy_slaughter_heat_DE">'Parameters, country spec'!$D$66</definedName>
    <definedName name="Energy_slaughter_heat_DK">'Parameters, country spec'!$B$66</definedName>
    <definedName name="Energy_slaughter_heat_ES">'Parameters, country spec'!$K$66</definedName>
    <definedName name="Energy_slaughter_heat_FR">'Parameters, country spec'!$C$66</definedName>
    <definedName name="Energy_slaughter_heat_GR">'Parameters, country spec'!$E$66</definedName>
    <definedName name="Energy_slaughter_heat_HU">'Parameters, country spec'!$F$66</definedName>
    <definedName name="Energy_slaughter_heat_IE">'Parameters, country spec'!$G$66</definedName>
    <definedName name="Energy_slaughter_heat_IT">'Parameters, country spec'!$H$66</definedName>
    <definedName name="Energy_slaughter_heat_NL">'Parameters, country spec'!$I$66</definedName>
    <definedName name="Energy_slaughter_heat_PL">'Parameters, country spec'!$J$66</definedName>
    <definedName name="Energy_slaughter_heat_SE">'Parameters, country spec'!$L$66</definedName>
    <definedName name="Energy_slaughter_oil_DE">'Parameters, country spec'!$D$66</definedName>
    <definedName name="Energy_slaughter_oil_DK">'Parameters, country spec'!$B$66</definedName>
    <definedName name="Energy_slaughter_oil_ES">'Parameters, country spec'!$K$66</definedName>
    <definedName name="Energy_slaughter_oil_FR">'Parameters, country spec'!$C$66</definedName>
    <definedName name="Energy_slaughter_oil_GR">'Parameters, country spec'!$E$66</definedName>
    <definedName name="Energy_slaughter_oil_HU">'Parameters, country spec'!$F$66</definedName>
    <definedName name="Energy_slaughter_oil_IE">'Parameters, country spec'!$G$66</definedName>
    <definedName name="Energy_slaughter_oil_IT">'Parameters, country spec'!$H$66</definedName>
    <definedName name="Energy_slaughter_oil_NL">'Parameters, country spec'!$I$66</definedName>
    <definedName name="Energy_slaughter_oil_PL">'Parameters, country spec'!$J$66</definedName>
    <definedName name="Energy_slaughter_oil_SE">'Parameters, country spec'!$L$66</definedName>
    <definedName name="Energy_stables_DE">'Parameters, country spec'!#REF!</definedName>
    <definedName name="Energy_stables_DK">'Parameters, country spec'!#REF!</definedName>
    <definedName name="Energy_stables_ES">'Parameters, country spec'!#REF!</definedName>
    <definedName name="Energy_stables_FR">'Parameters, country spec'!#REF!</definedName>
    <definedName name="Energy_stables_GR">'Parameters, country spec'!#REF!</definedName>
    <definedName name="Energy_stables_HU">'Parameters, country spec'!#REF!</definedName>
    <definedName name="Energy_stables_IE">'Parameters, country spec'!#REF!</definedName>
    <definedName name="Energy_stables_IT">'Parameters, country spec'!#REF!</definedName>
    <definedName name="Energy_stables_NL">'Parameters, country spec'!#REF!</definedName>
    <definedName name="Energy_stables_PL">'Parameters, country spec'!#REF!</definedName>
    <definedName name="Energy_stables_SE">'Parameters, country spec'!#REF!</definedName>
    <definedName name="Excreted_N_after_losses_DE">Manure!$F$156</definedName>
    <definedName name="Excreted_N_after_losses_DK">Manure!$B$156</definedName>
    <definedName name="Excreted_N_after_losses_ES">Manure!$T$156</definedName>
    <definedName name="Excreted_N_after_losses_FR">Manure!$D$156</definedName>
    <definedName name="Excreted_N_after_losses_GR">Manure!$H$156</definedName>
    <definedName name="Excreted_N_after_losses_HU">Manure!$J$156</definedName>
    <definedName name="Excreted_N_after_losses_IE">Manure!$L$156</definedName>
    <definedName name="Excreted_N_after_losses_IT">Manure!$N$156</definedName>
    <definedName name="Excreted_N_after_losses_NL">Manure!$P$156</definedName>
    <definedName name="Excreted_N_after_losses_PL">Manure!$R$156</definedName>
    <definedName name="Excreted_N_after_losses_SE">Manure!$V$156</definedName>
    <definedName name="FCR_bonefree_incl_parents_DE">'Parameters, country spec'!#REF!</definedName>
    <definedName name="FCR_bonefree_incl_parents_DK">'Parameters, country spec'!#REF!</definedName>
    <definedName name="FCR_bonefree_incl_parents_ES">'Parameters, country spec'!#REF!</definedName>
    <definedName name="FCR_bonefree_incl_parents_FR">'Parameters, country spec'!#REF!</definedName>
    <definedName name="FCR_bonefree_incl_parents_GR">'Parameters, country spec'!#REF!</definedName>
    <definedName name="FCR_bonefree_incl_parents_HU">'Parameters, country spec'!#REF!</definedName>
    <definedName name="FCR_bonefree_incl_parents_IE">'Parameters, country spec'!#REF!</definedName>
    <definedName name="FCR_bonefree_incl_parents_IT">'Parameters, country spec'!#REF!</definedName>
    <definedName name="FCR_bonefree_incl_parents_NL">'Parameters, country spec'!#REF!</definedName>
    <definedName name="FCR_bonefree_incl_parents_PL">'Parameters, country spec'!#REF!</definedName>
    <definedName name="FCR_bonefree_incl_parents_SE">'Parameters, country spec'!#REF!</definedName>
    <definedName name="Frac_AN_DE">'Parameters, country spec'!#REF!</definedName>
    <definedName name="Frac_AN_DK">'Parameters, country spec'!#REF!</definedName>
    <definedName name="Frac_AN_ES">'Parameters, country spec'!#REF!</definedName>
    <definedName name="Frac_AN_FR">'Parameters, country spec'!#REF!</definedName>
    <definedName name="Frac_AN_GR">'Parameters, country spec'!#REF!</definedName>
    <definedName name="Frac_AN_HU">'Parameters, country spec'!#REF!</definedName>
    <definedName name="Frac_AN_IE">'Parameters, country spec'!#REF!</definedName>
    <definedName name="Frac_AN_IT">'Parameters, country spec'!#REF!</definedName>
    <definedName name="Frac_AN_NL">'Parameters, country spec'!#REF!</definedName>
    <definedName name="Frac_AN_PL">'Parameters, country spec'!#REF!</definedName>
    <definedName name="Frac_AN_SE">'Parameters, country spec'!#REF!</definedName>
    <definedName name="Frac_BAT_DE">'Parameters, country spec'!#REF!</definedName>
    <definedName name="Frac_BAT_DK">'Parameters, country spec'!#REF!</definedName>
    <definedName name="Frac_BAT_ES">'Parameters, country spec'!#REF!</definedName>
    <definedName name="Frac_BAT_FR">'Parameters, country spec'!#REF!</definedName>
    <definedName name="Frac_BAT_GR">'Parameters, country spec'!#REF!</definedName>
    <definedName name="Frac_BAT_HU">'Parameters, country spec'!#REF!</definedName>
    <definedName name="Frac_BAT_IE">'Parameters, country spec'!#REF!</definedName>
    <definedName name="Frac_BAT_IT">'Parameters, country spec'!#REF!</definedName>
    <definedName name="Frac_BAT_NL">'Parameters, country spec'!#REF!</definedName>
    <definedName name="Frac_BAT_PL">'Parameters, country spec'!#REF!</definedName>
    <definedName name="Frac_BAT_SE">'Parameters, country spec'!#REF!</definedName>
    <definedName name="GRAT">'Parameters, country spec'!$E$72</definedName>
    <definedName name="Heating_value_diesel">'Parameters, general'!$E$8</definedName>
    <definedName name="Manure_repl_factor_DE">'Parameters, country spec'!$D$86</definedName>
    <definedName name="Manure_repl_factor_DK">'Parameters, country spec'!$B$86</definedName>
    <definedName name="Manure_repl_factor_ES">'Parameters, country spec'!$K$86</definedName>
    <definedName name="Manure_repl_factor_FR">'Parameters, country spec'!$C$86</definedName>
    <definedName name="Manure_repl_factor_GR">'Parameters, country spec'!$E$86</definedName>
    <definedName name="Manure_repl_factor_HU">'Parameters, country spec'!$F$86</definedName>
    <definedName name="Manure_repl_factor_IE">'Parameters, country spec'!$G$86</definedName>
    <definedName name="Manure_repl_factor_IT">'Parameters, country spec'!$H$86</definedName>
    <definedName name="Manure_repl_factor_NL">'Parameters, country spec'!$I$86</definedName>
    <definedName name="Manure_repl_factor_PL">'Parameters, country spec'!$J$86</definedName>
    <definedName name="Manure_repl_factor_SE">'Parameters, country spec'!$L$86</definedName>
    <definedName name="N_fix_DK" localSheetId="2">'Footprints, per kg milk'!#REF!</definedName>
    <definedName name="N_fix_DK" localSheetId="6">'Footprints, results per calf'!#REF!</definedName>
    <definedName name="N_fix_DK">'Footprints, per kg meat'!#REF!</definedName>
    <definedName name="N_min_DK" localSheetId="2">'Footprints, per kg milk'!#REF!</definedName>
    <definedName name="N_min_DK" localSheetId="6">'Footprints, results per calf'!#REF!</definedName>
    <definedName name="N_min_DK">'Footprints, per kg meat'!#REF!</definedName>
    <definedName name="N_to_NH3">'Parameters, general'!$B$34</definedName>
    <definedName name="N_tot_DK" localSheetId="2">'Footprints, per kg milk'!#REF!</definedName>
    <definedName name="N_tot_DK" localSheetId="6">'Footprints, results per calf'!#REF!</definedName>
    <definedName name="N_tot_DK">'Footprints, per kg meat'!#REF!</definedName>
    <definedName name="NH3_per_kg_DE">Manure!#REF!</definedName>
    <definedName name="NH3_per_kg_DK">Manure!#REF!</definedName>
    <definedName name="NH3_per_kg_ES">Manure!#REF!</definedName>
    <definedName name="NH3_per_kg_FR">Manure!#REF!</definedName>
    <definedName name="NH3_per_kg_GR">Manure!#REF!</definedName>
    <definedName name="NH3_per_kg_HU">Manure!#REF!</definedName>
    <definedName name="NH3_per_kg_IE">Manure!#REF!</definedName>
    <definedName name="NH3_per_kg_IT">Manure!#REF!</definedName>
    <definedName name="NH3_per_kg_NL">Manure!#REF!</definedName>
    <definedName name="NH3_per_kg_PL">Manure!#REF!</definedName>
    <definedName name="NH3_per_kg_SE">Manure!#REF!</definedName>
    <definedName name="No_species">'Parameters, general'!$B$30</definedName>
    <definedName name="Share_biofuels_DE">'Parameters, country spec'!#REF!</definedName>
    <definedName name="Share_biofuels_DK">'Parameters, country spec'!#REF!</definedName>
    <definedName name="Share_biofuels_ES">'Parameters, country spec'!#REF!</definedName>
    <definedName name="Share_biofuels_FR">'Parameters, country spec'!#REF!</definedName>
    <definedName name="Share_biofuels_GR">'Parameters, country spec'!#REF!</definedName>
    <definedName name="Share_biofuels_HU">'Parameters, country spec'!#REF!</definedName>
    <definedName name="Share_biofuels_IE">'Parameters, country spec'!#REF!</definedName>
    <definedName name="Share_biofuels_IT">'Parameters, country spec'!#REF!</definedName>
    <definedName name="Share_biofuels_NL">'Parameters, country spec'!#REF!</definedName>
    <definedName name="Share_biofuels_PL">'Parameters, country spec'!#REF!</definedName>
    <definedName name="Share_biofuels_SE">'Parameters, country spec'!#REF!</definedName>
    <definedName name="Share_heating_DE">'Parameters, country spec'!#REF!</definedName>
    <definedName name="Share_heating_DK">'Parameters, country spec'!#REF!</definedName>
    <definedName name="Share_heating_ES">'Parameters, country spec'!#REF!</definedName>
    <definedName name="Share_heating_FR">'Parameters, country spec'!#REF!</definedName>
    <definedName name="Share_heating_GR">'Parameters, country spec'!#REF!</definedName>
    <definedName name="Share_heating_HU">'Parameters, country spec'!#REF!</definedName>
    <definedName name="Share_heating_IE">'Parameters, country spec'!#REF!</definedName>
    <definedName name="Share_heating_IT">'Parameters, country spec'!#REF!</definedName>
    <definedName name="Share_heating_NL">'Parameters, country spec'!#REF!</definedName>
    <definedName name="Share_heating_PL">'Parameters, country spec'!#REF!</definedName>
    <definedName name="Share_heating_SE">'Parameters, country spec'!#REF!</definedName>
    <definedName name="Slaughter_duration_class">'Parameters, general'!#REF!</definedName>
    <definedName name="Time_piglet_system_DE">'Parameters, country spec'!#REF!</definedName>
    <definedName name="Time_piglet_system_DK">'Parameters, country spec'!#REF!</definedName>
    <definedName name="Time_piglet_system_ES">'Parameters, country spec'!#REF!</definedName>
    <definedName name="Time_piglet_system_FR">'Parameters, country spec'!#REF!</definedName>
    <definedName name="Time_piglet_system_GR">'Parameters, country spec'!#REF!</definedName>
    <definedName name="Time_piglet_system_HU">'Parameters, country spec'!#REF!</definedName>
    <definedName name="Time_piglet_system_IE">'Parameters, country spec'!#REF!</definedName>
    <definedName name="Time_piglet_system_IT">'Parameters, country spec'!#REF!</definedName>
    <definedName name="Time_piglet_system_NL">'Parameters, country spec'!#REF!</definedName>
    <definedName name="Time_piglet_system_PL">'Parameters, country spec'!#REF!</definedName>
    <definedName name="Time_piglet_system_SE">'Parameters, country spec'!#REF!</definedName>
    <definedName name="Water_drinking_dairy_cow_DE">'Parameters, country spec'!$D$89</definedName>
    <definedName name="Water_drinking_dairy_cow_DK">'Parameters, country spec'!$B$89</definedName>
    <definedName name="Water_drinking_dairy_cow_ES">'Parameters, country spec'!$K$89</definedName>
    <definedName name="Water_drinking_dairy_cow_FR">'Parameters, country spec'!$C$89</definedName>
    <definedName name="Water_drinking_dairy_cow_GR">'Parameters, country spec'!$E$89</definedName>
    <definedName name="Water_drinking_dairy_cow_HU">'Parameters, country spec'!$F$89</definedName>
    <definedName name="Water_drinking_dairy_cow_IE">'Parameters, country spec'!$G$89</definedName>
    <definedName name="Water_drinking_dairy_cow_IT">'Parameters, country spec'!$H$89</definedName>
    <definedName name="Water_drinking_dairy_cow_NL">'Parameters, country spec'!$I$89</definedName>
    <definedName name="Water_drinking_dairy_cow_PL">'Parameters, country spec'!$J$89</definedName>
    <definedName name="Water_drinking_dairy_cow_SE">'Parameters, country spec'!$L$89</definedName>
    <definedName name="Water_drinking_DK">'Parameters, country spec'!$B$89</definedName>
    <definedName name="Water_drinking_heifer_DE">'Parameters, country spec'!$D$91</definedName>
    <definedName name="Water_drinking_heifer_DK">'Parameters, country spec'!$B$91</definedName>
    <definedName name="Water_drinking_heifer_ES">'Parameters, country spec'!$K$91</definedName>
    <definedName name="Water_drinking_heifer_FR">'Parameters, country spec'!$C$91</definedName>
    <definedName name="Water_drinking_heifer_GR">'Parameters, country spec'!$E$91</definedName>
    <definedName name="Water_drinking_heifer_HU">'Parameters, country spec'!$F$91</definedName>
    <definedName name="Water_drinking_heifer_IE">'Parameters, country spec'!$G$91</definedName>
    <definedName name="Water_drinking_heifer_IT">'Parameters, country spec'!$H$91</definedName>
    <definedName name="Water_drinking_heifer_NL">'Parameters, country spec'!$I$91</definedName>
    <definedName name="Water_drinking_heifer_PL">'Parameters, country spec'!$J$91</definedName>
    <definedName name="Water_drinking_heifer_SE">'Parameters, country spec'!$L$91</definedName>
    <definedName name="Water_service_dairy_cow_DE">'Parameters, country spec'!$D$90</definedName>
    <definedName name="Water_service_dairy_cow_DK">'Parameters, country spec'!$B$90</definedName>
    <definedName name="Water_service_dairy_cow_ES">'Parameters, country spec'!$K$90</definedName>
    <definedName name="Water_service_dairy_cow_FR">'Parameters, country spec'!$C$90</definedName>
    <definedName name="Water_service_dairy_cow_GR">'Parameters, country spec'!$E$90</definedName>
    <definedName name="Water_service_dairy_cow_HU">'Parameters, country spec'!$F$90</definedName>
    <definedName name="Water_service_dairy_cow_IE">'Parameters, country spec'!$G$90</definedName>
    <definedName name="Water_service_dairy_cow_IT">'Parameters, country spec'!$H$90</definedName>
    <definedName name="Water_service_dairy_cow_NL">'Parameters, country spec'!$I$90</definedName>
    <definedName name="Water_service_dairy_cow_PL">'Parameters, country spec'!$J$90</definedName>
    <definedName name="Water_service_dairy_cow_SE">'Parameters, country spec'!$L$90</definedName>
    <definedName name="Water_service_heifer_DE">'Parameters, country spec'!$D$92</definedName>
    <definedName name="Water_service_heifer_DK">'Parameters, country spec'!$B$92</definedName>
    <definedName name="Water_service_heifer_ES">'Parameters, country spec'!$K$92</definedName>
    <definedName name="Water_service_heifer_FR">'Parameters, country spec'!$C$92</definedName>
    <definedName name="Water_service_heifer_GR">'Parameters, country spec'!$E$92</definedName>
    <definedName name="Water_service_heifer_HU">'Parameters, country spec'!$F$92</definedName>
    <definedName name="Water_service_heifer_IE">'Parameters, country spec'!$G$92</definedName>
    <definedName name="Water_service_heifer_IT">'Parameters, country spec'!$H$92</definedName>
    <definedName name="Water_service_heifer_NL">'Parameters, country spec'!$I$92</definedName>
    <definedName name="Water_service_heifer_PL">'Parameters, country spec'!$J$92</definedName>
    <definedName name="Water_service_heifer_SE">'Parameters, country spec'!$L$92</definedName>
    <definedName name="Weight_ability_to_perceive_handling">'Parameters, general'!#REF!</definedName>
    <definedName name="Weight_diseases">'Parameters, general'!#REF!</definedName>
    <definedName name="Weight_mortality">'Parameters, general'!#REF!</definedName>
    <definedName name="Weight_no_of_animal">'Parameters, general'!#REF!</definedName>
    <definedName name="Weight_slaughter_duration_class">'Parameters, general'!#REF!</definedName>
    <definedName name="Weight_space">'Parameters, general'!#REF!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8" i="28" l="1"/>
  <c r="F11" i="28" s="1"/>
  <c r="F7" i="28"/>
  <c r="J66" i="27"/>
  <c r="G66" i="27"/>
  <c r="F66" i="27"/>
  <c r="J65" i="27"/>
  <c r="G65" i="27"/>
  <c r="F65" i="27"/>
  <c r="J64" i="27"/>
  <c r="G64" i="27"/>
  <c r="F64" i="27"/>
  <c r="J63" i="27"/>
  <c r="G63" i="27"/>
  <c r="F63" i="27"/>
  <c r="J62" i="27"/>
  <c r="G62" i="27"/>
  <c r="F62" i="27"/>
  <c r="J61" i="27"/>
  <c r="G61" i="27"/>
  <c r="F61" i="27"/>
  <c r="J60" i="27"/>
  <c r="G60" i="27"/>
  <c r="F60" i="27"/>
  <c r="J59" i="27"/>
  <c r="G59" i="27"/>
  <c r="F59" i="27"/>
  <c r="J58" i="27"/>
  <c r="G58" i="27"/>
  <c r="F58" i="27"/>
  <c r="J57" i="27"/>
  <c r="G57" i="27"/>
  <c r="F57" i="27"/>
  <c r="J56" i="27"/>
  <c r="G56" i="27"/>
  <c r="F56" i="27"/>
  <c r="K56" i="27" s="1"/>
  <c r="E50" i="27"/>
  <c r="E49" i="27"/>
  <c r="E48" i="27"/>
  <c r="E47" i="27"/>
  <c r="E46" i="27"/>
  <c r="J30" i="27"/>
  <c r="G30" i="27"/>
  <c r="F30" i="27"/>
  <c r="J29" i="27"/>
  <c r="G29" i="27"/>
  <c r="F29" i="27"/>
  <c r="J28" i="27"/>
  <c r="G28" i="27"/>
  <c r="F28" i="27"/>
  <c r="J27" i="27"/>
  <c r="G27" i="27"/>
  <c r="F27" i="27"/>
  <c r="J26" i="27"/>
  <c r="G26" i="27"/>
  <c r="F26" i="27"/>
  <c r="J25" i="27"/>
  <c r="G25" i="27"/>
  <c r="F25" i="27"/>
  <c r="J24" i="27"/>
  <c r="G24" i="27"/>
  <c r="F24" i="27"/>
  <c r="J23" i="27"/>
  <c r="G23" i="27"/>
  <c r="F23" i="27"/>
  <c r="J22" i="27"/>
  <c r="G22" i="27"/>
  <c r="F22" i="27"/>
  <c r="J21" i="27"/>
  <c r="G21" i="27"/>
  <c r="F21" i="27"/>
  <c r="K20" i="27"/>
  <c r="J20" i="27"/>
  <c r="G20" i="27"/>
  <c r="F20" i="27"/>
  <c r="E14" i="27"/>
  <c r="E13" i="27"/>
  <c r="E12" i="27"/>
  <c r="E11" i="27"/>
  <c r="E10" i="27"/>
  <c r="L88" i="26"/>
  <c r="K88" i="26"/>
  <c r="J88" i="26"/>
  <c r="I88" i="26"/>
  <c r="H88" i="26"/>
  <c r="G88" i="26"/>
  <c r="F88" i="26"/>
  <c r="P77" i="26"/>
  <c r="O77" i="26"/>
  <c r="M77" i="26"/>
  <c r="L77" i="26"/>
  <c r="J77" i="26"/>
  <c r="I77" i="26"/>
  <c r="H77" i="26"/>
  <c r="G77" i="26"/>
  <c r="F77" i="26"/>
  <c r="P75" i="26"/>
  <c r="O75" i="26"/>
  <c r="M75" i="26"/>
  <c r="L75" i="26"/>
  <c r="J75" i="26"/>
  <c r="G75" i="26"/>
  <c r="F75" i="26"/>
  <c r="O74" i="26"/>
  <c r="M74" i="26"/>
  <c r="L74" i="26"/>
  <c r="J74" i="26"/>
  <c r="G74" i="26"/>
  <c r="F74" i="26"/>
  <c r="E74" i="26"/>
  <c r="E71" i="26"/>
  <c r="E70" i="26"/>
  <c r="E69" i="26"/>
  <c r="E68" i="26"/>
  <c r="E65" i="26"/>
  <c r="E64" i="26"/>
  <c r="E63" i="26"/>
  <c r="E62" i="26"/>
  <c r="E59" i="26"/>
  <c r="E58" i="26"/>
  <c r="E57" i="26"/>
  <c r="E56" i="26"/>
  <c r="E55" i="26"/>
  <c r="L36" i="26"/>
  <c r="K36" i="26"/>
  <c r="J36" i="26"/>
  <c r="I36" i="26"/>
  <c r="H36" i="26"/>
  <c r="G36" i="26"/>
  <c r="G145" i="21" s="1"/>
  <c r="F36" i="26"/>
  <c r="P26" i="26"/>
  <c r="M26" i="26"/>
  <c r="L26" i="26"/>
  <c r="J26" i="26"/>
  <c r="I26" i="26"/>
  <c r="H26" i="26"/>
  <c r="G26" i="26"/>
  <c r="F26" i="26"/>
  <c r="E25" i="26"/>
  <c r="P24" i="26"/>
  <c r="M24" i="26"/>
  <c r="L24" i="26"/>
  <c r="J24" i="26"/>
  <c r="G24" i="26"/>
  <c r="F24" i="26"/>
  <c r="N23" i="26"/>
  <c r="M23" i="26"/>
  <c r="L23" i="26"/>
  <c r="J23" i="26"/>
  <c r="G23" i="26"/>
  <c r="F23" i="26"/>
  <c r="E23" i="26"/>
  <c r="E20" i="26"/>
  <c r="E19" i="26"/>
  <c r="E18" i="26"/>
  <c r="E17" i="26"/>
  <c r="E14" i="26"/>
  <c r="E13" i="26"/>
  <c r="E12" i="26"/>
  <c r="E11" i="26"/>
  <c r="E10" i="26"/>
  <c r="E88" i="25"/>
  <c r="D88" i="25"/>
  <c r="E87" i="25"/>
  <c r="D87" i="25"/>
  <c r="E86" i="25"/>
  <c r="D86" i="25"/>
  <c r="E85" i="25"/>
  <c r="D85" i="25"/>
  <c r="E84" i="25"/>
  <c r="D84" i="25"/>
  <c r="E83" i="25"/>
  <c r="D83" i="25"/>
  <c r="E82" i="25"/>
  <c r="D82" i="25"/>
  <c r="E81" i="25"/>
  <c r="D81" i="25"/>
  <c r="E80" i="25"/>
  <c r="D80" i="25"/>
  <c r="E79" i="25"/>
  <c r="D79" i="25"/>
  <c r="E78" i="25"/>
  <c r="D78" i="25"/>
  <c r="F72" i="25"/>
  <c r="H241" i="23" s="1"/>
  <c r="J71" i="25"/>
  <c r="F71" i="25"/>
  <c r="H236" i="23" s="1"/>
  <c r="H237" i="23" s="1"/>
  <c r="J70" i="25"/>
  <c r="F70" i="25"/>
  <c r="H231" i="23" s="1"/>
  <c r="J69" i="25"/>
  <c r="F69" i="25"/>
  <c r="H226" i="23" s="1"/>
  <c r="J68" i="25"/>
  <c r="J62" i="24" s="1"/>
  <c r="F68" i="25"/>
  <c r="J67" i="25"/>
  <c r="J61" i="24" s="1"/>
  <c r="F67" i="25"/>
  <c r="J66" i="25"/>
  <c r="J60" i="24" s="1"/>
  <c r="F66" i="25"/>
  <c r="H211" i="23" s="1"/>
  <c r="H212" i="23" s="1"/>
  <c r="J65" i="25"/>
  <c r="J59" i="24" s="1"/>
  <c r="F65" i="25"/>
  <c r="H206" i="23" s="1"/>
  <c r="J64" i="25"/>
  <c r="F64" i="25"/>
  <c r="H201" i="23" s="1"/>
  <c r="J63" i="25"/>
  <c r="J57" i="24" s="1"/>
  <c r="F63" i="25"/>
  <c r="J62" i="25"/>
  <c r="J56" i="24" s="1"/>
  <c r="F62" i="25"/>
  <c r="H191" i="23" s="1"/>
  <c r="F54" i="25"/>
  <c r="J53" i="25"/>
  <c r="J49" i="24" s="1"/>
  <c r="J152" i="21" s="1"/>
  <c r="F53" i="25"/>
  <c r="J52" i="25"/>
  <c r="F52" i="25"/>
  <c r="H171" i="23" s="1"/>
  <c r="J51" i="25"/>
  <c r="F51" i="25"/>
  <c r="J50" i="25"/>
  <c r="J46" i="24" s="1"/>
  <c r="F50" i="25"/>
  <c r="F49" i="25"/>
  <c r="J48" i="25"/>
  <c r="F48" i="25"/>
  <c r="J47" i="25"/>
  <c r="F47" i="25"/>
  <c r="H146" i="23" s="1"/>
  <c r="J46" i="25"/>
  <c r="J42" i="24" s="1"/>
  <c r="J40" i="21" s="1"/>
  <c r="F46" i="25"/>
  <c r="J45" i="25"/>
  <c r="F45" i="25"/>
  <c r="J44" i="25"/>
  <c r="F44" i="25"/>
  <c r="F36" i="25"/>
  <c r="J35" i="25"/>
  <c r="F35" i="25"/>
  <c r="H116" i="23" s="1"/>
  <c r="H117" i="23" s="1"/>
  <c r="J34" i="25"/>
  <c r="F34" i="25"/>
  <c r="F33" i="25"/>
  <c r="H106" i="23" s="1"/>
  <c r="J32" i="25"/>
  <c r="F32" i="25"/>
  <c r="H101" i="23" s="1"/>
  <c r="F31" i="25"/>
  <c r="J30" i="25"/>
  <c r="J28" i="24" s="1"/>
  <c r="F30" i="25"/>
  <c r="H91" i="23" s="1"/>
  <c r="J29" i="25"/>
  <c r="J27" i="24" s="1"/>
  <c r="J55" i="21" s="1"/>
  <c r="F29" i="25"/>
  <c r="F28" i="25"/>
  <c r="H81" i="23" s="1"/>
  <c r="F27" i="25"/>
  <c r="F26" i="25"/>
  <c r="AZ23" i="25"/>
  <c r="AV23" i="25"/>
  <c r="AX21" i="25"/>
  <c r="AX23" i="25" s="1"/>
  <c r="W18" i="25"/>
  <c r="V18" i="25"/>
  <c r="K18" i="24" s="1"/>
  <c r="K166" i="21" s="1"/>
  <c r="H18" i="25"/>
  <c r="F18" i="25"/>
  <c r="H61" i="23" s="1"/>
  <c r="E18" i="25"/>
  <c r="W17" i="25"/>
  <c r="I17" i="25"/>
  <c r="H17" i="25"/>
  <c r="G17" i="25"/>
  <c r="F17" i="25"/>
  <c r="H56" i="23" s="1"/>
  <c r="E17" i="25"/>
  <c r="D17" i="25"/>
  <c r="C17" i="25"/>
  <c r="L17" i="24" s="1"/>
  <c r="W16" i="25"/>
  <c r="I16" i="25"/>
  <c r="H16" i="25"/>
  <c r="G16" i="25"/>
  <c r="H16" i="24" s="1"/>
  <c r="F16" i="25"/>
  <c r="E16" i="25"/>
  <c r="D16" i="25"/>
  <c r="C16" i="25"/>
  <c r="W15" i="25"/>
  <c r="I15" i="25"/>
  <c r="H15" i="25"/>
  <c r="G15" i="25"/>
  <c r="F15" i="25"/>
  <c r="H46" i="23" s="1"/>
  <c r="E15" i="25"/>
  <c r="D15" i="25"/>
  <c r="C15" i="25"/>
  <c r="F15" i="24" s="1"/>
  <c r="W14" i="25"/>
  <c r="I14" i="25"/>
  <c r="L39" i="23" s="1"/>
  <c r="H14" i="25"/>
  <c r="G14" i="25"/>
  <c r="F14" i="25"/>
  <c r="E14" i="25"/>
  <c r="D14" i="25"/>
  <c r="C14" i="25"/>
  <c r="W13" i="25"/>
  <c r="V13" i="25"/>
  <c r="U13" i="25"/>
  <c r="T13" i="25"/>
  <c r="S13" i="25"/>
  <c r="R13" i="25"/>
  <c r="I13" i="25"/>
  <c r="H13" i="25"/>
  <c r="G13" i="25"/>
  <c r="E13" i="25"/>
  <c r="D13" i="25"/>
  <c r="C13" i="25"/>
  <c r="W12" i="25"/>
  <c r="I12" i="25"/>
  <c r="H12" i="25"/>
  <c r="G12" i="25"/>
  <c r="H12" i="24" s="1"/>
  <c r="H70" i="21" s="1"/>
  <c r="E12" i="25"/>
  <c r="D12" i="25"/>
  <c r="C12" i="25"/>
  <c r="W11" i="25"/>
  <c r="I11" i="25"/>
  <c r="H11" i="25"/>
  <c r="G11" i="25"/>
  <c r="E11" i="25"/>
  <c r="D11" i="25"/>
  <c r="C11" i="25"/>
  <c r="I11" i="24" s="1"/>
  <c r="I54" i="21" s="1"/>
  <c r="W10" i="25"/>
  <c r="I10" i="25"/>
  <c r="H10" i="25"/>
  <c r="G10" i="25"/>
  <c r="E10" i="25"/>
  <c r="D10" i="25"/>
  <c r="C10" i="25"/>
  <c r="W9" i="25"/>
  <c r="I9" i="25"/>
  <c r="H9" i="25"/>
  <c r="G9" i="25"/>
  <c r="E9" i="25"/>
  <c r="D9" i="25"/>
  <c r="C9" i="25"/>
  <c r="W8" i="25"/>
  <c r="I8" i="25"/>
  <c r="H8" i="25"/>
  <c r="G8" i="25"/>
  <c r="F8" i="25"/>
  <c r="E8" i="25"/>
  <c r="D8" i="25"/>
  <c r="C8" i="25"/>
  <c r="L66" i="24"/>
  <c r="K66" i="24"/>
  <c r="J66" i="24"/>
  <c r="I66" i="24"/>
  <c r="H66" i="24"/>
  <c r="G66" i="24"/>
  <c r="F66" i="24"/>
  <c r="L65" i="24"/>
  <c r="K65" i="24"/>
  <c r="J65" i="24"/>
  <c r="I65" i="24"/>
  <c r="H65" i="24"/>
  <c r="G65" i="24"/>
  <c r="F65" i="24"/>
  <c r="F152" i="21" s="1"/>
  <c r="K64" i="24"/>
  <c r="J64" i="24"/>
  <c r="I64" i="24"/>
  <c r="H64" i="24"/>
  <c r="G64" i="24"/>
  <c r="F64" i="24"/>
  <c r="L63" i="24"/>
  <c r="K63" i="24"/>
  <c r="J63" i="24"/>
  <c r="I63" i="24"/>
  <c r="H63" i="24"/>
  <c r="G63" i="24"/>
  <c r="F63" i="24"/>
  <c r="L62" i="24"/>
  <c r="K62" i="24"/>
  <c r="I62" i="24"/>
  <c r="H62" i="24"/>
  <c r="G62" i="24"/>
  <c r="F62" i="24"/>
  <c r="L61" i="24"/>
  <c r="K61" i="24"/>
  <c r="I61" i="24"/>
  <c r="H61" i="24"/>
  <c r="G61" i="24"/>
  <c r="F61" i="24"/>
  <c r="L60" i="24"/>
  <c r="K60" i="24"/>
  <c r="I60" i="24"/>
  <c r="H60" i="24"/>
  <c r="G60" i="24"/>
  <c r="F60" i="24"/>
  <c r="K59" i="24"/>
  <c r="K56" i="21" s="1"/>
  <c r="I59" i="24"/>
  <c r="H59" i="24"/>
  <c r="G59" i="24"/>
  <c r="F59" i="24"/>
  <c r="L58" i="24"/>
  <c r="L40" i="21" s="1"/>
  <c r="K58" i="24"/>
  <c r="J58" i="24"/>
  <c r="I58" i="24"/>
  <c r="H58" i="24"/>
  <c r="G58" i="24"/>
  <c r="F58" i="24"/>
  <c r="L57" i="24"/>
  <c r="K57" i="24"/>
  <c r="I57" i="24"/>
  <c r="H57" i="24"/>
  <c r="G57" i="24"/>
  <c r="F57" i="24"/>
  <c r="L56" i="24"/>
  <c r="K56" i="24"/>
  <c r="I56" i="24"/>
  <c r="H56" i="24"/>
  <c r="G56" i="24"/>
  <c r="F56" i="24"/>
  <c r="L50" i="24"/>
  <c r="K50" i="24"/>
  <c r="J50" i="24"/>
  <c r="I50" i="24"/>
  <c r="I168" i="21" s="1"/>
  <c r="H50" i="24"/>
  <c r="G50" i="24"/>
  <c r="G168" i="21" s="1"/>
  <c r="F50" i="24"/>
  <c r="L49" i="24"/>
  <c r="K49" i="24"/>
  <c r="I49" i="24"/>
  <c r="H49" i="24"/>
  <c r="G49" i="24"/>
  <c r="F49" i="24"/>
  <c r="L48" i="24"/>
  <c r="K48" i="24"/>
  <c r="J48" i="24"/>
  <c r="I48" i="24"/>
  <c r="H48" i="24"/>
  <c r="G48" i="24"/>
  <c r="F48" i="24"/>
  <c r="L47" i="24"/>
  <c r="K47" i="24"/>
  <c r="J47" i="24"/>
  <c r="I47" i="24"/>
  <c r="H47" i="24"/>
  <c r="G47" i="24"/>
  <c r="F47" i="24"/>
  <c r="L46" i="24"/>
  <c r="K46" i="24"/>
  <c r="I46" i="24"/>
  <c r="H46" i="24"/>
  <c r="G46" i="24"/>
  <c r="F46" i="24"/>
  <c r="L45" i="24"/>
  <c r="L88" i="21" s="1"/>
  <c r="K45" i="24"/>
  <c r="J45" i="24"/>
  <c r="I45" i="24"/>
  <c r="H45" i="24"/>
  <c r="G45" i="24"/>
  <c r="F45" i="24"/>
  <c r="L44" i="24"/>
  <c r="K44" i="24"/>
  <c r="J44" i="24"/>
  <c r="I44" i="24"/>
  <c r="H44" i="24"/>
  <c r="G44" i="24"/>
  <c r="F44" i="24"/>
  <c r="K43" i="24"/>
  <c r="J43" i="24"/>
  <c r="J56" i="21" s="1"/>
  <c r="I43" i="24"/>
  <c r="H43" i="24"/>
  <c r="G43" i="24"/>
  <c r="F43" i="24"/>
  <c r="L42" i="24"/>
  <c r="K42" i="24"/>
  <c r="I42" i="24"/>
  <c r="H42" i="24"/>
  <c r="H40" i="21" s="1"/>
  <c r="G42" i="24"/>
  <c r="G40" i="21" s="1"/>
  <c r="F42" i="24"/>
  <c r="L41" i="24"/>
  <c r="K41" i="24"/>
  <c r="J41" i="24"/>
  <c r="I41" i="24"/>
  <c r="H41" i="24"/>
  <c r="G41" i="24"/>
  <c r="F41" i="24"/>
  <c r="F24" i="21" s="1"/>
  <c r="L40" i="24"/>
  <c r="K40" i="24"/>
  <c r="J40" i="24"/>
  <c r="I40" i="24"/>
  <c r="H40" i="24"/>
  <c r="G40" i="24"/>
  <c r="F40" i="24"/>
  <c r="F8" i="21" s="1"/>
  <c r="L34" i="24"/>
  <c r="L167" i="21" s="1"/>
  <c r="K34" i="24"/>
  <c r="K167" i="21" s="1"/>
  <c r="J34" i="24"/>
  <c r="I34" i="24"/>
  <c r="H34" i="24"/>
  <c r="G34" i="24"/>
  <c r="F34" i="24"/>
  <c r="K33" i="24"/>
  <c r="J33" i="24"/>
  <c r="J151" i="21" s="1"/>
  <c r="I33" i="24"/>
  <c r="I151" i="21" s="1"/>
  <c r="H33" i="24"/>
  <c r="G33" i="24"/>
  <c r="F33" i="24"/>
  <c r="F151" i="21" s="1"/>
  <c r="L32" i="24"/>
  <c r="K32" i="24"/>
  <c r="J32" i="24"/>
  <c r="J135" i="21" s="1"/>
  <c r="I32" i="24"/>
  <c r="I135" i="21" s="1"/>
  <c r="H32" i="24"/>
  <c r="H135" i="21" s="1"/>
  <c r="G32" i="24"/>
  <c r="G135" i="21" s="1"/>
  <c r="F32" i="24"/>
  <c r="L31" i="24"/>
  <c r="K31" i="24"/>
  <c r="K119" i="21" s="1"/>
  <c r="J31" i="24"/>
  <c r="I31" i="24"/>
  <c r="H31" i="24"/>
  <c r="H119" i="21" s="1"/>
  <c r="G31" i="24"/>
  <c r="F31" i="24"/>
  <c r="F119" i="21" s="1"/>
  <c r="L30" i="24"/>
  <c r="L103" i="21" s="1"/>
  <c r="K30" i="24"/>
  <c r="J30" i="24"/>
  <c r="I30" i="24"/>
  <c r="I103" i="21" s="1"/>
  <c r="H30" i="24"/>
  <c r="H103" i="21" s="1"/>
  <c r="G30" i="24"/>
  <c r="G103" i="21" s="1"/>
  <c r="F30" i="24"/>
  <c r="F103" i="21" s="1"/>
  <c r="L29" i="24"/>
  <c r="K29" i="24"/>
  <c r="J29" i="24"/>
  <c r="I29" i="24"/>
  <c r="H29" i="24"/>
  <c r="G29" i="24"/>
  <c r="F29" i="24"/>
  <c r="F87" i="21" s="1"/>
  <c r="L28" i="24"/>
  <c r="L71" i="21" s="1"/>
  <c r="K28" i="24"/>
  <c r="I28" i="24"/>
  <c r="H28" i="24"/>
  <c r="G28" i="24"/>
  <c r="F28" i="24"/>
  <c r="F71" i="21" s="1"/>
  <c r="L27" i="24"/>
  <c r="L55" i="21" s="1"/>
  <c r="K27" i="24"/>
  <c r="K55" i="21" s="1"/>
  <c r="I27" i="24"/>
  <c r="H27" i="24"/>
  <c r="G27" i="24"/>
  <c r="F27" i="24"/>
  <c r="L26" i="24"/>
  <c r="K26" i="24"/>
  <c r="J26" i="24"/>
  <c r="J39" i="21" s="1"/>
  <c r="I26" i="24"/>
  <c r="H26" i="24"/>
  <c r="G26" i="24"/>
  <c r="F26" i="24"/>
  <c r="L25" i="24"/>
  <c r="K25" i="24"/>
  <c r="J25" i="24"/>
  <c r="J23" i="21" s="1"/>
  <c r="I25" i="24"/>
  <c r="I23" i="21" s="1"/>
  <c r="H25" i="24"/>
  <c r="G25" i="24"/>
  <c r="F25" i="24"/>
  <c r="L24" i="24"/>
  <c r="K24" i="24"/>
  <c r="J24" i="24"/>
  <c r="I24" i="24"/>
  <c r="H24" i="24"/>
  <c r="H7" i="21" s="1"/>
  <c r="G24" i="24"/>
  <c r="F24" i="24"/>
  <c r="L18" i="24"/>
  <c r="J18" i="24"/>
  <c r="I18" i="24"/>
  <c r="I166" i="21" s="1"/>
  <c r="H18" i="24"/>
  <c r="H166" i="21" s="1"/>
  <c r="G18" i="24"/>
  <c r="G166" i="21" s="1"/>
  <c r="F18" i="24"/>
  <c r="J17" i="24"/>
  <c r="G17" i="24"/>
  <c r="F17" i="24"/>
  <c r="K16" i="24"/>
  <c r="J16" i="24"/>
  <c r="F16" i="24"/>
  <c r="L15" i="24"/>
  <c r="L118" i="21" s="1"/>
  <c r="K15" i="24"/>
  <c r="K118" i="21" s="1"/>
  <c r="I15" i="24"/>
  <c r="H15" i="24"/>
  <c r="K14" i="24"/>
  <c r="J14" i="24"/>
  <c r="J102" i="21" s="1"/>
  <c r="I14" i="24"/>
  <c r="I102" i="21" s="1"/>
  <c r="H14" i="24"/>
  <c r="G14" i="24"/>
  <c r="G102" i="21" s="1"/>
  <c r="F14" i="24"/>
  <c r="L11" i="24"/>
  <c r="K11" i="24"/>
  <c r="K54" i="21" s="1"/>
  <c r="J11" i="24"/>
  <c r="I10" i="24"/>
  <c r="I38" i="21" s="1"/>
  <c r="H10" i="24"/>
  <c r="H38" i="21" s="1"/>
  <c r="G10" i="24"/>
  <c r="G38" i="21" s="1"/>
  <c r="F10" i="24"/>
  <c r="K9" i="24"/>
  <c r="I9" i="24"/>
  <c r="I22" i="21" s="1"/>
  <c r="P242" i="23"/>
  <c r="N242" i="23"/>
  <c r="M242" i="23"/>
  <c r="K242" i="23"/>
  <c r="O241" i="23"/>
  <c r="L241" i="23"/>
  <c r="G241" i="23"/>
  <c r="F241" i="23"/>
  <c r="E240" i="23"/>
  <c r="L239" i="23"/>
  <c r="G239" i="23"/>
  <c r="F239" i="23"/>
  <c r="O238" i="23"/>
  <c r="L238" i="23"/>
  <c r="L242" i="23" s="1"/>
  <c r="G238" i="23"/>
  <c r="F238" i="23"/>
  <c r="P237" i="23"/>
  <c r="N237" i="23"/>
  <c r="M237" i="23"/>
  <c r="L237" i="23"/>
  <c r="K237" i="23"/>
  <c r="I237" i="23"/>
  <c r="L236" i="23"/>
  <c r="I236" i="23"/>
  <c r="G236" i="23"/>
  <c r="F236" i="23"/>
  <c r="E235" i="23"/>
  <c r="O234" i="23"/>
  <c r="L234" i="23"/>
  <c r="G234" i="23"/>
  <c r="F234" i="23"/>
  <c r="O233" i="23"/>
  <c r="L233" i="23"/>
  <c r="G233" i="23"/>
  <c r="G237" i="23" s="1"/>
  <c r="F233" i="23"/>
  <c r="P232" i="23"/>
  <c r="N232" i="23"/>
  <c r="M232" i="23"/>
  <c r="L232" i="23"/>
  <c r="K232" i="23"/>
  <c r="G232" i="23"/>
  <c r="L231" i="23"/>
  <c r="J231" i="23"/>
  <c r="G231" i="23"/>
  <c r="F231" i="23"/>
  <c r="E230" i="23"/>
  <c r="O229" i="23"/>
  <c r="L229" i="23"/>
  <c r="G229" i="23"/>
  <c r="F229" i="23"/>
  <c r="L228" i="23"/>
  <c r="J228" i="23"/>
  <c r="G228" i="23"/>
  <c r="F228" i="23"/>
  <c r="F232" i="23" s="1"/>
  <c r="P227" i="23"/>
  <c r="N227" i="23"/>
  <c r="M227" i="23"/>
  <c r="K227" i="23"/>
  <c r="L226" i="23"/>
  <c r="J226" i="23"/>
  <c r="G226" i="23"/>
  <c r="F226" i="23"/>
  <c r="E225" i="23"/>
  <c r="L224" i="23"/>
  <c r="G224" i="23"/>
  <c r="G227" i="23" s="1"/>
  <c r="F224" i="23"/>
  <c r="O223" i="23"/>
  <c r="L223" i="23"/>
  <c r="L227" i="23" s="1"/>
  <c r="G223" i="23"/>
  <c r="F223" i="23"/>
  <c r="P222" i="23"/>
  <c r="N222" i="23"/>
  <c r="M222" i="23"/>
  <c r="K222" i="23"/>
  <c r="O221" i="23"/>
  <c r="L221" i="23"/>
  <c r="I221" i="23"/>
  <c r="I222" i="23" s="1"/>
  <c r="H221" i="23"/>
  <c r="H222" i="23" s="1"/>
  <c r="G221" i="23"/>
  <c r="F221" i="23"/>
  <c r="E220" i="23"/>
  <c r="O219" i="23"/>
  <c r="L219" i="23"/>
  <c r="G219" i="23"/>
  <c r="F219" i="23"/>
  <c r="O218" i="23"/>
  <c r="L218" i="23"/>
  <c r="G218" i="23"/>
  <c r="F218" i="23"/>
  <c r="P217" i="23"/>
  <c r="N217" i="23"/>
  <c r="M217" i="23"/>
  <c r="K217" i="23"/>
  <c r="L216" i="23"/>
  <c r="I216" i="23"/>
  <c r="I217" i="23" s="1"/>
  <c r="H216" i="23"/>
  <c r="H217" i="23" s="1"/>
  <c r="G216" i="23"/>
  <c r="F216" i="23"/>
  <c r="F217" i="23" s="1"/>
  <c r="E215" i="23"/>
  <c r="L214" i="23"/>
  <c r="G214" i="23"/>
  <c r="F214" i="23"/>
  <c r="O213" i="23"/>
  <c r="L213" i="23"/>
  <c r="L217" i="23" s="1"/>
  <c r="G213" i="23"/>
  <c r="F213" i="23"/>
  <c r="P212" i="23"/>
  <c r="N212" i="23"/>
  <c r="M212" i="23"/>
  <c r="K212" i="23"/>
  <c r="L211" i="23"/>
  <c r="J211" i="23"/>
  <c r="I211" i="23"/>
  <c r="I212" i="23" s="1"/>
  <c r="G211" i="23"/>
  <c r="F211" i="23"/>
  <c r="E210" i="23"/>
  <c r="O209" i="23"/>
  <c r="L209" i="23"/>
  <c r="G209" i="23"/>
  <c r="F209" i="23"/>
  <c r="O208" i="23"/>
  <c r="L208" i="23"/>
  <c r="G208" i="23"/>
  <c r="F208" i="23"/>
  <c r="F212" i="23" s="1"/>
  <c r="P207" i="23"/>
  <c r="N207" i="23"/>
  <c r="M207" i="23"/>
  <c r="K207" i="23"/>
  <c r="L206" i="23"/>
  <c r="L207" i="23" s="1"/>
  <c r="J206" i="23"/>
  <c r="I206" i="23"/>
  <c r="I207" i="23" s="1"/>
  <c r="G206" i="23"/>
  <c r="F206" i="23"/>
  <c r="E205" i="23"/>
  <c r="O204" i="23"/>
  <c r="L204" i="23"/>
  <c r="G204" i="23"/>
  <c r="F204" i="23"/>
  <c r="O203" i="23"/>
  <c r="L203" i="23"/>
  <c r="G203" i="23"/>
  <c r="F203" i="23"/>
  <c r="P202" i="23"/>
  <c r="N202" i="23"/>
  <c r="M202" i="23"/>
  <c r="K202" i="23"/>
  <c r="L201" i="23"/>
  <c r="J201" i="23"/>
  <c r="G201" i="23"/>
  <c r="F201" i="23"/>
  <c r="E200" i="23"/>
  <c r="L199" i="23"/>
  <c r="L202" i="23" s="1"/>
  <c r="G199" i="23"/>
  <c r="F199" i="23"/>
  <c r="O198" i="23"/>
  <c r="L198" i="23"/>
  <c r="G198" i="23"/>
  <c r="G202" i="23" s="1"/>
  <c r="F198" i="23"/>
  <c r="P197" i="23"/>
  <c r="N197" i="23"/>
  <c r="M197" i="23"/>
  <c r="K197" i="23"/>
  <c r="H197" i="23"/>
  <c r="F197" i="23"/>
  <c r="L196" i="23"/>
  <c r="I196" i="23"/>
  <c r="I197" i="23" s="1"/>
  <c r="H196" i="23"/>
  <c r="G196" i="23"/>
  <c r="F196" i="23"/>
  <c r="E195" i="23"/>
  <c r="L194" i="23"/>
  <c r="J194" i="23"/>
  <c r="G194" i="23"/>
  <c r="G197" i="23" s="1"/>
  <c r="F194" i="23"/>
  <c r="O193" i="23"/>
  <c r="L193" i="23"/>
  <c r="G193" i="23"/>
  <c r="F193" i="23"/>
  <c r="P192" i="23"/>
  <c r="N192" i="23"/>
  <c r="M192" i="23"/>
  <c r="K192" i="23"/>
  <c r="G192" i="23"/>
  <c r="L191" i="23"/>
  <c r="G191" i="23"/>
  <c r="F191" i="23"/>
  <c r="E190" i="23"/>
  <c r="O189" i="23"/>
  <c r="L189" i="23"/>
  <c r="G189" i="23"/>
  <c r="F189" i="23"/>
  <c r="F192" i="23" s="1"/>
  <c r="O188" i="23"/>
  <c r="L188" i="23"/>
  <c r="L192" i="23" s="1"/>
  <c r="G188" i="23"/>
  <c r="F188" i="23"/>
  <c r="P182" i="23"/>
  <c r="N182" i="23"/>
  <c r="M182" i="23"/>
  <c r="K182" i="23"/>
  <c r="I182" i="23"/>
  <c r="H182" i="23"/>
  <c r="F182" i="23"/>
  <c r="L181" i="23"/>
  <c r="H181" i="23"/>
  <c r="I181" i="23" s="1"/>
  <c r="G181" i="23"/>
  <c r="F181" i="23"/>
  <c r="E180" i="23"/>
  <c r="L179" i="23"/>
  <c r="G179" i="23"/>
  <c r="F179" i="23"/>
  <c r="O178" i="23"/>
  <c r="L178" i="23"/>
  <c r="L182" i="23" s="1"/>
  <c r="G178" i="23"/>
  <c r="F178" i="23"/>
  <c r="P177" i="23"/>
  <c r="N177" i="23"/>
  <c r="M177" i="23"/>
  <c r="L177" i="23"/>
  <c r="K177" i="23"/>
  <c r="H177" i="23"/>
  <c r="G177" i="23"/>
  <c r="L176" i="23"/>
  <c r="H176" i="23"/>
  <c r="I176" i="23" s="1"/>
  <c r="I177" i="23" s="1"/>
  <c r="G176" i="23"/>
  <c r="F176" i="23"/>
  <c r="G152" i="20" s="1"/>
  <c r="E175" i="23"/>
  <c r="O174" i="23"/>
  <c r="L174" i="23"/>
  <c r="G174" i="23"/>
  <c r="F174" i="23"/>
  <c r="O173" i="23"/>
  <c r="L173" i="23"/>
  <c r="G173" i="23"/>
  <c r="F173" i="23"/>
  <c r="P172" i="23"/>
  <c r="N172" i="23"/>
  <c r="M172" i="23"/>
  <c r="L172" i="23"/>
  <c r="K172" i="23"/>
  <c r="H172" i="23"/>
  <c r="G172" i="23"/>
  <c r="L171" i="23"/>
  <c r="I171" i="23"/>
  <c r="I172" i="23" s="1"/>
  <c r="G171" i="23"/>
  <c r="F171" i="23"/>
  <c r="E170" i="23"/>
  <c r="O169" i="23"/>
  <c r="L169" i="23"/>
  <c r="G169" i="23"/>
  <c r="F169" i="23"/>
  <c r="F172" i="23" s="1"/>
  <c r="O168" i="23"/>
  <c r="L168" i="23"/>
  <c r="G168" i="23"/>
  <c r="F168" i="23"/>
  <c r="P167" i="23"/>
  <c r="N167" i="23"/>
  <c r="M167" i="23"/>
  <c r="K167" i="23"/>
  <c r="F167" i="23"/>
  <c r="L166" i="23"/>
  <c r="L167" i="23" s="1"/>
  <c r="J166" i="23"/>
  <c r="K120" i="20" s="1"/>
  <c r="H166" i="23"/>
  <c r="G166" i="23"/>
  <c r="F166" i="23"/>
  <c r="E165" i="23"/>
  <c r="O164" i="23"/>
  <c r="L164" i="23"/>
  <c r="G164" i="23"/>
  <c r="F164" i="23"/>
  <c r="O163" i="23"/>
  <c r="L163" i="23"/>
  <c r="J163" i="23"/>
  <c r="G163" i="23"/>
  <c r="G167" i="23" s="1"/>
  <c r="F163" i="23"/>
  <c r="E163" i="23"/>
  <c r="P162" i="23"/>
  <c r="N162" i="23"/>
  <c r="M162" i="23"/>
  <c r="K162" i="23"/>
  <c r="L161" i="23"/>
  <c r="H161" i="23"/>
  <c r="H162" i="23" s="1"/>
  <c r="G161" i="23"/>
  <c r="F161" i="23"/>
  <c r="E160" i="23"/>
  <c r="L159" i="23"/>
  <c r="G159" i="23"/>
  <c r="G162" i="23" s="1"/>
  <c r="F159" i="23"/>
  <c r="L158" i="23"/>
  <c r="L162" i="23" s="1"/>
  <c r="G158" i="23"/>
  <c r="F158" i="23"/>
  <c r="P157" i="23"/>
  <c r="N157" i="23"/>
  <c r="M157" i="23"/>
  <c r="L157" i="23"/>
  <c r="K157" i="23"/>
  <c r="G157" i="23"/>
  <c r="O156" i="23"/>
  <c r="L156" i="23"/>
  <c r="J156" i="23"/>
  <c r="G156" i="23"/>
  <c r="F156" i="23"/>
  <c r="E155" i="23"/>
  <c r="O154" i="23"/>
  <c r="L154" i="23"/>
  <c r="G154" i="23"/>
  <c r="F154" i="23"/>
  <c r="O153" i="23"/>
  <c r="L153" i="23"/>
  <c r="G153" i="23"/>
  <c r="F153" i="23"/>
  <c r="P152" i="23"/>
  <c r="N152" i="23"/>
  <c r="M152" i="23"/>
  <c r="K152" i="23"/>
  <c r="L151" i="23"/>
  <c r="G151" i="23"/>
  <c r="F151" i="23"/>
  <c r="E150" i="23"/>
  <c r="O149" i="23"/>
  <c r="L149" i="23"/>
  <c r="G149" i="23"/>
  <c r="F149" i="23"/>
  <c r="O148" i="23"/>
  <c r="L148" i="23"/>
  <c r="G148" i="23"/>
  <c r="F148" i="23"/>
  <c r="P147" i="23"/>
  <c r="N147" i="23"/>
  <c r="M147" i="23"/>
  <c r="L147" i="23"/>
  <c r="K147" i="23"/>
  <c r="L146" i="23"/>
  <c r="J146" i="23"/>
  <c r="G146" i="23"/>
  <c r="F146" i="23"/>
  <c r="E145" i="23"/>
  <c r="O144" i="23"/>
  <c r="L144" i="23"/>
  <c r="G144" i="23"/>
  <c r="F144" i="23"/>
  <c r="L143" i="23"/>
  <c r="G143" i="23"/>
  <c r="G147" i="23" s="1"/>
  <c r="F143" i="23"/>
  <c r="P142" i="23"/>
  <c r="N142" i="23"/>
  <c r="M142" i="23"/>
  <c r="K142" i="23"/>
  <c r="L141" i="23"/>
  <c r="J141" i="23"/>
  <c r="G141" i="23"/>
  <c r="F141" i="23"/>
  <c r="E140" i="23"/>
  <c r="O139" i="23"/>
  <c r="L139" i="23"/>
  <c r="L142" i="23" s="1"/>
  <c r="G139" i="23"/>
  <c r="F139" i="23"/>
  <c r="O138" i="23"/>
  <c r="L138" i="23"/>
  <c r="G138" i="23"/>
  <c r="F138" i="23"/>
  <c r="P137" i="23"/>
  <c r="N137" i="23"/>
  <c r="M137" i="23"/>
  <c r="K137" i="23"/>
  <c r="L136" i="23"/>
  <c r="G136" i="23"/>
  <c r="H24" i="20" s="1"/>
  <c r="F136" i="23"/>
  <c r="E135" i="23"/>
  <c r="O134" i="23"/>
  <c r="L134" i="23"/>
  <c r="G134" i="23"/>
  <c r="F134" i="23"/>
  <c r="O133" i="23"/>
  <c r="L133" i="23"/>
  <c r="L137" i="23" s="1"/>
  <c r="G133" i="23"/>
  <c r="F133" i="23"/>
  <c r="P132" i="23"/>
  <c r="N132" i="23"/>
  <c r="M132" i="23"/>
  <c r="K132" i="23"/>
  <c r="G132" i="23"/>
  <c r="F132" i="23"/>
  <c r="L131" i="23"/>
  <c r="H131" i="23"/>
  <c r="G131" i="23"/>
  <c r="F131" i="23"/>
  <c r="E130" i="23"/>
  <c r="L129" i="23"/>
  <c r="M8" i="19" s="1"/>
  <c r="G129" i="23"/>
  <c r="F129" i="23"/>
  <c r="O128" i="23"/>
  <c r="L128" i="23"/>
  <c r="G128" i="23"/>
  <c r="F128" i="23"/>
  <c r="N122" i="23"/>
  <c r="M122" i="23"/>
  <c r="K122" i="23"/>
  <c r="G122" i="23"/>
  <c r="F122" i="23"/>
  <c r="O121" i="23"/>
  <c r="P167" i="20" s="1"/>
  <c r="L121" i="23"/>
  <c r="H121" i="23"/>
  <c r="H122" i="23" s="1"/>
  <c r="G121" i="23"/>
  <c r="F121" i="23"/>
  <c r="E120" i="23"/>
  <c r="L119" i="23"/>
  <c r="G119" i="23"/>
  <c r="F119" i="23"/>
  <c r="O118" i="23"/>
  <c r="P167" i="18" s="1"/>
  <c r="L118" i="23"/>
  <c r="G118" i="23"/>
  <c r="F118" i="23"/>
  <c r="N117" i="23"/>
  <c r="M117" i="23"/>
  <c r="K117" i="23"/>
  <c r="O116" i="23"/>
  <c r="P151" i="20" s="1"/>
  <c r="L116" i="23"/>
  <c r="J116" i="23"/>
  <c r="I116" i="23"/>
  <c r="I117" i="23" s="1"/>
  <c r="G116" i="23"/>
  <c r="F116" i="23"/>
  <c r="E115" i="23"/>
  <c r="L114" i="23"/>
  <c r="J114" i="23"/>
  <c r="G114" i="23"/>
  <c r="F114" i="23"/>
  <c r="O113" i="23"/>
  <c r="L113" i="23"/>
  <c r="G113" i="23"/>
  <c r="G117" i="23" s="1"/>
  <c r="F113" i="23"/>
  <c r="N112" i="23"/>
  <c r="M112" i="23"/>
  <c r="K112" i="23"/>
  <c r="G112" i="23"/>
  <c r="L111" i="23"/>
  <c r="M135" i="20" s="1"/>
  <c r="H111" i="23"/>
  <c r="H112" i="23" s="1"/>
  <c r="G111" i="23"/>
  <c r="F111" i="23"/>
  <c r="E110" i="23"/>
  <c r="L109" i="23"/>
  <c r="J109" i="23"/>
  <c r="G109" i="23"/>
  <c r="F109" i="23"/>
  <c r="O108" i="23"/>
  <c r="L108" i="23"/>
  <c r="G108" i="23"/>
  <c r="F108" i="23"/>
  <c r="F112" i="23" s="1"/>
  <c r="N107" i="23"/>
  <c r="M107" i="23"/>
  <c r="K107" i="23"/>
  <c r="L106" i="23"/>
  <c r="G106" i="23"/>
  <c r="F106" i="23"/>
  <c r="E105" i="23"/>
  <c r="L104" i="23"/>
  <c r="G104" i="23"/>
  <c r="F104" i="23"/>
  <c r="O103" i="23"/>
  <c r="L103" i="23"/>
  <c r="G103" i="23"/>
  <c r="F103" i="23"/>
  <c r="N102" i="23"/>
  <c r="M102" i="23"/>
  <c r="K102" i="23"/>
  <c r="F102" i="23"/>
  <c r="L101" i="23"/>
  <c r="G101" i="23"/>
  <c r="F101" i="23"/>
  <c r="E100" i="23"/>
  <c r="L99" i="23"/>
  <c r="G99" i="23"/>
  <c r="F99" i="23"/>
  <c r="O98" i="23"/>
  <c r="L98" i="23"/>
  <c r="G98" i="23"/>
  <c r="G102" i="23" s="1"/>
  <c r="F98" i="23"/>
  <c r="N97" i="23"/>
  <c r="M97" i="23"/>
  <c r="K97" i="23"/>
  <c r="L96" i="23"/>
  <c r="J96" i="23"/>
  <c r="K87" i="20" s="1"/>
  <c r="I96" i="23"/>
  <c r="H96" i="23"/>
  <c r="H97" i="23" s="1"/>
  <c r="G96" i="23"/>
  <c r="F96" i="23"/>
  <c r="E95" i="23"/>
  <c r="L94" i="23"/>
  <c r="G94" i="23"/>
  <c r="F94" i="23"/>
  <c r="O93" i="23"/>
  <c r="L93" i="23"/>
  <c r="G93" i="23"/>
  <c r="G97" i="23" s="1"/>
  <c r="F93" i="23"/>
  <c r="F97" i="23" s="1"/>
  <c r="N92" i="23"/>
  <c r="M92" i="23"/>
  <c r="K92" i="23"/>
  <c r="G92" i="23"/>
  <c r="L91" i="23"/>
  <c r="J91" i="23"/>
  <c r="G91" i="23"/>
  <c r="F91" i="23"/>
  <c r="E90" i="23"/>
  <c r="L89" i="23"/>
  <c r="J89" i="23"/>
  <c r="G89" i="23"/>
  <c r="F89" i="23"/>
  <c r="O88" i="23"/>
  <c r="L88" i="23"/>
  <c r="G88" i="23"/>
  <c r="F88" i="23"/>
  <c r="F92" i="23" s="1"/>
  <c r="N87" i="23"/>
  <c r="M87" i="23"/>
  <c r="K87" i="23"/>
  <c r="G87" i="23"/>
  <c r="L86" i="23"/>
  <c r="H86" i="23"/>
  <c r="G86" i="23"/>
  <c r="F86" i="23"/>
  <c r="E85" i="23"/>
  <c r="L84" i="23"/>
  <c r="G84" i="23"/>
  <c r="F84" i="23"/>
  <c r="O83" i="23"/>
  <c r="L83" i="23"/>
  <c r="L87" i="23" s="1"/>
  <c r="G83" i="23"/>
  <c r="F83" i="23"/>
  <c r="N82" i="23"/>
  <c r="M82" i="23"/>
  <c r="L82" i="23"/>
  <c r="K82" i="23"/>
  <c r="G82" i="23"/>
  <c r="L81" i="23"/>
  <c r="G81" i="23"/>
  <c r="F81" i="23"/>
  <c r="E80" i="23"/>
  <c r="L79" i="23"/>
  <c r="G79" i="23"/>
  <c r="F79" i="23"/>
  <c r="O78" i="23"/>
  <c r="L78" i="23"/>
  <c r="G78" i="23"/>
  <c r="F78" i="23"/>
  <c r="N77" i="23"/>
  <c r="M77" i="23"/>
  <c r="K77" i="23"/>
  <c r="G77" i="23"/>
  <c r="L76" i="23"/>
  <c r="J76" i="23"/>
  <c r="I76" i="23"/>
  <c r="I77" i="23" s="1"/>
  <c r="H76" i="23"/>
  <c r="H77" i="23" s="1"/>
  <c r="G76" i="23"/>
  <c r="F76" i="23"/>
  <c r="E75" i="23"/>
  <c r="L74" i="23"/>
  <c r="G74" i="23"/>
  <c r="F74" i="23"/>
  <c r="O73" i="23"/>
  <c r="L73" i="23"/>
  <c r="L77" i="23" s="1"/>
  <c r="G73" i="23"/>
  <c r="F73" i="23"/>
  <c r="N72" i="23"/>
  <c r="M72" i="23"/>
  <c r="K72" i="23"/>
  <c r="L71" i="23"/>
  <c r="M7" i="20" s="1"/>
  <c r="J71" i="23"/>
  <c r="H71" i="23"/>
  <c r="H72" i="23" s="1"/>
  <c r="G71" i="23"/>
  <c r="F71" i="23"/>
  <c r="E70" i="23"/>
  <c r="L69" i="23"/>
  <c r="G69" i="23"/>
  <c r="F69" i="23"/>
  <c r="O68" i="23"/>
  <c r="L68" i="23"/>
  <c r="G68" i="23"/>
  <c r="G72" i="23" s="1"/>
  <c r="F68" i="23"/>
  <c r="O62" i="23"/>
  <c r="N62" i="23"/>
  <c r="M62" i="23"/>
  <c r="K62" i="23"/>
  <c r="G62" i="23"/>
  <c r="L61" i="23"/>
  <c r="J61" i="23"/>
  <c r="K166" i="20" s="1"/>
  <c r="G61" i="23"/>
  <c r="F61" i="23"/>
  <c r="E60" i="23"/>
  <c r="L59" i="23"/>
  <c r="G59" i="23"/>
  <c r="F59" i="23"/>
  <c r="L58" i="23"/>
  <c r="L62" i="23" s="1"/>
  <c r="G58" i="23"/>
  <c r="F58" i="23"/>
  <c r="O57" i="23"/>
  <c r="N57" i="23"/>
  <c r="M57" i="23"/>
  <c r="K57" i="23"/>
  <c r="G56" i="23"/>
  <c r="H150" i="20" s="1"/>
  <c r="F56" i="23"/>
  <c r="E55" i="23"/>
  <c r="L54" i="23"/>
  <c r="G54" i="23"/>
  <c r="F54" i="23"/>
  <c r="L53" i="23"/>
  <c r="J53" i="23"/>
  <c r="G53" i="23"/>
  <c r="F53" i="23"/>
  <c r="O52" i="23"/>
  <c r="N52" i="23"/>
  <c r="M52" i="23"/>
  <c r="K52" i="23"/>
  <c r="L51" i="23"/>
  <c r="J51" i="23"/>
  <c r="G51" i="23"/>
  <c r="E50" i="23"/>
  <c r="G49" i="23"/>
  <c r="J48" i="23"/>
  <c r="G48" i="23"/>
  <c r="F48" i="23"/>
  <c r="O47" i="23"/>
  <c r="N47" i="23"/>
  <c r="M47" i="23"/>
  <c r="K47" i="23"/>
  <c r="G46" i="23"/>
  <c r="E45" i="23"/>
  <c r="L44" i="23"/>
  <c r="G44" i="23"/>
  <c r="F44" i="23"/>
  <c r="G43" i="23"/>
  <c r="F43" i="23"/>
  <c r="O42" i="23"/>
  <c r="N42" i="23"/>
  <c r="M42" i="23"/>
  <c r="K42" i="23"/>
  <c r="L41" i="23"/>
  <c r="M102" i="20" s="1"/>
  <c r="G41" i="23"/>
  <c r="E40" i="23"/>
  <c r="G39" i="23"/>
  <c r="L38" i="23"/>
  <c r="G38" i="23"/>
  <c r="O37" i="23"/>
  <c r="N37" i="23"/>
  <c r="M37" i="23"/>
  <c r="K37" i="23"/>
  <c r="L36" i="23"/>
  <c r="M86" i="20" s="1"/>
  <c r="J36" i="23"/>
  <c r="K86" i="20" s="1"/>
  <c r="G36" i="23"/>
  <c r="F36" i="23"/>
  <c r="E35" i="23"/>
  <c r="G34" i="23"/>
  <c r="L33" i="23"/>
  <c r="J33" i="23"/>
  <c r="G33" i="23"/>
  <c r="G37" i="23" s="1"/>
  <c r="F33" i="23"/>
  <c r="O32" i="23"/>
  <c r="N32" i="23"/>
  <c r="M32" i="23"/>
  <c r="K32" i="23"/>
  <c r="G31" i="23"/>
  <c r="E30" i="23"/>
  <c r="G29" i="23"/>
  <c r="G28" i="23"/>
  <c r="O27" i="23"/>
  <c r="N27" i="23"/>
  <c r="M27" i="23"/>
  <c r="K27" i="23"/>
  <c r="G27" i="23"/>
  <c r="L26" i="23"/>
  <c r="G26" i="23"/>
  <c r="F26" i="23"/>
  <c r="E25" i="23"/>
  <c r="L24" i="23"/>
  <c r="J24" i="23"/>
  <c r="K54" i="19" s="1"/>
  <c r="G24" i="23"/>
  <c r="G23" i="23"/>
  <c r="F23" i="23"/>
  <c r="O22" i="23"/>
  <c r="N22" i="23"/>
  <c r="M22" i="23"/>
  <c r="K22" i="23"/>
  <c r="G22" i="23"/>
  <c r="G21" i="23"/>
  <c r="E20" i="23"/>
  <c r="J19" i="23"/>
  <c r="K38" i="19" s="1"/>
  <c r="G19" i="23"/>
  <c r="F19" i="23"/>
  <c r="L18" i="23"/>
  <c r="J18" i="23"/>
  <c r="G18" i="23"/>
  <c r="F18" i="23"/>
  <c r="O17" i="23"/>
  <c r="N17" i="23"/>
  <c r="M17" i="23"/>
  <c r="K17" i="23"/>
  <c r="J16" i="23"/>
  <c r="G16" i="23"/>
  <c r="E15" i="23"/>
  <c r="L14" i="23"/>
  <c r="G14" i="23"/>
  <c r="G17" i="23" s="1"/>
  <c r="F14" i="23"/>
  <c r="G22" i="19" s="1"/>
  <c r="G13" i="23"/>
  <c r="O12" i="23"/>
  <c r="N12" i="23"/>
  <c r="M12" i="23"/>
  <c r="K12" i="23"/>
  <c r="G12" i="23"/>
  <c r="G11" i="23"/>
  <c r="E10" i="23"/>
  <c r="G9" i="23"/>
  <c r="G8" i="23"/>
  <c r="B44" i="22"/>
  <c r="C42" i="22"/>
  <c r="C41" i="22"/>
  <c r="C39" i="22"/>
  <c r="B34" i="22"/>
  <c r="L64" i="24" s="1"/>
  <c r="D21" i="22"/>
  <c r="C21" i="22"/>
  <c r="O194" i="23" s="1"/>
  <c r="B21" i="22"/>
  <c r="O158" i="23" s="1"/>
  <c r="E8" i="22"/>
  <c r="D8" i="22"/>
  <c r="C8" i="22"/>
  <c r="B8" i="22"/>
  <c r="J73" i="23" s="1"/>
  <c r="D6" i="22"/>
  <c r="C6" i="22"/>
  <c r="B6" i="22"/>
  <c r="N179" i="21"/>
  <c r="M179" i="21"/>
  <c r="N178" i="21"/>
  <c r="M178" i="21"/>
  <c r="N177" i="21"/>
  <c r="M177" i="21"/>
  <c r="I177" i="21"/>
  <c r="G177" i="21"/>
  <c r="F177" i="21"/>
  <c r="N176" i="21"/>
  <c r="M176" i="21"/>
  <c r="L176" i="21"/>
  <c r="K176" i="21"/>
  <c r="J176" i="21"/>
  <c r="I176" i="21"/>
  <c r="H176" i="21"/>
  <c r="G176" i="21"/>
  <c r="G179" i="21" s="1"/>
  <c r="N175" i="21"/>
  <c r="M175" i="21"/>
  <c r="N174" i="21"/>
  <c r="M174" i="21"/>
  <c r="N173" i="21"/>
  <c r="M173" i="21"/>
  <c r="N172" i="21"/>
  <c r="M172" i="21"/>
  <c r="N171" i="21"/>
  <c r="M171" i="21"/>
  <c r="N170" i="21"/>
  <c r="M170" i="21"/>
  <c r="N169" i="21"/>
  <c r="M169" i="21"/>
  <c r="L168" i="21"/>
  <c r="F168" i="21"/>
  <c r="N167" i="21"/>
  <c r="M167" i="21"/>
  <c r="J167" i="21"/>
  <c r="I167" i="21"/>
  <c r="H167" i="21"/>
  <c r="G167" i="21"/>
  <c r="F167" i="21"/>
  <c r="L166" i="21"/>
  <c r="J166" i="21"/>
  <c r="N163" i="21"/>
  <c r="M163" i="21"/>
  <c r="N162" i="21"/>
  <c r="M162" i="21"/>
  <c r="N161" i="21"/>
  <c r="M161" i="21"/>
  <c r="I161" i="21"/>
  <c r="G161" i="21"/>
  <c r="F161" i="21"/>
  <c r="N160" i="21"/>
  <c r="M160" i="21"/>
  <c r="L160" i="21"/>
  <c r="K160" i="21"/>
  <c r="J160" i="21"/>
  <c r="I160" i="21"/>
  <c r="H160" i="21"/>
  <c r="N159" i="21"/>
  <c r="M159" i="21"/>
  <c r="N158" i="21"/>
  <c r="M158" i="21"/>
  <c r="N157" i="21"/>
  <c r="M157" i="21"/>
  <c r="N156" i="21"/>
  <c r="M156" i="21"/>
  <c r="N155" i="21"/>
  <c r="M155" i="21"/>
  <c r="N154" i="21"/>
  <c r="M154" i="21"/>
  <c r="N153" i="21"/>
  <c r="M153" i="21"/>
  <c r="N152" i="21"/>
  <c r="M152" i="21"/>
  <c r="I152" i="21"/>
  <c r="H152" i="21"/>
  <c r="G152" i="21"/>
  <c r="N151" i="21"/>
  <c r="M151" i="21"/>
  <c r="K151" i="21"/>
  <c r="H151" i="21"/>
  <c r="G151" i="21"/>
  <c r="N150" i="21"/>
  <c r="M150" i="21"/>
  <c r="L150" i="21"/>
  <c r="J150" i="21"/>
  <c r="G150" i="21"/>
  <c r="N147" i="21"/>
  <c r="M147" i="21"/>
  <c r="N146" i="21"/>
  <c r="M146" i="21"/>
  <c r="N145" i="21"/>
  <c r="M145" i="21"/>
  <c r="I145" i="21"/>
  <c r="F145" i="21"/>
  <c r="N144" i="21"/>
  <c r="M144" i="21"/>
  <c r="L144" i="21"/>
  <c r="K144" i="21"/>
  <c r="J144" i="21"/>
  <c r="I144" i="21"/>
  <c r="I147" i="21" s="1"/>
  <c r="H144" i="21"/>
  <c r="G144" i="21"/>
  <c r="G147" i="21" s="1"/>
  <c r="N143" i="21"/>
  <c r="M143" i="21"/>
  <c r="N142" i="21"/>
  <c r="M142" i="21"/>
  <c r="N141" i="21"/>
  <c r="M141" i="21"/>
  <c r="N140" i="21"/>
  <c r="M140" i="21"/>
  <c r="N139" i="21"/>
  <c r="M139" i="21"/>
  <c r="N138" i="21"/>
  <c r="M138" i="21"/>
  <c r="N137" i="21"/>
  <c r="M137" i="21"/>
  <c r="N136" i="21"/>
  <c r="M136" i="21"/>
  <c r="N135" i="21"/>
  <c r="M135" i="21"/>
  <c r="L135" i="21"/>
  <c r="K135" i="21"/>
  <c r="F135" i="21"/>
  <c r="N134" i="21"/>
  <c r="M134" i="21"/>
  <c r="K134" i="21"/>
  <c r="J134" i="21"/>
  <c r="H134" i="21"/>
  <c r="N131" i="21"/>
  <c r="M131" i="21"/>
  <c r="I131" i="21"/>
  <c r="G131" i="21"/>
  <c r="N130" i="21"/>
  <c r="M130" i="21"/>
  <c r="N129" i="21"/>
  <c r="M129" i="21"/>
  <c r="I129" i="21"/>
  <c r="G129" i="21"/>
  <c r="F129" i="21"/>
  <c r="N128" i="21"/>
  <c r="M128" i="21"/>
  <c r="L128" i="21"/>
  <c r="K128" i="21"/>
  <c r="J128" i="21"/>
  <c r="I128" i="21"/>
  <c r="H128" i="21"/>
  <c r="G128" i="21"/>
  <c r="N127" i="21"/>
  <c r="M127" i="21"/>
  <c r="N126" i="21"/>
  <c r="M126" i="21"/>
  <c r="N125" i="21"/>
  <c r="M125" i="21"/>
  <c r="N124" i="21"/>
  <c r="M124" i="21"/>
  <c r="N123" i="21"/>
  <c r="M123" i="21"/>
  <c r="N122" i="21"/>
  <c r="M122" i="21"/>
  <c r="N121" i="21"/>
  <c r="M121" i="21"/>
  <c r="N120" i="21"/>
  <c r="M120" i="21"/>
  <c r="N119" i="21"/>
  <c r="M119" i="21"/>
  <c r="L119" i="21"/>
  <c r="J119" i="21"/>
  <c r="I119" i="21"/>
  <c r="G119" i="21"/>
  <c r="N118" i="21"/>
  <c r="M118" i="21"/>
  <c r="I118" i="21"/>
  <c r="H118" i="21"/>
  <c r="N115" i="21"/>
  <c r="M115" i="21"/>
  <c r="N114" i="21"/>
  <c r="M114" i="21"/>
  <c r="N113" i="21"/>
  <c r="M113" i="21"/>
  <c r="I113" i="21"/>
  <c r="G113" i="21"/>
  <c r="F113" i="21"/>
  <c r="N112" i="21"/>
  <c r="M112" i="21"/>
  <c r="L112" i="21"/>
  <c r="K112" i="21"/>
  <c r="J112" i="21"/>
  <c r="I112" i="21"/>
  <c r="I115" i="21" s="1"/>
  <c r="H112" i="21"/>
  <c r="G112" i="21"/>
  <c r="G115" i="21" s="1"/>
  <c r="N111" i="21"/>
  <c r="M111" i="21"/>
  <c r="N110" i="21"/>
  <c r="M110" i="21"/>
  <c r="N109" i="21"/>
  <c r="M109" i="21"/>
  <c r="N108" i="21"/>
  <c r="M108" i="21"/>
  <c r="N107" i="21"/>
  <c r="M107" i="21"/>
  <c r="N106" i="21"/>
  <c r="M106" i="21"/>
  <c r="N105" i="21"/>
  <c r="M105" i="21"/>
  <c r="N104" i="21"/>
  <c r="M104" i="21"/>
  <c r="N103" i="21"/>
  <c r="M103" i="21"/>
  <c r="K103" i="21"/>
  <c r="J103" i="21"/>
  <c r="N102" i="21"/>
  <c r="M102" i="21"/>
  <c r="K102" i="21"/>
  <c r="H102" i="21"/>
  <c r="N99" i="21"/>
  <c r="M99" i="21"/>
  <c r="N98" i="21"/>
  <c r="M98" i="21"/>
  <c r="N97" i="21"/>
  <c r="M97" i="21"/>
  <c r="I97" i="21"/>
  <c r="I99" i="21" s="1"/>
  <c r="G97" i="21"/>
  <c r="F97" i="21"/>
  <c r="N96" i="21"/>
  <c r="M96" i="21"/>
  <c r="L96" i="21"/>
  <c r="K96" i="21"/>
  <c r="J96" i="21"/>
  <c r="I96" i="21"/>
  <c r="H96" i="21"/>
  <c r="G96" i="21"/>
  <c r="G99" i="21" s="1"/>
  <c r="N95" i="21"/>
  <c r="M95" i="21"/>
  <c r="N94" i="21"/>
  <c r="M94" i="21"/>
  <c r="N93" i="21"/>
  <c r="M93" i="21"/>
  <c r="N92" i="21"/>
  <c r="M92" i="21"/>
  <c r="N91" i="21"/>
  <c r="M91" i="21"/>
  <c r="N90" i="21"/>
  <c r="M90" i="21"/>
  <c r="N89" i="21"/>
  <c r="M89" i="21"/>
  <c r="N88" i="21"/>
  <c r="M88" i="21"/>
  <c r="N87" i="21"/>
  <c r="M87" i="21"/>
  <c r="L87" i="21"/>
  <c r="K87" i="21"/>
  <c r="J87" i="21"/>
  <c r="I87" i="21"/>
  <c r="H87" i="21"/>
  <c r="G87" i="21"/>
  <c r="N86" i="21"/>
  <c r="M86" i="21"/>
  <c r="N83" i="21"/>
  <c r="M83" i="21"/>
  <c r="G83" i="21"/>
  <c r="N82" i="21"/>
  <c r="M82" i="21"/>
  <c r="N81" i="21"/>
  <c r="M81" i="21"/>
  <c r="I81" i="21"/>
  <c r="G81" i="21"/>
  <c r="F81" i="21"/>
  <c r="N80" i="21"/>
  <c r="M80" i="21"/>
  <c r="L80" i="21"/>
  <c r="K80" i="21"/>
  <c r="J80" i="21"/>
  <c r="I80" i="21"/>
  <c r="I83" i="21" s="1"/>
  <c r="H80" i="21"/>
  <c r="G80" i="21"/>
  <c r="N79" i="21"/>
  <c r="M79" i="21"/>
  <c r="N78" i="21"/>
  <c r="M78" i="21"/>
  <c r="N77" i="21"/>
  <c r="M77" i="21"/>
  <c r="N76" i="21"/>
  <c r="M76" i="21"/>
  <c r="N75" i="21"/>
  <c r="M75" i="21"/>
  <c r="N74" i="21"/>
  <c r="M74" i="21"/>
  <c r="N73" i="21"/>
  <c r="M73" i="21"/>
  <c r="N72" i="21"/>
  <c r="M72" i="21"/>
  <c r="N71" i="21"/>
  <c r="M71" i="21"/>
  <c r="K71" i="21"/>
  <c r="J71" i="21"/>
  <c r="I71" i="21"/>
  <c r="H71" i="21"/>
  <c r="G71" i="21"/>
  <c r="N70" i="21"/>
  <c r="M70" i="21"/>
  <c r="N67" i="21"/>
  <c r="M67" i="21"/>
  <c r="I67" i="21"/>
  <c r="N66" i="21"/>
  <c r="M66" i="21"/>
  <c r="N65" i="21"/>
  <c r="M65" i="21"/>
  <c r="I65" i="21"/>
  <c r="G65" i="21"/>
  <c r="F65" i="21"/>
  <c r="N64" i="21"/>
  <c r="M64" i="21"/>
  <c r="L64" i="21"/>
  <c r="K64" i="21"/>
  <c r="J64" i="21"/>
  <c r="I64" i="21"/>
  <c r="H64" i="21"/>
  <c r="G64" i="21"/>
  <c r="G67" i="21" s="1"/>
  <c r="N63" i="21"/>
  <c r="M63" i="21"/>
  <c r="N62" i="21"/>
  <c r="M62" i="21"/>
  <c r="N61" i="21"/>
  <c r="M61" i="21"/>
  <c r="N60" i="21"/>
  <c r="M60" i="21"/>
  <c r="N59" i="21"/>
  <c r="M59" i="21"/>
  <c r="N58" i="21"/>
  <c r="M58" i="21"/>
  <c r="N57" i="21"/>
  <c r="M57" i="21"/>
  <c r="N56" i="21"/>
  <c r="M56" i="21"/>
  <c r="I56" i="21"/>
  <c r="H56" i="21"/>
  <c r="G56" i="21"/>
  <c r="F56" i="21"/>
  <c r="N55" i="21"/>
  <c r="M55" i="21"/>
  <c r="I55" i="21"/>
  <c r="H55" i="21"/>
  <c r="G55" i="21"/>
  <c r="F55" i="21"/>
  <c r="N54" i="21"/>
  <c r="M54" i="21"/>
  <c r="L54" i="21"/>
  <c r="J54" i="21"/>
  <c r="I52" i="21"/>
  <c r="N51" i="21"/>
  <c r="M51" i="21"/>
  <c r="I51" i="21"/>
  <c r="N50" i="21"/>
  <c r="M50" i="21"/>
  <c r="N49" i="21"/>
  <c r="M49" i="21"/>
  <c r="I49" i="21"/>
  <c r="G49" i="21"/>
  <c r="F49" i="21"/>
  <c r="N48" i="21"/>
  <c r="M48" i="21"/>
  <c r="L48" i="21"/>
  <c r="K48" i="21"/>
  <c r="J48" i="21"/>
  <c r="I48" i="21"/>
  <c r="H48" i="21"/>
  <c r="N47" i="21"/>
  <c r="M47" i="21"/>
  <c r="N46" i="21"/>
  <c r="M46" i="21"/>
  <c r="N45" i="21"/>
  <c r="M45" i="21"/>
  <c r="N44" i="21"/>
  <c r="M44" i="21"/>
  <c r="N43" i="21"/>
  <c r="M43" i="21"/>
  <c r="N42" i="21"/>
  <c r="M42" i="21"/>
  <c r="N41" i="21"/>
  <c r="M41" i="21"/>
  <c r="N40" i="21"/>
  <c r="M40" i="21"/>
  <c r="K40" i="21"/>
  <c r="I40" i="21"/>
  <c r="N39" i="21"/>
  <c r="M39" i="21"/>
  <c r="L39" i="21"/>
  <c r="K39" i="21"/>
  <c r="I39" i="21"/>
  <c r="H39" i="21"/>
  <c r="G39" i="21"/>
  <c r="F39" i="21"/>
  <c r="N38" i="21"/>
  <c r="M38" i="21"/>
  <c r="N35" i="21"/>
  <c r="M35" i="21"/>
  <c r="N34" i="21"/>
  <c r="M34" i="21"/>
  <c r="N33" i="21"/>
  <c r="M33" i="21"/>
  <c r="I33" i="21"/>
  <c r="I35" i="21" s="1"/>
  <c r="G33" i="21"/>
  <c r="F33" i="21"/>
  <c r="N32" i="21"/>
  <c r="M32" i="21"/>
  <c r="L32" i="21"/>
  <c r="K32" i="21"/>
  <c r="J32" i="21"/>
  <c r="I32" i="21"/>
  <c r="H32" i="21"/>
  <c r="G32" i="21"/>
  <c r="G35" i="21" s="1"/>
  <c r="N31" i="21"/>
  <c r="M31" i="21"/>
  <c r="N30" i="21"/>
  <c r="M30" i="21"/>
  <c r="N29" i="21"/>
  <c r="M29" i="21"/>
  <c r="N28" i="21"/>
  <c r="M28" i="21"/>
  <c r="N27" i="21"/>
  <c r="M27" i="21"/>
  <c r="N26" i="21"/>
  <c r="M26" i="21"/>
  <c r="N25" i="21"/>
  <c r="M25" i="21"/>
  <c r="N24" i="21"/>
  <c r="M24" i="21"/>
  <c r="L24" i="21"/>
  <c r="K24" i="21"/>
  <c r="J24" i="21"/>
  <c r="I24" i="21"/>
  <c r="H24" i="21"/>
  <c r="G24" i="21"/>
  <c r="N23" i="21"/>
  <c r="M23" i="21"/>
  <c r="L23" i="21"/>
  <c r="K23" i="21"/>
  <c r="H23" i="21"/>
  <c r="G23" i="21"/>
  <c r="F23" i="21"/>
  <c r="N22" i="21"/>
  <c r="M22" i="21"/>
  <c r="K22" i="21"/>
  <c r="M19" i="21"/>
  <c r="G19" i="21"/>
  <c r="N18" i="21"/>
  <c r="M18" i="21"/>
  <c r="N17" i="21"/>
  <c r="M17" i="21"/>
  <c r="I17" i="21"/>
  <c r="I19" i="21" s="1"/>
  <c r="G17" i="21"/>
  <c r="F17" i="21"/>
  <c r="D17" i="21"/>
  <c r="N16" i="21"/>
  <c r="M16" i="21"/>
  <c r="L16" i="21"/>
  <c r="K16" i="21"/>
  <c r="J16" i="21"/>
  <c r="I16" i="21"/>
  <c r="H16" i="21"/>
  <c r="G16" i="21"/>
  <c r="D16" i="21"/>
  <c r="N15" i="21"/>
  <c r="M15" i="21"/>
  <c r="N14" i="21"/>
  <c r="M14" i="21"/>
  <c r="N13" i="21"/>
  <c r="M13" i="21"/>
  <c r="N12" i="21"/>
  <c r="M12" i="21"/>
  <c r="N11" i="21"/>
  <c r="M11" i="21"/>
  <c r="N10" i="21"/>
  <c r="M10" i="21"/>
  <c r="N9" i="21"/>
  <c r="M9" i="21"/>
  <c r="M8" i="21"/>
  <c r="N7" i="21"/>
  <c r="M7" i="21"/>
  <c r="L7" i="21"/>
  <c r="K7" i="21"/>
  <c r="J7" i="21"/>
  <c r="I7" i="21"/>
  <c r="G7" i="21"/>
  <c r="F7" i="21"/>
  <c r="N6" i="21"/>
  <c r="M6" i="21"/>
  <c r="S179" i="20"/>
  <c r="R179" i="20"/>
  <c r="O179" i="20"/>
  <c r="N179" i="20"/>
  <c r="M179" i="20"/>
  <c r="L179" i="20"/>
  <c r="S178" i="20"/>
  <c r="R178" i="20"/>
  <c r="F178" i="20"/>
  <c r="S177" i="20"/>
  <c r="R177" i="20"/>
  <c r="Q177" i="20"/>
  <c r="P177" i="20"/>
  <c r="N177" i="20"/>
  <c r="M177" i="20"/>
  <c r="H177" i="20"/>
  <c r="G177" i="20"/>
  <c r="S176" i="20"/>
  <c r="R176" i="20"/>
  <c r="N176" i="20"/>
  <c r="M176" i="20"/>
  <c r="K176" i="20"/>
  <c r="S175" i="20"/>
  <c r="R175" i="20"/>
  <c r="F175" i="20"/>
  <c r="S174" i="20"/>
  <c r="R174" i="20"/>
  <c r="F174" i="20"/>
  <c r="S173" i="20"/>
  <c r="R173" i="20"/>
  <c r="F173" i="20"/>
  <c r="S172" i="20"/>
  <c r="R172" i="20"/>
  <c r="F172" i="20"/>
  <c r="S171" i="20"/>
  <c r="R171" i="20"/>
  <c r="F171" i="20"/>
  <c r="S170" i="20"/>
  <c r="R170" i="20"/>
  <c r="F170" i="20"/>
  <c r="S169" i="20"/>
  <c r="R169" i="20"/>
  <c r="F169" i="20"/>
  <c r="O168" i="20"/>
  <c r="N168" i="20"/>
  <c r="M168" i="20"/>
  <c r="G168" i="20"/>
  <c r="S167" i="20"/>
  <c r="R167" i="20"/>
  <c r="O167" i="20"/>
  <c r="N167" i="20"/>
  <c r="M167" i="20"/>
  <c r="I167" i="20"/>
  <c r="H167" i="20"/>
  <c r="G167" i="20"/>
  <c r="Q166" i="20"/>
  <c r="P166" i="20"/>
  <c r="O166" i="20"/>
  <c r="N166" i="20"/>
  <c r="M166" i="20"/>
  <c r="L166" i="20"/>
  <c r="H166" i="20"/>
  <c r="G166" i="20"/>
  <c r="S163" i="20"/>
  <c r="R163" i="20"/>
  <c r="S162" i="20"/>
  <c r="R162" i="20"/>
  <c r="F162" i="20"/>
  <c r="S161" i="20"/>
  <c r="R161" i="20"/>
  <c r="Q161" i="20"/>
  <c r="P161" i="20"/>
  <c r="N161" i="20"/>
  <c r="M161" i="20"/>
  <c r="H161" i="20"/>
  <c r="G161" i="20"/>
  <c r="S160" i="20"/>
  <c r="R160" i="20"/>
  <c r="N160" i="20"/>
  <c r="M160" i="20"/>
  <c r="K160" i="20"/>
  <c r="S159" i="20"/>
  <c r="R159" i="20"/>
  <c r="F159" i="20"/>
  <c r="S158" i="20"/>
  <c r="R158" i="20"/>
  <c r="F158" i="20"/>
  <c r="S157" i="20"/>
  <c r="R157" i="20"/>
  <c r="F157" i="20"/>
  <c r="S156" i="20"/>
  <c r="R156" i="20"/>
  <c r="F156" i="20"/>
  <c r="S155" i="20"/>
  <c r="R155" i="20"/>
  <c r="F155" i="20"/>
  <c r="S154" i="20"/>
  <c r="R154" i="20"/>
  <c r="F154" i="20"/>
  <c r="S153" i="20"/>
  <c r="R153" i="20"/>
  <c r="F153" i="20"/>
  <c r="S152" i="20"/>
  <c r="R152" i="20"/>
  <c r="O152" i="20"/>
  <c r="N152" i="20"/>
  <c r="M152" i="20"/>
  <c r="J152" i="20"/>
  <c r="I152" i="20"/>
  <c r="H152" i="20"/>
  <c r="S151" i="20"/>
  <c r="R151" i="20"/>
  <c r="O151" i="20"/>
  <c r="N151" i="20"/>
  <c r="M151" i="20"/>
  <c r="K151" i="20"/>
  <c r="J151" i="20"/>
  <c r="I151" i="20"/>
  <c r="H151" i="20"/>
  <c r="G151" i="20"/>
  <c r="S150" i="20"/>
  <c r="R150" i="20"/>
  <c r="Q150" i="20"/>
  <c r="P150" i="20"/>
  <c r="O150" i="20"/>
  <c r="N150" i="20"/>
  <c r="L150" i="20"/>
  <c r="S147" i="20"/>
  <c r="R147" i="20"/>
  <c r="L147" i="20"/>
  <c r="S146" i="20"/>
  <c r="R146" i="20"/>
  <c r="F146" i="20"/>
  <c r="S145" i="20"/>
  <c r="R145" i="20"/>
  <c r="Q145" i="20"/>
  <c r="P145" i="20"/>
  <c r="N145" i="20"/>
  <c r="M145" i="20"/>
  <c r="H145" i="20"/>
  <c r="G145" i="20"/>
  <c r="S144" i="20"/>
  <c r="R144" i="20"/>
  <c r="N144" i="20"/>
  <c r="M144" i="20"/>
  <c r="K144" i="20"/>
  <c r="S143" i="20"/>
  <c r="R143" i="20"/>
  <c r="F143" i="20"/>
  <c r="S142" i="20"/>
  <c r="R142" i="20"/>
  <c r="F142" i="20"/>
  <c r="S141" i="20"/>
  <c r="R141" i="20"/>
  <c r="F141" i="20"/>
  <c r="S140" i="20"/>
  <c r="R140" i="20"/>
  <c r="F140" i="20"/>
  <c r="S139" i="20"/>
  <c r="R139" i="20"/>
  <c r="O147" i="20" s="1"/>
  <c r="F139" i="20"/>
  <c r="S138" i="20"/>
  <c r="R138" i="20"/>
  <c r="F138" i="20"/>
  <c r="S137" i="20"/>
  <c r="R137" i="20"/>
  <c r="F137" i="20"/>
  <c r="S136" i="20"/>
  <c r="R136" i="20"/>
  <c r="S135" i="20"/>
  <c r="R135" i="20"/>
  <c r="O135" i="20"/>
  <c r="N135" i="20"/>
  <c r="I135" i="20"/>
  <c r="H135" i="20"/>
  <c r="G135" i="20"/>
  <c r="S134" i="20"/>
  <c r="R134" i="20"/>
  <c r="Q134" i="20"/>
  <c r="P134" i="20"/>
  <c r="O134" i="20"/>
  <c r="N134" i="20"/>
  <c r="M134" i="20"/>
  <c r="L134" i="20"/>
  <c r="K134" i="20"/>
  <c r="H134" i="20"/>
  <c r="S131" i="20"/>
  <c r="R131" i="20"/>
  <c r="S130" i="20"/>
  <c r="R130" i="20"/>
  <c r="F130" i="20"/>
  <c r="S129" i="20"/>
  <c r="R129" i="20"/>
  <c r="Q129" i="20"/>
  <c r="P129" i="20"/>
  <c r="N129" i="20"/>
  <c r="M129" i="20"/>
  <c r="H129" i="20"/>
  <c r="G129" i="20"/>
  <c r="S128" i="20"/>
  <c r="R128" i="20"/>
  <c r="N128" i="20"/>
  <c r="M128" i="20"/>
  <c r="K128" i="20"/>
  <c r="S127" i="20"/>
  <c r="R127" i="20"/>
  <c r="F127" i="20"/>
  <c r="S126" i="20"/>
  <c r="R126" i="20"/>
  <c r="F126" i="20"/>
  <c r="S125" i="20"/>
  <c r="R125" i="20"/>
  <c r="F125" i="20"/>
  <c r="S124" i="20"/>
  <c r="R124" i="20"/>
  <c r="F124" i="20"/>
  <c r="S123" i="20"/>
  <c r="R123" i="20"/>
  <c r="F123" i="20"/>
  <c r="S122" i="20"/>
  <c r="R122" i="20"/>
  <c r="F122" i="20"/>
  <c r="S121" i="20"/>
  <c r="R121" i="20"/>
  <c r="F121" i="20"/>
  <c r="S120" i="20"/>
  <c r="R120" i="20"/>
  <c r="S119" i="20"/>
  <c r="R119" i="20"/>
  <c r="O119" i="20"/>
  <c r="N119" i="20"/>
  <c r="M119" i="20"/>
  <c r="H119" i="20"/>
  <c r="S118" i="20"/>
  <c r="R118" i="20"/>
  <c r="Q118" i="20"/>
  <c r="P118" i="20"/>
  <c r="O118" i="20"/>
  <c r="N118" i="20"/>
  <c r="L118" i="20"/>
  <c r="H118" i="20"/>
  <c r="S115" i="20"/>
  <c r="R115" i="20"/>
  <c r="S114" i="20"/>
  <c r="R114" i="20"/>
  <c r="F114" i="20"/>
  <c r="S113" i="20"/>
  <c r="R113" i="20"/>
  <c r="Q113" i="20"/>
  <c r="P113" i="20"/>
  <c r="N113" i="20"/>
  <c r="M113" i="20"/>
  <c r="M115" i="20" s="1"/>
  <c r="H113" i="20"/>
  <c r="G113" i="20"/>
  <c r="S112" i="20"/>
  <c r="R112" i="20"/>
  <c r="N112" i="20"/>
  <c r="M112" i="20"/>
  <c r="K112" i="20"/>
  <c r="S111" i="20"/>
  <c r="R111" i="20"/>
  <c r="F111" i="20"/>
  <c r="S110" i="20"/>
  <c r="R110" i="20"/>
  <c r="F110" i="20"/>
  <c r="S109" i="20"/>
  <c r="R109" i="20"/>
  <c r="F109" i="20"/>
  <c r="S108" i="20"/>
  <c r="R108" i="20"/>
  <c r="F108" i="20"/>
  <c r="S107" i="20"/>
  <c r="R107" i="20"/>
  <c r="F107" i="20"/>
  <c r="S106" i="20"/>
  <c r="R106" i="20"/>
  <c r="F106" i="20"/>
  <c r="S105" i="20"/>
  <c r="R105" i="20"/>
  <c r="F105" i="20"/>
  <c r="S104" i="20"/>
  <c r="R104" i="20"/>
  <c r="S103" i="20"/>
  <c r="R103" i="20"/>
  <c r="O103" i="20"/>
  <c r="N103" i="20"/>
  <c r="M103" i="20"/>
  <c r="H103" i="20"/>
  <c r="G103" i="20"/>
  <c r="S102" i="20"/>
  <c r="R102" i="20"/>
  <c r="Q102" i="20"/>
  <c r="P102" i="20"/>
  <c r="O102" i="20"/>
  <c r="N102" i="20"/>
  <c r="L102" i="20"/>
  <c r="H102" i="20"/>
  <c r="S99" i="20"/>
  <c r="R99" i="20"/>
  <c r="S98" i="20"/>
  <c r="R98" i="20"/>
  <c r="F98" i="20"/>
  <c r="S97" i="20"/>
  <c r="R97" i="20"/>
  <c r="Q97" i="20"/>
  <c r="P97" i="20"/>
  <c r="N97" i="20"/>
  <c r="M97" i="20"/>
  <c r="H97" i="20"/>
  <c r="G97" i="20"/>
  <c r="S96" i="20"/>
  <c r="R96" i="20"/>
  <c r="N96" i="20"/>
  <c r="M96" i="20"/>
  <c r="K96" i="20"/>
  <c r="S95" i="20"/>
  <c r="R95" i="20"/>
  <c r="F95" i="20"/>
  <c r="S94" i="20"/>
  <c r="R94" i="20"/>
  <c r="F94" i="20"/>
  <c r="S93" i="20"/>
  <c r="R93" i="20"/>
  <c r="F93" i="20"/>
  <c r="S92" i="20"/>
  <c r="R92" i="20"/>
  <c r="F92" i="20"/>
  <c r="S91" i="20"/>
  <c r="R91" i="20"/>
  <c r="F91" i="20"/>
  <c r="S90" i="20"/>
  <c r="R90" i="20"/>
  <c r="S89" i="20"/>
  <c r="R89" i="20"/>
  <c r="F89" i="20"/>
  <c r="S88" i="20"/>
  <c r="R88" i="20"/>
  <c r="S87" i="20"/>
  <c r="R87" i="20"/>
  <c r="O87" i="20"/>
  <c r="N87" i="20"/>
  <c r="M87" i="20"/>
  <c r="J87" i="20"/>
  <c r="I87" i="20"/>
  <c r="H87" i="20"/>
  <c r="G87" i="20"/>
  <c r="S86" i="20"/>
  <c r="R86" i="20"/>
  <c r="Q86" i="20"/>
  <c r="P86" i="20"/>
  <c r="O86" i="20"/>
  <c r="N86" i="20"/>
  <c r="L86" i="20"/>
  <c r="H86" i="20"/>
  <c r="G86" i="20"/>
  <c r="L85" i="20"/>
  <c r="S83" i="20"/>
  <c r="R83" i="20"/>
  <c r="S82" i="20"/>
  <c r="R82" i="20"/>
  <c r="F82" i="20"/>
  <c r="S81" i="20"/>
  <c r="R81" i="20"/>
  <c r="Q81" i="20"/>
  <c r="P81" i="20"/>
  <c r="N81" i="20"/>
  <c r="M81" i="20"/>
  <c r="H81" i="20"/>
  <c r="G81" i="20"/>
  <c r="S80" i="20"/>
  <c r="R80" i="20"/>
  <c r="N80" i="20"/>
  <c r="M80" i="20"/>
  <c r="K80" i="20"/>
  <c r="S79" i="20"/>
  <c r="R79" i="20"/>
  <c r="F79" i="20"/>
  <c r="S78" i="20"/>
  <c r="R78" i="20"/>
  <c r="F78" i="20"/>
  <c r="S77" i="20"/>
  <c r="R77" i="20"/>
  <c r="F77" i="20"/>
  <c r="S76" i="20"/>
  <c r="R76" i="20"/>
  <c r="L83" i="20" s="1"/>
  <c r="F76" i="20"/>
  <c r="S75" i="20"/>
  <c r="R75" i="20"/>
  <c r="F75" i="20"/>
  <c r="S74" i="20"/>
  <c r="R74" i="20"/>
  <c r="F74" i="20"/>
  <c r="S73" i="20"/>
  <c r="R73" i="20"/>
  <c r="F73" i="20"/>
  <c r="S72" i="20"/>
  <c r="R72" i="20"/>
  <c r="S71" i="20"/>
  <c r="R71" i="20"/>
  <c r="O71" i="20"/>
  <c r="N71" i="20"/>
  <c r="M71" i="20"/>
  <c r="K71" i="20"/>
  <c r="H71" i="20"/>
  <c r="G71" i="20"/>
  <c r="S70" i="20"/>
  <c r="R70" i="20"/>
  <c r="Q70" i="20"/>
  <c r="P70" i="20"/>
  <c r="O70" i="20"/>
  <c r="N70" i="20"/>
  <c r="L70" i="20"/>
  <c r="H70" i="20"/>
  <c r="S67" i="20"/>
  <c r="R67" i="20"/>
  <c r="S66" i="20"/>
  <c r="R66" i="20"/>
  <c r="F66" i="20"/>
  <c r="S65" i="20"/>
  <c r="R65" i="20"/>
  <c r="Q65" i="20"/>
  <c r="P65" i="20"/>
  <c r="N65" i="20"/>
  <c r="M65" i="20"/>
  <c r="M67" i="20" s="1"/>
  <c r="H65" i="20"/>
  <c r="G65" i="20"/>
  <c r="S64" i="20"/>
  <c r="R64" i="20"/>
  <c r="N64" i="20"/>
  <c r="M64" i="20"/>
  <c r="K64" i="20"/>
  <c r="S63" i="20"/>
  <c r="R63" i="20"/>
  <c r="F63" i="20"/>
  <c r="S62" i="20"/>
  <c r="R62" i="20"/>
  <c r="F62" i="20"/>
  <c r="S61" i="20"/>
  <c r="R61" i="20"/>
  <c r="F61" i="20"/>
  <c r="S60" i="20"/>
  <c r="R60" i="20"/>
  <c r="F60" i="20"/>
  <c r="S59" i="20"/>
  <c r="R59" i="20"/>
  <c r="F59" i="20"/>
  <c r="S58" i="20"/>
  <c r="R58" i="20"/>
  <c r="O67" i="20" s="1"/>
  <c r="F58" i="20"/>
  <c r="S57" i="20"/>
  <c r="R57" i="20"/>
  <c r="F57" i="20"/>
  <c r="S56" i="20"/>
  <c r="R56" i="20"/>
  <c r="N56" i="20"/>
  <c r="M56" i="20"/>
  <c r="K56" i="20"/>
  <c r="H56" i="20"/>
  <c r="S55" i="20"/>
  <c r="R55" i="20"/>
  <c r="N55" i="20"/>
  <c r="M55" i="20"/>
  <c r="I55" i="20"/>
  <c r="H55" i="20"/>
  <c r="S54" i="20"/>
  <c r="R54" i="20"/>
  <c r="O68" i="20" s="1"/>
  <c r="Q54" i="20"/>
  <c r="P54" i="20"/>
  <c r="O54" i="20"/>
  <c r="N54" i="20"/>
  <c r="M54" i="20"/>
  <c r="L54" i="20"/>
  <c r="H54" i="20"/>
  <c r="S51" i="20"/>
  <c r="R51" i="20"/>
  <c r="S50" i="20"/>
  <c r="R50" i="20"/>
  <c r="F50" i="20"/>
  <c r="S49" i="20"/>
  <c r="R49" i="20"/>
  <c r="Q49" i="20"/>
  <c r="P49" i="20"/>
  <c r="N49" i="20"/>
  <c r="M49" i="20"/>
  <c r="H49" i="20"/>
  <c r="G49" i="20"/>
  <c r="S48" i="20"/>
  <c r="R48" i="20"/>
  <c r="N48" i="20"/>
  <c r="M48" i="20"/>
  <c r="K48" i="20"/>
  <c r="S47" i="20"/>
  <c r="R47" i="20"/>
  <c r="F47" i="20"/>
  <c r="S46" i="20"/>
  <c r="R46" i="20"/>
  <c r="F46" i="20"/>
  <c r="S45" i="20"/>
  <c r="R45" i="20"/>
  <c r="F45" i="20"/>
  <c r="S44" i="20"/>
  <c r="R44" i="20"/>
  <c r="F44" i="20"/>
  <c r="S43" i="20"/>
  <c r="R43" i="20"/>
  <c r="F43" i="20"/>
  <c r="S42" i="20"/>
  <c r="R42" i="20"/>
  <c r="F42" i="20"/>
  <c r="S41" i="20"/>
  <c r="R41" i="20"/>
  <c r="F41" i="20"/>
  <c r="S40" i="20"/>
  <c r="R40" i="20"/>
  <c r="N40" i="20"/>
  <c r="M40" i="20"/>
  <c r="K40" i="20"/>
  <c r="H40" i="20"/>
  <c r="G40" i="20"/>
  <c r="S39" i="20"/>
  <c r="R39" i="20"/>
  <c r="N39" i="20"/>
  <c r="M39" i="20"/>
  <c r="H39" i="20"/>
  <c r="S38" i="20"/>
  <c r="R38" i="20"/>
  <c r="Q38" i="20"/>
  <c r="P38" i="20"/>
  <c r="O38" i="20"/>
  <c r="N38" i="20"/>
  <c r="L38" i="20"/>
  <c r="H38" i="20"/>
  <c r="S35" i="20"/>
  <c r="R35" i="20"/>
  <c r="L35" i="20"/>
  <c r="S34" i="20"/>
  <c r="R34" i="20"/>
  <c r="F34" i="20"/>
  <c r="S33" i="20"/>
  <c r="R33" i="20"/>
  <c r="Q33" i="20"/>
  <c r="P33" i="20"/>
  <c r="N33" i="20"/>
  <c r="M33" i="20"/>
  <c r="H33" i="20"/>
  <c r="G33" i="20"/>
  <c r="S32" i="20"/>
  <c r="R32" i="20"/>
  <c r="N32" i="20"/>
  <c r="N35" i="20" s="1"/>
  <c r="M32" i="20"/>
  <c r="K32" i="20"/>
  <c r="S31" i="20"/>
  <c r="R31" i="20"/>
  <c r="F31" i="20"/>
  <c r="S30" i="20"/>
  <c r="R30" i="20"/>
  <c r="F30" i="20"/>
  <c r="S29" i="20"/>
  <c r="R29" i="20"/>
  <c r="F29" i="20"/>
  <c r="S28" i="20"/>
  <c r="R28" i="20"/>
  <c r="F28" i="20"/>
  <c r="S27" i="20"/>
  <c r="R27" i="20"/>
  <c r="F27" i="20"/>
  <c r="S26" i="20"/>
  <c r="R26" i="20"/>
  <c r="F26" i="20"/>
  <c r="S25" i="20"/>
  <c r="R25" i="20"/>
  <c r="F25" i="20"/>
  <c r="S24" i="20"/>
  <c r="R24" i="20"/>
  <c r="N24" i="20"/>
  <c r="M24" i="20"/>
  <c r="G24" i="20"/>
  <c r="S23" i="20"/>
  <c r="R23" i="20"/>
  <c r="N23" i="20"/>
  <c r="M23" i="20"/>
  <c r="K23" i="20"/>
  <c r="J23" i="20"/>
  <c r="I23" i="20"/>
  <c r="H23" i="20"/>
  <c r="G23" i="20"/>
  <c r="S22" i="20"/>
  <c r="R22" i="20"/>
  <c r="Q22" i="20"/>
  <c r="P22" i="20"/>
  <c r="O22" i="20"/>
  <c r="N22" i="20"/>
  <c r="L22" i="20"/>
  <c r="K22" i="20"/>
  <c r="H22" i="20"/>
  <c r="R19" i="20"/>
  <c r="S18" i="20"/>
  <c r="R18" i="20"/>
  <c r="F18" i="20"/>
  <c r="S17" i="20"/>
  <c r="R17" i="20"/>
  <c r="Q17" i="20"/>
  <c r="P17" i="20"/>
  <c r="N17" i="20"/>
  <c r="M17" i="20"/>
  <c r="H17" i="20"/>
  <c r="G17" i="20"/>
  <c r="S16" i="20"/>
  <c r="R16" i="20"/>
  <c r="Q16" i="20"/>
  <c r="N16" i="20"/>
  <c r="M16" i="20"/>
  <c r="K16" i="20"/>
  <c r="S15" i="20"/>
  <c r="R15" i="20"/>
  <c r="F15" i="20"/>
  <c r="S14" i="20"/>
  <c r="R14" i="20"/>
  <c r="F14" i="20"/>
  <c r="S13" i="20"/>
  <c r="R13" i="20"/>
  <c r="F13" i="20"/>
  <c r="S12" i="20"/>
  <c r="R12" i="20"/>
  <c r="F12" i="20"/>
  <c r="S11" i="20"/>
  <c r="R11" i="20"/>
  <c r="F11" i="20"/>
  <c r="S10" i="20"/>
  <c r="R10" i="20"/>
  <c r="L19" i="20" s="1"/>
  <c r="L20" i="20" s="1"/>
  <c r="F10" i="20"/>
  <c r="S9" i="20"/>
  <c r="R9" i="20"/>
  <c r="F9" i="20"/>
  <c r="R8" i="20"/>
  <c r="S7" i="20"/>
  <c r="R7" i="20"/>
  <c r="N7" i="20"/>
  <c r="K7" i="20"/>
  <c r="I7" i="20"/>
  <c r="H7" i="20"/>
  <c r="G7" i="20"/>
  <c r="S6" i="20"/>
  <c r="R6" i="20"/>
  <c r="Q6" i="20"/>
  <c r="P6" i="20"/>
  <c r="O6" i="20"/>
  <c r="N6" i="20"/>
  <c r="L6" i="20"/>
  <c r="H6" i="20"/>
  <c r="S179" i="19"/>
  <c r="R179" i="19"/>
  <c r="P179" i="19"/>
  <c r="S178" i="19"/>
  <c r="R178" i="19"/>
  <c r="F178" i="19"/>
  <c r="S177" i="19"/>
  <c r="R177" i="19"/>
  <c r="F177" i="19"/>
  <c r="S176" i="19"/>
  <c r="R176" i="19"/>
  <c r="F176" i="19"/>
  <c r="S175" i="19"/>
  <c r="R175" i="19"/>
  <c r="F175" i="19"/>
  <c r="S174" i="19"/>
  <c r="R174" i="19"/>
  <c r="F174" i="19"/>
  <c r="S173" i="19"/>
  <c r="R173" i="19"/>
  <c r="F173" i="19"/>
  <c r="S172" i="19"/>
  <c r="R172" i="19"/>
  <c r="F172" i="19"/>
  <c r="S171" i="19"/>
  <c r="R171" i="19"/>
  <c r="F171" i="19"/>
  <c r="S170" i="19"/>
  <c r="R170" i="19"/>
  <c r="F170" i="19"/>
  <c r="S169" i="19"/>
  <c r="R169" i="19"/>
  <c r="F169" i="19"/>
  <c r="N168" i="19"/>
  <c r="M168" i="19"/>
  <c r="H168" i="19"/>
  <c r="G168" i="19"/>
  <c r="S167" i="19"/>
  <c r="R167" i="19"/>
  <c r="N167" i="19"/>
  <c r="M167" i="19"/>
  <c r="H167" i="19"/>
  <c r="G167" i="19"/>
  <c r="Q166" i="19"/>
  <c r="P166" i="19"/>
  <c r="O166" i="19"/>
  <c r="N166" i="19"/>
  <c r="M166" i="19"/>
  <c r="L166" i="19"/>
  <c r="J166" i="19"/>
  <c r="I166" i="19"/>
  <c r="H166" i="19"/>
  <c r="S163" i="19"/>
  <c r="R163" i="19"/>
  <c r="Q163" i="19"/>
  <c r="P163" i="19"/>
  <c r="S162" i="19"/>
  <c r="R162" i="19"/>
  <c r="F162" i="19"/>
  <c r="S161" i="19"/>
  <c r="R161" i="19"/>
  <c r="F161" i="19"/>
  <c r="S160" i="19"/>
  <c r="R160" i="19"/>
  <c r="F160" i="19"/>
  <c r="S159" i="19"/>
  <c r="R159" i="19"/>
  <c r="F159" i="19"/>
  <c r="S158" i="19"/>
  <c r="R158" i="19"/>
  <c r="F158" i="19"/>
  <c r="S157" i="19"/>
  <c r="R157" i="19"/>
  <c r="F157" i="19"/>
  <c r="S156" i="19"/>
  <c r="R156" i="19"/>
  <c r="F156" i="19"/>
  <c r="S155" i="19"/>
  <c r="R155" i="19"/>
  <c r="G163" i="19" s="1"/>
  <c r="F155" i="19"/>
  <c r="S154" i="19"/>
  <c r="R154" i="19"/>
  <c r="F154" i="19"/>
  <c r="S153" i="19"/>
  <c r="R153" i="19"/>
  <c r="I163" i="19" s="1"/>
  <c r="F153" i="19"/>
  <c r="S152" i="19"/>
  <c r="I165" i="19" s="1"/>
  <c r="R152" i="19"/>
  <c r="P152" i="19"/>
  <c r="N152" i="19"/>
  <c r="M152" i="19"/>
  <c r="H152" i="19"/>
  <c r="G152" i="19"/>
  <c r="S151" i="19"/>
  <c r="R151" i="19"/>
  <c r="N151" i="19"/>
  <c r="M151" i="19"/>
  <c r="H151" i="19"/>
  <c r="G151" i="19"/>
  <c r="S150" i="19"/>
  <c r="R150" i="19"/>
  <c r="Q150" i="19"/>
  <c r="P150" i="19"/>
  <c r="O150" i="19"/>
  <c r="N150" i="19"/>
  <c r="M150" i="19"/>
  <c r="L150" i="19"/>
  <c r="J150" i="19"/>
  <c r="I150" i="19"/>
  <c r="H150" i="19"/>
  <c r="G150" i="19"/>
  <c r="S147" i="19"/>
  <c r="R147" i="19"/>
  <c r="H147" i="19"/>
  <c r="G147" i="19"/>
  <c r="S146" i="19"/>
  <c r="R146" i="19"/>
  <c r="F146" i="19"/>
  <c r="S145" i="19"/>
  <c r="R145" i="19"/>
  <c r="F145" i="19"/>
  <c r="S144" i="19"/>
  <c r="R144" i="19"/>
  <c r="F144" i="19"/>
  <c r="S143" i="19"/>
  <c r="R143" i="19"/>
  <c r="F143" i="19"/>
  <c r="S142" i="19"/>
  <c r="R142" i="19"/>
  <c r="L147" i="19" s="1"/>
  <c r="F142" i="19"/>
  <c r="S141" i="19"/>
  <c r="R141" i="19"/>
  <c r="M147" i="19" s="1"/>
  <c r="F141" i="19"/>
  <c r="S140" i="19"/>
  <c r="R140" i="19"/>
  <c r="F140" i="19"/>
  <c r="S139" i="19"/>
  <c r="R139" i="19"/>
  <c r="F139" i="19"/>
  <c r="S138" i="19"/>
  <c r="R138" i="19"/>
  <c r="F138" i="19"/>
  <c r="S137" i="19"/>
  <c r="R137" i="19"/>
  <c r="F137" i="19"/>
  <c r="S136" i="19"/>
  <c r="R136" i="19"/>
  <c r="S135" i="19"/>
  <c r="R135" i="19"/>
  <c r="N135" i="19"/>
  <c r="M135" i="19"/>
  <c r="H135" i="19"/>
  <c r="G135" i="19"/>
  <c r="S134" i="19"/>
  <c r="R134" i="19"/>
  <c r="Q134" i="19"/>
  <c r="P134" i="19"/>
  <c r="O134" i="19"/>
  <c r="N134" i="19"/>
  <c r="L134" i="19"/>
  <c r="J134" i="19"/>
  <c r="I134" i="19"/>
  <c r="H134" i="19"/>
  <c r="S131" i="19"/>
  <c r="R131" i="19"/>
  <c r="L131" i="19"/>
  <c r="L132" i="19" s="1"/>
  <c r="S130" i="19"/>
  <c r="R130" i="19"/>
  <c r="F130" i="19"/>
  <c r="S129" i="19"/>
  <c r="R129" i="19"/>
  <c r="F129" i="19"/>
  <c r="S128" i="19"/>
  <c r="R128" i="19"/>
  <c r="F128" i="19"/>
  <c r="S127" i="19"/>
  <c r="R127" i="19"/>
  <c r="F127" i="19"/>
  <c r="S126" i="19"/>
  <c r="R126" i="19"/>
  <c r="F126" i="19"/>
  <c r="S125" i="19"/>
  <c r="R125" i="19"/>
  <c r="F125" i="19"/>
  <c r="S124" i="19"/>
  <c r="R124" i="19"/>
  <c r="F124" i="19"/>
  <c r="S123" i="19"/>
  <c r="R123" i="19"/>
  <c r="F123" i="19"/>
  <c r="S122" i="19"/>
  <c r="R122" i="19"/>
  <c r="F122" i="19"/>
  <c r="S121" i="19"/>
  <c r="R121" i="19"/>
  <c r="F121" i="19"/>
  <c r="S120" i="19"/>
  <c r="R120" i="19"/>
  <c r="S119" i="19"/>
  <c r="R119" i="19"/>
  <c r="N119" i="19"/>
  <c r="M119" i="19"/>
  <c r="H119" i="19"/>
  <c r="G119" i="19"/>
  <c r="S118" i="19"/>
  <c r="R118" i="19"/>
  <c r="Q118" i="19"/>
  <c r="P118" i="19"/>
  <c r="O118" i="19"/>
  <c r="N118" i="19"/>
  <c r="M118" i="19"/>
  <c r="L118" i="19"/>
  <c r="J118" i="19"/>
  <c r="I118" i="19"/>
  <c r="G118" i="19"/>
  <c r="O116" i="19"/>
  <c r="S115" i="19"/>
  <c r="R115" i="19"/>
  <c r="O115" i="19"/>
  <c r="N115" i="19"/>
  <c r="M115" i="19"/>
  <c r="L115" i="19"/>
  <c r="S114" i="19"/>
  <c r="R114" i="19"/>
  <c r="F114" i="19"/>
  <c r="S113" i="19"/>
  <c r="R113" i="19"/>
  <c r="F113" i="19"/>
  <c r="S112" i="19"/>
  <c r="R112" i="19"/>
  <c r="F112" i="19"/>
  <c r="S111" i="19"/>
  <c r="R111" i="19"/>
  <c r="F111" i="19"/>
  <c r="S110" i="19"/>
  <c r="R110" i="19"/>
  <c r="F110" i="19"/>
  <c r="S109" i="19"/>
  <c r="R109" i="19"/>
  <c r="F109" i="19"/>
  <c r="S108" i="19"/>
  <c r="R108" i="19"/>
  <c r="F108" i="19"/>
  <c r="S107" i="19"/>
  <c r="R107" i="19"/>
  <c r="F107" i="19"/>
  <c r="S106" i="19"/>
  <c r="R106" i="19"/>
  <c r="F106" i="19"/>
  <c r="S105" i="19"/>
  <c r="R105" i="19"/>
  <c r="J115" i="19" s="1"/>
  <c r="F105" i="19"/>
  <c r="S104" i="19"/>
  <c r="R104" i="19"/>
  <c r="S103" i="19"/>
  <c r="R103" i="19"/>
  <c r="N103" i="19"/>
  <c r="H103" i="19"/>
  <c r="G103" i="19"/>
  <c r="S102" i="19"/>
  <c r="R102" i="19"/>
  <c r="Q102" i="19"/>
  <c r="P102" i="19"/>
  <c r="O102" i="19"/>
  <c r="N102" i="19"/>
  <c r="M102" i="19"/>
  <c r="L102" i="19"/>
  <c r="J102" i="19"/>
  <c r="I102" i="19"/>
  <c r="H102" i="19"/>
  <c r="S99" i="19"/>
  <c r="R99" i="19"/>
  <c r="O99" i="19"/>
  <c r="K99" i="19"/>
  <c r="H99" i="19"/>
  <c r="S98" i="19"/>
  <c r="R98" i="19"/>
  <c r="F98" i="19"/>
  <c r="S97" i="19"/>
  <c r="R97" i="19"/>
  <c r="F97" i="19"/>
  <c r="S96" i="19"/>
  <c r="R96" i="19"/>
  <c r="F96" i="19"/>
  <c r="S95" i="19"/>
  <c r="R95" i="19"/>
  <c r="F95" i="19"/>
  <c r="S94" i="19"/>
  <c r="R94" i="19"/>
  <c r="F94" i="19"/>
  <c r="S93" i="19"/>
  <c r="R93" i="19"/>
  <c r="F93" i="19"/>
  <c r="S92" i="19"/>
  <c r="R92" i="19"/>
  <c r="F92" i="19"/>
  <c r="S91" i="19"/>
  <c r="R91" i="19"/>
  <c r="F91" i="19"/>
  <c r="S90" i="19"/>
  <c r="R90" i="19"/>
  <c r="F90" i="19"/>
  <c r="S89" i="19"/>
  <c r="R89" i="19"/>
  <c r="F89" i="19"/>
  <c r="S88" i="19"/>
  <c r="R88" i="19"/>
  <c r="S87" i="19"/>
  <c r="R87" i="19"/>
  <c r="N87" i="19"/>
  <c r="M87" i="19"/>
  <c r="H87" i="19"/>
  <c r="G87" i="19"/>
  <c r="S86" i="19"/>
  <c r="R86" i="19"/>
  <c r="Q86" i="19"/>
  <c r="P86" i="19"/>
  <c r="O86" i="19"/>
  <c r="N86" i="19"/>
  <c r="L86" i="19"/>
  <c r="J86" i="19"/>
  <c r="I86" i="19"/>
  <c r="H86" i="19"/>
  <c r="S83" i="19"/>
  <c r="R83" i="19"/>
  <c r="M83" i="19"/>
  <c r="S82" i="19"/>
  <c r="R82" i="19"/>
  <c r="F82" i="19"/>
  <c r="S81" i="19"/>
  <c r="R81" i="19"/>
  <c r="F81" i="19"/>
  <c r="S80" i="19"/>
  <c r="R80" i="19"/>
  <c r="F80" i="19"/>
  <c r="S79" i="19"/>
  <c r="R79" i="19"/>
  <c r="F79" i="19"/>
  <c r="S78" i="19"/>
  <c r="R78" i="19"/>
  <c r="F78" i="19"/>
  <c r="S77" i="19"/>
  <c r="R77" i="19"/>
  <c r="F77" i="19"/>
  <c r="S76" i="19"/>
  <c r="R76" i="19"/>
  <c r="F76" i="19"/>
  <c r="S75" i="19"/>
  <c r="R75" i="19"/>
  <c r="F75" i="19"/>
  <c r="S74" i="19"/>
  <c r="R74" i="19"/>
  <c r="F74" i="19"/>
  <c r="S73" i="19"/>
  <c r="R73" i="19"/>
  <c r="F73" i="19"/>
  <c r="S72" i="19"/>
  <c r="R72" i="19"/>
  <c r="S71" i="19"/>
  <c r="R71" i="19"/>
  <c r="N71" i="19"/>
  <c r="H71" i="19"/>
  <c r="G71" i="19"/>
  <c r="S70" i="19"/>
  <c r="R70" i="19"/>
  <c r="Q70" i="19"/>
  <c r="P70" i="19"/>
  <c r="O70" i="19"/>
  <c r="N70" i="19"/>
  <c r="L70" i="19"/>
  <c r="J70" i="19"/>
  <c r="I70" i="19"/>
  <c r="S67" i="19"/>
  <c r="R67" i="19"/>
  <c r="S66" i="19"/>
  <c r="R66" i="19"/>
  <c r="F66" i="19"/>
  <c r="S65" i="19"/>
  <c r="R65" i="19"/>
  <c r="F65" i="19"/>
  <c r="S64" i="19"/>
  <c r="R64" i="19"/>
  <c r="F64" i="19"/>
  <c r="S63" i="19"/>
  <c r="R63" i="19"/>
  <c r="F63" i="19"/>
  <c r="S62" i="19"/>
  <c r="R62" i="19"/>
  <c r="F62" i="19"/>
  <c r="S61" i="19"/>
  <c r="R61" i="19"/>
  <c r="F61" i="19"/>
  <c r="S60" i="19"/>
  <c r="R60" i="19"/>
  <c r="F60" i="19"/>
  <c r="S59" i="19"/>
  <c r="R59" i="19"/>
  <c r="F59" i="19"/>
  <c r="S58" i="19"/>
  <c r="R58" i="19"/>
  <c r="F58" i="19"/>
  <c r="S57" i="19"/>
  <c r="R57" i="19"/>
  <c r="F57" i="19"/>
  <c r="S56" i="19"/>
  <c r="R56" i="19"/>
  <c r="P56" i="19"/>
  <c r="N56" i="19"/>
  <c r="M56" i="19"/>
  <c r="H56" i="19"/>
  <c r="G56" i="19"/>
  <c r="S55" i="19"/>
  <c r="R55" i="19"/>
  <c r="N55" i="19"/>
  <c r="M55" i="19"/>
  <c r="H55" i="19"/>
  <c r="G55" i="19"/>
  <c r="S54" i="19"/>
  <c r="R54" i="19"/>
  <c r="Q54" i="19"/>
  <c r="P54" i="19"/>
  <c r="O54" i="19"/>
  <c r="N54" i="19"/>
  <c r="M54" i="19"/>
  <c r="L54" i="19"/>
  <c r="J54" i="19"/>
  <c r="I54" i="19"/>
  <c r="H54" i="19"/>
  <c r="S51" i="19"/>
  <c r="R51" i="19"/>
  <c r="P51" i="19"/>
  <c r="O51" i="19"/>
  <c r="N51" i="19"/>
  <c r="N52" i="19" s="1"/>
  <c r="M51" i="19"/>
  <c r="L51" i="19"/>
  <c r="S50" i="19"/>
  <c r="R50" i="19"/>
  <c r="F50" i="19"/>
  <c r="S49" i="19"/>
  <c r="R49" i="19"/>
  <c r="F49" i="19"/>
  <c r="S48" i="19"/>
  <c r="R48" i="19"/>
  <c r="F48" i="19"/>
  <c r="S47" i="19"/>
  <c r="R47" i="19"/>
  <c r="F47" i="19"/>
  <c r="S46" i="19"/>
  <c r="R46" i="19"/>
  <c r="F46" i="19"/>
  <c r="S45" i="19"/>
  <c r="R45" i="19"/>
  <c r="F45" i="19"/>
  <c r="S44" i="19"/>
  <c r="R44" i="19"/>
  <c r="F44" i="19"/>
  <c r="S43" i="19"/>
  <c r="R43" i="19"/>
  <c r="F43" i="19"/>
  <c r="S42" i="19"/>
  <c r="R42" i="19"/>
  <c r="F42" i="19"/>
  <c r="S41" i="19"/>
  <c r="R41" i="19"/>
  <c r="J51" i="19" s="1"/>
  <c r="J53" i="19" s="1"/>
  <c r="F41" i="19"/>
  <c r="S40" i="19"/>
  <c r="R40" i="19"/>
  <c r="N40" i="19"/>
  <c r="M40" i="19"/>
  <c r="H40" i="19"/>
  <c r="G40" i="19"/>
  <c r="S39" i="19"/>
  <c r="R39" i="19"/>
  <c r="N39" i="19"/>
  <c r="M39" i="19"/>
  <c r="H39" i="19"/>
  <c r="G39" i="19"/>
  <c r="S38" i="19"/>
  <c r="R38" i="19"/>
  <c r="Q38" i="19"/>
  <c r="P38" i="19"/>
  <c r="O38" i="19"/>
  <c r="N38" i="19"/>
  <c r="L38" i="19"/>
  <c r="J38" i="19"/>
  <c r="I38" i="19"/>
  <c r="H38" i="19"/>
  <c r="G38" i="19"/>
  <c r="S35" i="19"/>
  <c r="R35" i="19"/>
  <c r="S34" i="19"/>
  <c r="R34" i="19"/>
  <c r="F34" i="19"/>
  <c r="S33" i="19"/>
  <c r="R33" i="19"/>
  <c r="P33" i="19"/>
  <c r="M33" i="19"/>
  <c r="H33" i="19"/>
  <c r="G33" i="19"/>
  <c r="S32" i="19"/>
  <c r="R32" i="19"/>
  <c r="P32" i="19"/>
  <c r="N32" i="19"/>
  <c r="M32" i="19"/>
  <c r="K32" i="19"/>
  <c r="H32" i="19"/>
  <c r="S31" i="19"/>
  <c r="R31" i="19"/>
  <c r="F31" i="19"/>
  <c r="S30" i="19"/>
  <c r="R30" i="19"/>
  <c r="F30" i="19"/>
  <c r="S29" i="19"/>
  <c r="R29" i="19"/>
  <c r="F29" i="19"/>
  <c r="S28" i="19"/>
  <c r="R28" i="19"/>
  <c r="F28" i="19"/>
  <c r="S27" i="19"/>
  <c r="R27" i="19"/>
  <c r="F27" i="19"/>
  <c r="S26" i="19"/>
  <c r="R26" i="19"/>
  <c r="F26" i="19"/>
  <c r="S25" i="19"/>
  <c r="R25" i="19"/>
  <c r="F25" i="19"/>
  <c r="S24" i="19"/>
  <c r="R24" i="19"/>
  <c r="P24" i="19"/>
  <c r="N24" i="19"/>
  <c r="M24" i="19"/>
  <c r="H24" i="19"/>
  <c r="G24" i="19"/>
  <c r="S23" i="19"/>
  <c r="R23" i="19"/>
  <c r="N23" i="19"/>
  <c r="M23" i="19"/>
  <c r="H23" i="19"/>
  <c r="G23" i="19"/>
  <c r="S22" i="19"/>
  <c r="R22" i="19"/>
  <c r="Q22" i="19"/>
  <c r="P22" i="19"/>
  <c r="O22" i="19"/>
  <c r="N22" i="19"/>
  <c r="M22" i="19"/>
  <c r="L22" i="19"/>
  <c r="J22" i="19"/>
  <c r="I22" i="19"/>
  <c r="H22" i="19"/>
  <c r="R19" i="19"/>
  <c r="S18" i="19"/>
  <c r="R18" i="19"/>
  <c r="F18" i="19"/>
  <c r="S17" i="19"/>
  <c r="R17" i="19"/>
  <c r="L19" i="19" s="1"/>
  <c r="P17" i="19"/>
  <c r="M17" i="19"/>
  <c r="H17" i="19"/>
  <c r="G17" i="19"/>
  <c r="S16" i="19"/>
  <c r="R16" i="19"/>
  <c r="P16" i="19"/>
  <c r="N16" i="19"/>
  <c r="M16" i="19"/>
  <c r="K16" i="19"/>
  <c r="H16" i="19"/>
  <c r="S15" i="19"/>
  <c r="R15" i="19"/>
  <c r="F15" i="19"/>
  <c r="S14" i="19"/>
  <c r="R14" i="19"/>
  <c r="F14" i="19"/>
  <c r="S13" i="19"/>
  <c r="R13" i="19"/>
  <c r="F13" i="19"/>
  <c r="S12" i="19"/>
  <c r="R12" i="19"/>
  <c r="F12" i="19"/>
  <c r="S11" i="19"/>
  <c r="R11" i="19"/>
  <c r="F11" i="19"/>
  <c r="S10" i="19"/>
  <c r="R10" i="19"/>
  <c r="F10" i="19"/>
  <c r="S9" i="19"/>
  <c r="R9" i="19"/>
  <c r="F9" i="19"/>
  <c r="R8" i="19"/>
  <c r="S7" i="19"/>
  <c r="R7" i="19"/>
  <c r="N7" i="19"/>
  <c r="M7" i="19"/>
  <c r="H7" i="19"/>
  <c r="G7" i="19"/>
  <c r="S6" i="19"/>
  <c r="R6" i="19"/>
  <c r="P6" i="19"/>
  <c r="N6" i="19"/>
  <c r="H6" i="19"/>
  <c r="S179" i="18"/>
  <c r="R179" i="18"/>
  <c r="S178" i="18"/>
  <c r="R178" i="18"/>
  <c r="F178" i="18"/>
  <c r="S177" i="18"/>
  <c r="R177" i="18"/>
  <c r="Q177" i="18"/>
  <c r="P177" i="18"/>
  <c r="O177" i="18"/>
  <c r="N177" i="18"/>
  <c r="M177" i="18"/>
  <c r="K177" i="18"/>
  <c r="I177" i="18"/>
  <c r="G177" i="18"/>
  <c r="S176" i="18"/>
  <c r="R176" i="18"/>
  <c r="Q176" i="18"/>
  <c r="P176" i="18"/>
  <c r="O176" i="18"/>
  <c r="N176" i="18"/>
  <c r="M176" i="18"/>
  <c r="K176" i="18"/>
  <c r="I176" i="18"/>
  <c r="S175" i="18"/>
  <c r="R175" i="18"/>
  <c r="F175" i="18"/>
  <c r="S174" i="18"/>
  <c r="R174" i="18"/>
  <c r="F174" i="18"/>
  <c r="S173" i="18"/>
  <c r="R173" i="18"/>
  <c r="F173" i="18"/>
  <c r="S172" i="18"/>
  <c r="R172" i="18"/>
  <c r="N179" i="18" s="1"/>
  <c r="F172" i="18"/>
  <c r="S171" i="18"/>
  <c r="R171" i="18"/>
  <c r="F171" i="18"/>
  <c r="S170" i="18"/>
  <c r="R170" i="18"/>
  <c r="F170" i="18"/>
  <c r="S169" i="18"/>
  <c r="R169" i="18"/>
  <c r="F169" i="18"/>
  <c r="Q168" i="18"/>
  <c r="P168" i="18"/>
  <c r="O168" i="18"/>
  <c r="N168" i="18"/>
  <c r="M168" i="18"/>
  <c r="L168" i="18"/>
  <c r="J168" i="18"/>
  <c r="I168" i="18"/>
  <c r="G168" i="18"/>
  <c r="S167" i="18"/>
  <c r="R167" i="18"/>
  <c r="Q167" i="18"/>
  <c r="O167" i="18"/>
  <c r="N167" i="18"/>
  <c r="L167" i="18"/>
  <c r="J167" i="18"/>
  <c r="I167" i="18"/>
  <c r="H167" i="18"/>
  <c r="G167" i="18"/>
  <c r="S166" i="18"/>
  <c r="R166" i="18"/>
  <c r="Q166" i="18"/>
  <c r="P166" i="18"/>
  <c r="O166" i="18"/>
  <c r="N166" i="18"/>
  <c r="M166" i="18"/>
  <c r="L166" i="18"/>
  <c r="J166" i="18"/>
  <c r="I166" i="18"/>
  <c r="H166" i="18"/>
  <c r="S163" i="18"/>
  <c r="R163" i="18"/>
  <c r="O163" i="18"/>
  <c r="S162" i="18"/>
  <c r="R162" i="18"/>
  <c r="F162" i="18"/>
  <c r="S161" i="18"/>
  <c r="R161" i="18"/>
  <c r="Q161" i="18"/>
  <c r="P161" i="18"/>
  <c r="O161" i="18"/>
  <c r="N161" i="18"/>
  <c r="M161" i="18"/>
  <c r="K161" i="18"/>
  <c r="I161" i="18"/>
  <c r="H161" i="18"/>
  <c r="G161" i="18"/>
  <c r="S160" i="18"/>
  <c r="R160" i="18"/>
  <c r="Q160" i="18"/>
  <c r="O160" i="18"/>
  <c r="N160" i="18"/>
  <c r="M160" i="18"/>
  <c r="K160" i="18"/>
  <c r="I160" i="18"/>
  <c r="S159" i="18"/>
  <c r="R159" i="18"/>
  <c r="F159" i="18"/>
  <c r="S158" i="18"/>
  <c r="R158" i="18"/>
  <c r="F158" i="18"/>
  <c r="S157" i="18"/>
  <c r="R157" i="18"/>
  <c r="F157" i="18"/>
  <c r="S156" i="18"/>
  <c r="R156" i="18"/>
  <c r="F156" i="18"/>
  <c r="S155" i="18"/>
  <c r="R155" i="18"/>
  <c r="F155" i="18"/>
  <c r="S154" i="18"/>
  <c r="R154" i="18"/>
  <c r="F154" i="18"/>
  <c r="S153" i="18"/>
  <c r="R153" i="18"/>
  <c r="F153" i="18"/>
  <c r="S152" i="18"/>
  <c r="R152" i="18"/>
  <c r="Q152" i="18"/>
  <c r="O152" i="18"/>
  <c r="N152" i="18"/>
  <c r="M152" i="18"/>
  <c r="L152" i="18"/>
  <c r="J152" i="18"/>
  <c r="I152" i="18"/>
  <c r="H152" i="18"/>
  <c r="G152" i="18"/>
  <c r="S151" i="18"/>
  <c r="R151" i="18"/>
  <c r="Q151" i="18"/>
  <c r="P151" i="18"/>
  <c r="O151" i="18"/>
  <c r="N151" i="18"/>
  <c r="M151" i="18"/>
  <c r="L151" i="18"/>
  <c r="J151" i="18"/>
  <c r="I151" i="18"/>
  <c r="H151" i="18"/>
  <c r="S150" i="18"/>
  <c r="R150" i="18"/>
  <c r="Q150" i="18"/>
  <c r="P150" i="18"/>
  <c r="O150" i="18"/>
  <c r="N150" i="18"/>
  <c r="M150" i="18"/>
  <c r="L150" i="18"/>
  <c r="J150" i="18"/>
  <c r="I150" i="18"/>
  <c r="H150" i="18"/>
  <c r="G150" i="18"/>
  <c r="S147" i="18"/>
  <c r="R147" i="18"/>
  <c r="S146" i="18"/>
  <c r="R146" i="18"/>
  <c r="F146" i="18"/>
  <c r="S145" i="18"/>
  <c r="R145" i="18"/>
  <c r="Q145" i="18"/>
  <c r="P145" i="18"/>
  <c r="O145" i="18"/>
  <c r="N145" i="18"/>
  <c r="M145" i="18"/>
  <c r="K145" i="18"/>
  <c r="I145" i="18"/>
  <c r="G145" i="18"/>
  <c r="S144" i="18"/>
  <c r="R144" i="18"/>
  <c r="Q144" i="18"/>
  <c r="O144" i="18"/>
  <c r="N144" i="18"/>
  <c r="M144" i="18"/>
  <c r="K144" i="18"/>
  <c r="I144" i="18"/>
  <c r="I147" i="18" s="1"/>
  <c r="S143" i="18"/>
  <c r="R143" i="18"/>
  <c r="F143" i="18"/>
  <c r="S142" i="18"/>
  <c r="R142" i="18"/>
  <c r="F142" i="18"/>
  <c r="S141" i="18"/>
  <c r="R141" i="18"/>
  <c r="F141" i="18"/>
  <c r="S140" i="18"/>
  <c r="R140" i="18"/>
  <c r="F140" i="18"/>
  <c r="S139" i="18"/>
  <c r="R139" i="18"/>
  <c r="F139" i="18"/>
  <c r="S138" i="18"/>
  <c r="R138" i="18"/>
  <c r="F138" i="18"/>
  <c r="S137" i="18"/>
  <c r="R137" i="18"/>
  <c r="F137" i="18"/>
  <c r="S136" i="18"/>
  <c r="R136" i="18"/>
  <c r="O136" i="18"/>
  <c r="S135" i="18"/>
  <c r="R135" i="18"/>
  <c r="Q135" i="18"/>
  <c r="P135" i="18"/>
  <c r="O135" i="18"/>
  <c r="N135" i="18"/>
  <c r="M135" i="18"/>
  <c r="L135" i="18"/>
  <c r="J135" i="18"/>
  <c r="I135" i="18"/>
  <c r="H135" i="18"/>
  <c r="G135" i="18"/>
  <c r="S134" i="18"/>
  <c r="R134" i="18"/>
  <c r="Q134" i="18"/>
  <c r="P134" i="18"/>
  <c r="O134" i="18"/>
  <c r="N134" i="18"/>
  <c r="L134" i="18"/>
  <c r="K134" i="18"/>
  <c r="J134" i="18"/>
  <c r="I134" i="18"/>
  <c r="H134" i="18"/>
  <c r="S131" i="18"/>
  <c r="R131" i="18"/>
  <c r="S130" i="18"/>
  <c r="R130" i="18"/>
  <c r="F130" i="18"/>
  <c r="S129" i="18"/>
  <c r="R129" i="18"/>
  <c r="Q129" i="18"/>
  <c r="P129" i="18"/>
  <c r="O129" i="18"/>
  <c r="N129" i="18"/>
  <c r="M129" i="18"/>
  <c r="K129" i="18"/>
  <c r="I129" i="18"/>
  <c r="G129" i="18"/>
  <c r="S128" i="18"/>
  <c r="R128" i="18"/>
  <c r="Q128" i="18"/>
  <c r="O128" i="18"/>
  <c r="N128" i="18"/>
  <c r="M128" i="18"/>
  <c r="K128" i="18"/>
  <c r="I128" i="18"/>
  <c r="S127" i="18"/>
  <c r="R127" i="18"/>
  <c r="F127" i="18"/>
  <c r="S126" i="18"/>
  <c r="R126" i="18"/>
  <c r="F126" i="18"/>
  <c r="S125" i="18"/>
  <c r="R125" i="18"/>
  <c r="F125" i="18"/>
  <c r="S124" i="18"/>
  <c r="R124" i="18"/>
  <c r="F124" i="18"/>
  <c r="S123" i="18"/>
  <c r="R123" i="18"/>
  <c r="F123" i="18"/>
  <c r="S122" i="18"/>
  <c r="R122" i="18"/>
  <c r="F122" i="18"/>
  <c r="S121" i="18"/>
  <c r="R121" i="18"/>
  <c r="F121" i="18"/>
  <c r="S120" i="18"/>
  <c r="R120" i="18"/>
  <c r="S119" i="18"/>
  <c r="R119" i="18"/>
  <c r="Q119" i="18"/>
  <c r="P119" i="18"/>
  <c r="O119" i="18"/>
  <c r="N119" i="18"/>
  <c r="M119" i="18"/>
  <c r="L119" i="18"/>
  <c r="J119" i="18"/>
  <c r="I119" i="18"/>
  <c r="H119" i="18"/>
  <c r="G119" i="18"/>
  <c r="S118" i="18"/>
  <c r="R118" i="18"/>
  <c r="Q118" i="18"/>
  <c r="P118" i="18"/>
  <c r="O118" i="18"/>
  <c r="N118" i="18"/>
  <c r="L118" i="18"/>
  <c r="J118" i="18"/>
  <c r="I118" i="18"/>
  <c r="H118" i="18"/>
  <c r="G118" i="18"/>
  <c r="S115" i="18"/>
  <c r="R115" i="18"/>
  <c r="S114" i="18"/>
  <c r="R114" i="18"/>
  <c r="F114" i="18"/>
  <c r="S113" i="18"/>
  <c r="R113" i="18"/>
  <c r="Q113" i="18"/>
  <c r="P113" i="18"/>
  <c r="O113" i="18"/>
  <c r="N113" i="18"/>
  <c r="M113" i="18"/>
  <c r="M115" i="18" s="1"/>
  <c r="K113" i="18"/>
  <c r="K115" i="18" s="1"/>
  <c r="I113" i="18"/>
  <c r="I115" i="18" s="1"/>
  <c r="G113" i="18"/>
  <c r="S112" i="18"/>
  <c r="R112" i="18"/>
  <c r="Q112" i="18"/>
  <c r="O112" i="18"/>
  <c r="N112" i="18"/>
  <c r="M112" i="18"/>
  <c r="K112" i="18"/>
  <c r="I112" i="18"/>
  <c r="S111" i="18"/>
  <c r="R111" i="18"/>
  <c r="F111" i="18"/>
  <c r="S110" i="18"/>
  <c r="R110" i="18"/>
  <c r="F110" i="18"/>
  <c r="S109" i="18"/>
  <c r="R109" i="18"/>
  <c r="Q115" i="18" s="1"/>
  <c r="F109" i="18"/>
  <c r="S108" i="18"/>
  <c r="R108" i="18"/>
  <c r="F108" i="18"/>
  <c r="S107" i="18"/>
  <c r="R107" i="18"/>
  <c r="F107" i="18"/>
  <c r="S106" i="18"/>
  <c r="R106" i="18"/>
  <c r="F106" i="18"/>
  <c r="S105" i="18"/>
  <c r="R105" i="18"/>
  <c r="F105" i="18"/>
  <c r="S104" i="18"/>
  <c r="R104" i="18"/>
  <c r="S103" i="18"/>
  <c r="R103" i="18"/>
  <c r="Q103" i="18"/>
  <c r="P103" i="18"/>
  <c r="O103" i="18"/>
  <c r="N103" i="18"/>
  <c r="M103" i="18"/>
  <c r="L103" i="18"/>
  <c r="J103" i="18"/>
  <c r="I103" i="18"/>
  <c r="H103" i="18"/>
  <c r="G103" i="18"/>
  <c r="S102" i="18"/>
  <c r="R102" i="18"/>
  <c r="Q102" i="18"/>
  <c r="P102" i="18"/>
  <c r="O102" i="18"/>
  <c r="N102" i="18"/>
  <c r="M102" i="18"/>
  <c r="L102" i="18"/>
  <c r="J102" i="18"/>
  <c r="I102" i="18"/>
  <c r="S99" i="18"/>
  <c r="R99" i="18"/>
  <c r="Q99" i="18"/>
  <c r="S98" i="18"/>
  <c r="R98" i="18"/>
  <c r="F98" i="18"/>
  <c r="S97" i="18"/>
  <c r="R97" i="18"/>
  <c r="Q97" i="18"/>
  <c r="P97" i="18"/>
  <c r="O97" i="18"/>
  <c r="N97" i="18"/>
  <c r="M97" i="18"/>
  <c r="K97" i="18"/>
  <c r="I97" i="18"/>
  <c r="I99" i="18" s="1"/>
  <c r="G97" i="18"/>
  <c r="S96" i="18"/>
  <c r="R96" i="18"/>
  <c r="Q96" i="18"/>
  <c r="O96" i="18"/>
  <c r="O99" i="18" s="1"/>
  <c r="N96" i="18"/>
  <c r="M96" i="18"/>
  <c r="K96" i="18"/>
  <c r="I96" i="18"/>
  <c r="S95" i="18"/>
  <c r="R95" i="18"/>
  <c r="F95" i="18"/>
  <c r="S94" i="18"/>
  <c r="R94" i="18"/>
  <c r="F94" i="18"/>
  <c r="S93" i="18"/>
  <c r="R93" i="18"/>
  <c r="F93" i="18"/>
  <c r="S92" i="18"/>
  <c r="R92" i="18"/>
  <c r="F92" i="18"/>
  <c r="S91" i="18"/>
  <c r="R91" i="18"/>
  <c r="F91" i="18"/>
  <c r="S90" i="18"/>
  <c r="R90" i="18"/>
  <c r="J99" i="18" s="1"/>
  <c r="S89" i="18"/>
  <c r="R89" i="18"/>
  <c r="F89" i="18"/>
  <c r="S88" i="18"/>
  <c r="R88" i="18"/>
  <c r="S87" i="18"/>
  <c r="R87" i="18"/>
  <c r="Q87" i="18"/>
  <c r="P87" i="18"/>
  <c r="O87" i="18"/>
  <c r="N87" i="18"/>
  <c r="M87" i="18"/>
  <c r="L87" i="18"/>
  <c r="J87" i="18"/>
  <c r="I87" i="18"/>
  <c r="H87" i="18"/>
  <c r="G87" i="18"/>
  <c r="S86" i="18"/>
  <c r="R86" i="18"/>
  <c r="Q86" i="18"/>
  <c r="P86" i="18"/>
  <c r="O86" i="18"/>
  <c r="N86" i="18"/>
  <c r="M86" i="18"/>
  <c r="L86" i="18"/>
  <c r="K86" i="18"/>
  <c r="J86" i="18"/>
  <c r="I86" i="18"/>
  <c r="H86" i="18"/>
  <c r="G86" i="18"/>
  <c r="S83" i="18"/>
  <c r="R83" i="18"/>
  <c r="S82" i="18"/>
  <c r="R82" i="18"/>
  <c r="F82" i="18"/>
  <c r="S81" i="18"/>
  <c r="R81" i="18"/>
  <c r="Q81" i="18"/>
  <c r="P81" i="18"/>
  <c r="O81" i="18"/>
  <c r="N81" i="18"/>
  <c r="M81" i="18"/>
  <c r="K81" i="18"/>
  <c r="I81" i="18"/>
  <c r="G81" i="18"/>
  <c r="S80" i="18"/>
  <c r="R80" i="18"/>
  <c r="Q80" i="18"/>
  <c r="O80" i="18"/>
  <c r="N80" i="18"/>
  <c r="M80" i="18"/>
  <c r="K80" i="18"/>
  <c r="I80" i="18"/>
  <c r="S79" i="18"/>
  <c r="R79" i="18"/>
  <c r="F79" i="18"/>
  <c r="S78" i="18"/>
  <c r="R78" i="18"/>
  <c r="F78" i="18"/>
  <c r="S77" i="18"/>
  <c r="R77" i="18"/>
  <c r="F77" i="18"/>
  <c r="S76" i="18"/>
  <c r="R76" i="18"/>
  <c r="F76" i="18"/>
  <c r="S75" i="18"/>
  <c r="R75" i="18"/>
  <c r="F75" i="18"/>
  <c r="S74" i="18"/>
  <c r="R74" i="18"/>
  <c r="F74" i="18"/>
  <c r="S73" i="18"/>
  <c r="R73" i="18"/>
  <c r="F73" i="18"/>
  <c r="S72" i="18"/>
  <c r="R72" i="18"/>
  <c r="S71" i="18"/>
  <c r="R71" i="18"/>
  <c r="Q71" i="18"/>
  <c r="P71" i="18"/>
  <c r="O71" i="18"/>
  <c r="N71" i="18"/>
  <c r="M71" i="18"/>
  <c r="L71" i="18"/>
  <c r="J71" i="18"/>
  <c r="I71" i="18"/>
  <c r="H71" i="18"/>
  <c r="G71" i="18"/>
  <c r="S70" i="18"/>
  <c r="R70" i="18"/>
  <c r="Q70" i="18"/>
  <c r="P70" i="18"/>
  <c r="O70" i="18"/>
  <c r="N70" i="18"/>
  <c r="L70" i="18"/>
  <c r="J70" i="18"/>
  <c r="I70" i="18"/>
  <c r="H70" i="18"/>
  <c r="S67" i="18"/>
  <c r="R67" i="18"/>
  <c r="Q67" i="18"/>
  <c r="S66" i="18"/>
  <c r="R66" i="18"/>
  <c r="F66" i="18"/>
  <c r="S65" i="18"/>
  <c r="R65" i="18"/>
  <c r="Q65" i="18"/>
  <c r="P65" i="18"/>
  <c r="O65" i="18"/>
  <c r="N65" i="18"/>
  <c r="M65" i="18"/>
  <c r="K65" i="18"/>
  <c r="I65" i="18"/>
  <c r="G65" i="18"/>
  <c r="S64" i="18"/>
  <c r="R64" i="18"/>
  <c r="Q64" i="18"/>
  <c r="O64" i="18"/>
  <c r="N64" i="18"/>
  <c r="M64" i="18"/>
  <c r="K64" i="18"/>
  <c r="I64" i="18"/>
  <c r="S63" i="18"/>
  <c r="R63" i="18"/>
  <c r="F63" i="18"/>
  <c r="S62" i="18"/>
  <c r="R62" i="18"/>
  <c r="F62" i="18"/>
  <c r="S61" i="18"/>
  <c r="R61" i="18"/>
  <c r="F61" i="18"/>
  <c r="S60" i="18"/>
  <c r="R60" i="18"/>
  <c r="F60" i="18"/>
  <c r="S59" i="18"/>
  <c r="R59" i="18"/>
  <c r="F59" i="18"/>
  <c r="S58" i="18"/>
  <c r="R58" i="18"/>
  <c r="F58" i="18"/>
  <c r="S57" i="18"/>
  <c r="R57" i="18"/>
  <c r="F57" i="18"/>
  <c r="S56" i="18"/>
  <c r="R56" i="18"/>
  <c r="Q56" i="18"/>
  <c r="O56" i="18"/>
  <c r="N56" i="18"/>
  <c r="M56" i="18"/>
  <c r="L56" i="18"/>
  <c r="J56" i="18"/>
  <c r="I56" i="18"/>
  <c r="H56" i="18"/>
  <c r="S55" i="18"/>
  <c r="R55" i="18"/>
  <c r="Q55" i="18"/>
  <c r="P55" i="18"/>
  <c r="O55" i="18"/>
  <c r="N55" i="18"/>
  <c r="M55" i="18"/>
  <c r="L55" i="18"/>
  <c r="J55" i="18"/>
  <c r="I55" i="18"/>
  <c r="H55" i="18"/>
  <c r="G55" i="18"/>
  <c r="S54" i="18"/>
  <c r="R54" i="18"/>
  <c r="Q54" i="18"/>
  <c r="P54" i="18"/>
  <c r="O54" i="18"/>
  <c r="N54" i="18"/>
  <c r="L54" i="18"/>
  <c r="J54" i="18"/>
  <c r="I54" i="18"/>
  <c r="H54" i="18"/>
  <c r="G54" i="18"/>
  <c r="S51" i="18"/>
  <c r="R51" i="18"/>
  <c r="S50" i="18"/>
  <c r="R50" i="18"/>
  <c r="F50" i="18"/>
  <c r="S49" i="18"/>
  <c r="R49" i="18"/>
  <c r="Q49" i="18"/>
  <c r="P49" i="18"/>
  <c r="O49" i="18"/>
  <c r="N49" i="18"/>
  <c r="M49" i="18"/>
  <c r="K49" i="18"/>
  <c r="I49" i="18"/>
  <c r="G49" i="18"/>
  <c r="S48" i="18"/>
  <c r="R48" i="18"/>
  <c r="Q48" i="18"/>
  <c r="O48" i="18"/>
  <c r="N48" i="18"/>
  <c r="M48" i="18"/>
  <c r="K48" i="18"/>
  <c r="I48" i="18"/>
  <c r="S47" i="18"/>
  <c r="R47" i="18"/>
  <c r="F47" i="18"/>
  <c r="S46" i="18"/>
  <c r="R46" i="18"/>
  <c r="F46" i="18"/>
  <c r="S45" i="18"/>
  <c r="R45" i="18"/>
  <c r="F45" i="18"/>
  <c r="S44" i="18"/>
  <c r="R44" i="18"/>
  <c r="F44" i="18"/>
  <c r="S43" i="18"/>
  <c r="R43" i="18"/>
  <c r="F43" i="18"/>
  <c r="S42" i="18"/>
  <c r="R42" i="18"/>
  <c r="F42" i="18"/>
  <c r="S41" i="18"/>
  <c r="R41" i="18"/>
  <c r="F41" i="18"/>
  <c r="S40" i="18"/>
  <c r="R40" i="18"/>
  <c r="Q40" i="18"/>
  <c r="P40" i="18"/>
  <c r="O40" i="18"/>
  <c r="N40" i="18"/>
  <c r="M40" i="18"/>
  <c r="L40" i="18"/>
  <c r="J40" i="18"/>
  <c r="I40" i="18"/>
  <c r="H40" i="18"/>
  <c r="G40" i="18"/>
  <c r="S39" i="18"/>
  <c r="R39" i="18"/>
  <c r="Q39" i="18"/>
  <c r="P39" i="18"/>
  <c r="O39" i="18"/>
  <c r="N39" i="18"/>
  <c r="M39" i="18"/>
  <c r="L39" i="18"/>
  <c r="J39" i="18"/>
  <c r="I39" i="18"/>
  <c r="H39" i="18"/>
  <c r="G39" i="18"/>
  <c r="S38" i="18"/>
  <c r="R38" i="18"/>
  <c r="Q38" i="18"/>
  <c r="P38" i="18"/>
  <c r="O38" i="18"/>
  <c r="N38" i="18"/>
  <c r="M38" i="18"/>
  <c r="L38" i="18"/>
  <c r="K38" i="18"/>
  <c r="J38" i="18"/>
  <c r="I38" i="18"/>
  <c r="H38" i="18"/>
  <c r="G38" i="18"/>
  <c r="S35" i="18"/>
  <c r="R35" i="18"/>
  <c r="S34" i="18"/>
  <c r="R34" i="18"/>
  <c r="F34" i="18"/>
  <c r="S33" i="18"/>
  <c r="R33" i="18"/>
  <c r="Q33" i="18"/>
  <c r="P33" i="18"/>
  <c r="O33" i="18"/>
  <c r="N33" i="18"/>
  <c r="M33" i="18"/>
  <c r="K33" i="18"/>
  <c r="I33" i="18"/>
  <c r="G33" i="18"/>
  <c r="S32" i="18"/>
  <c r="R32" i="18"/>
  <c r="Q32" i="18"/>
  <c r="O32" i="18"/>
  <c r="N32" i="18"/>
  <c r="M32" i="18"/>
  <c r="K32" i="18"/>
  <c r="I32" i="18"/>
  <c r="S31" i="18"/>
  <c r="R31" i="18"/>
  <c r="F31" i="18"/>
  <c r="S30" i="18"/>
  <c r="R30" i="18"/>
  <c r="F30" i="18"/>
  <c r="S29" i="18"/>
  <c r="R29" i="18"/>
  <c r="F29" i="18"/>
  <c r="S28" i="18"/>
  <c r="R28" i="18"/>
  <c r="F28" i="18"/>
  <c r="S27" i="18"/>
  <c r="R27" i="18"/>
  <c r="F27" i="18"/>
  <c r="S26" i="18"/>
  <c r="R26" i="18"/>
  <c r="F26" i="18"/>
  <c r="S25" i="18"/>
  <c r="R25" i="18"/>
  <c r="F25" i="18"/>
  <c r="S24" i="18"/>
  <c r="R24" i="18"/>
  <c r="Q24" i="18"/>
  <c r="P24" i="18"/>
  <c r="O24" i="18"/>
  <c r="N24" i="18"/>
  <c r="M24" i="18"/>
  <c r="L24" i="18"/>
  <c r="J24" i="18"/>
  <c r="I24" i="18"/>
  <c r="H24" i="18"/>
  <c r="G24" i="18"/>
  <c r="S23" i="18"/>
  <c r="R23" i="18"/>
  <c r="Q23" i="18"/>
  <c r="P23" i="18"/>
  <c r="O23" i="18"/>
  <c r="N23" i="18"/>
  <c r="M23" i="18"/>
  <c r="L23" i="18"/>
  <c r="J23" i="18"/>
  <c r="I23" i="18"/>
  <c r="H23" i="18"/>
  <c r="G23" i="18"/>
  <c r="S22" i="18"/>
  <c r="R22" i="18"/>
  <c r="Q22" i="18"/>
  <c r="P22" i="18"/>
  <c r="O22" i="18"/>
  <c r="N22" i="18"/>
  <c r="L22" i="18"/>
  <c r="J22" i="18"/>
  <c r="I22" i="18"/>
  <c r="H22" i="18"/>
  <c r="R19" i="18"/>
  <c r="S18" i="18"/>
  <c r="R18" i="18"/>
  <c r="F18" i="18"/>
  <c r="S17" i="18"/>
  <c r="R17" i="18"/>
  <c r="Q17" i="18"/>
  <c r="P17" i="18"/>
  <c r="O17" i="18"/>
  <c r="N17" i="18"/>
  <c r="M17" i="18"/>
  <c r="K17" i="18"/>
  <c r="I17" i="18"/>
  <c r="H17" i="18"/>
  <c r="G17" i="18"/>
  <c r="F17" i="18" s="1"/>
  <c r="S16" i="18"/>
  <c r="R16" i="18"/>
  <c r="Q16" i="18"/>
  <c r="O16" i="18"/>
  <c r="N16" i="18"/>
  <c r="M16" i="18"/>
  <c r="K16" i="18"/>
  <c r="I16" i="18"/>
  <c r="S15" i="18"/>
  <c r="R15" i="18"/>
  <c r="F15" i="18"/>
  <c r="S14" i="18"/>
  <c r="R14" i="18"/>
  <c r="F14" i="18"/>
  <c r="S13" i="18"/>
  <c r="R13" i="18"/>
  <c r="F13" i="18"/>
  <c r="S12" i="18"/>
  <c r="R12" i="18"/>
  <c r="F12" i="18"/>
  <c r="S11" i="18"/>
  <c r="R11" i="18"/>
  <c r="F11" i="18"/>
  <c r="S10" i="18"/>
  <c r="R10" i="18"/>
  <c r="F10" i="18"/>
  <c r="S9" i="18"/>
  <c r="R9" i="18"/>
  <c r="F9" i="18"/>
  <c r="R8" i="18"/>
  <c r="G8" i="18"/>
  <c r="S7" i="18"/>
  <c r="R7" i="18"/>
  <c r="Q7" i="18"/>
  <c r="P7" i="18"/>
  <c r="O7" i="18"/>
  <c r="N7" i="18"/>
  <c r="M7" i="18"/>
  <c r="L7" i="18"/>
  <c r="J7" i="18"/>
  <c r="I7" i="18"/>
  <c r="H7" i="18"/>
  <c r="G7" i="18"/>
  <c r="S6" i="18"/>
  <c r="R6" i="18"/>
  <c r="Q6" i="18"/>
  <c r="P6" i="18"/>
  <c r="O6" i="18"/>
  <c r="N6" i="18"/>
  <c r="L6" i="18"/>
  <c r="J6" i="18"/>
  <c r="I6" i="18"/>
  <c r="H6" i="18"/>
  <c r="T143" i="17"/>
  <c r="Q142" i="17"/>
  <c r="N142" i="17"/>
  <c r="H142" i="17"/>
  <c r="L141" i="17"/>
  <c r="L140" i="17"/>
  <c r="R138" i="17"/>
  <c r="R149" i="17" s="1"/>
  <c r="H138" i="17"/>
  <c r="H143" i="17" s="1"/>
  <c r="B138" i="17"/>
  <c r="D130" i="17"/>
  <c r="F99" i="17"/>
  <c r="F89" i="17"/>
  <c r="D81" i="17"/>
  <c r="T69" i="17"/>
  <c r="T74" i="17" s="1"/>
  <c r="J69" i="17"/>
  <c r="J74" i="17" s="1"/>
  <c r="H69" i="17"/>
  <c r="H74" i="17" s="1"/>
  <c r="D69" i="17"/>
  <c r="D74" i="17" s="1"/>
  <c r="P67" i="17"/>
  <c r="P72" i="17" s="1"/>
  <c r="P89" i="17" s="1"/>
  <c r="F67" i="17"/>
  <c r="F72" i="17" s="1"/>
  <c r="F79" i="17" s="1"/>
  <c r="V57" i="17"/>
  <c r="H57" i="17"/>
  <c r="D56" i="17"/>
  <c r="B55" i="17"/>
  <c r="T52" i="17"/>
  <c r="T130" i="17" s="1"/>
  <c r="H52" i="17"/>
  <c r="H130" i="17" s="1"/>
  <c r="D52" i="17"/>
  <c r="B52" i="17"/>
  <c r="B130" i="17" s="1"/>
  <c r="V51" i="17"/>
  <c r="P51" i="17"/>
  <c r="J51" i="17"/>
  <c r="J57" i="17" s="1"/>
  <c r="H51" i="17"/>
  <c r="P50" i="17"/>
  <c r="N50" i="17"/>
  <c r="D50" i="17"/>
  <c r="V49" i="17"/>
  <c r="Q49" i="17"/>
  <c r="L49" i="17"/>
  <c r="F49" i="17"/>
  <c r="F55" i="17" s="1"/>
  <c r="B49" i="17"/>
  <c r="V46" i="17"/>
  <c r="T46" i="17"/>
  <c r="R46" i="17"/>
  <c r="R52" i="17" s="1"/>
  <c r="R130" i="17" s="1"/>
  <c r="P46" i="17"/>
  <c r="O46" i="17"/>
  <c r="N46" i="17"/>
  <c r="N52" i="17" s="1"/>
  <c r="N130" i="17" s="1"/>
  <c r="L46" i="17"/>
  <c r="K46" i="17"/>
  <c r="J46" i="17"/>
  <c r="H46" i="17"/>
  <c r="F46" i="17"/>
  <c r="D46" i="17"/>
  <c r="B46" i="17"/>
  <c r="V45" i="17"/>
  <c r="T45" i="17"/>
  <c r="T51" i="17" s="1"/>
  <c r="T57" i="17" s="1"/>
  <c r="R45" i="17"/>
  <c r="Q45" i="17"/>
  <c r="Q51" i="17" s="1"/>
  <c r="P45" i="17"/>
  <c r="N45" i="17"/>
  <c r="M45" i="17"/>
  <c r="L45" i="17"/>
  <c r="J45" i="17"/>
  <c r="H45" i="17"/>
  <c r="F45" i="17"/>
  <c r="D45" i="17"/>
  <c r="D51" i="17" s="1"/>
  <c r="D57" i="17" s="1"/>
  <c r="B45" i="17"/>
  <c r="V44" i="17"/>
  <c r="U44" i="17"/>
  <c r="T44" i="17"/>
  <c r="S44" i="17"/>
  <c r="R44" i="17"/>
  <c r="P44" i="17"/>
  <c r="N44" i="17"/>
  <c r="L44" i="17"/>
  <c r="L50" i="17" s="1"/>
  <c r="J44" i="17"/>
  <c r="J50" i="17" s="1"/>
  <c r="J56" i="17" s="1"/>
  <c r="H44" i="17"/>
  <c r="G44" i="17"/>
  <c r="F44" i="17"/>
  <c r="E44" i="17"/>
  <c r="D44" i="17"/>
  <c r="B44" i="17"/>
  <c r="V43" i="17"/>
  <c r="T43" i="17"/>
  <c r="T49" i="17" s="1"/>
  <c r="S43" i="17"/>
  <c r="R43" i="17"/>
  <c r="Q43" i="17"/>
  <c r="P43" i="17"/>
  <c r="P49" i="17" s="1"/>
  <c r="P55" i="17" s="1"/>
  <c r="N43" i="17"/>
  <c r="L43" i="17"/>
  <c r="J43" i="17"/>
  <c r="I43" i="17"/>
  <c r="H43" i="17"/>
  <c r="F43" i="17"/>
  <c r="D43" i="17"/>
  <c r="C43" i="17"/>
  <c r="B43" i="17"/>
  <c r="T33" i="17"/>
  <c r="R33" i="17"/>
  <c r="L33" i="17"/>
  <c r="J33" i="17"/>
  <c r="D33" i="17"/>
  <c r="C33" i="17"/>
  <c r="B33" i="17"/>
  <c r="R32" i="17"/>
  <c r="K32" i="17"/>
  <c r="J32" i="17"/>
  <c r="H32" i="17"/>
  <c r="D32" i="17"/>
  <c r="B32" i="17"/>
  <c r="N31" i="17"/>
  <c r="K31" i="17"/>
  <c r="V30" i="17"/>
  <c r="T30" i="17"/>
  <c r="N30" i="17"/>
  <c r="F30" i="17"/>
  <c r="D30" i="17"/>
  <c r="C30" i="17"/>
  <c r="V27" i="17"/>
  <c r="V33" i="17" s="1"/>
  <c r="U27" i="17"/>
  <c r="U33" i="17" s="1"/>
  <c r="T27" i="17"/>
  <c r="R27" i="17"/>
  <c r="P27" i="17"/>
  <c r="P33" i="17" s="1"/>
  <c r="O27" i="17"/>
  <c r="O33" i="17" s="1"/>
  <c r="N27" i="17"/>
  <c r="N33" i="17" s="1"/>
  <c r="M27" i="17"/>
  <c r="M33" i="17" s="1"/>
  <c r="L27" i="17"/>
  <c r="J27" i="17"/>
  <c r="I27" i="17"/>
  <c r="I33" i="17" s="1"/>
  <c r="H27" i="17"/>
  <c r="H33" i="17" s="1"/>
  <c r="F27" i="17"/>
  <c r="F33" i="17" s="1"/>
  <c r="E27" i="17"/>
  <c r="E33" i="17" s="1"/>
  <c r="D27" i="17"/>
  <c r="B27" i="17"/>
  <c r="V26" i="17"/>
  <c r="V32" i="17" s="1"/>
  <c r="T26" i="17"/>
  <c r="T32" i="17" s="1"/>
  <c r="S26" i="17"/>
  <c r="S32" i="17" s="1"/>
  <c r="R26" i="17"/>
  <c r="P26" i="17"/>
  <c r="P32" i="17" s="1"/>
  <c r="O26" i="17"/>
  <c r="O32" i="17" s="1"/>
  <c r="N26" i="17"/>
  <c r="N32" i="17" s="1"/>
  <c r="L26" i="17"/>
  <c r="L32" i="17" s="1"/>
  <c r="K26" i="17"/>
  <c r="J26" i="17"/>
  <c r="H26" i="17"/>
  <c r="F26" i="17"/>
  <c r="F32" i="17" s="1"/>
  <c r="E26" i="17"/>
  <c r="E32" i="17" s="1"/>
  <c r="D26" i="17"/>
  <c r="C26" i="17"/>
  <c r="C32" i="17" s="1"/>
  <c r="B26" i="17"/>
  <c r="V25" i="17"/>
  <c r="V31" i="17" s="1"/>
  <c r="U25" i="17"/>
  <c r="U31" i="17" s="1"/>
  <c r="T25" i="17"/>
  <c r="T31" i="17" s="1"/>
  <c r="S25" i="17"/>
  <c r="S31" i="17" s="1"/>
  <c r="R25" i="17"/>
  <c r="R31" i="17" s="1"/>
  <c r="Q25" i="17"/>
  <c r="Q31" i="17" s="1"/>
  <c r="P25" i="17"/>
  <c r="P31" i="17" s="1"/>
  <c r="N25" i="17"/>
  <c r="L25" i="17"/>
  <c r="L31" i="17" s="1"/>
  <c r="K25" i="17"/>
  <c r="J25" i="17"/>
  <c r="J31" i="17" s="1"/>
  <c r="H25" i="17"/>
  <c r="H31" i="17" s="1"/>
  <c r="F25" i="17"/>
  <c r="F31" i="17" s="1"/>
  <c r="D25" i="17"/>
  <c r="D31" i="17" s="1"/>
  <c r="C25" i="17"/>
  <c r="C31" i="17" s="1"/>
  <c r="B25" i="17"/>
  <c r="B31" i="17" s="1"/>
  <c r="V24" i="17"/>
  <c r="T24" i="17"/>
  <c r="R24" i="17"/>
  <c r="R30" i="17" s="1"/>
  <c r="Q24" i="17"/>
  <c r="Q30" i="17" s="1"/>
  <c r="P24" i="17"/>
  <c r="P30" i="17" s="1"/>
  <c r="O24" i="17"/>
  <c r="O30" i="17" s="1"/>
  <c r="N24" i="17"/>
  <c r="L24" i="17"/>
  <c r="L30" i="17" s="1"/>
  <c r="K24" i="17"/>
  <c r="K30" i="17" s="1"/>
  <c r="J24" i="17"/>
  <c r="J30" i="17" s="1"/>
  <c r="H24" i="17"/>
  <c r="H30" i="17" s="1"/>
  <c r="F24" i="17"/>
  <c r="D24" i="17"/>
  <c r="C24" i="17"/>
  <c r="B24" i="17"/>
  <c r="B30" i="17" s="1"/>
  <c r="K96" i="16"/>
  <c r="J96" i="16"/>
  <c r="L82" i="16"/>
  <c r="K82" i="16"/>
  <c r="J82" i="16"/>
  <c r="I82" i="16"/>
  <c r="H82" i="16"/>
  <c r="G82" i="16"/>
  <c r="F82" i="16"/>
  <c r="E82" i="16"/>
  <c r="D82" i="16"/>
  <c r="C82" i="16"/>
  <c r="B82" i="16"/>
  <c r="L69" i="16"/>
  <c r="K69" i="16"/>
  <c r="J69" i="16"/>
  <c r="I69" i="16"/>
  <c r="H69" i="16"/>
  <c r="G69" i="16"/>
  <c r="F69" i="16"/>
  <c r="E69" i="16"/>
  <c r="D69" i="16"/>
  <c r="C69" i="16"/>
  <c r="B69" i="16"/>
  <c r="L62" i="16"/>
  <c r="J62" i="16"/>
  <c r="I62" i="16"/>
  <c r="W45" i="14" s="1"/>
  <c r="H62" i="16"/>
  <c r="K62" i="16" s="1"/>
  <c r="W55" i="14" s="1"/>
  <c r="G62" i="16"/>
  <c r="F62" i="16"/>
  <c r="E62" i="16"/>
  <c r="W23" i="14" s="1"/>
  <c r="D62" i="16"/>
  <c r="C62" i="16"/>
  <c r="B62" i="16"/>
  <c r="B55" i="16"/>
  <c r="L54" i="16"/>
  <c r="K54" i="16"/>
  <c r="J54" i="16"/>
  <c r="I54" i="16"/>
  <c r="F54" i="16"/>
  <c r="E54" i="16"/>
  <c r="D54" i="16"/>
  <c r="L53" i="16"/>
  <c r="K53" i="16"/>
  <c r="J53" i="16"/>
  <c r="I53" i="16"/>
  <c r="H53" i="16"/>
  <c r="G53" i="16"/>
  <c r="F53" i="16"/>
  <c r="E53" i="16"/>
  <c r="D53" i="16"/>
  <c r="C53" i="16"/>
  <c r="B53" i="16"/>
  <c r="K50" i="16"/>
  <c r="J50" i="16"/>
  <c r="I50" i="16"/>
  <c r="H50" i="16"/>
  <c r="G50" i="16"/>
  <c r="F50" i="16"/>
  <c r="E50" i="16"/>
  <c r="D50" i="16"/>
  <c r="C50" i="16"/>
  <c r="B48" i="16"/>
  <c r="S19" i="20" s="1"/>
  <c r="L37" i="16"/>
  <c r="B37" i="16"/>
  <c r="L35" i="16"/>
  <c r="K32" i="16"/>
  <c r="J32" i="16"/>
  <c r="I32" i="16"/>
  <c r="H32" i="16"/>
  <c r="G32" i="16"/>
  <c r="F32" i="16"/>
  <c r="E32" i="16"/>
  <c r="D32" i="16"/>
  <c r="C32" i="16"/>
  <c r="B32" i="16"/>
  <c r="AJ21" i="16"/>
  <c r="AJ20" i="16"/>
  <c r="AJ19" i="16"/>
  <c r="L19" i="16"/>
  <c r="AJ18" i="16"/>
  <c r="AJ17" i="16"/>
  <c r="L17" i="16"/>
  <c r="AJ16" i="16"/>
  <c r="AJ15" i="16"/>
  <c r="AJ14" i="16"/>
  <c r="L14" i="16"/>
  <c r="K14" i="16"/>
  <c r="K13" i="15" s="1"/>
  <c r="J14" i="16"/>
  <c r="I14" i="16"/>
  <c r="H14" i="16"/>
  <c r="G14" i="16"/>
  <c r="F14" i="16"/>
  <c r="E14" i="16"/>
  <c r="D14" i="16"/>
  <c r="C14" i="16"/>
  <c r="B14" i="16"/>
  <c r="AJ13" i="16"/>
  <c r="AJ11" i="16"/>
  <c r="AJ6" i="16"/>
  <c r="AJ5" i="16"/>
  <c r="K11" i="15"/>
  <c r="J11" i="15"/>
  <c r="G11" i="15"/>
  <c r="C11" i="15"/>
  <c r="B11" i="15"/>
  <c r="L9" i="15"/>
  <c r="K9" i="15"/>
  <c r="J9" i="15"/>
  <c r="I9" i="15"/>
  <c r="H9" i="15"/>
  <c r="G9" i="15"/>
  <c r="W35" i="14" s="1"/>
  <c r="F9" i="15"/>
  <c r="W28" i="14" s="1"/>
  <c r="E9" i="15"/>
  <c r="D9" i="15"/>
  <c r="C9" i="15"/>
  <c r="B9" i="15"/>
  <c r="K7" i="15"/>
  <c r="J7" i="15"/>
  <c r="J13" i="15" s="1"/>
  <c r="I7" i="15"/>
  <c r="I13" i="15" s="1"/>
  <c r="H7" i="15"/>
  <c r="H13" i="15" s="1"/>
  <c r="C7" i="15"/>
  <c r="C13" i="15" s="1"/>
  <c r="B7" i="15"/>
  <c r="B13" i="15" s="1"/>
  <c r="L6" i="15"/>
  <c r="K6" i="15"/>
  <c r="U26" i="17" s="1"/>
  <c r="U32" i="17" s="1"/>
  <c r="J6" i="15"/>
  <c r="I6" i="15"/>
  <c r="Q44" i="17" s="1"/>
  <c r="H6" i="15"/>
  <c r="O45" i="17" s="1"/>
  <c r="O142" i="17" s="1"/>
  <c r="G6" i="15"/>
  <c r="F6" i="15"/>
  <c r="E6" i="15"/>
  <c r="I25" i="17" s="1"/>
  <c r="I31" i="17" s="1"/>
  <c r="D6" i="15"/>
  <c r="C6" i="15"/>
  <c r="B6" i="15"/>
  <c r="C27" i="17" s="1"/>
  <c r="M61" i="14"/>
  <c r="W60" i="14"/>
  <c r="W58" i="14"/>
  <c r="W57" i="14"/>
  <c r="M56" i="14"/>
  <c r="W53" i="14"/>
  <c r="M51" i="14"/>
  <c r="S49" i="14"/>
  <c r="S46" i="14"/>
  <c r="M46" i="14"/>
  <c r="S44" i="14"/>
  <c r="W43" i="14"/>
  <c r="W42" i="14"/>
  <c r="S41" i="14"/>
  <c r="M41" i="14"/>
  <c r="W40" i="14"/>
  <c r="S39" i="14"/>
  <c r="M36" i="14"/>
  <c r="W33" i="14"/>
  <c r="W32" i="14"/>
  <c r="M31" i="14"/>
  <c r="W30" i="14"/>
  <c r="S29" i="14"/>
  <c r="W27" i="14"/>
  <c r="M26" i="14"/>
  <c r="W22" i="14"/>
  <c r="W21" i="14"/>
  <c r="M21" i="14"/>
  <c r="W20" i="14"/>
  <c r="W18" i="14"/>
  <c r="W17" i="14"/>
  <c r="M16" i="14"/>
  <c r="W15" i="14"/>
  <c r="W13" i="14"/>
  <c r="W12" i="14"/>
  <c r="W16" i="14" s="1"/>
  <c r="M11" i="14"/>
  <c r="S9" i="14"/>
  <c r="U18" i="13"/>
  <c r="T18" i="13"/>
  <c r="AA66" i="12"/>
  <c r="M65" i="12"/>
  <c r="M66" i="12" s="1"/>
  <c r="M61" i="12"/>
  <c r="M56" i="12"/>
  <c r="M51" i="12"/>
  <c r="M46" i="12"/>
  <c r="M41" i="12"/>
  <c r="M36" i="12"/>
  <c r="M31" i="12"/>
  <c r="M26" i="12"/>
  <c r="M21" i="12"/>
  <c r="M16" i="12"/>
  <c r="M11" i="12"/>
  <c r="U18" i="11"/>
  <c r="T18" i="11"/>
  <c r="AA66" i="10"/>
  <c r="M66" i="10"/>
  <c r="M65" i="10"/>
  <c r="M61" i="10"/>
  <c r="M56" i="10"/>
  <c r="M51" i="10"/>
  <c r="M46" i="10"/>
  <c r="M41" i="10"/>
  <c r="M36" i="10"/>
  <c r="M31" i="10"/>
  <c r="M26" i="10"/>
  <c r="M21" i="10"/>
  <c r="M16" i="10"/>
  <c r="M11" i="10"/>
  <c r="U18" i="9"/>
  <c r="T18" i="9"/>
  <c r="K18" i="7"/>
  <c r="AA66" i="6"/>
  <c r="M66" i="6"/>
  <c r="M65" i="6"/>
  <c r="M61" i="6"/>
  <c r="M56" i="6"/>
  <c r="M51" i="6"/>
  <c r="M46" i="6"/>
  <c r="M41" i="6"/>
  <c r="M36" i="6"/>
  <c r="M31" i="6"/>
  <c r="M26" i="6"/>
  <c r="M21" i="6"/>
  <c r="M16" i="6"/>
  <c r="M11" i="6"/>
  <c r="U18" i="5"/>
  <c r="T18" i="5"/>
  <c r="M61" i="4"/>
  <c r="M56" i="4"/>
  <c r="M51" i="4"/>
  <c r="M46" i="4"/>
  <c r="M41" i="4"/>
  <c r="M36" i="4"/>
  <c r="M31" i="4"/>
  <c r="M26" i="4"/>
  <c r="M21" i="4"/>
  <c r="M16" i="4"/>
  <c r="M11" i="4"/>
  <c r="K23" i="2"/>
  <c r="E23" i="2"/>
  <c r="D23" i="2"/>
  <c r="E22" i="2"/>
  <c r="D22" i="2"/>
  <c r="E21" i="2"/>
  <c r="D21" i="2"/>
  <c r="E20" i="2"/>
  <c r="D20" i="2"/>
  <c r="D24" i="2" s="1"/>
  <c r="S65" i="8"/>
  <c r="M65" i="8"/>
  <c r="X64" i="8"/>
  <c r="W64" i="8"/>
  <c r="V64" i="8"/>
  <c r="R64" i="8"/>
  <c r="Q64" i="8"/>
  <c r="P64" i="8"/>
  <c r="O64" i="8"/>
  <c r="N64" i="8"/>
  <c r="M64" i="8"/>
  <c r="L64" i="8"/>
  <c r="K64" i="8"/>
  <c r="J64" i="8"/>
  <c r="I64" i="8"/>
  <c r="H64" i="8"/>
  <c r="V63" i="8"/>
  <c r="U63" i="8"/>
  <c r="T63" i="8"/>
  <c r="S63" i="8"/>
  <c r="M63" i="8"/>
  <c r="K63" i="8"/>
  <c r="J63" i="8"/>
  <c r="V62" i="8"/>
  <c r="U62" i="8"/>
  <c r="T62" i="8"/>
  <c r="S62" i="8"/>
  <c r="M62" i="8"/>
  <c r="M66" i="8" s="1"/>
  <c r="K62" i="8"/>
  <c r="J62" i="8"/>
  <c r="M61" i="8"/>
  <c r="M56" i="8"/>
  <c r="M51" i="8"/>
  <c r="M46" i="8"/>
  <c r="M41" i="8"/>
  <c r="M36" i="8"/>
  <c r="M31" i="8"/>
  <c r="M26" i="8"/>
  <c r="M21" i="8"/>
  <c r="M16" i="8"/>
  <c r="M11" i="8"/>
  <c r="H227" i="23" l="1"/>
  <c r="I226" i="23"/>
  <c r="I227" i="23" s="1"/>
  <c r="H232" i="23"/>
  <c r="I136" i="20"/>
  <c r="I231" i="23"/>
  <c r="E231" i="23" s="1"/>
  <c r="S49" i="17"/>
  <c r="J97" i="21"/>
  <c r="J99" i="21" s="1"/>
  <c r="J65" i="21"/>
  <c r="J67" i="21" s="1"/>
  <c r="J161" i="21"/>
  <c r="J163" i="21" s="1"/>
  <c r="J177" i="21"/>
  <c r="J49" i="21"/>
  <c r="J51" i="21" s="1"/>
  <c r="J129" i="21"/>
  <c r="J131" i="21" s="1"/>
  <c r="J81" i="21"/>
  <c r="J83" i="21" s="1"/>
  <c r="J145" i="21"/>
  <c r="J147" i="21" s="1"/>
  <c r="J148" i="21" s="1"/>
  <c r="J113" i="21"/>
  <c r="J115" i="21" s="1"/>
  <c r="J33" i="21"/>
  <c r="J35" i="21" s="1"/>
  <c r="J17" i="21"/>
  <c r="I46" i="23"/>
  <c r="H47" i="23"/>
  <c r="I118" i="20"/>
  <c r="K161" i="21"/>
  <c r="K81" i="21"/>
  <c r="K83" i="21" s="1"/>
  <c r="K129" i="21"/>
  <c r="K65" i="21"/>
  <c r="K33" i="21"/>
  <c r="K145" i="21"/>
  <c r="K97" i="21"/>
  <c r="K177" i="21"/>
  <c r="K49" i="21"/>
  <c r="K113" i="21"/>
  <c r="K17" i="21"/>
  <c r="G52" i="21"/>
  <c r="F10" i="25"/>
  <c r="H21" i="23" s="1"/>
  <c r="H141" i="23"/>
  <c r="H88" i="21"/>
  <c r="K88" i="21"/>
  <c r="F88" i="21"/>
  <c r="F100" i="21" s="1"/>
  <c r="N88" i="20"/>
  <c r="N100" i="20" s="1"/>
  <c r="H88" i="20"/>
  <c r="H100" i="20" s="1"/>
  <c r="G88" i="20"/>
  <c r="O88" i="20"/>
  <c r="G88" i="19"/>
  <c r="M88" i="18"/>
  <c r="L88" i="18"/>
  <c r="J88" i="18"/>
  <c r="Q88" i="18"/>
  <c r="Q101" i="18" s="1"/>
  <c r="H88" i="18"/>
  <c r="G88" i="18"/>
  <c r="N88" i="19"/>
  <c r="O88" i="18"/>
  <c r="O101" i="18" s="1"/>
  <c r="N88" i="18"/>
  <c r="N101" i="18" s="1"/>
  <c r="I88" i="18"/>
  <c r="I101" i="18" s="1"/>
  <c r="M88" i="20"/>
  <c r="P88" i="18"/>
  <c r="P101" i="18" s="1"/>
  <c r="G88" i="21"/>
  <c r="F147" i="23"/>
  <c r="G56" i="18"/>
  <c r="P144" i="20"/>
  <c r="P147" i="20" s="1"/>
  <c r="P48" i="20"/>
  <c r="P51" i="20" s="1"/>
  <c r="P64" i="20"/>
  <c r="P67" i="20" s="1"/>
  <c r="P176" i="20"/>
  <c r="P179" i="20" s="1"/>
  <c r="P112" i="20"/>
  <c r="P115" i="20" s="1"/>
  <c r="P32" i="20"/>
  <c r="P35" i="20" s="1"/>
  <c r="P128" i="20"/>
  <c r="P131" i="20" s="1"/>
  <c r="P80" i="20"/>
  <c r="P83" i="20" s="1"/>
  <c r="P16" i="20"/>
  <c r="P96" i="20"/>
  <c r="P99" i="20" s="1"/>
  <c r="P160" i="20"/>
  <c r="P163" i="20" s="1"/>
  <c r="H81" i="17"/>
  <c r="H101" i="17"/>
  <c r="H91" i="17"/>
  <c r="K19" i="18"/>
  <c r="J19" i="18"/>
  <c r="C95" i="16"/>
  <c r="C97" i="16"/>
  <c r="W12" i="8" s="1"/>
  <c r="Q55" i="17"/>
  <c r="U50" i="17"/>
  <c r="G15" i="15"/>
  <c r="O237" i="23"/>
  <c r="G176" i="18"/>
  <c r="G160" i="18"/>
  <c r="G144" i="18"/>
  <c r="G80" i="18"/>
  <c r="G64" i="18"/>
  <c r="G48" i="18"/>
  <c r="G32" i="18"/>
  <c r="G16" i="18"/>
  <c r="F16" i="18" s="1"/>
  <c r="G112" i="18"/>
  <c r="G96" i="18"/>
  <c r="G128" i="18"/>
  <c r="J35" i="18"/>
  <c r="Q35" i="18"/>
  <c r="Q17" i="19"/>
  <c r="Q33" i="19"/>
  <c r="P88" i="20"/>
  <c r="J51" i="18"/>
  <c r="J52" i="18" s="1"/>
  <c r="I51" i="18"/>
  <c r="I53" i="18" s="1"/>
  <c r="G56" i="20"/>
  <c r="W15" i="8"/>
  <c r="K100" i="16"/>
  <c r="K99" i="16"/>
  <c r="K98" i="16"/>
  <c r="N21" i="18"/>
  <c r="H160" i="20"/>
  <c r="H163" i="20" s="1"/>
  <c r="H128" i="20"/>
  <c r="H131" i="20" s="1"/>
  <c r="H80" i="20"/>
  <c r="H96" i="20"/>
  <c r="H99" i="20" s="1"/>
  <c r="H48" i="20"/>
  <c r="H16" i="20"/>
  <c r="H19" i="20" s="1"/>
  <c r="H176" i="20"/>
  <c r="H179" i="20" s="1"/>
  <c r="H32" i="20"/>
  <c r="H112" i="20"/>
  <c r="H64" i="20"/>
  <c r="H67" i="20" s="1"/>
  <c r="H144" i="20"/>
  <c r="H147" i="20" s="1"/>
  <c r="G242" i="23"/>
  <c r="H168" i="18"/>
  <c r="I160" i="20"/>
  <c r="I163" i="20" s="1"/>
  <c r="I48" i="20"/>
  <c r="I51" i="20" s="1"/>
  <c r="I96" i="20"/>
  <c r="I99" i="20" s="1"/>
  <c r="I16" i="20"/>
  <c r="I112" i="20"/>
  <c r="I64" i="20"/>
  <c r="I80" i="20"/>
  <c r="I32" i="20"/>
  <c r="I35" i="20" s="1"/>
  <c r="I176" i="20"/>
  <c r="I179" i="20" s="1"/>
  <c r="I128" i="20"/>
  <c r="I131" i="20" s="1"/>
  <c r="I144" i="20"/>
  <c r="I147" i="20" s="1"/>
  <c r="J160" i="20"/>
  <c r="J80" i="20"/>
  <c r="J83" i="20" s="1"/>
  <c r="J32" i="20"/>
  <c r="J35" i="20" s="1"/>
  <c r="J96" i="20"/>
  <c r="J99" i="20" s="1"/>
  <c r="J16" i="20"/>
  <c r="J19" i="20" s="1"/>
  <c r="J112" i="20"/>
  <c r="J64" i="20"/>
  <c r="J67" i="20" s="1"/>
  <c r="J176" i="20"/>
  <c r="J179" i="20" s="1"/>
  <c r="J48" i="20"/>
  <c r="J128" i="20"/>
  <c r="J144" i="20"/>
  <c r="Q32" i="19"/>
  <c r="Q16" i="19"/>
  <c r="Q19" i="19" s="1"/>
  <c r="N19" i="21"/>
  <c r="S19" i="18"/>
  <c r="O21" i="18" s="1"/>
  <c r="S19" i="19"/>
  <c r="B15" i="15"/>
  <c r="B96" i="16"/>
  <c r="T50" i="17"/>
  <c r="R49" i="17"/>
  <c r="H129" i="21"/>
  <c r="H131" i="21" s="1"/>
  <c r="H97" i="21"/>
  <c r="H99" i="21" s="1"/>
  <c r="H177" i="21"/>
  <c r="H179" i="21" s="1"/>
  <c r="H113" i="21"/>
  <c r="H115" i="21" s="1"/>
  <c r="H81" i="21"/>
  <c r="H83" i="21" s="1"/>
  <c r="H161" i="21"/>
  <c r="H65" i="21"/>
  <c r="H67" i="21" s="1"/>
  <c r="H145" i="21"/>
  <c r="H147" i="21" s="1"/>
  <c r="H17" i="21"/>
  <c r="H19" i="21" s="1"/>
  <c r="H33" i="21"/>
  <c r="H35" i="21" s="1"/>
  <c r="H49" i="21"/>
  <c r="H52" i="21" s="1"/>
  <c r="J164" i="21"/>
  <c r="F9" i="25"/>
  <c r="H16" i="23" s="1"/>
  <c r="H136" i="23"/>
  <c r="H57" i="23"/>
  <c r="I56" i="23"/>
  <c r="I150" i="20"/>
  <c r="I191" i="23"/>
  <c r="I192" i="23" s="1"/>
  <c r="I8" i="20"/>
  <c r="H192" i="23"/>
  <c r="W46" i="14"/>
  <c r="W43" i="17"/>
  <c r="W26" i="17"/>
  <c r="W32" i="17" s="1"/>
  <c r="W44" i="17"/>
  <c r="W25" i="17"/>
  <c r="W31" i="17" s="1"/>
  <c r="W45" i="17"/>
  <c r="L7" i="15"/>
  <c r="L13" i="15" s="1"/>
  <c r="W46" i="17"/>
  <c r="L11" i="15"/>
  <c r="W24" i="17"/>
  <c r="W30" i="17" s="1"/>
  <c r="W34" i="17" s="1"/>
  <c r="U59" i="14" s="1"/>
  <c r="S59" i="14"/>
  <c r="W27" i="17"/>
  <c r="W33" i="17" s="1"/>
  <c r="E77" i="26"/>
  <c r="G160" i="20"/>
  <c r="G128" i="20"/>
  <c r="G144" i="20"/>
  <c r="G96" i="20"/>
  <c r="G48" i="20"/>
  <c r="G176" i="20"/>
  <c r="G80" i="20"/>
  <c r="G64" i="20"/>
  <c r="G16" i="20"/>
  <c r="G32" i="20"/>
  <c r="F32" i="20" s="1"/>
  <c r="G112" i="20"/>
  <c r="E24" i="26"/>
  <c r="K33" i="19"/>
  <c r="F33" i="19" s="1"/>
  <c r="K17" i="19"/>
  <c r="F17" i="19" s="1"/>
  <c r="H82" i="23"/>
  <c r="I81" i="23"/>
  <c r="E81" i="23" s="1"/>
  <c r="I39" i="20"/>
  <c r="G72" i="21"/>
  <c r="F72" i="21"/>
  <c r="G72" i="19"/>
  <c r="O72" i="20"/>
  <c r="O85" i="20" s="1"/>
  <c r="G72" i="20"/>
  <c r="H72" i="21"/>
  <c r="L72" i="21"/>
  <c r="M72" i="18"/>
  <c r="J72" i="21"/>
  <c r="N72" i="20"/>
  <c r="L72" i="18"/>
  <c r="L84" i="18" s="1"/>
  <c r="M72" i="20"/>
  <c r="P72" i="19"/>
  <c r="P84" i="19" s="1"/>
  <c r="N72" i="19"/>
  <c r="N85" i="19" s="1"/>
  <c r="J72" i="18"/>
  <c r="I72" i="18"/>
  <c r="I85" i="18" s="1"/>
  <c r="H72" i="18"/>
  <c r="G72" i="18"/>
  <c r="H72" i="20"/>
  <c r="H84" i="20" s="1"/>
  <c r="M72" i="19"/>
  <c r="N72" i="18"/>
  <c r="N84" i="18" s="1"/>
  <c r="Q72" i="18"/>
  <c r="Q85" i="18" s="1"/>
  <c r="P72" i="18"/>
  <c r="O72" i="18"/>
  <c r="N33" i="19"/>
  <c r="N17" i="19"/>
  <c r="N21" i="19" s="1"/>
  <c r="P36" i="18"/>
  <c r="L65" i="21"/>
  <c r="L67" i="21" s="1"/>
  <c r="L129" i="21"/>
  <c r="L131" i="21" s="1"/>
  <c r="L33" i="21"/>
  <c r="L17" i="21"/>
  <c r="L19" i="21" s="1"/>
  <c r="L161" i="21"/>
  <c r="L163" i="21" s="1"/>
  <c r="L177" i="21"/>
  <c r="L179" i="21" s="1"/>
  <c r="L113" i="21"/>
  <c r="L49" i="21"/>
  <c r="L51" i="21" s="1"/>
  <c r="L145" i="21"/>
  <c r="L147" i="21" s="1"/>
  <c r="L97" i="21"/>
  <c r="L99" i="21" s="1"/>
  <c r="L81" i="21"/>
  <c r="L83" i="21" s="1"/>
  <c r="W61" i="14"/>
  <c r="Q131" i="18"/>
  <c r="N131" i="18"/>
  <c r="N132" i="18" s="1"/>
  <c r="P179" i="18"/>
  <c r="K8" i="24"/>
  <c r="K6" i="21" s="1"/>
  <c r="J8" i="24"/>
  <c r="J6" i="21" s="1"/>
  <c r="F8" i="24"/>
  <c r="F9" i="23"/>
  <c r="L8" i="24"/>
  <c r="L6" i="21" s="1"/>
  <c r="F8" i="23"/>
  <c r="H11" i="23"/>
  <c r="L11" i="23"/>
  <c r="M6" i="20" s="1"/>
  <c r="L8" i="23"/>
  <c r="J11" i="23"/>
  <c r="K6" i="20" s="1"/>
  <c r="J8" i="23"/>
  <c r="F11" i="23"/>
  <c r="H102" i="23"/>
  <c r="I101" i="23"/>
  <c r="I103" i="20"/>
  <c r="H151" i="23"/>
  <c r="F12" i="25"/>
  <c r="H31" i="23" s="1"/>
  <c r="I201" i="23"/>
  <c r="I202" i="23" s="1"/>
  <c r="H202" i="23"/>
  <c r="I241" i="23"/>
  <c r="H242" i="23"/>
  <c r="I168" i="20"/>
  <c r="H120" i="21"/>
  <c r="G120" i="21"/>
  <c r="F120" i="21"/>
  <c r="N120" i="19"/>
  <c r="N133" i="19" s="1"/>
  <c r="M120" i="19"/>
  <c r="M133" i="19" s="1"/>
  <c r="M120" i="20"/>
  <c r="G120" i="20"/>
  <c r="N120" i="20"/>
  <c r="N120" i="18"/>
  <c r="M120" i="18"/>
  <c r="L120" i="18"/>
  <c r="L133" i="18" s="1"/>
  <c r="J120" i="21"/>
  <c r="I120" i="21"/>
  <c r="Q120" i="18"/>
  <c r="P120" i="18"/>
  <c r="P132" i="18" s="1"/>
  <c r="G120" i="18"/>
  <c r="O120" i="18"/>
  <c r="O132" i="18" s="1"/>
  <c r="O120" i="20"/>
  <c r="O133" i="20" s="1"/>
  <c r="H120" i="19"/>
  <c r="G120" i="19"/>
  <c r="H120" i="18"/>
  <c r="H132" i="18" s="1"/>
  <c r="J120" i="18"/>
  <c r="I120" i="18"/>
  <c r="I177" i="20"/>
  <c r="I129" i="20"/>
  <c r="I65" i="20"/>
  <c r="I67" i="20" s="1"/>
  <c r="I145" i="20"/>
  <c r="I113" i="20"/>
  <c r="I81" i="20"/>
  <c r="F81" i="20" s="1"/>
  <c r="I33" i="20"/>
  <c r="I17" i="20"/>
  <c r="F17" i="20" s="1"/>
  <c r="I49" i="20"/>
  <c r="I161" i="20"/>
  <c r="I97" i="20"/>
  <c r="F97" i="20" s="1"/>
  <c r="P144" i="18"/>
  <c r="P147" i="18" s="1"/>
  <c r="P160" i="18"/>
  <c r="P163" i="18" s="1"/>
  <c r="P48" i="18"/>
  <c r="P16" i="18"/>
  <c r="P19" i="18" s="1"/>
  <c r="P112" i="18"/>
  <c r="P32" i="18"/>
  <c r="P35" i="18" s="1"/>
  <c r="P96" i="18"/>
  <c r="P128" i="18"/>
  <c r="P131" i="18" s="1"/>
  <c r="P64" i="18"/>
  <c r="P67" i="18" s="1"/>
  <c r="P80" i="18"/>
  <c r="P83" i="18" s="1"/>
  <c r="N56" i="17"/>
  <c r="N68" i="17" s="1"/>
  <c r="N73" i="17" s="1"/>
  <c r="I149" i="18"/>
  <c r="N149" i="18"/>
  <c r="G50" i="17"/>
  <c r="O143" i="17"/>
  <c r="O149" i="17"/>
  <c r="O52" i="17"/>
  <c r="O130" i="17" s="1"/>
  <c r="O138" i="17" s="1"/>
  <c r="K35" i="19"/>
  <c r="J100" i="16"/>
  <c r="J98" i="16"/>
  <c r="J99" i="16"/>
  <c r="H50" i="17"/>
  <c r="M51" i="17"/>
  <c r="P57" i="17"/>
  <c r="P69" i="17"/>
  <c r="P74" i="17" s="1"/>
  <c r="H176" i="18"/>
  <c r="H179" i="18" s="1"/>
  <c r="H160" i="18"/>
  <c r="H163" i="18" s="1"/>
  <c r="H144" i="18"/>
  <c r="H147" i="18" s="1"/>
  <c r="H128" i="18"/>
  <c r="H131" i="18" s="1"/>
  <c r="H80" i="18"/>
  <c r="H83" i="18" s="1"/>
  <c r="H64" i="18"/>
  <c r="H67" i="18" s="1"/>
  <c r="H48" i="18"/>
  <c r="H32" i="18"/>
  <c r="H16" i="18"/>
  <c r="H19" i="18" s="1"/>
  <c r="H112" i="18"/>
  <c r="H96" i="18"/>
  <c r="H99" i="18" s="1"/>
  <c r="P56" i="17"/>
  <c r="P68" i="17"/>
  <c r="P73" i="17" s="1"/>
  <c r="O131" i="18"/>
  <c r="L149" i="18"/>
  <c r="L148" i="18"/>
  <c r="E209" i="23"/>
  <c r="F29" i="23"/>
  <c r="L12" i="24"/>
  <c r="L70" i="21" s="1"/>
  <c r="K12" i="24"/>
  <c r="K70" i="21" s="1"/>
  <c r="J31" i="23"/>
  <c r="K70" i="20" s="1"/>
  <c r="J12" i="24"/>
  <c r="J70" i="21" s="1"/>
  <c r="F31" i="23"/>
  <c r="F12" i="24"/>
  <c r="F28" i="23"/>
  <c r="J46" i="23"/>
  <c r="K118" i="20" s="1"/>
  <c r="J43" i="23"/>
  <c r="J44" i="23"/>
  <c r="K118" i="19" s="1"/>
  <c r="J54" i="23"/>
  <c r="K150" i="19" s="1"/>
  <c r="J56" i="23"/>
  <c r="K150" i="20" s="1"/>
  <c r="H92" i="23"/>
  <c r="I91" i="23"/>
  <c r="E91" i="23" s="1"/>
  <c r="I71" i="20"/>
  <c r="L104" i="21"/>
  <c r="G104" i="21"/>
  <c r="K104" i="21"/>
  <c r="K116" i="21" s="1"/>
  <c r="I104" i="21"/>
  <c r="N104" i="20"/>
  <c r="N116" i="20" s="1"/>
  <c r="M104" i="20"/>
  <c r="I104" i="20"/>
  <c r="H104" i="20"/>
  <c r="H116" i="20" s="1"/>
  <c r="H104" i="19"/>
  <c r="H116" i="19" s="1"/>
  <c r="G104" i="20"/>
  <c r="J104" i="21"/>
  <c r="J116" i="21" s="1"/>
  <c r="N104" i="18"/>
  <c r="N117" i="18" s="1"/>
  <c r="N104" i="19"/>
  <c r="N116" i="19" s="1"/>
  <c r="M104" i="18"/>
  <c r="M104" i="19"/>
  <c r="L104" i="18"/>
  <c r="G104" i="19"/>
  <c r="I104" i="18"/>
  <c r="I117" i="18" s="1"/>
  <c r="H104" i="21"/>
  <c r="H104" i="18"/>
  <c r="F104" i="21"/>
  <c r="G104" i="18"/>
  <c r="P104" i="18"/>
  <c r="P117" i="18" s="1"/>
  <c r="O104" i="18"/>
  <c r="O116" i="18" s="1"/>
  <c r="P37" i="14" s="1"/>
  <c r="J104" i="18"/>
  <c r="J117" i="18" s="1"/>
  <c r="Q104" i="18"/>
  <c r="Q116" i="18" s="1"/>
  <c r="O104" i="20"/>
  <c r="O117" i="20" s="1"/>
  <c r="J21" i="18"/>
  <c r="J20" i="18"/>
  <c r="I19" i="18"/>
  <c r="O177" i="23"/>
  <c r="P152" i="18"/>
  <c r="P164" i="18" s="1"/>
  <c r="L57" i="23"/>
  <c r="F117" i="23"/>
  <c r="G151" i="18"/>
  <c r="S51" i="14"/>
  <c r="L83" i="18"/>
  <c r="J83" i="18"/>
  <c r="I83" i="18"/>
  <c r="G134" i="18"/>
  <c r="P37" i="18"/>
  <c r="K35" i="18"/>
  <c r="I68" i="19"/>
  <c r="I53" i="19"/>
  <c r="O100" i="20"/>
  <c r="O101" i="20"/>
  <c r="I49" i="17"/>
  <c r="O117" i="19"/>
  <c r="I117" i="19"/>
  <c r="K150" i="18"/>
  <c r="G16" i="19"/>
  <c r="G32" i="19"/>
  <c r="E75" i="26"/>
  <c r="F128" i="21"/>
  <c r="F131" i="21" s="1"/>
  <c r="F64" i="21"/>
  <c r="F67" i="21" s="1"/>
  <c r="F176" i="21"/>
  <c r="F179" i="21" s="1"/>
  <c r="F144" i="21"/>
  <c r="F147" i="21" s="1"/>
  <c r="F32" i="21"/>
  <c r="F35" i="21" s="1"/>
  <c r="F80" i="21"/>
  <c r="F83" i="21" s="1"/>
  <c r="F48" i="21"/>
  <c r="F51" i="21" s="1"/>
  <c r="F96" i="21"/>
  <c r="F99" i="21" s="1"/>
  <c r="F112" i="21"/>
  <c r="F115" i="21" s="1"/>
  <c r="F16" i="21"/>
  <c r="F19" i="21" s="1"/>
  <c r="F160" i="21"/>
  <c r="F163" i="21" s="1"/>
  <c r="W36" i="14"/>
  <c r="D101" i="17"/>
  <c r="D91" i="17"/>
  <c r="H149" i="17"/>
  <c r="K51" i="18"/>
  <c r="Q69" i="18"/>
  <c r="S31" i="14"/>
  <c r="F50" i="17"/>
  <c r="N138" i="17"/>
  <c r="N143" i="17" s="1"/>
  <c r="O131" i="17"/>
  <c r="I20" i="18"/>
  <c r="Q37" i="18"/>
  <c r="J37" i="18"/>
  <c r="O149" i="18"/>
  <c r="N131" i="19"/>
  <c r="M131" i="19"/>
  <c r="Q131" i="19"/>
  <c r="Q132" i="19" s="1"/>
  <c r="P131" i="19"/>
  <c r="O131" i="19"/>
  <c r="H131" i="19"/>
  <c r="G131" i="19"/>
  <c r="K131" i="19"/>
  <c r="J131" i="19"/>
  <c r="J133" i="19" s="1"/>
  <c r="I131" i="19"/>
  <c r="I132" i="19" s="1"/>
  <c r="Q165" i="19"/>
  <c r="Q164" i="19"/>
  <c r="J97" i="16"/>
  <c r="S49" i="8" s="1"/>
  <c r="J95" i="16"/>
  <c r="J15" i="15"/>
  <c r="C34" i="17"/>
  <c r="U9" i="14" s="1"/>
  <c r="L100" i="18"/>
  <c r="L53" i="19"/>
  <c r="L92" i="23"/>
  <c r="M71" i="19"/>
  <c r="L122" i="23"/>
  <c r="M167" i="18"/>
  <c r="I36" i="21"/>
  <c r="I37" i="21" s="1"/>
  <c r="O8" i="13" s="1"/>
  <c r="G8" i="24"/>
  <c r="G6" i="21" s="1"/>
  <c r="I12" i="24"/>
  <c r="I70" i="21" s="1"/>
  <c r="L31" i="23"/>
  <c r="M70" i="20" s="1"/>
  <c r="L29" i="23"/>
  <c r="M70" i="19" s="1"/>
  <c r="L28" i="23"/>
  <c r="H107" i="23"/>
  <c r="I106" i="23"/>
  <c r="I119" i="20"/>
  <c r="E106" i="23"/>
  <c r="H156" i="23"/>
  <c r="F13" i="25"/>
  <c r="H36" i="23" s="1"/>
  <c r="H207" i="23"/>
  <c r="I56" i="20"/>
  <c r="H8" i="21"/>
  <c r="G8" i="21"/>
  <c r="I8" i="21"/>
  <c r="H8" i="20"/>
  <c r="H21" i="20" s="1"/>
  <c r="N8" i="20"/>
  <c r="H8" i="19"/>
  <c r="H20" i="19" s="1"/>
  <c r="M8" i="18"/>
  <c r="G8" i="19"/>
  <c r="L8" i="18"/>
  <c r="L21" i="18" s="1"/>
  <c r="J8" i="18"/>
  <c r="M8" i="20"/>
  <c r="G8" i="20"/>
  <c r="N8" i="19"/>
  <c r="P8" i="18"/>
  <c r="O8" i="18"/>
  <c r="K8" i="21"/>
  <c r="Q8" i="18"/>
  <c r="J8" i="21"/>
  <c r="N8" i="18"/>
  <c r="N20" i="18" s="1"/>
  <c r="O7" i="14" s="1"/>
  <c r="I8" i="18"/>
  <c r="H8" i="18"/>
  <c r="L8" i="21"/>
  <c r="H136" i="21"/>
  <c r="H149" i="21" s="1"/>
  <c r="O136" i="20"/>
  <c r="O148" i="20" s="1"/>
  <c r="P50" i="14" s="1"/>
  <c r="K136" i="21"/>
  <c r="N136" i="20"/>
  <c r="N148" i="20" s="1"/>
  <c r="O50" i="14" s="1"/>
  <c r="H136" i="20"/>
  <c r="G136" i="20"/>
  <c r="H136" i="19"/>
  <c r="H148" i="19" s="1"/>
  <c r="I48" i="14" s="1"/>
  <c r="G136" i="19"/>
  <c r="J136" i="18"/>
  <c r="I136" i="18"/>
  <c r="P136" i="19"/>
  <c r="N136" i="18"/>
  <c r="J136" i="21"/>
  <c r="M136" i="18"/>
  <c r="I136" i="21"/>
  <c r="L136" i="18"/>
  <c r="F136" i="21"/>
  <c r="H136" i="18"/>
  <c r="H149" i="18" s="1"/>
  <c r="M136" i="19"/>
  <c r="M149" i="19" s="1"/>
  <c r="Q136" i="18"/>
  <c r="Q148" i="18" s="1"/>
  <c r="N136" i="19"/>
  <c r="N149" i="19" s="1"/>
  <c r="G136" i="18"/>
  <c r="M136" i="20"/>
  <c r="H129" i="18"/>
  <c r="H145" i="18"/>
  <c r="H97" i="18"/>
  <c r="F97" i="18" s="1"/>
  <c r="H65" i="18"/>
  <c r="H113" i="18"/>
  <c r="F113" i="18" s="1"/>
  <c r="H81" i="18"/>
  <c r="H33" i="18"/>
  <c r="H177" i="18"/>
  <c r="F177" i="18" s="1"/>
  <c r="H49" i="18"/>
  <c r="F49" i="18" s="1"/>
  <c r="K161" i="20"/>
  <c r="K163" i="20" s="1"/>
  <c r="K129" i="20"/>
  <c r="K145" i="20"/>
  <c r="K147" i="20" s="1"/>
  <c r="K97" i="20"/>
  <c r="K49" i="20"/>
  <c r="K51" i="20" s="1"/>
  <c r="K65" i="20"/>
  <c r="K67" i="20" s="1"/>
  <c r="K177" i="20"/>
  <c r="K179" i="20" s="1"/>
  <c r="K81" i="20"/>
  <c r="K83" i="20" s="1"/>
  <c r="K17" i="20"/>
  <c r="K19" i="20" s="1"/>
  <c r="K33" i="20"/>
  <c r="K113" i="20"/>
  <c r="K115" i="20" s="1"/>
  <c r="K15" i="15"/>
  <c r="AJ22" i="16"/>
  <c r="L11" i="16" s="1"/>
  <c r="L12" i="16"/>
  <c r="R12" i="14"/>
  <c r="Q12" i="14"/>
  <c r="E34" i="17"/>
  <c r="U14" i="14" s="1"/>
  <c r="F145" i="18"/>
  <c r="F82" i="23"/>
  <c r="G39" i="20"/>
  <c r="F87" i="23"/>
  <c r="G55" i="20"/>
  <c r="K151" i="19"/>
  <c r="E228" i="23"/>
  <c r="L67" i="18"/>
  <c r="L69" i="18" s="1"/>
  <c r="J67" i="18"/>
  <c r="I67" i="18"/>
  <c r="I68" i="18" s="1"/>
  <c r="Q83" i="18"/>
  <c r="Q68" i="18"/>
  <c r="S8" i="20"/>
  <c r="O21" i="20" s="1"/>
  <c r="N8" i="21"/>
  <c r="S8" i="19"/>
  <c r="B50" i="16"/>
  <c r="S8" i="18"/>
  <c r="H164" i="20"/>
  <c r="B95" i="16"/>
  <c r="B97" i="16"/>
  <c r="M168" i="21"/>
  <c r="R168" i="20"/>
  <c r="R168" i="19"/>
  <c r="R168" i="18"/>
  <c r="L180" i="18" s="1"/>
  <c r="N168" i="21"/>
  <c r="S168" i="20"/>
  <c r="S168" i="19"/>
  <c r="N181" i="19" s="1"/>
  <c r="S168" i="18"/>
  <c r="P181" i="18" s="1"/>
  <c r="E50" i="17"/>
  <c r="L52" i="17"/>
  <c r="L130" i="17" s="1"/>
  <c r="F109" i="17"/>
  <c r="I67" i="19"/>
  <c r="H67" i="19"/>
  <c r="H69" i="19" s="1"/>
  <c r="Q19" i="20"/>
  <c r="Q20" i="20" s="1"/>
  <c r="P100" i="20"/>
  <c r="K135" i="19"/>
  <c r="H88" i="19"/>
  <c r="H100" i="19" s="1"/>
  <c r="M88" i="19"/>
  <c r="L180" i="21"/>
  <c r="K72" i="21"/>
  <c r="F41" i="23"/>
  <c r="F39" i="23"/>
  <c r="L14" i="24"/>
  <c r="L102" i="21" s="1"/>
  <c r="H41" i="23"/>
  <c r="F38" i="23"/>
  <c r="G16" i="24"/>
  <c r="G134" i="21" s="1"/>
  <c r="L16" i="24"/>
  <c r="L134" i="21" s="1"/>
  <c r="F49" i="23"/>
  <c r="F52" i="23" s="1"/>
  <c r="F51" i="23"/>
  <c r="H51" i="23"/>
  <c r="H62" i="23"/>
  <c r="I61" i="23"/>
  <c r="E61" i="23"/>
  <c r="I166" i="20"/>
  <c r="J65" i="20"/>
  <c r="J145" i="20"/>
  <c r="J129" i="20"/>
  <c r="J161" i="20"/>
  <c r="J113" i="20"/>
  <c r="J81" i="20"/>
  <c r="J17" i="20"/>
  <c r="J49" i="20"/>
  <c r="J33" i="20"/>
  <c r="J177" i="20"/>
  <c r="F177" i="20" s="1"/>
  <c r="J97" i="20"/>
  <c r="Q144" i="20"/>
  <c r="Q147" i="20" s="1"/>
  <c r="Q96" i="20"/>
  <c r="Q64" i="20"/>
  <c r="Q128" i="20"/>
  <c r="Q131" i="20" s="1"/>
  <c r="Q176" i="20"/>
  <c r="Q179" i="20" s="1"/>
  <c r="Q80" i="20"/>
  <c r="Q32" i="20"/>
  <c r="Q35" i="20" s="1"/>
  <c r="Q160" i="20"/>
  <c r="Q163" i="20" s="1"/>
  <c r="Q112" i="20"/>
  <c r="Q48" i="20"/>
  <c r="W8" i="14"/>
  <c r="W10" i="14"/>
  <c r="W48" i="14"/>
  <c r="W50" i="14"/>
  <c r="W47" i="14"/>
  <c r="V69" i="17"/>
  <c r="V74" i="17" s="1"/>
  <c r="H20" i="18"/>
  <c r="Q51" i="18"/>
  <c r="Q53" i="18" s="1"/>
  <c r="J69" i="18"/>
  <c r="J68" i="18"/>
  <c r="L53" i="20"/>
  <c r="K68" i="19"/>
  <c r="G43" i="17"/>
  <c r="G46" i="17"/>
  <c r="G45" i="17"/>
  <c r="G26" i="17"/>
  <c r="G32" i="17" s="1"/>
  <c r="D7" i="15"/>
  <c r="D13" i="15" s="1"/>
  <c r="G25" i="17"/>
  <c r="G31" i="17" s="1"/>
  <c r="G24" i="17"/>
  <c r="G30" i="17" s="1"/>
  <c r="S19" i="14"/>
  <c r="D11" i="15"/>
  <c r="G27" i="17"/>
  <c r="G33" i="17" s="1"/>
  <c r="P25" i="14"/>
  <c r="B67" i="17"/>
  <c r="B72" i="17" s="1"/>
  <c r="J84" i="18"/>
  <c r="J85" i="18"/>
  <c r="M117" i="18"/>
  <c r="M116" i="18"/>
  <c r="O147" i="18"/>
  <c r="G67" i="19"/>
  <c r="K97" i="16"/>
  <c r="K95" i="16"/>
  <c r="F33" i="18"/>
  <c r="Q117" i="18"/>
  <c r="F68" i="21"/>
  <c r="S50" i="17"/>
  <c r="L55" i="17"/>
  <c r="O18" i="14"/>
  <c r="C15" i="15"/>
  <c r="C96" i="16"/>
  <c r="J52" i="17"/>
  <c r="J130" i="17" s="1"/>
  <c r="V55" i="17"/>
  <c r="V67" i="17"/>
  <c r="V72" i="17" s="1"/>
  <c r="J165" i="18"/>
  <c r="J164" i="18"/>
  <c r="O165" i="18"/>
  <c r="F147" i="19"/>
  <c r="O164" i="19"/>
  <c r="P53" i="14" s="1"/>
  <c r="I164" i="19"/>
  <c r="N83" i="20"/>
  <c r="N99" i="20"/>
  <c r="O99" i="20"/>
  <c r="S11" i="14"/>
  <c r="I95" i="16"/>
  <c r="G34" i="17"/>
  <c r="U19" i="14" s="1"/>
  <c r="F51" i="17"/>
  <c r="K52" i="17"/>
  <c r="K130" i="17" s="1"/>
  <c r="K138" i="17" s="1"/>
  <c r="K149" i="17" s="1"/>
  <c r="K143" i="17"/>
  <c r="P20" i="18"/>
  <c r="Q147" i="18"/>
  <c r="M163" i="18"/>
  <c r="M165" i="18" s="1"/>
  <c r="L163" i="18"/>
  <c r="K163" i="18"/>
  <c r="J163" i="18"/>
  <c r="I163" i="18"/>
  <c r="I165" i="18" s="1"/>
  <c r="M179" i="18"/>
  <c r="L179" i="18"/>
  <c r="K179" i="18"/>
  <c r="J179" i="18"/>
  <c r="I179" i="18"/>
  <c r="O52" i="19"/>
  <c r="W31" i="14"/>
  <c r="I45" i="17"/>
  <c r="I44" i="17"/>
  <c r="I46" i="17"/>
  <c r="I26" i="17"/>
  <c r="I32" i="17" s="1"/>
  <c r="E7" i="15"/>
  <c r="E13" i="15" s="1"/>
  <c r="S24" i="14"/>
  <c r="I24" i="17"/>
  <c r="I30" i="17" s="1"/>
  <c r="E11" i="15"/>
  <c r="U34" i="17"/>
  <c r="U54" i="14" s="1"/>
  <c r="J49" i="17"/>
  <c r="N51" i="17"/>
  <c r="K67" i="18"/>
  <c r="O117" i="18"/>
  <c r="I20" i="19"/>
  <c r="L20" i="19"/>
  <c r="H19" i="19"/>
  <c r="H21" i="19" s="1"/>
  <c r="G164" i="19"/>
  <c r="G165" i="19"/>
  <c r="H118" i="19"/>
  <c r="G47" i="23"/>
  <c r="M103" i="19"/>
  <c r="M116" i="19" s="1"/>
  <c r="L102" i="23"/>
  <c r="K45" i="17"/>
  <c r="F7" i="15"/>
  <c r="F13" i="15" s="1"/>
  <c r="K44" i="17"/>
  <c r="K27" i="17"/>
  <c r="K33" i="17" s="1"/>
  <c r="K34" i="17" s="1"/>
  <c r="U29" i="14" s="1"/>
  <c r="F11" i="15"/>
  <c r="W25" i="14"/>
  <c r="K43" i="17"/>
  <c r="L56" i="17"/>
  <c r="J81" i="17"/>
  <c r="J91" i="17"/>
  <c r="J101" i="17"/>
  <c r="J111" i="17"/>
  <c r="R143" i="17"/>
  <c r="O100" i="18"/>
  <c r="L115" i="18"/>
  <c r="K19" i="19"/>
  <c r="N35" i="19"/>
  <c r="N37" i="19" s="1"/>
  <c r="M69" i="19"/>
  <c r="M46" i="17"/>
  <c r="M44" i="17"/>
  <c r="G7" i="15"/>
  <c r="G13" i="15" s="1"/>
  <c r="S34" i="14"/>
  <c r="M43" i="17"/>
  <c r="M25" i="17"/>
  <c r="M31" i="17" s="1"/>
  <c r="M24" i="17"/>
  <c r="M30" i="17" s="1"/>
  <c r="M26" i="17"/>
  <c r="M32" i="17" s="1"/>
  <c r="H97" i="16"/>
  <c r="Q57" i="17"/>
  <c r="N163" i="18"/>
  <c r="N164" i="18" s="1"/>
  <c r="L83" i="19"/>
  <c r="L85" i="19" s="1"/>
  <c r="O83" i="19"/>
  <c r="O84" i="19" s="1"/>
  <c r="P28" i="14" s="1"/>
  <c r="N83" i="19"/>
  <c r="P19" i="20"/>
  <c r="O35" i="20"/>
  <c r="O36" i="20" s="1"/>
  <c r="P15" i="14" s="1"/>
  <c r="M35" i="20"/>
  <c r="H35" i="20"/>
  <c r="H37" i="20" s="1"/>
  <c r="G35" i="20"/>
  <c r="F35" i="20" s="1"/>
  <c r="K99" i="20"/>
  <c r="I97" i="16"/>
  <c r="R51" i="17"/>
  <c r="R142" i="17"/>
  <c r="O51" i="17"/>
  <c r="T91" i="17"/>
  <c r="T111" i="17" s="1"/>
  <c r="T101" i="17"/>
  <c r="T81" i="17"/>
  <c r="M52" i="18"/>
  <c r="J53" i="18"/>
  <c r="Q100" i="18"/>
  <c r="O179" i="18"/>
  <c r="O179" i="19"/>
  <c r="F23" i="20"/>
  <c r="M166" i="21"/>
  <c r="R166" i="19"/>
  <c r="R166" i="20"/>
  <c r="L32" i="16"/>
  <c r="H54" i="16"/>
  <c r="P38" i="14" s="1"/>
  <c r="G54" i="16"/>
  <c r="P52" i="17"/>
  <c r="P130" i="17" s="1"/>
  <c r="D68" i="17"/>
  <c r="D73" i="17" s="1"/>
  <c r="Q36" i="18"/>
  <c r="L35" i="18"/>
  <c r="L37" i="18" s="1"/>
  <c r="O51" i="18"/>
  <c r="O52" i="18" s="1"/>
  <c r="L68" i="18"/>
  <c r="O35" i="19"/>
  <c r="O37" i="19" s="1"/>
  <c r="J35" i="19"/>
  <c r="J37" i="19" s="1"/>
  <c r="I35" i="19"/>
  <c r="I37" i="19" s="1"/>
  <c r="M35" i="19"/>
  <c r="M36" i="19" s="1"/>
  <c r="P35" i="19"/>
  <c r="N179" i="19"/>
  <c r="K23" i="18"/>
  <c r="F23" i="18" s="1"/>
  <c r="J77" i="23"/>
  <c r="E46" i="17"/>
  <c r="E43" i="17"/>
  <c r="E24" i="17"/>
  <c r="E30" i="17" s="1"/>
  <c r="S14" i="14"/>
  <c r="S166" i="19"/>
  <c r="S166" i="20"/>
  <c r="M181" i="20" s="1"/>
  <c r="N166" i="21"/>
  <c r="L50" i="16"/>
  <c r="N25" i="14"/>
  <c r="N23" i="14"/>
  <c r="O10" i="13"/>
  <c r="O84" i="18"/>
  <c r="P27" i="14" s="1"/>
  <c r="O85" i="18"/>
  <c r="L99" i="18"/>
  <c r="J115" i="18"/>
  <c r="J149" i="18"/>
  <c r="F161" i="18"/>
  <c r="O83" i="20"/>
  <c r="M101" i="20"/>
  <c r="M100" i="20"/>
  <c r="N35" i="14" s="1"/>
  <c r="O44" i="17"/>
  <c r="O43" i="17"/>
  <c r="O25" i="17"/>
  <c r="O31" i="17" s="1"/>
  <c r="O34" i="17" s="1"/>
  <c r="U39" i="14" s="1"/>
  <c r="H11" i="15"/>
  <c r="T55" i="17"/>
  <c r="T67" i="17"/>
  <c r="T72" i="17" s="1"/>
  <c r="D138" i="17"/>
  <c r="D143" i="17" s="1"/>
  <c r="P99" i="18"/>
  <c r="K99" i="18"/>
  <c r="L164" i="18"/>
  <c r="L165" i="18"/>
  <c r="Q69" i="19"/>
  <c r="I99" i="19"/>
  <c r="I101" i="19" s="1"/>
  <c r="Q99" i="19"/>
  <c r="Q100" i="19" s="1"/>
  <c r="G99" i="19"/>
  <c r="P99" i="19"/>
  <c r="G179" i="19"/>
  <c r="Q179" i="19"/>
  <c r="M179" i="19"/>
  <c r="L179" i="19"/>
  <c r="K179" i="19"/>
  <c r="W52" i="14"/>
  <c r="N53" i="14"/>
  <c r="B51" i="17"/>
  <c r="B149" i="17"/>
  <c r="B143" i="17"/>
  <c r="Q19" i="18"/>
  <c r="Q20" i="18" s="1"/>
  <c r="I69" i="18"/>
  <c r="F81" i="18"/>
  <c r="M99" i="18"/>
  <c r="M101" i="18" s="1"/>
  <c r="O115" i="18"/>
  <c r="J117" i="19"/>
  <c r="H149" i="19"/>
  <c r="J148" i="19"/>
  <c r="L21" i="20"/>
  <c r="G53" i="21"/>
  <c r="G42" i="23"/>
  <c r="H102" i="18"/>
  <c r="W37" i="14"/>
  <c r="W38" i="14"/>
  <c r="I34" i="17"/>
  <c r="U24" i="14" s="1"/>
  <c r="E25" i="17"/>
  <c r="E31" i="17" s="1"/>
  <c r="T138" i="17"/>
  <c r="T149" i="17" s="1"/>
  <c r="F129" i="18"/>
  <c r="O36" i="19"/>
  <c r="P13" i="14" s="1"/>
  <c r="I69" i="19"/>
  <c r="O85" i="19"/>
  <c r="L117" i="19"/>
  <c r="H115" i="20"/>
  <c r="L115" i="20"/>
  <c r="L116" i="20" s="1"/>
  <c r="O115" i="20"/>
  <c r="N115" i="20"/>
  <c r="F164" i="21"/>
  <c r="F165" i="21" s="1"/>
  <c r="U46" i="17"/>
  <c r="U43" i="17"/>
  <c r="U24" i="17"/>
  <c r="U30" i="17" s="1"/>
  <c r="S54" i="14"/>
  <c r="U45" i="17"/>
  <c r="C54" i="16"/>
  <c r="C49" i="17"/>
  <c r="E45" i="17"/>
  <c r="J36" i="18"/>
  <c r="I35" i="18"/>
  <c r="I37" i="18" s="1"/>
  <c r="K83" i="18"/>
  <c r="I148" i="18"/>
  <c r="H148" i="18"/>
  <c r="I47" i="14" s="1"/>
  <c r="Q163" i="18"/>
  <c r="H37" i="19"/>
  <c r="I13" i="14" s="1"/>
  <c r="J149" i="19"/>
  <c r="O165" i="19"/>
  <c r="N37" i="20"/>
  <c r="N36" i="20"/>
  <c r="O15" i="14" s="1"/>
  <c r="K147" i="21"/>
  <c r="Q50" i="17"/>
  <c r="Q26" i="17"/>
  <c r="Q32" i="17" s="1"/>
  <c r="C44" i="17"/>
  <c r="Q46" i="17"/>
  <c r="J68" i="17"/>
  <c r="J73" i="17" s="1"/>
  <c r="I52" i="18"/>
  <c r="L51" i="18"/>
  <c r="L52" i="18" s="1"/>
  <c r="J100" i="18"/>
  <c r="I131" i="18"/>
  <c r="G51" i="19"/>
  <c r="G52" i="19" s="1"/>
  <c r="Q51" i="19"/>
  <c r="Q53" i="19" s="1"/>
  <c r="K51" i="19"/>
  <c r="K147" i="19"/>
  <c r="N165" i="19"/>
  <c r="S46" i="17"/>
  <c r="S45" i="17"/>
  <c r="I11" i="15"/>
  <c r="V50" i="17"/>
  <c r="O35" i="18"/>
  <c r="O37" i="18" s="1"/>
  <c r="N67" i="18"/>
  <c r="O83" i="18"/>
  <c r="P115" i="18"/>
  <c r="P116" i="18" s="1"/>
  <c r="O164" i="18"/>
  <c r="P52" i="14" s="1"/>
  <c r="Q179" i="18"/>
  <c r="Q180" i="18" s="1"/>
  <c r="P180" i="18"/>
  <c r="H35" i="19"/>
  <c r="L84" i="20"/>
  <c r="E89" i="23"/>
  <c r="K71" i="19"/>
  <c r="F71" i="19" s="1"/>
  <c r="S24" i="17"/>
  <c r="S30" i="17" s="1"/>
  <c r="S34" i="17" s="1"/>
  <c r="U49" i="14" s="1"/>
  <c r="Q27" i="17"/>
  <c r="Q33" i="17" s="1"/>
  <c r="Q34" i="17" s="1"/>
  <c r="U44" i="14" s="1"/>
  <c r="O19" i="18"/>
  <c r="N67" i="19"/>
  <c r="N68" i="19" s="1"/>
  <c r="M67" i="19"/>
  <c r="M68" i="19" s="1"/>
  <c r="O67" i="19"/>
  <c r="O68" i="19" s="1"/>
  <c r="L67" i="19"/>
  <c r="L68" i="19" s="1"/>
  <c r="J67" i="19"/>
  <c r="J69" i="19" s="1"/>
  <c r="L133" i="19"/>
  <c r="H69" i="20"/>
  <c r="Q133" i="20"/>
  <c r="J37" i="23"/>
  <c r="F62" i="23"/>
  <c r="G166" i="18"/>
  <c r="F107" i="23"/>
  <c r="G119" i="20"/>
  <c r="D49" i="17"/>
  <c r="F65" i="18"/>
  <c r="I84" i="18"/>
  <c r="N53" i="19"/>
  <c r="K67" i="19"/>
  <c r="H83" i="19"/>
  <c r="Q101" i="19"/>
  <c r="N52" i="20"/>
  <c r="L165" i="20"/>
  <c r="S27" i="17"/>
  <c r="S33" i="17" s="1"/>
  <c r="N49" i="17"/>
  <c r="P79" i="17"/>
  <c r="P99" i="17"/>
  <c r="F38" i="18"/>
  <c r="N68" i="18"/>
  <c r="F86" i="18"/>
  <c r="J101" i="18"/>
  <c r="P67" i="19"/>
  <c r="O100" i="19"/>
  <c r="P33" i="14" s="1"/>
  <c r="J100" i="19"/>
  <c r="Q117" i="19"/>
  <c r="J179" i="21"/>
  <c r="C46" i="17"/>
  <c r="C45" i="17"/>
  <c r="O20" i="18"/>
  <c r="L19" i="18"/>
  <c r="O67" i="18"/>
  <c r="O68" i="18" s="1"/>
  <c r="N69" i="18"/>
  <c r="N83" i="18"/>
  <c r="J36" i="19"/>
  <c r="I36" i="19"/>
  <c r="Q67" i="19"/>
  <c r="Q68" i="19" s="1"/>
  <c r="J101" i="19"/>
  <c r="L116" i="19"/>
  <c r="J116" i="19"/>
  <c r="I116" i="19"/>
  <c r="N21" i="20"/>
  <c r="K35" i="20"/>
  <c r="L52" i="20"/>
  <c r="N163" i="20"/>
  <c r="N164" i="20" s="1"/>
  <c r="K179" i="21"/>
  <c r="G166" i="19"/>
  <c r="Q133" i="18"/>
  <c r="M131" i="18"/>
  <c r="L131" i="18"/>
  <c r="K131" i="18"/>
  <c r="N148" i="18"/>
  <c r="O47" i="14" s="1"/>
  <c r="M147" i="18"/>
  <c r="L147" i="18"/>
  <c r="K147" i="18"/>
  <c r="J147" i="18"/>
  <c r="P19" i="19"/>
  <c r="O19" i="19"/>
  <c r="O20" i="19" s="1"/>
  <c r="N19" i="19"/>
  <c r="N20" i="19" s="1"/>
  <c r="K115" i="19"/>
  <c r="O132" i="19"/>
  <c r="O133" i="19"/>
  <c r="Q133" i="19"/>
  <c r="O37" i="20"/>
  <c r="F33" i="20"/>
  <c r="O52" i="20"/>
  <c r="P20" i="14" s="1"/>
  <c r="O69" i="20"/>
  <c r="M69" i="20"/>
  <c r="H51" i="21"/>
  <c r="J224" i="23"/>
  <c r="E224" i="23" s="1"/>
  <c r="J139" i="23"/>
  <c r="K40" i="19" s="1"/>
  <c r="F40" i="19" s="1"/>
  <c r="J209" i="23"/>
  <c r="J214" i="23"/>
  <c r="E214" i="23" s="1"/>
  <c r="J144" i="23"/>
  <c r="K56" i="19" s="1"/>
  <c r="F56" i="19" s="1"/>
  <c r="J99" i="23"/>
  <c r="K103" i="19" s="1"/>
  <c r="J219" i="23"/>
  <c r="E219" i="23" s="1"/>
  <c r="J149" i="23"/>
  <c r="J104" i="23"/>
  <c r="J34" i="23"/>
  <c r="K86" i="19" s="1"/>
  <c r="J119" i="23"/>
  <c r="J79" i="23"/>
  <c r="J9" i="23"/>
  <c r="K6" i="19" s="1"/>
  <c r="J239" i="23"/>
  <c r="E239" i="23" s="1"/>
  <c r="J179" i="23"/>
  <c r="J129" i="23"/>
  <c r="J84" i="23"/>
  <c r="K55" i="19" s="1"/>
  <c r="F55" i="19" s="1"/>
  <c r="J49" i="23"/>
  <c r="K134" i="19" s="1"/>
  <c r="J164" i="23"/>
  <c r="J74" i="23"/>
  <c r="J229" i="23"/>
  <c r="E229" i="23" s="1"/>
  <c r="J134" i="23"/>
  <c r="K24" i="19" s="1"/>
  <c r="F24" i="19" s="1"/>
  <c r="J29" i="23"/>
  <c r="K70" i="19" s="1"/>
  <c r="J174" i="23"/>
  <c r="J204" i="23"/>
  <c r="J39" i="23"/>
  <c r="K102" i="19" s="1"/>
  <c r="J94" i="23"/>
  <c r="K87" i="19" s="1"/>
  <c r="F87" i="19" s="1"/>
  <c r="J234" i="23"/>
  <c r="E234" i="23" s="1"/>
  <c r="J189" i="23"/>
  <c r="E189" i="23" s="1"/>
  <c r="J14" i="23"/>
  <c r="J159" i="23"/>
  <c r="K104" i="19" s="1"/>
  <c r="J199" i="23"/>
  <c r="J154" i="23"/>
  <c r="J169" i="23"/>
  <c r="H72" i="19"/>
  <c r="H49" i="17"/>
  <c r="B50" i="17"/>
  <c r="R50" i="17"/>
  <c r="L51" i="17"/>
  <c r="F52" i="17"/>
  <c r="F130" i="17" s="1"/>
  <c r="V52" i="17"/>
  <c r="V130" i="17" s="1"/>
  <c r="J131" i="18"/>
  <c r="O148" i="18"/>
  <c r="P47" i="14" s="1"/>
  <c r="N147" i="18"/>
  <c r="Q165" i="18"/>
  <c r="O101" i="19"/>
  <c r="O116" i="20"/>
  <c r="E73" i="23"/>
  <c r="F137" i="23"/>
  <c r="M19" i="19"/>
  <c r="Q147" i="19"/>
  <c r="Q149" i="19" s="1"/>
  <c r="N68" i="20"/>
  <c r="N85" i="20"/>
  <c r="O30" i="14" s="1"/>
  <c r="J69" i="23"/>
  <c r="K7" i="19" s="1"/>
  <c r="I97" i="23"/>
  <c r="E96" i="23"/>
  <c r="M19" i="18"/>
  <c r="M35" i="18"/>
  <c r="M51" i="18"/>
  <c r="M53" i="18" s="1"/>
  <c r="M67" i="18"/>
  <c r="M83" i="18"/>
  <c r="N99" i="18"/>
  <c r="N115" i="18"/>
  <c r="M180" i="18"/>
  <c r="L22" i="23"/>
  <c r="N19" i="18"/>
  <c r="N35" i="18"/>
  <c r="N37" i="18" s="1"/>
  <c r="N51" i="18"/>
  <c r="N52" i="18" s="1"/>
  <c r="F150" i="18"/>
  <c r="I19" i="19"/>
  <c r="L52" i="19"/>
  <c r="J52" i="19"/>
  <c r="I52" i="19"/>
  <c r="Q52" i="19"/>
  <c r="Q148" i="19"/>
  <c r="L148" i="19"/>
  <c r="O148" i="19"/>
  <c r="P48" i="14" s="1"/>
  <c r="M19" i="20"/>
  <c r="M51" i="20"/>
  <c r="N67" i="20"/>
  <c r="G54" i="20"/>
  <c r="F202" i="23"/>
  <c r="Q164" i="18"/>
  <c r="O180" i="18"/>
  <c r="J19" i="19"/>
  <c r="J20" i="19" s="1"/>
  <c r="O53" i="19"/>
  <c r="M53" i="19"/>
  <c r="L149" i="19"/>
  <c r="N147" i="19"/>
  <c r="O163" i="20"/>
  <c r="O165" i="20" s="1"/>
  <c r="E56" i="23"/>
  <c r="G150" i="20"/>
  <c r="M164" i="19"/>
  <c r="L149" i="20"/>
  <c r="N147" i="20"/>
  <c r="J180" i="21"/>
  <c r="E43" i="23"/>
  <c r="G182" i="23"/>
  <c r="H168" i="20"/>
  <c r="L222" i="23"/>
  <c r="H36" i="19"/>
  <c r="N99" i="19"/>
  <c r="N100" i="19" s="1"/>
  <c r="M99" i="19"/>
  <c r="L99" i="19"/>
  <c r="L100" i="19" s="1"/>
  <c r="J99" i="19"/>
  <c r="N164" i="19"/>
  <c r="O53" i="14" s="1"/>
  <c r="L37" i="20"/>
  <c r="N132" i="20"/>
  <c r="N133" i="20"/>
  <c r="O131" i="20"/>
  <c r="N131" i="20"/>
  <c r="E194" i="23"/>
  <c r="O222" i="23"/>
  <c r="G83" i="19"/>
  <c r="G115" i="19"/>
  <c r="Q115" i="19"/>
  <c r="Q116" i="19" s="1"/>
  <c r="P115" i="19"/>
  <c r="L165" i="19"/>
  <c r="H163" i="19"/>
  <c r="H165" i="19" s="1"/>
  <c r="N51" i="20"/>
  <c r="N53" i="20" s="1"/>
  <c r="O51" i="20"/>
  <c r="O53" i="20" s="1"/>
  <c r="L51" i="20"/>
  <c r="M68" i="20"/>
  <c r="E128" i="23"/>
  <c r="L35" i="19"/>
  <c r="L36" i="19" s="1"/>
  <c r="H51" i="19"/>
  <c r="H52" i="19" s="1"/>
  <c r="L84" i="19"/>
  <c r="N84" i="19"/>
  <c r="N69" i="20"/>
  <c r="L148" i="20"/>
  <c r="I51" i="19"/>
  <c r="Q83" i="19"/>
  <c r="P83" i="19"/>
  <c r="J83" i="19"/>
  <c r="J85" i="19" s="1"/>
  <c r="I83" i="19"/>
  <c r="I85" i="19" s="1"/>
  <c r="H117" i="19"/>
  <c r="G132" i="19"/>
  <c r="P133" i="19"/>
  <c r="N163" i="19"/>
  <c r="M163" i="19"/>
  <c r="L163" i="19"/>
  <c r="L164" i="19" s="1"/>
  <c r="K163" i="19"/>
  <c r="J163" i="19"/>
  <c r="J165" i="19" s="1"/>
  <c r="L67" i="20"/>
  <c r="L68" i="20" s="1"/>
  <c r="N84" i="20"/>
  <c r="M148" i="20"/>
  <c r="N50" i="14" s="1"/>
  <c r="E18" i="23"/>
  <c r="F22" i="23"/>
  <c r="G32" i="23"/>
  <c r="H70" i="19"/>
  <c r="K83" i="19"/>
  <c r="O163" i="19"/>
  <c r="M165" i="19"/>
  <c r="J179" i="19"/>
  <c r="F87" i="20"/>
  <c r="M99" i="20"/>
  <c r="L99" i="20"/>
  <c r="L100" i="20" s="1"/>
  <c r="N117" i="20"/>
  <c r="F161" i="20"/>
  <c r="F20" i="21"/>
  <c r="F21" i="21" s="1"/>
  <c r="I147" i="19"/>
  <c r="I148" i="19" s="1"/>
  <c r="K131" i="20"/>
  <c r="O149" i="20"/>
  <c r="I53" i="21"/>
  <c r="O9" i="13" s="1"/>
  <c r="J147" i="19"/>
  <c r="M131" i="20"/>
  <c r="Q132" i="20"/>
  <c r="F151" i="20"/>
  <c r="J168" i="23"/>
  <c r="J238" i="23"/>
  <c r="J153" i="23"/>
  <c r="J178" i="23"/>
  <c r="J128" i="23"/>
  <c r="J83" i="23"/>
  <c r="J188" i="23"/>
  <c r="J133" i="23"/>
  <c r="J13" i="23"/>
  <c r="J193" i="23"/>
  <c r="J138" i="23"/>
  <c r="J88" i="23"/>
  <c r="J203" i="23"/>
  <c r="J198" i="23"/>
  <c r="J202" i="23" s="1"/>
  <c r="J223" i="23"/>
  <c r="J103" i="23"/>
  <c r="J158" i="23"/>
  <c r="J108" i="23"/>
  <c r="J68" i="23"/>
  <c r="J213" i="23"/>
  <c r="J173" i="23"/>
  <c r="J148" i="23"/>
  <c r="J93" i="23"/>
  <c r="J38" i="23"/>
  <c r="J113" i="23"/>
  <c r="J218" i="23"/>
  <c r="J208" i="23"/>
  <c r="J118" i="23"/>
  <c r="J98" i="23"/>
  <c r="J233" i="23"/>
  <c r="J58" i="23"/>
  <c r="E58" i="23" s="1"/>
  <c r="E69" i="23"/>
  <c r="J143" i="23"/>
  <c r="E143" i="23" s="1"/>
  <c r="O147" i="19"/>
  <c r="O149" i="19" s="1"/>
  <c r="M147" i="20"/>
  <c r="M149" i="20" s="1"/>
  <c r="K35" i="21"/>
  <c r="I69" i="21"/>
  <c r="I68" i="21"/>
  <c r="J165" i="21"/>
  <c r="J78" i="23"/>
  <c r="E116" i="23"/>
  <c r="L132" i="23"/>
  <c r="H115" i="19"/>
  <c r="P147" i="19"/>
  <c r="H179" i="19"/>
  <c r="N19" i="20"/>
  <c r="L36" i="20"/>
  <c r="L35" i="21"/>
  <c r="O166" i="23"/>
  <c r="P120" i="20" s="1"/>
  <c r="O236" i="23"/>
  <c r="O151" i="23"/>
  <c r="O181" i="23"/>
  <c r="P168" i="20" s="1"/>
  <c r="O136" i="23"/>
  <c r="O131" i="23"/>
  <c r="O86" i="23"/>
  <c r="P55" i="20" s="1"/>
  <c r="O196" i="23"/>
  <c r="O191" i="23"/>
  <c r="O192" i="23" s="1"/>
  <c r="O91" i="23"/>
  <c r="P71" i="20" s="1"/>
  <c r="O206" i="23"/>
  <c r="O207" i="23" s="1"/>
  <c r="O201" i="23"/>
  <c r="O141" i="23"/>
  <c r="P40" i="20" s="1"/>
  <c r="O106" i="23"/>
  <c r="P119" i="20" s="1"/>
  <c r="O111" i="23"/>
  <c r="P135" i="20" s="1"/>
  <c r="P148" i="20" s="1"/>
  <c r="O71" i="23"/>
  <c r="P7" i="20" s="1"/>
  <c r="O81" i="23"/>
  <c r="P39" i="20" s="1"/>
  <c r="P53" i="20" s="1"/>
  <c r="O176" i="23"/>
  <c r="P152" i="20" s="1"/>
  <c r="P165" i="20" s="1"/>
  <c r="O226" i="23"/>
  <c r="O161" i="23"/>
  <c r="P104" i="20" s="1"/>
  <c r="O216" i="23"/>
  <c r="O96" i="23"/>
  <c r="P87" i="20" s="1"/>
  <c r="P101" i="20" s="1"/>
  <c r="O231" i="23"/>
  <c r="O76" i="23"/>
  <c r="P23" i="20" s="1"/>
  <c r="O146" i="23"/>
  <c r="P56" i="20" s="1"/>
  <c r="P69" i="20" s="1"/>
  <c r="O211" i="23"/>
  <c r="O212" i="23" s="1"/>
  <c r="O171" i="23"/>
  <c r="P136" i="20" s="1"/>
  <c r="O101" i="23"/>
  <c r="P103" i="20" s="1"/>
  <c r="P116" i="20" s="1"/>
  <c r="G107" i="23"/>
  <c r="E169" i="23"/>
  <c r="E208" i="23"/>
  <c r="I115" i="19"/>
  <c r="I179" i="19"/>
  <c r="O19" i="20"/>
  <c r="O20" i="20" s="1"/>
  <c r="P10" i="14" s="1"/>
  <c r="M163" i="20"/>
  <c r="L163" i="20"/>
  <c r="L164" i="20" s="1"/>
  <c r="J19" i="21"/>
  <c r="E76" i="23"/>
  <c r="L131" i="20"/>
  <c r="L133" i="20" s="1"/>
  <c r="H165" i="20"/>
  <c r="I179" i="21"/>
  <c r="C44" i="22"/>
  <c r="I166" i="23"/>
  <c r="I120" i="20"/>
  <c r="H167" i="23"/>
  <c r="H120" i="20"/>
  <c r="H133" i="20" s="1"/>
  <c r="G83" i="20"/>
  <c r="E19" i="23"/>
  <c r="L112" i="23"/>
  <c r="E148" i="23"/>
  <c r="F152" i="23"/>
  <c r="E159" i="23"/>
  <c r="E196" i="23"/>
  <c r="E218" i="23"/>
  <c r="F222" i="23"/>
  <c r="I72" i="21"/>
  <c r="H147" i="23"/>
  <c r="I146" i="23"/>
  <c r="H83" i="20"/>
  <c r="G57" i="23"/>
  <c r="I71" i="23"/>
  <c r="H87" i="23"/>
  <c r="I86" i="23"/>
  <c r="E86" i="23" s="1"/>
  <c r="E199" i="23"/>
  <c r="J10" i="24"/>
  <c r="J38" i="21" s="1"/>
  <c r="L10" i="24"/>
  <c r="L38" i="21" s="1"/>
  <c r="K10" i="24"/>
  <c r="K38" i="21" s="1"/>
  <c r="F21" i="23"/>
  <c r="G12" i="24"/>
  <c r="G70" i="21" s="1"/>
  <c r="M83" i="20"/>
  <c r="H148" i="21"/>
  <c r="E83" i="23"/>
  <c r="L117" i="23"/>
  <c r="O137" i="23"/>
  <c r="L152" i="23"/>
  <c r="K120" i="21"/>
  <c r="H8" i="24"/>
  <c r="H6" i="21" s="1"/>
  <c r="L21" i="23"/>
  <c r="M38" i="20" s="1"/>
  <c r="L19" i="23"/>
  <c r="M38" i="19" s="1"/>
  <c r="M52" i="19" s="1"/>
  <c r="K115" i="21"/>
  <c r="E118" i="23"/>
  <c r="F177" i="23"/>
  <c r="I88" i="21"/>
  <c r="L120" i="21"/>
  <c r="L132" i="21" s="1"/>
  <c r="L115" i="21"/>
  <c r="F57" i="23"/>
  <c r="L97" i="23"/>
  <c r="O157" i="23"/>
  <c r="I161" i="23"/>
  <c r="E161" i="23" s="1"/>
  <c r="J88" i="21"/>
  <c r="I8" i="24"/>
  <c r="I6" i="21" s="1"/>
  <c r="L9" i="23"/>
  <c r="M6" i="19" s="1"/>
  <c r="F77" i="23"/>
  <c r="O87" i="23"/>
  <c r="G212" i="23"/>
  <c r="G136" i="21"/>
  <c r="E33" i="23"/>
  <c r="H132" i="23"/>
  <c r="I131" i="23"/>
  <c r="O202" i="23"/>
  <c r="E226" i="23"/>
  <c r="E238" i="23"/>
  <c r="L43" i="23"/>
  <c r="L46" i="23"/>
  <c r="M118" i="20" s="1"/>
  <c r="I17" i="24"/>
  <c r="I150" i="21" s="1"/>
  <c r="L56" i="23"/>
  <c r="M150" i="20" s="1"/>
  <c r="E26" i="26"/>
  <c r="L107" i="23"/>
  <c r="F207" i="23"/>
  <c r="L16" i="23"/>
  <c r="M22" i="20" s="1"/>
  <c r="J9" i="24"/>
  <c r="J22" i="21" s="1"/>
  <c r="F11" i="24"/>
  <c r="H11" i="24"/>
  <c r="H54" i="21" s="1"/>
  <c r="L23" i="23"/>
  <c r="E23" i="23" s="1"/>
  <c r="L34" i="23"/>
  <c r="M86" i="19" s="1"/>
  <c r="K13" i="24"/>
  <c r="K86" i="21" s="1"/>
  <c r="J13" i="24"/>
  <c r="J86" i="21" s="1"/>
  <c r="I13" i="24"/>
  <c r="I86" i="21" s="1"/>
  <c r="L152" i="21"/>
  <c r="K152" i="21"/>
  <c r="G160" i="21"/>
  <c r="G163" i="21" s="1"/>
  <c r="G48" i="21"/>
  <c r="G51" i="21" s="1"/>
  <c r="J176" i="23"/>
  <c r="J161" i="23"/>
  <c r="K104" i="20" s="1"/>
  <c r="J121" i="23"/>
  <c r="K167" i="20" s="1"/>
  <c r="J81" i="23"/>
  <c r="K39" i="20" s="1"/>
  <c r="J241" i="23"/>
  <c r="E241" i="23" s="1"/>
  <c r="J171" i="23"/>
  <c r="J181" i="23"/>
  <c r="J136" i="23"/>
  <c r="J131" i="23"/>
  <c r="J86" i="23"/>
  <c r="K55" i="20" s="1"/>
  <c r="J196" i="23"/>
  <c r="J221" i="23"/>
  <c r="E221" i="23" s="1"/>
  <c r="J216" i="23"/>
  <c r="J151" i="23"/>
  <c r="K72" i="20" s="1"/>
  <c r="J101" i="23"/>
  <c r="K103" i="20" s="1"/>
  <c r="J106" i="23"/>
  <c r="K119" i="20" s="1"/>
  <c r="F27" i="23"/>
  <c r="F72" i="23"/>
  <c r="G207" i="23"/>
  <c r="J236" i="23"/>
  <c r="E236" i="23" s="1"/>
  <c r="F13" i="23"/>
  <c r="L9" i="24"/>
  <c r="L22" i="21" s="1"/>
  <c r="F16" i="23"/>
  <c r="G11" i="24"/>
  <c r="G54" i="21" s="1"/>
  <c r="F24" i="23"/>
  <c r="F34" i="23"/>
  <c r="L13" i="24"/>
  <c r="L86" i="21" s="1"/>
  <c r="I163" i="21"/>
  <c r="L42" i="23"/>
  <c r="G217" i="23"/>
  <c r="F9" i="24"/>
  <c r="J41" i="23"/>
  <c r="K102" i="20" s="1"/>
  <c r="F40" i="21"/>
  <c r="F52" i="21" s="1"/>
  <c r="K168" i="21"/>
  <c r="K180" i="21" s="1"/>
  <c r="J168" i="21"/>
  <c r="H168" i="21"/>
  <c r="G52" i="23"/>
  <c r="E53" i="23"/>
  <c r="L72" i="23"/>
  <c r="I111" i="23"/>
  <c r="F142" i="23"/>
  <c r="J191" i="23"/>
  <c r="E233" i="23"/>
  <c r="G9" i="24"/>
  <c r="G22" i="21" s="1"/>
  <c r="F13" i="24"/>
  <c r="F11" i="25"/>
  <c r="H26" i="23" s="1"/>
  <c r="I16" i="24"/>
  <c r="I134" i="21" s="1"/>
  <c r="I148" i="21" s="1"/>
  <c r="L49" i="23"/>
  <c r="M134" i="19" s="1"/>
  <c r="L48" i="23"/>
  <c r="L13" i="23"/>
  <c r="J111" i="23"/>
  <c r="K135" i="20" s="1"/>
  <c r="G142" i="23"/>
  <c r="F162" i="23"/>
  <c r="E204" i="23"/>
  <c r="F237" i="23"/>
  <c r="H9" i="24"/>
  <c r="H22" i="21" s="1"/>
  <c r="G13" i="24"/>
  <c r="G86" i="21" s="1"/>
  <c r="L136" i="21"/>
  <c r="F157" i="23"/>
  <c r="F227" i="23"/>
  <c r="H17" i="24"/>
  <c r="H150" i="21" s="1"/>
  <c r="J21" i="23"/>
  <c r="K38" i="20" s="1"/>
  <c r="J28" i="23"/>
  <c r="O214" i="23"/>
  <c r="O129" i="23"/>
  <c r="O119" i="23"/>
  <c r="P167" i="19" s="1"/>
  <c r="O114" i="23"/>
  <c r="E114" i="23" s="1"/>
  <c r="O109" i="23"/>
  <c r="O104" i="23"/>
  <c r="P119" i="19" s="1"/>
  <c r="O99" i="23"/>
  <c r="O94" i="23"/>
  <c r="P87" i="19" s="1"/>
  <c r="O89" i="23"/>
  <c r="P71" i="19" s="1"/>
  <c r="O84" i="23"/>
  <c r="P55" i="19" s="1"/>
  <c r="P68" i="19" s="1"/>
  <c r="O79" i="23"/>
  <c r="P39" i="19" s="1"/>
  <c r="P52" i="19" s="1"/>
  <c r="O74" i="23"/>
  <c r="O69" i="23"/>
  <c r="O199" i="23"/>
  <c r="P40" i="19" s="1"/>
  <c r="G152" i="23"/>
  <c r="O179" i="23"/>
  <c r="O182" i="23" s="1"/>
  <c r="G222" i="23"/>
  <c r="O239" i="23"/>
  <c r="O242" i="23" s="1"/>
  <c r="K17" i="24"/>
  <c r="K150" i="21" s="1"/>
  <c r="J59" i="23"/>
  <c r="K166" i="19" s="1"/>
  <c r="O159" i="23"/>
  <c r="P104" i="19" s="1"/>
  <c r="E188" i="23"/>
  <c r="L212" i="23"/>
  <c r="H13" i="24"/>
  <c r="H86" i="21" s="1"/>
  <c r="G137" i="23"/>
  <c r="O224" i="23"/>
  <c r="P120" i="19" s="1"/>
  <c r="P132" i="19" s="1"/>
  <c r="J23" i="23"/>
  <c r="J26" i="23"/>
  <c r="K54" i="20" s="1"/>
  <c r="J15" i="24"/>
  <c r="J118" i="21" s="1"/>
  <c r="J132" i="21" s="1"/>
  <c r="F46" i="23"/>
  <c r="F47" i="23" s="1"/>
  <c r="I121" i="23"/>
  <c r="L197" i="23"/>
  <c r="O197" i="23"/>
  <c r="F242" i="23"/>
  <c r="G15" i="24"/>
  <c r="G118" i="21" s="1"/>
  <c r="O143" i="23"/>
  <c r="O228" i="23"/>
  <c r="L33" i="24"/>
  <c r="L151" i="21" s="1"/>
  <c r="L164" i="21" s="1"/>
  <c r="L165" i="21" s="1"/>
  <c r="L59" i="24"/>
  <c r="L43" i="24"/>
  <c r="L56" i="21" s="1"/>
  <c r="L68" i="21" s="1"/>
  <c r="N9" i="13" l="1"/>
  <c r="R10" i="13"/>
  <c r="H85" i="21"/>
  <c r="K148" i="20"/>
  <c r="L50" i="14" s="1"/>
  <c r="I8" i="14"/>
  <c r="K133" i="21"/>
  <c r="O17" i="14"/>
  <c r="O7" i="4"/>
  <c r="O7" i="8"/>
  <c r="O35" i="14"/>
  <c r="T49" i="14"/>
  <c r="U49" i="10"/>
  <c r="U49" i="4"/>
  <c r="U49" i="6"/>
  <c r="U49" i="8"/>
  <c r="P108" i="21"/>
  <c r="P111" i="21"/>
  <c r="P106" i="21"/>
  <c r="P102" i="21"/>
  <c r="P114" i="21"/>
  <c r="P110" i="21"/>
  <c r="Q13" i="13"/>
  <c r="P103" i="21"/>
  <c r="P105" i="21"/>
  <c r="P112" i="21"/>
  <c r="P107" i="21"/>
  <c r="K117" i="21"/>
  <c r="P109" i="21"/>
  <c r="H132" i="21"/>
  <c r="H133" i="21" s="1"/>
  <c r="I101" i="21"/>
  <c r="O53" i="10"/>
  <c r="O53" i="8"/>
  <c r="O53" i="4"/>
  <c r="P52" i="10"/>
  <c r="P56" i="14"/>
  <c r="P52" i="8"/>
  <c r="P52" i="4"/>
  <c r="P13" i="8"/>
  <c r="P13" i="4"/>
  <c r="I42" i="14"/>
  <c r="O30" i="4"/>
  <c r="O30" i="8"/>
  <c r="Q180" i="20"/>
  <c r="H37" i="18"/>
  <c r="N13" i="14"/>
  <c r="J149" i="21"/>
  <c r="P15" i="13" s="1"/>
  <c r="P83" i="21"/>
  <c r="P15" i="12"/>
  <c r="P15" i="8"/>
  <c r="P15" i="4"/>
  <c r="I117" i="21"/>
  <c r="O52" i="14"/>
  <c r="P8" i="14"/>
  <c r="P41" i="14"/>
  <c r="P37" i="8"/>
  <c r="P174" i="21"/>
  <c r="P169" i="21"/>
  <c r="P175" i="21"/>
  <c r="P176" i="21"/>
  <c r="P171" i="21"/>
  <c r="P172" i="21"/>
  <c r="P167" i="21"/>
  <c r="P170" i="21"/>
  <c r="P173" i="21"/>
  <c r="P178" i="21"/>
  <c r="I30" i="14"/>
  <c r="T29" i="14"/>
  <c r="T44" i="14"/>
  <c r="U44" i="4"/>
  <c r="U44" i="8"/>
  <c r="P27" i="8"/>
  <c r="P27" i="4"/>
  <c r="I13" i="4"/>
  <c r="I13" i="8"/>
  <c r="P28" i="4"/>
  <c r="N80" i="17"/>
  <c r="N100" i="17"/>
  <c r="N90" i="17"/>
  <c r="N110" i="17" s="1"/>
  <c r="R28" i="14"/>
  <c r="R43" i="14"/>
  <c r="Q43" i="14"/>
  <c r="P10" i="4"/>
  <c r="P10" i="8"/>
  <c r="T116" i="17"/>
  <c r="T137" i="17" s="1"/>
  <c r="T127" i="17"/>
  <c r="O42" i="14"/>
  <c r="R37" i="14"/>
  <c r="Q37" i="14"/>
  <c r="O8" i="14"/>
  <c r="I35" i="14"/>
  <c r="O8" i="11"/>
  <c r="O8" i="7"/>
  <c r="O8" i="3"/>
  <c r="L12" i="13"/>
  <c r="H18" i="14"/>
  <c r="N17" i="14"/>
  <c r="T59" i="14"/>
  <c r="G59" i="14" s="1"/>
  <c r="U59" i="8"/>
  <c r="G100" i="21"/>
  <c r="G101" i="21"/>
  <c r="H20" i="21"/>
  <c r="H21" i="21"/>
  <c r="I147" i="23"/>
  <c r="J56" i="20"/>
  <c r="F56" i="20" s="1"/>
  <c r="J82" i="23"/>
  <c r="K39" i="18"/>
  <c r="H164" i="19"/>
  <c r="I53" i="14" s="1"/>
  <c r="J55" i="17"/>
  <c r="O18" i="8"/>
  <c r="R35" i="14"/>
  <c r="Q35" i="14"/>
  <c r="F136" i="18"/>
  <c r="U56" i="17"/>
  <c r="K67" i="21"/>
  <c r="K116" i="20"/>
  <c r="K117" i="20"/>
  <c r="J107" i="23"/>
  <c r="K119" i="18"/>
  <c r="F119" i="18" s="1"/>
  <c r="O45" i="14"/>
  <c r="B56" i="17"/>
  <c r="B68" i="17"/>
  <c r="B73" i="17" s="1"/>
  <c r="H53" i="14"/>
  <c r="K69" i="19"/>
  <c r="L23" i="14" s="1"/>
  <c r="J232" i="23"/>
  <c r="H84" i="21"/>
  <c r="L19" i="15"/>
  <c r="L21" i="15"/>
  <c r="L15" i="15"/>
  <c r="L96" i="16"/>
  <c r="P129" i="21"/>
  <c r="H68" i="21"/>
  <c r="H69" i="21"/>
  <c r="H132" i="20"/>
  <c r="I45" i="14" s="1"/>
  <c r="O28" i="14"/>
  <c r="O50" i="4"/>
  <c r="O50" i="10"/>
  <c r="O50" i="8"/>
  <c r="O132" i="23"/>
  <c r="P8" i="19"/>
  <c r="J237" i="23"/>
  <c r="E237" i="23" s="1"/>
  <c r="E164" i="23"/>
  <c r="J167" i="23"/>
  <c r="K120" i="19"/>
  <c r="K133" i="19" s="1"/>
  <c r="S39" i="8"/>
  <c r="W40" i="8"/>
  <c r="F96" i="16"/>
  <c r="F15" i="15"/>
  <c r="N116" i="18"/>
  <c r="O37" i="14" s="1"/>
  <c r="I133" i="19"/>
  <c r="G6" i="20"/>
  <c r="L181" i="18"/>
  <c r="L97" i="16"/>
  <c r="L95" i="16"/>
  <c r="W58" i="8"/>
  <c r="W57" i="8"/>
  <c r="W61" i="8" s="1"/>
  <c r="H180" i="18"/>
  <c r="I57" i="14" s="1"/>
  <c r="H181" i="18"/>
  <c r="J27" i="23"/>
  <c r="K54" i="18"/>
  <c r="I21" i="21"/>
  <c r="J102" i="23"/>
  <c r="K103" i="18"/>
  <c r="F103" i="18" s="1"/>
  <c r="E98" i="23"/>
  <c r="H36" i="20"/>
  <c r="I15" i="14" s="1"/>
  <c r="Q165" i="20"/>
  <c r="F53" i="21"/>
  <c r="L9" i="13" s="1"/>
  <c r="Q21" i="18"/>
  <c r="L20" i="18"/>
  <c r="T19" i="14"/>
  <c r="G19" i="14" s="1"/>
  <c r="B89" i="17"/>
  <c r="B99" i="17"/>
  <c r="B109" i="17" s="1"/>
  <c r="B79" i="17"/>
  <c r="P50" i="6"/>
  <c r="P50" i="4"/>
  <c r="P50" i="10"/>
  <c r="P50" i="8"/>
  <c r="L32" i="23"/>
  <c r="M70" i="18"/>
  <c r="J47" i="23"/>
  <c r="K118" i="18"/>
  <c r="G35" i="18"/>
  <c r="F32" i="18"/>
  <c r="Q67" i="17"/>
  <c r="Q72" i="17" s="1"/>
  <c r="I132" i="20"/>
  <c r="I133" i="20"/>
  <c r="H163" i="21"/>
  <c r="H164" i="21" s="1"/>
  <c r="J122" i="23"/>
  <c r="K167" i="18"/>
  <c r="F167" i="18" s="1"/>
  <c r="K71" i="18"/>
  <c r="F71" i="18" s="1"/>
  <c r="J92" i="23"/>
  <c r="E88" i="23"/>
  <c r="E198" i="23"/>
  <c r="K88" i="19"/>
  <c r="P43" i="14"/>
  <c r="M132" i="19"/>
  <c r="N43" i="14" s="1"/>
  <c r="H133" i="18"/>
  <c r="Q37" i="20"/>
  <c r="O132" i="20"/>
  <c r="P45" i="14" s="1"/>
  <c r="H116" i="21"/>
  <c r="H117" i="21" s="1"/>
  <c r="I84" i="19"/>
  <c r="D90" i="17"/>
  <c r="D110" i="17"/>
  <c r="D100" i="17"/>
  <c r="D80" i="17"/>
  <c r="L180" i="19"/>
  <c r="J180" i="19"/>
  <c r="I180" i="19"/>
  <c r="Q180" i="19"/>
  <c r="H180" i="19"/>
  <c r="G180" i="19"/>
  <c r="H58" i="14" s="1"/>
  <c r="O180" i="19"/>
  <c r="N180" i="19"/>
  <c r="O58" i="14" s="1"/>
  <c r="M34" i="17"/>
  <c r="U34" i="14" s="1"/>
  <c r="K50" i="17"/>
  <c r="E97" i="16"/>
  <c r="W25" i="8" s="1"/>
  <c r="E95" i="16"/>
  <c r="P25" i="4" s="1"/>
  <c r="S44" i="4"/>
  <c r="W45" i="4"/>
  <c r="U14" i="3"/>
  <c r="T14" i="3"/>
  <c r="W43" i="4"/>
  <c r="I181" i="20"/>
  <c r="I180" i="20"/>
  <c r="R12" i="12"/>
  <c r="R12" i="6"/>
  <c r="R12" i="8"/>
  <c r="R12" i="4"/>
  <c r="F148" i="21"/>
  <c r="M84" i="19"/>
  <c r="M85" i="19"/>
  <c r="U9" i="4"/>
  <c r="U9" i="8"/>
  <c r="T9" i="14"/>
  <c r="F56" i="17"/>
  <c r="D111" i="17"/>
  <c r="E117" i="23"/>
  <c r="K133" i="20"/>
  <c r="K132" i="20"/>
  <c r="L45" i="14" s="1"/>
  <c r="N181" i="18"/>
  <c r="F120" i="18"/>
  <c r="H85" i="18"/>
  <c r="G179" i="20"/>
  <c r="F176" i="20"/>
  <c r="L133" i="21"/>
  <c r="R14" i="13" s="1"/>
  <c r="G51" i="18"/>
  <c r="F51" i="18" s="1"/>
  <c r="F48" i="18"/>
  <c r="W16" i="8"/>
  <c r="O147" i="23"/>
  <c r="E147" i="23" s="1"/>
  <c r="P56" i="18"/>
  <c r="J135" i="20"/>
  <c r="F135" i="20" s="1"/>
  <c r="I112" i="23"/>
  <c r="E129" i="23"/>
  <c r="I167" i="23"/>
  <c r="J120" i="20"/>
  <c r="F120" i="20" s="1"/>
  <c r="J212" i="23"/>
  <c r="E212" i="23" s="1"/>
  <c r="J142" i="23"/>
  <c r="E138" i="23"/>
  <c r="K40" i="18"/>
  <c r="F40" i="18" s="1"/>
  <c r="O84" i="20"/>
  <c r="P30" i="14" s="1"/>
  <c r="P31" i="14" s="1"/>
  <c r="N50" i="6"/>
  <c r="N50" i="4"/>
  <c r="N50" i="8"/>
  <c r="Q85" i="19"/>
  <c r="Q84" i="19"/>
  <c r="H101" i="20"/>
  <c r="E202" i="23"/>
  <c r="M117" i="19"/>
  <c r="N38" i="14" s="1"/>
  <c r="P53" i="19"/>
  <c r="R18" i="14" s="1"/>
  <c r="H68" i="19"/>
  <c r="I23" i="14" s="1"/>
  <c r="K8" i="19"/>
  <c r="N149" i="17"/>
  <c r="G164" i="21"/>
  <c r="L101" i="19"/>
  <c r="H101" i="19"/>
  <c r="I33" i="14" s="1"/>
  <c r="J80" i="17"/>
  <c r="J90" i="17"/>
  <c r="J100" i="17"/>
  <c r="B57" i="17"/>
  <c r="B69" i="17"/>
  <c r="B74" i="17" s="1"/>
  <c r="J68" i="19"/>
  <c r="H180" i="21"/>
  <c r="I180" i="21"/>
  <c r="P32" i="14"/>
  <c r="F97" i="16"/>
  <c r="U29" i="8" s="1"/>
  <c r="F95" i="16"/>
  <c r="W30" i="8"/>
  <c r="S29" i="8"/>
  <c r="W28" i="8"/>
  <c r="W27" i="8"/>
  <c r="W31" i="8" s="1"/>
  <c r="V79" i="17"/>
  <c r="V99" i="17"/>
  <c r="V89" i="17"/>
  <c r="I180" i="18"/>
  <c r="F12" i="16"/>
  <c r="F21" i="15" s="1"/>
  <c r="E12" i="16"/>
  <c r="E21" i="15" s="1"/>
  <c r="D12" i="16"/>
  <c r="D21" i="15" s="1"/>
  <c r="C12" i="16"/>
  <c r="C21" i="15" s="1"/>
  <c r="I12" i="16"/>
  <c r="I21" i="15" s="1"/>
  <c r="H12" i="16"/>
  <c r="G12" i="16"/>
  <c r="G21" i="15" s="1"/>
  <c r="B12" i="16"/>
  <c r="B21" i="15" s="1"/>
  <c r="K12" i="16"/>
  <c r="K21" i="15" s="1"/>
  <c r="P52" i="12" s="1"/>
  <c r="J12" i="16"/>
  <c r="J21" i="15" s="1"/>
  <c r="S49" i="12" s="1"/>
  <c r="M85" i="20"/>
  <c r="M84" i="20"/>
  <c r="F32" i="19"/>
  <c r="G35" i="19"/>
  <c r="F32" i="23"/>
  <c r="E28" i="23"/>
  <c r="G70" i="18"/>
  <c r="H117" i="20"/>
  <c r="I40" i="14" s="1"/>
  <c r="J181" i="18"/>
  <c r="L12" i="23"/>
  <c r="M6" i="18"/>
  <c r="F48" i="20"/>
  <c r="G51" i="20"/>
  <c r="F51" i="20" s="1"/>
  <c r="W50" i="17"/>
  <c r="I136" i="23"/>
  <c r="H137" i="23"/>
  <c r="I24" i="20"/>
  <c r="R55" i="17"/>
  <c r="F101" i="21"/>
  <c r="E206" i="23"/>
  <c r="G67" i="18"/>
  <c r="F67" i="18" s="1"/>
  <c r="F64" i="18"/>
  <c r="U8" i="3"/>
  <c r="W15" i="4"/>
  <c r="W13" i="4"/>
  <c r="C102" i="16"/>
  <c r="T8" i="3"/>
  <c r="W12" i="4"/>
  <c r="W16" i="4" s="1"/>
  <c r="K15" i="2" s="1"/>
  <c r="H142" i="23"/>
  <c r="I40" i="20"/>
  <c r="I141" i="23"/>
  <c r="I47" i="23"/>
  <c r="E47" i="23" s="1"/>
  <c r="J118" i="20"/>
  <c r="G132" i="21"/>
  <c r="H100" i="21"/>
  <c r="H101" i="21"/>
  <c r="K70" i="18"/>
  <c r="J32" i="23"/>
  <c r="E94" i="23"/>
  <c r="O97" i="23"/>
  <c r="E191" i="23"/>
  <c r="O107" i="23"/>
  <c r="J222" i="23"/>
  <c r="E222" i="23" s="1"/>
  <c r="J197" i="23"/>
  <c r="E197" i="23" s="1"/>
  <c r="E193" i="23"/>
  <c r="N69" i="19"/>
  <c r="O23" i="14" s="1"/>
  <c r="N36" i="19"/>
  <c r="O13" i="14" s="1"/>
  <c r="K168" i="19"/>
  <c r="K181" i="19" s="1"/>
  <c r="P85" i="19"/>
  <c r="Q28" i="14" s="1"/>
  <c r="G133" i="19"/>
  <c r="L85" i="18"/>
  <c r="E51" i="17"/>
  <c r="I36" i="18"/>
  <c r="Q21" i="20"/>
  <c r="L181" i="21"/>
  <c r="J181" i="21"/>
  <c r="P17" i="13" s="1"/>
  <c r="K181" i="21"/>
  <c r="Q17" i="13" s="1"/>
  <c r="H181" i="21"/>
  <c r="P138" i="17"/>
  <c r="Q149" i="20"/>
  <c r="M49" i="17"/>
  <c r="M140" i="17"/>
  <c r="K51" i="17"/>
  <c r="Q20" i="19"/>
  <c r="I52" i="17"/>
  <c r="I130" i="17" s="1"/>
  <c r="D15" i="15"/>
  <c r="D96" i="16"/>
  <c r="Q52" i="18"/>
  <c r="Q67" i="20"/>
  <c r="Q69" i="20" s="1"/>
  <c r="Q68" i="20"/>
  <c r="I62" i="23"/>
  <c r="E62" i="23" s="1"/>
  <c r="J166" i="20"/>
  <c r="B11" i="16"/>
  <c r="B19" i="15" s="1"/>
  <c r="P10" i="10" s="1"/>
  <c r="J11" i="16"/>
  <c r="J19" i="15" s="1"/>
  <c r="S49" i="10" s="1"/>
  <c r="I11" i="16"/>
  <c r="K11" i="16"/>
  <c r="K19" i="15" s="1"/>
  <c r="H11" i="16"/>
  <c r="C11" i="16"/>
  <c r="C19" i="15" s="1"/>
  <c r="O15" i="10" s="1"/>
  <c r="D11" i="16"/>
  <c r="D19" i="15" s="1"/>
  <c r="F11" i="16"/>
  <c r="F19" i="15" s="1"/>
  <c r="E11" i="16"/>
  <c r="E19" i="15" s="1"/>
  <c r="G11" i="16"/>
  <c r="G19" i="15" s="1"/>
  <c r="H21" i="18"/>
  <c r="I7" i="14" s="1"/>
  <c r="N20" i="20"/>
  <c r="O10" i="14" s="1"/>
  <c r="I84" i="21"/>
  <c r="I85" i="21"/>
  <c r="X48" i="14"/>
  <c r="J17" i="15"/>
  <c r="O50" i="6" s="1"/>
  <c r="X50" i="14"/>
  <c r="X47" i="14"/>
  <c r="F16" i="19"/>
  <c r="G19" i="19"/>
  <c r="F19" i="19" s="1"/>
  <c r="F104" i="18"/>
  <c r="M117" i="20"/>
  <c r="M116" i="20"/>
  <c r="Q132" i="18"/>
  <c r="I242" i="23"/>
  <c r="J168" i="20"/>
  <c r="M21" i="20"/>
  <c r="M20" i="20"/>
  <c r="N10" i="14" s="1"/>
  <c r="F96" i="20"/>
  <c r="G99" i="20"/>
  <c r="F99" i="20" s="1"/>
  <c r="H17" i="23"/>
  <c r="I22" i="20"/>
  <c r="I16" i="23"/>
  <c r="T56" i="17"/>
  <c r="T68" i="17" s="1"/>
  <c r="T73" i="17" s="1"/>
  <c r="J163" i="20"/>
  <c r="E144" i="23"/>
  <c r="G83" i="18"/>
  <c r="F83" i="18" s="1"/>
  <c r="F80" i="18"/>
  <c r="N101" i="19"/>
  <c r="O33" i="14" s="1"/>
  <c r="H22" i="23"/>
  <c r="I38" i="20"/>
  <c r="I21" i="23"/>
  <c r="G36" i="21"/>
  <c r="G37" i="21"/>
  <c r="I132" i="23"/>
  <c r="E132" i="23" s="1"/>
  <c r="J8" i="20"/>
  <c r="E131" i="23"/>
  <c r="N148" i="19"/>
  <c r="O48" i="14" s="1"/>
  <c r="O15" i="8"/>
  <c r="O15" i="4"/>
  <c r="K165" i="19"/>
  <c r="K164" i="19"/>
  <c r="L53" i="14" s="1"/>
  <c r="K136" i="18"/>
  <c r="J172" i="23"/>
  <c r="P20" i="8"/>
  <c r="W56" i="14"/>
  <c r="W52" i="4"/>
  <c r="W56" i="4" s="1"/>
  <c r="K13" i="2" s="1"/>
  <c r="W52" i="10"/>
  <c r="W52" i="6"/>
  <c r="W52" i="8"/>
  <c r="W56" i="8" s="1"/>
  <c r="W52" i="12"/>
  <c r="O50" i="17"/>
  <c r="L116" i="21"/>
  <c r="L117" i="21" s="1"/>
  <c r="P51" i="18"/>
  <c r="P52" i="18" s="1"/>
  <c r="P53" i="18"/>
  <c r="H43" i="14"/>
  <c r="O51" i="14"/>
  <c r="O47" i="10"/>
  <c r="O47" i="4"/>
  <c r="O47" i="6"/>
  <c r="O47" i="8"/>
  <c r="O181" i="18"/>
  <c r="E39" i="23"/>
  <c r="G102" i="19"/>
  <c r="J227" i="23"/>
  <c r="E227" i="23" s="1"/>
  <c r="E223" i="23"/>
  <c r="K120" i="18"/>
  <c r="L69" i="21"/>
  <c r="H55" i="17"/>
  <c r="H67" i="17"/>
  <c r="H72" i="17" s="1"/>
  <c r="E59" i="23"/>
  <c r="G102" i="20"/>
  <c r="E41" i="23"/>
  <c r="P13" i="13"/>
  <c r="W149" i="17"/>
  <c r="W143" i="17"/>
  <c r="W52" i="17"/>
  <c r="W130" i="17" s="1"/>
  <c r="W138" i="17" s="1"/>
  <c r="G115" i="18"/>
  <c r="F112" i="18"/>
  <c r="P81" i="21"/>
  <c r="M21" i="19"/>
  <c r="M20" i="19"/>
  <c r="N8" i="14" s="1"/>
  <c r="E103" i="23"/>
  <c r="F49" i="20"/>
  <c r="P179" i="21"/>
  <c r="D55" i="17"/>
  <c r="Q181" i="18"/>
  <c r="O53" i="18"/>
  <c r="P17" i="14" s="1"/>
  <c r="O122" i="23"/>
  <c r="E134" i="23"/>
  <c r="F64" i="20"/>
  <c r="G67" i="20"/>
  <c r="S55" i="17"/>
  <c r="S67" i="17" s="1"/>
  <c r="S72" i="17" s="1"/>
  <c r="E71" i="23"/>
  <c r="J68" i="21"/>
  <c r="K136" i="19"/>
  <c r="K148" i="19" s="1"/>
  <c r="L48" i="14" s="1"/>
  <c r="N36" i="18"/>
  <c r="O12" i="14" s="1"/>
  <c r="Q83" i="20"/>
  <c r="Q84" i="20" s="1"/>
  <c r="Q85" i="20"/>
  <c r="F131" i="19"/>
  <c r="F151" i="18"/>
  <c r="F164" i="18" s="1"/>
  <c r="G165" i="18"/>
  <c r="J12" i="23"/>
  <c r="K6" i="18"/>
  <c r="O232" i="23"/>
  <c r="P136" i="18"/>
  <c r="M37" i="20"/>
  <c r="M36" i="20"/>
  <c r="N15" i="14" s="1"/>
  <c r="E166" i="23"/>
  <c r="J116" i="18"/>
  <c r="K53" i="20"/>
  <c r="K52" i="20"/>
  <c r="L20" i="14" s="1"/>
  <c r="N15" i="13"/>
  <c r="E99" i="23"/>
  <c r="J117" i="23"/>
  <c r="K151" i="18"/>
  <c r="K165" i="18" s="1"/>
  <c r="E113" i="23"/>
  <c r="N53" i="8"/>
  <c r="N53" i="4"/>
  <c r="J84" i="19"/>
  <c r="K131" i="17"/>
  <c r="J138" i="17"/>
  <c r="S21" i="14"/>
  <c r="S19" i="8"/>
  <c r="S19" i="4"/>
  <c r="F114" i="17"/>
  <c r="I21" i="18"/>
  <c r="G20" i="21"/>
  <c r="G21" i="21"/>
  <c r="P181" i="20"/>
  <c r="O40" i="14"/>
  <c r="P80" i="17"/>
  <c r="P110" i="17" s="1"/>
  <c r="P90" i="17"/>
  <c r="P100" i="17"/>
  <c r="W60" i="8"/>
  <c r="F144" i="20"/>
  <c r="G147" i="20"/>
  <c r="F147" i="20" s="1"/>
  <c r="W49" i="17"/>
  <c r="O77" i="23"/>
  <c r="E77" i="23" s="1"/>
  <c r="P23" i="19"/>
  <c r="L17" i="23"/>
  <c r="M22" i="18"/>
  <c r="Q36" i="20"/>
  <c r="L69" i="19"/>
  <c r="O164" i="20"/>
  <c r="P55" i="14" s="1"/>
  <c r="C51" i="17"/>
  <c r="G97" i="16"/>
  <c r="W33" i="8" s="1"/>
  <c r="W63" i="8" s="1"/>
  <c r="W35" i="8"/>
  <c r="G95" i="16"/>
  <c r="F39" i="20"/>
  <c r="J84" i="21"/>
  <c r="J85" i="21" s="1"/>
  <c r="W42" i="4"/>
  <c r="W46" i="4" s="1"/>
  <c r="K11" i="2" s="1"/>
  <c r="F160" i="18"/>
  <c r="G163" i="18"/>
  <c r="F163" i="18" s="1"/>
  <c r="K163" i="21"/>
  <c r="K164" i="21" s="1"/>
  <c r="O167" i="23"/>
  <c r="E167" i="23" s="1"/>
  <c r="L117" i="20"/>
  <c r="J192" i="23"/>
  <c r="E192" i="23" s="1"/>
  <c r="G68" i="20"/>
  <c r="N132" i="19"/>
  <c r="O43" i="14" s="1"/>
  <c r="F179" i="19"/>
  <c r="P38" i="4"/>
  <c r="P38" i="8"/>
  <c r="O57" i="17"/>
  <c r="O69" i="17" s="1"/>
  <c r="O74" i="17" s="1"/>
  <c r="E44" i="23"/>
  <c r="W51" i="14"/>
  <c r="W47" i="12"/>
  <c r="W47" i="4"/>
  <c r="W47" i="6"/>
  <c r="W47" i="10"/>
  <c r="W47" i="8"/>
  <c r="X53" i="14"/>
  <c r="K17" i="15"/>
  <c r="O53" i="6" s="1"/>
  <c r="X52" i="14"/>
  <c r="X55" i="14"/>
  <c r="L20" i="21"/>
  <c r="P16" i="13"/>
  <c r="B98" i="16"/>
  <c r="B102" i="16" s="1"/>
  <c r="B99" i="16"/>
  <c r="W10" i="10" s="1"/>
  <c r="B100" i="16"/>
  <c r="H111" i="17"/>
  <c r="M164" i="20"/>
  <c r="M165" i="20"/>
  <c r="J152" i="23"/>
  <c r="K72" i="18"/>
  <c r="N101" i="20"/>
  <c r="D149" i="17"/>
  <c r="I164" i="18"/>
  <c r="C100" i="16"/>
  <c r="O15" i="12" s="1"/>
  <c r="C98" i="16"/>
  <c r="C99" i="16"/>
  <c r="N165" i="18"/>
  <c r="F84" i="21"/>
  <c r="E9" i="23"/>
  <c r="G6" i="19"/>
  <c r="X10" i="14"/>
  <c r="B17" i="15"/>
  <c r="W10" i="6" s="1"/>
  <c r="X7" i="14"/>
  <c r="X8" i="14"/>
  <c r="I122" i="23"/>
  <c r="E121" i="23"/>
  <c r="J167" i="20"/>
  <c r="F167" i="20" s="1"/>
  <c r="F149" i="21"/>
  <c r="K132" i="21"/>
  <c r="G68" i="21"/>
  <c r="G69" i="21"/>
  <c r="K8" i="20"/>
  <c r="K20" i="20" s="1"/>
  <c r="I164" i="21"/>
  <c r="P24" i="20"/>
  <c r="P37" i="20" s="1"/>
  <c r="E173" i="23"/>
  <c r="K152" i="18"/>
  <c r="F152" i="18" s="1"/>
  <c r="J177" i="23"/>
  <c r="E177" i="23" s="1"/>
  <c r="J132" i="23"/>
  <c r="K8" i="18"/>
  <c r="F8" i="18" s="1"/>
  <c r="J22" i="23"/>
  <c r="G19" i="18"/>
  <c r="F19" i="18" s="1"/>
  <c r="K116" i="19"/>
  <c r="K117" i="19"/>
  <c r="K101" i="19"/>
  <c r="K100" i="19"/>
  <c r="L33" i="14" s="1"/>
  <c r="L69" i="20"/>
  <c r="P165" i="18"/>
  <c r="R52" i="14" s="1"/>
  <c r="P109" i="17"/>
  <c r="H68" i="20"/>
  <c r="I25" i="14" s="1"/>
  <c r="I100" i="19"/>
  <c r="O36" i="18"/>
  <c r="P12" i="14" s="1"/>
  <c r="Q56" i="17"/>
  <c r="Q58" i="17" s="1"/>
  <c r="Q68" i="17"/>
  <c r="Q73" i="17" s="1"/>
  <c r="M37" i="19"/>
  <c r="U51" i="17"/>
  <c r="P117" i="20"/>
  <c r="Q40" i="14" s="1"/>
  <c r="W38" i="8"/>
  <c r="W38" i="4"/>
  <c r="M164" i="18"/>
  <c r="N52" i="14" s="1"/>
  <c r="F99" i="19"/>
  <c r="O133" i="18"/>
  <c r="P42" i="14" s="1"/>
  <c r="E49" i="17"/>
  <c r="N133" i="18"/>
  <c r="H132" i="19"/>
  <c r="H133" i="19"/>
  <c r="O69" i="18"/>
  <c r="P22" i="14" s="1"/>
  <c r="H85" i="20"/>
  <c r="F67" i="19"/>
  <c r="W48" i="10"/>
  <c r="W48" i="4"/>
  <c r="W48" i="8"/>
  <c r="W48" i="6"/>
  <c r="L148" i="21"/>
  <c r="L138" i="17"/>
  <c r="H68" i="18"/>
  <c r="J21" i="19"/>
  <c r="I21" i="19"/>
  <c r="L21" i="19"/>
  <c r="O21" i="19"/>
  <c r="Q21" i="19"/>
  <c r="N53" i="18"/>
  <c r="O142" i="23"/>
  <c r="F104" i="19"/>
  <c r="L84" i="21"/>
  <c r="L85" i="21"/>
  <c r="H115" i="18"/>
  <c r="H116" i="18" s="1"/>
  <c r="G56" i="17"/>
  <c r="F129" i="20"/>
  <c r="H152" i="23"/>
  <c r="I72" i="20"/>
  <c r="I151" i="23"/>
  <c r="I83" i="20"/>
  <c r="F83" i="20" s="1"/>
  <c r="L101" i="18"/>
  <c r="P177" i="21"/>
  <c r="O112" i="23"/>
  <c r="P135" i="19"/>
  <c r="M101" i="19"/>
  <c r="M100" i="19"/>
  <c r="N33" i="14" s="1"/>
  <c r="L7" i="13"/>
  <c r="L16" i="13"/>
  <c r="F103" i="19"/>
  <c r="S51" i="17"/>
  <c r="S142" i="17"/>
  <c r="U52" i="17"/>
  <c r="U130" i="17" s="1"/>
  <c r="T14" i="14"/>
  <c r="G14" i="14" s="1"/>
  <c r="U14" i="8"/>
  <c r="U14" i="4"/>
  <c r="U14" i="12"/>
  <c r="F112" i="20"/>
  <c r="G115" i="20"/>
  <c r="S52" i="17"/>
  <c r="S130" i="17" s="1"/>
  <c r="O25" i="14"/>
  <c r="E96" i="16"/>
  <c r="E15" i="15"/>
  <c r="F133" i="21"/>
  <c r="F132" i="21"/>
  <c r="I57" i="23"/>
  <c r="E57" i="23" s="1"/>
  <c r="J150" i="20"/>
  <c r="K68" i="20"/>
  <c r="K69" i="20"/>
  <c r="J69" i="21"/>
  <c r="P48" i="12"/>
  <c r="P48" i="10"/>
  <c r="P48" i="4"/>
  <c r="P48" i="6"/>
  <c r="P48" i="8"/>
  <c r="P88" i="19"/>
  <c r="O217" i="23"/>
  <c r="F119" i="20"/>
  <c r="J132" i="19"/>
  <c r="N180" i="20"/>
  <c r="O60" i="14" s="1"/>
  <c r="M180" i="20"/>
  <c r="N60" i="14" s="1"/>
  <c r="L180" i="20"/>
  <c r="O180" i="20"/>
  <c r="P60" i="14" s="1"/>
  <c r="S56" i="17"/>
  <c r="R17" i="13"/>
  <c r="F8" i="19"/>
  <c r="F80" i="20"/>
  <c r="P168" i="19"/>
  <c r="P180" i="19" s="1"/>
  <c r="F83" i="19"/>
  <c r="O20" i="14"/>
  <c r="E78" i="23"/>
  <c r="J52" i="23"/>
  <c r="E14" i="23"/>
  <c r="K22" i="19"/>
  <c r="Q52" i="17"/>
  <c r="Q130" i="17" s="1"/>
  <c r="Q138" i="17" s="1"/>
  <c r="Q143" i="17" s="1"/>
  <c r="Q149" i="17"/>
  <c r="L181" i="20"/>
  <c r="O181" i="20"/>
  <c r="N181" i="20"/>
  <c r="I50" i="17"/>
  <c r="K102" i="16"/>
  <c r="U16" i="3"/>
  <c r="W55" i="4"/>
  <c r="W53" i="4"/>
  <c r="T16" i="3"/>
  <c r="Q99" i="20"/>
  <c r="Q100" i="20"/>
  <c r="Q101" i="20"/>
  <c r="S9" i="8"/>
  <c r="W7" i="8"/>
  <c r="L36" i="18"/>
  <c r="F116" i="21"/>
  <c r="F117" i="21"/>
  <c r="G70" i="20"/>
  <c r="P101" i="17"/>
  <c r="P81" i="17"/>
  <c r="P111" i="17" s="1"/>
  <c r="P91" i="17"/>
  <c r="I133" i="21"/>
  <c r="I11" i="23"/>
  <c r="H12" i="23"/>
  <c r="I6" i="20"/>
  <c r="I82" i="23"/>
  <c r="E82" i="23" s="1"/>
  <c r="J39" i="20"/>
  <c r="F144" i="18"/>
  <c r="G147" i="18"/>
  <c r="F147" i="18" s="1"/>
  <c r="J137" i="23"/>
  <c r="E133" i="23"/>
  <c r="K24" i="18"/>
  <c r="F24" i="18" s="1"/>
  <c r="O82" i="23"/>
  <c r="C55" i="17"/>
  <c r="O181" i="19"/>
  <c r="M181" i="19"/>
  <c r="H181" i="19"/>
  <c r="J181" i="19"/>
  <c r="I181" i="19"/>
  <c r="Q181" i="19"/>
  <c r="L181" i="19"/>
  <c r="J116" i="17"/>
  <c r="J137" i="17" s="1"/>
  <c r="J127" i="17"/>
  <c r="W55" i="8"/>
  <c r="W53" i="8"/>
  <c r="V91" i="17"/>
  <c r="V111" i="17"/>
  <c r="V101" i="17"/>
  <c r="V81" i="17"/>
  <c r="I51" i="23"/>
  <c r="I134" i="20"/>
  <c r="H52" i="23"/>
  <c r="W7" i="4"/>
  <c r="S9" i="4"/>
  <c r="U7" i="3"/>
  <c r="T7" i="3"/>
  <c r="J102" i="16"/>
  <c r="T15" i="3"/>
  <c r="S49" i="4"/>
  <c r="U15" i="3"/>
  <c r="F113" i="20"/>
  <c r="G131" i="20"/>
  <c r="F128" i="20"/>
  <c r="Q35" i="19"/>
  <c r="Q37" i="19" s="1"/>
  <c r="Q36" i="19"/>
  <c r="I232" i="23"/>
  <c r="E232" i="23" s="1"/>
  <c r="J136" i="20"/>
  <c r="F136" i="20" s="1"/>
  <c r="E168" i="23"/>
  <c r="K131" i="21"/>
  <c r="P115" i="21"/>
  <c r="P68" i="20"/>
  <c r="I132" i="21"/>
  <c r="G132" i="18"/>
  <c r="H42" i="14" s="1"/>
  <c r="E79" i="23"/>
  <c r="K39" i="19"/>
  <c r="Q84" i="18"/>
  <c r="F51" i="19"/>
  <c r="F118" i="19"/>
  <c r="M50" i="17"/>
  <c r="M141" i="17"/>
  <c r="N100" i="18"/>
  <c r="O32" i="14" s="1"/>
  <c r="G134" i="20"/>
  <c r="S51" i="8"/>
  <c r="J57" i="23"/>
  <c r="K84" i="20"/>
  <c r="K85" i="20"/>
  <c r="E201" i="23"/>
  <c r="F160" i="20"/>
  <c r="G163" i="20"/>
  <c r="F163" i="20" s="1"/>
  <c r="K36" i="21"/>
  <c r="P35" i="21" s="1"/>
  <c r="F176" i="18"/>
  <c r="G179" i="18"/>
  <c r="F179" i="18" s="1"/>
  <c r="E24" i="23"/>
  <c r="G54" i="19"/>
  <c r="E119" i="23"/>
  <c r="K167" i="19"/>
  <c r="F167" i="19" s="1"/>
  <c r="T79" i="17"/>
  <c r="T99" i="17"/>
  <c r="T89" i="17"/>
  <c r="T109" i="17"/>
  <c r="M52" i="17"/>
  <c r="M130" i="17" s="1"/>
  <c r="M138" i="17" s="1"/>
  <c r="M143" i="17" s="1"/>
  <c r="D97" i="16"/>
  <c r="U19" i="8" s="1"/>
  <c r="W18" i="8"/>
  <c r="D95" i="16"/>
  <c r="O18" i="4" s="1"/>
  <c r="W17" i="8"/>
  <c r="W20" i="8"/>
  <c r="E49" i="23"/>
  <c r="G134" i="19"/>
  <c r="K84" i="21"/>
  <c r="P70" i="21" s="1"/>
  <c r="F65" i="20"/>
  <c r="H32" i="23"/>
  <c r="I31" i="23"/>
  <c r="E31" i="23" s="1"/>
  <c r="I70" i="20"/>
  <c r="H51" i="20"/>
  <c r="H53" i="20" s="1"/>
  <c r="I149" i="21"/>
  <c r="G133" i="21"/>
  <c r="L52" i="23"/>
  <c r="M134" i="18"/>
  <c r="F134" i="18" s="1"/>
  <c r="E48" i="23"/>
  <c r="E16" i="23"/>
  <c r="G22" i="20"/>
  <c r="K24" i="20"/>
  <c r="I100" i="21"/>
  <c r="M132" i="20"/>
  <c r="M133" i="20"/>
  <c r="G84" i="21"/>
  <c r="I116" i="21"/>
  <c r="P180" i="20"/>
  <c r="O172" i="23"/>
  <c r="J217" i="23"/>
  <c r="E217" i="23" s="1"/>
  <c r="E213" i="23"/>
  <c r="E178" i="23"/>
  <c r="J182" i="23"/>
  <c r="E182" i="23" s="1"/>
  <c r="K168" i="18"/>
  <c r="F168" i="18" s="1"/>
  <c r="E211" i="23"/>
  <c r="O69" i="19"/>
  <c r="P23" i="14" s="1"/>
  <c r="H181" i="20"/>
  <c r="H180" i="20"/>
  <c r="I60" i="14" s="1"/>
  <c r="E136" i="23"/>
  <c r="V138" i="17"/>
  <c r="W131" i="17"/>
  <c r="E104" i="23"/>
  <c r="K119" i="19"/>
  <c r="F119" i="19" s="1"/>
  <c r="Q181" i="20"/>
  <c r="G133" i="18"/>
  <c r="H20" i="20"/>
  <c r="I10" i="14" s="1"/>
  <c r="V56" i="17"/>
  <c r="V68" i="17"/>
  <c r="V73" i="17" s="1"/>
  <c r="L37" i="19"/>
  <c r="S56" i="14"/>
  <c r="S54" i="4"/>
  <c r="S54" i="8"/>
  <c r="W37" i="4"/>
  <c r="W41" i="14"/>
  <c r="W37" i="8"/>
  <c r="H96" i="16"/>
  <c r="H21" i="15"/>
  <c r="H15" i="15"/>
  <c r="H19" i="15"/>
  <c r="E52" i="17"/>
  <c r="E130" i="17" s="1"/>
  <c r="R57" i="17"/>
  <c r="R69" i="17" s="1"/>
  <c r="R74" i="17" s="1"/>
  <c r="P100" i="18"/>
  <c r="P164" i="20"/>
  <c r="M180" i="19"/>
  <c r="P18" i="14"/>
  <c r="X15" i="14"/>
  <c r="X12" i="14"/>
  <c r="X13" i="14"/>
  <c r="C17" i="15"/>
  <c r="I13" i="6" s="1"/>
  <c r="G51" i="17"/>
  <c r="W10" i="8"/>
  <c r="W10" i="4"/>
  <c r="G149" i="21"/>
  <c r="G148" i="21"/>
  <c r="Q164" i="20"/>
  <c r="G180" i="21"/>
  <c r="M100" i="18"/>
  <c r="N32" i="14" s="1"/>
  <c r="J148" i="18"/>
  <c r="L132" i="18"/>
  <c r="L117" i="18"/>
  <c r="E29" i="23"/>
  <c r="G70" i="19"/>
  <c r="J20" i="21"/>
  <c r="J21" i="21" s="1"/>
  <c r="F36" i="21"/>
  <c r="L116" i="18"/>
  <c r="J147" i="20"/>
  <c r="X33" i="14"/>
  <c r="G17" i="15"/>
  <c r="X35" i="14"/>
  <c r="X32" i="14"/>
  <c r="W26" i="14"/>
  <c r="K99" i="21"/>
  <c r="I26" i="23"/>
  <c r="E26" i="23" s="1"/>
  <c r="H27" i="23"/>
  <c r="I54" i="20"/>
  <c r="J147" i="23"/>
  <c r="K56" i="18"/>
  <c r="I51" i="14"/>
  <c r="I47" i="10"/>
  <c r="I47" i="4"/>
  <c r="I47" i="8"/>
  <c r="I47" i="6"/>
  <c r="K49" i="17"/>
  <c r="Q51" i="20"/>
  <c r="Q52" i="20" s="1"/>
  <c r="Q53" i="20"/>
  <c r="F128" i="18"/>
  <c r="G131" i="18"/>
  <c r="F131" i="18" s="1"/>
  <c r="E46" i="23"/>
  <c r="G118" i="20"/>
  <c r="O117" i="23"/>
  <c r="P151" i="19"/>
  <c r="L27" i="23"/>
  <c r="M54" i="18"/>
  <c r="J52" i="21"/>
  <c r="P21" i="20"/>
  <c r="F166" i="19"/>
  <c r="G181" i="19"/>
  <c r="L37" i="23"/>
  <c r="N35" i="4"/>
  <c r="Q69" i="17"/>
  <c r="Q74" i="17" s="1"/>
  <c r="T54" i="14"/>
  <c r="U54" i="12"/>
  <c r="U54" i="4"/>
  <c r="U54" i="8"/>
  <c r="H69" i="18"/>
  <c r="H149" i="20"/>
  <c r="G99" i="18"/>
  <c r="F99" i="18" s="1"/>
  <c r="F96" i="18"/>
  <c r="J62" i="23"/>
  <c r="K166" i="18"/>
  <c r="F166" i="18" s="1"/>
  <c r="P40" i="14"/>
  <c r="L67" i="17"/>
  <c r="L72" i="17" s="1"/>
  <c r="P35" i="14"/>
  <c r="J115" i="20"/>
  <c r="P132" i="20"/>
  <c r="P133" i="20"/>
  <c r="P57" i="14"/>
  <c r="Q149" i="18"/>
  <c r="F57" i="17"/>
  <c r="P72" i="21"/>
  <c r="F104" i="20"/>
  <c r="E162" i="23"/>
  <c r="K152" i="20"/>
  <c r="F152" i="20" s="1"/>
  <c r="E176" i="23"/>
  <c r="P149" i="20"/>
  <c r="P52" i="20"/>
  <c r="P7" i="14"/>
  <c r="S26" i="14"/>
  <c r="J180" i="18"/>
  <c r="Q12" i="12"/>
  <c r="Q12" i="6"/>
  <c r="Q12" i="10"/>
  <c r="Q12" i="8"/>
  <c r="Q12" i="4"/>
  <c r="I38" i="14"/>
  <c r="I181" i="18"/>
  <c r="F72" i="18"/>
  <c r="W51" i="17"/>
  <c r="E111" i="23"/>
  <c r="J55" i="20"/>
  <c r="F55" i="20" s="1"/>
  <c r="I87" i="23"/>
  <c r="E87" i="23" s="1"/>
  <c r="O22" i="14"/>
  <c r="S36" i="14"/>
  <c r="S34" i="4"/>
  <c r="K20" i="19"/>
  <c r="K21" i="19"/>
  <c r="I142" i="17"/>
  <c r="I51" i="17"/>
  <c r="H101" i="18"/>
  <c r="H100" i="18"/>
  <c r="I32" i="14" s="1"/>
  <c r="I72" i="23"/>
  <c r="J7" i="20"/>
  <c r="F7" i="20" s="1"/>
  <c r="C50" i="17"/>
  <c r="P84" i="18"/>
  <c r="W50" i="10"/>
  <c r="W50" i="8"/>
  <c r="W50" i="6"/>
  <c r="W50" i="4"/>
  <c r="J117" i="21"/>
  <c r="O102" i="23"/>
  <c r="P103" i="19"/>
  <c r="J133" i="21"/>
  <c r="M148" i="19"/>
  <c r="N48" i="14" s="1"/>
  <c r="L37" i="21"/>
  <c r="K168" i="20"/>
  <c r="K180" i="20" s="1"/>
  <c r="J100" i="21"/>
  <c r="J101" i="21"/>
  <c r="L47" i="23"/>
  <c r="M118" i="18"/>
  <c r="N18" i="14"/>
  <c r="G38" i="20"/>
  <c r="F166" i="20"/>
  <c r="P72" i="20"/>
  <c r="P85" i="20" s="1"/>
  <c r="O152" i="23"/>
  <c r="J72" i="23"/>
  <c r="K7" i="18"/>
  <c r="F7" i="18" s="1"/>
  <c r="E68" i="23"/>
  <c r="J157" i="23"/>
  <c r="K88" i="18"/>
  <c r="F88" i="18" s="1"/>
  <c r="E153" i="23"/>
  <c r="E139" i="23"/>
  <c r="H85" i="19"/>
  <c r="H84" i="19"/>
  <c r="I28" i="14" s="1"/>
  <c r="E181" i="23"/>
  <c r="N117" i="19"/>
  <c r="O38" i="14" s="1"/>
  <c r="N180" i="18"/>
  <c r="O57" i="14" s="1"/>
  <c r="G131" i="17"/>
  <c r="F138" i="17"/>
  <c r="E174" i="23"/>
  <c r="K152" i="19"/>
  <c r="F152" i="19" s="1"/>
  <c r="E149" i="23"/>
  <c r="K72" i="19"/>
  <c r="F72" i="19" s="1"/>
  <c r="N165" i="20"/>
  <c r="O55" i="14" s="1"/>
  <c r="F38" i="19"/>
  <c r="P133" i="18"/>
  <c r="R42" i="14" s="1"/>
  <c r="I149" i="19"/>
  <c r="T39" i="14"/>
  <c r="U39" i="4"/>
  <c r="U39" i="8"/>
  <c r="N85" i="18"/>
  <c r="O27" i="14" s="1"/>
  <c r="H165" i="18"/>
  <c r="S44" i="8"/>
  <c r="W45" i="8"/>
  <c r="W42" i="8"/>
  <c r="W43" i="8"/>
  <c r="L53" i="18"/>
  <c r="F163" i="19"/>
  <c r="N57" i="17"/>
  <c r="R7" i="14"/>
  <c r="Q7" i="14"/>
  <c r="G149" i="17"/>
  <c r="G52" i="17"/>
  <c r="G130" i="17" s="1"/>
  <c r="G138" i="17" s="1"/>
  <c r="G143" i="17" s="1"/>
  <c r="W11" i="14"/>
  <c r="W8" i="10"/>
  <c r="W8" i="12"/>
  <c r="W8" i="6"/>
  <c r="W8" i="8"/>
  <c r="W8" i="4"/>
  <c r="E38" i="23"/>
  <c r="G102" i="18"/>
  <c r="F42" i="23"/>
  <c r="N149" i="20"/>
  <c r="E56" i="17"/>
  <c r="E68" i="17" s="1"/>
  <c r="E73" i="17" s="1"/>
  <c r="G116" i="21"/>
  <c r="F136" i="19"/>
  <c r="P21" i="18"/>
  <c r="I86" i="20"/>
  <c r="H37" i="23"/>
  <c r="I36" i="23"/>
  <c r="E179" i="23"/>
  <c r="L36" i="21"/>
  <c r="I55" i="17"/>
  <c r="H53" i="21"/>
  <c r="H35" i="18"/>
  <c r="H36" i="18" s="1"/>
  <c r="I133" i="18"/>
  <c r="I132" i="18"/>
  <c r="E101" i="23"/>
  <c r="F37" i="21"/>
  <c r="J131" i="20"/>
  <c r="I115" i="20"/>
  <c r="G69" i="18"/>
  <c r="F56" i="18"/>
  <c r="G68" i="18"/>
  <c r="H22" i="14" s="1"/>
  <c r="L52" i="21"/>
  <c r="L53" i="21"/>
  <c r="J162" i="23"/>
  <c r="K104" i="18"/>
  <c r="R56" i="17"/>
  <c r="R68" i="17"/>
  <c r="R73" i="17" s="1"/>
  <c r="R57" i="14"/>
  <c r="Q57" i="14"/>
  <c r="T24" i="14"/>
  <c r="U24" i="4"/>
  <c r="P53" i="4"/>
  <c r="P53" i="8"/>
  <c r="H36" i="21"/>
  <c r="P120" i="21"/>
  <c r="I165" i="20"/>
  <c r="I164" i="20"/>
  <c r="P14" i="13"/>
  <c r="R50" i="14"/>
  <c r="Q50" i="14"/>
  <c r="K23" i="19"/>
  <c r="F23" i="19" s="1"/>
  <c r="E74" i="23"/>
  <c r="I107" i="23"/>
  <c r="E107" i="23" s="1"/>
  <c r="J119" i="20"/>
  <c r="G19" i="20"/>
  <c r="F16" i="20"/>
  <c r="J37" i="21"/>
  <c r="J36" i="21"/>
  <c r="E146" i="23"/>
  <c r="J207" i="23"/>
  <c r="E207" i="23" s="1"/>
  <c r="E203" i="23"/>
  <c r="F115" i="19"/>
  <c r="E242" i="23"/>
  <c r="O72" i="23"/>
  <c r="E72" i="23" s="1"/>
  <c r="P7" i="19"/>
  <c r="E216" i="23"/>
  <c r="K88" i="20"/>
  <c r="O227" i="23"/>
  <c r="J17" i="23"/>
  <c r="K22" i="18"/>
  <c r="H148" i="20"/>
  <c r="I50" i="14" s="1"/>
  <c r="L100" i="21"/>
  <c r="L101" i="21" s="1"/>
  <c r="J42" i="23"/>
  <c r="K102" i="18"/>
  <c r="F12" i="23"/>
  <c r="E8" i="23"/>
  <c r="G6" i="18"/>
  <c r="E34" i="23"/>
  <c r="F37" i="23"/>
  <c r="G86" i="19"/>
  <c r="E54" i="23"/>
  <c r="J97" i="23"/>
  <c r="E97" i="23" s="1"/>
  <c r="E93" i="23"/>
  <c r="K87" i="18"/>
  <c r="E84" i="23"/>
  <c r="P51" i="14"/>
  <c r="P47" i="10"/>
  <c r="P47" i="6"/>
  <c r="P47" i="4"/>
  <c r="P47" i="8"/>
  <c r="C52" i="17"/>
  <c r="C130" i="17" s="1"/>
  <c r="Q115" i="20"/>
  <c r="Q117" i="20" s="1"/>
  <c r="S16" i="14"/>
  <c r="S14" i="4"/>
  <c r="S14" i="8"/>
  <c r="H164" i="18"/>
  <c r="L132" i="20"/>
  <c r="I55" i="14"/>
  <c r="G148" i="18"/>
  <c r="H47" i="14" s="1"/>
  <c r="G149" i="18"/>
  <c r="P104" i="21"/>
  <c r="M57" i="17"/>
  <c r="M69" i="17" s="1"/>
  <c r="M74" i="17" s="1"/>
  <c r="F145" i="20"/>
  <c r="P113" i="21"/>
  <c r="P69" i="19"/>
  <c r="Q23" i="14" s="1"/>
  <c r="O162" i="23"/>
  <c r="P166" i="21"/>
  <c r="I162" i="23"/>
  <c r="J104" i="20"/>
  <c r="P8" i="20"/>
  <c r="J87" i="23"/>
  <c r="K55" i="18"/>
  <c r="F55" i="18" s="1"/>
  <c r="E158" i="23"/>
  <c r="E109" i="23"/>
  <c r="K51" i="21"/>
  <c r="K52" i="21" s="1"/>
  <c r="O15" i="13"/>
  <c r="P168" i="21"/>
  <c r="F17" i="23"/>
  <c r="E13" i="23"/>
  <c r="G22" i="18"/>
  <c r="E171" i="23"/>
  <c r="K136" i="20"/>
  <c r="K149" i="20" s="1"/>
  <c r="E154" i="23"/>
  <c r="K148" i="21"/>
  <c r="M52" i="20"/>
  <c r="M53" i="20"/>
  <c r="G181" i="20"/>
  <c r="K19" i="21"/>
  <c r="J112" i="23"/>
  <c r="E108" i="23"/>
  <c r="K135" i="18"/>
  <c r="J242" i="23"/>
  <c r="O92" i="23"/>
  <c r="I20" i="21"/>
  <c r="L101" i="20"/>
  <c r="P20" i="20"/>
  <c r="G53" i="19"/>
  <c r="H53" i="19"/>
  <c r="I18" i="14" s="1"/>
  <c r="Q148" i="20"/>
  <c r="F180" i="21"/>
  <c r="F181" i="21" s="1"/>
  <c r="L57" i="17"/>
  <c r="L69" i="17"/>
  <c r="L74" i="17" s="1"/>
  <c r="K85" i="19"/>
  <c r="K84" i="19"/>
  <c r="L28" i="14" s="1"/>
  <c r="N55" i="17"/>
  <c r="N67" i="17"/>
  <c r="N72" i="17" s="1"/>
  <c r="H84" i="18"/>
  <c r="I15" i="15"/>
  <c r="I96" i="16"/>
  <c r="I19" i="15"/>
  <c r="I100" i="18"/>
  <c r="U49" i="17"/>
  <c r="O49" i="17"/>
  <c r="L68" i="17"/>
  <c r="L73" i="17" s="1"/>
  <c r="F150" i="19"/>
  <c r="J164" i="19"/>
  <c r="H95" i="16"/>
  <c r="F69" i="21"/>
  <c r="L10" i="13" s="1"/>
  <c r="N37" i="14"/>
  <c r="G49" i="17"/>
  <c r="I41" i="23"/>
  <c r="H42" i="23"/>
  <c r="I102" i="20"/>
  <c r="I48" i="10"/>
  <c r="I48" i="6"/>
  <c r="I48" i="12"/>
  <c r="I48" i="8"/>
  <c r="I48" i="4"/>
  <c r="H157" i="23"/>
  <c r="I156" i="23"/>
  <c r="I88" i="20"/>
  <c r="M181" i="18"/>
  <c r="N57" i="14" s="1"/>
  <c r="I116" i="18"/>
  <c r="J71" i="20"/>
  <c r="F71" i="20" s="1"/>
  <c r="I92" i="23"/>
  <c r="E92" i="23" s="1"/>
  <c r="H51" i="18"/>
  <c r="H56" i="17"/>
  <c r="H68" i="17"/>
  <c r="H73" i="17" s="1"/>
  <c r="J133" i="18"/>
  <c r="J132" i="18"/>
  <c r="I102" i="23"/>
  <c r="E102" i="23" s="1"/>
  <c r="J103" i="20"/>
  <c r="F103" i="20" s="1"/>
  <c r="K68" i="21"/>
  <c r="P85" i="18"/>
  <c r="S61" i="14"/>
  <c r="S59" i="8"/>
  <c r="J51" i="20"/>
  <c r="I19" i="20"/>
  <c r="W13" i="8"/>
  <c r="G96" i="16"/>
  <c r="P33" i="21"/>
  <c r="R52" i="10" l="1"/>
  <c r="R52" i="6"/>
  <c r="R52" i="12"/>
  <c r="R52" i="8"/>
  <c r="R52" i="4"/>
  <c r="E22" i="23"/>
  <c r="R42" i="4"/>
  <c r="R42" i="8"/>
  <c r="R42" i="6"/>
  <c r="O33" i="10"/>
  <c r="O63" i="10" s="1"/>
  <c r="O33" i="4"/>
  <c r="O33" i="8"/>
  <c r="O63" i="8" s="1"/>
  <c r="L10" i="7"/>
  <c r="L10" i="11"/>
  <c r="L10" i="9"/>
  <c r="L10" i="3"/>
  <c r="L10" i="5"/>
  <c r="P46" i="14"/>
  <c r="P42" i="8"/>
  <c r="P42" i="4"/>
  <c r="O55" i="10"/>
  <c r="O55" i="6"/>
  <c r="O55" i="12"/>
  <c r="O55" i="4"/>
  <c r="O55" i="8"/>
  <c r="P155" i="21"/>
  <c r="P158" i="21"/>
  <c r="P157" i="21"/>
  <c r="P156" i="21"/>
  <c r="P160" i="21"/>
  <c r="P153" i="21"/>
  <c r="P154" i="21"/>
  <c r="P159" i="21"/>
  <c r="P162" i="21"/>
  <c r="P151" i="21"/>
  <c r="P152" i="21"/>
  <c r="P161" i="21"/>
  <c r="P150" i="21"/>
  <c r="R18" i="12"/>
  <c r="R18" i="4"/>
  <c r="R18" i="6"/>
  <c r="R18" i="8"/>
  <c r="N136" i="17"/>
  <c r="N57" i="10"/>
  <c r="N57" i="8"/>
  <c r="N57" i="4"/>
  <c r="P23" i="10"/>
  <c r="P23" i="4"/>
  <c r="P23" i="8"/>
  <c r="Q58" i="14"/>
  <c r="R58" i="14"/>
  <c r="N38" i="8"/>
  <c r="N38" i="4"/>
  <c r="B114" i="17"/>
  <c r="B125" i="17" s="1"/>
  <c r="L23" i="4"/>
  <c r="L23" i="8"/>
  <c r="L23" i="10"/>
  <c r="E100" i="17"/>
  <c r="E80" i="17"/>
  <c r="E110" i="17" s="1"/>
  <c r="E90" i="17"/>
  <c r="W45" i="12"/>
  <c r="S44" i="12"/>
  <c r="W42" i="12"/>
  <c r="W43" i="12"/>
  <c r="N16" i="13"/>
  <c r="H165" i="21"/>
  <c r="I18" i="8"/>
  <c r="I18" i="12"/>
  <c r="I18" i="4"/>
  <c r="F180" i="18"/>
  <c r="F181" i="18"/>
  <c r="F148" i="18"/>
  <c r="F149" i="18"/>
  <c r="P21" i="14"/>
  <c r="P17" i="12"/>
  <c r="P17" i="6"/>
  <c r="P17" i="4"/>
  <c r="P17" i="8"/>
  <c r="T90" i="17"/>
  <c r="T100" i="17"/>
  <c r="T80" i="17"/>
  <c r="W22" i="10"/>
  <c r="S24" i="10"/>
  <c r="P25" i="10"/>
  <c r="U24" i="10"/>
  <c r="O10" i="9"/>
  <c r="N23" i="10"/>
  <c r="N25" i="10"/>
  <c r="W25" i="10"/>
  <c r="Q28" i="4"/>
  <c r="Q28" i="8"/>
  <c r="S89" i="17"/>
  <c r="S109" i="17" s="1"/>
  <c r="S99" i="17"/>
  <c r="S79" i="17"/>
  <c r="W18" i="12"/>
  <c r="W17" i="12"/>
  <c r="W20" i="12"/>
  <c r="O9" i="11"/>
  <c r="U19" i="12"/>
  <c r="P20" i="12"/>
  <c r="I40" i="4"/>
  <c r="I40" i="8"/>
  <c r="P136" i="17"/>
  <c r="W28" i="12"/>
  <c r="O30" i="12"/>
  <c r="L9" i="11"/>
  <c r="L9" i="7"/>
  <c r="L9" i="3"/>
  <c r="M91" i="17"/>
  <c r="M81" i="17"/>
  <c r="M101" i="17"/>
  <c r="O101" i="17"/>
  <c r="O91" i="17"/>
  <c r="O81" i="17"/>
  <c r="O111" i="17" s="1"/>
  <c r="P115" i="17"/>
  <c r="P126" i="17"/>
  <c r="Q40" i="8"/>
  <c r="Q40" i="4"/>
  <c r="R17" i="14"/>
  <c r="Q17" i="14"/>
  <c r="P17" i="7"/>
  <c r="P17" i="3"/>
  <c r="S24" i="12"/>
  <c r="P25" i="12"/>
  <c r="N25" i="12"/>
  <c r="W25" i="12"/>
  <c r="O38" i="8"/>
  <c r="O38" i="4"/>
  <c r="R14" i="7"/>
  <c r="R14" i="3"/>
  <c r="T148" i="17"/>
  <c r="T142" i="17"/>
  <c r="O31" i="14"/>
  <c r="O27" i="12"/>
  <c r="O27" i="10"/>
  <c r="O31" i="10" s="1"/>
  <c r="O27" i="8"/>
  <c r="O31" i="8" s="1"/>
  <c r="O27" i="6"/>
  <c r="O27" i="4"/>
  <c r="O31" i="4" s="1"/>
  <c r="W27" i="10"/>
  <c r="P27" i="10"/>
  <c r="O30" i="10"/>
  <c r="P28" i="10"/>
  <c r="P15" i="11"/>
  <c r="P15" i="7"/>
  <c r="P15" i="3"/>
  <c r="P15" i="9"/>
  <c r="P15" i="5"/>
  <c r="Q23" i="12"/>
  <c r="Q23" i="10"/>
  <c r="Q23" i="8"/>
  <c r="Q23" i="4"/>
  <c r="P127" i="17"/>
  <c r="P116" i="17"/>
  <c r="R81" i="17"/>
  <c r="R101" i="17"/>
  <c r="R91" i="17"/>
  <c r="R111" i="17"/>
  <c r="P43" i="21"/>
  <c r="P41" i="21"/>
  <c r="P47" i="21"/>
  <c r="P45" i="21"/>
  <c r="Q9" i="13"/>
  <c r="P39" i="21"/>
  <c r="P40" i="21"/>
  <c r="P46" i="21"/>
  <c r="P50" i="21"/>
  <c r="P48" i="21"/>
  <c r="P44" i="21"/>
  <c r="P42" i="21"/>
  <c r="P49" i="21"/>
  <c r="P38" i="21"/>
  <c r="P22" i="12"/>
  <c r="P26" i="14"/>
  <c r="P22" i="10"/>
  <c r="P22" i="8"/>
  <c r="P26" i="8" s="1"/>
  <c r="P22" i="4"/>
  <c r="P26" i="4" s="1"/>
  <c r="G9" i="2" s="1"/>
  <c r="I11" i="14"/>
  <c r="I7" i="12"/>
  <c r="I11" i="12" s="1"/>
  <c r="I7" i="6"/>
  <c r="I11" i="6" s="1"/>
  <c r="I7" i="8"/>
  <c r="I7" i="10"/>
  <c r="I7" i="4"/>
  <c r="I33" i="4"/>
  <c r="I33" i="8"/>
  <c r="I63" i="8" s="1"/>
  <c r="I33" i="6"/>
  <c r="I63" i="6" s="1"/>
  <c r="N115" i="17"/>
  <c r="N126" i="17" s="1"/>
  <c r="Q17" i="7"/>
  <c r="Q17" i="3"/>
  <c r="Q17" i="9"/>
  <c r="L48" i="10"/>
  <c r="L48" i="6"/>
  <c r="L48" i="4"/>
  <c r="L48" i="8"/>
  <c r="L48" i="12"/>
  <c r="K181" i="20"/>
  <c r="L60" i="14" s="1"/>
  <c r="P13" i="7"/>
  <c r="P13" i="3"/>
  <c r="R28" i="12"/>
  <c r="R28" i="6"/>
  <c r="R28" i="8"/>
  <c r="R28" i="4"/>
  <c r="I20" i="20"/>
  <c r="I21" i="20"/>
  <c r="R15" i="13"/>
  <c r="W56" i="17"/>
  <c r="W68" i="17"/>
  <c r="W73" i="17" s="1"/>
  <c r="P9" i="13"/>
  <c r="S39" i="12"/>
  <c r="W40" i="12"/>
  <c r="G117" i="20"/>
  <c r="G116" i="20"/>
  <c r="O10" i="12"/>
  <c r="O10" i="4"/>
  <c r="O10" i="6"/>
  <c r="O10" i="8"/>
  <c r="O10" i="10"/>
  <c r="G181" i="18"/>
  <c r="O46" i="14"/>
  <c r="O42" i="4"/>
  <c r="O46" i="4" s="1"/>
  <c r="O42" i="10"/>
  <c r="O42" i="8"/>
  <c r="O46" i="8" s="1"/>
  <c r="O42" i="6"/>
  <c r="G99" i="16"/>
  <c r="P33" i="10" s="1"/>
  <c r="P63" i="10" s="1"/>
  <c r="G100" i="16"/>
  <c r="L33" i="12" s="1"/>
  <c r="L63" i="12" s="1"/>
  <c r="G98" i="16"/>
  <c r="P33" i="6" s="1"/>
  <c r="P63" i="6" s="1"/>
  <c r="Q101" i="17"/>
  <c r="Q81" i="17"/>
  <c r="Q91" i="17"/>
  <c r="Q111" i="17"/>
  <c r="X13" i="4"/>
  <c r="X13" i="6"/>
  <c r="X13" i="8"/>
  <c r="X13" i="10"/>
  <c r="X13" i="12"/>
  <c r="I12" i="23"/>
  <c r="J6" i="20"/>
  <c r="H51" i="14"/>
  <c r="H47" i="12"/>
  <c r="H47" i="4"/>
  <c r="H47" i="6"/>
  <c r="H47" i="10"/>
  <c r="H47" i="8"/>
  <c r="K165" i="21"/>
  <c r="I10" i="10"/>
  <c r="I10" i="6"/>
  <c r="I10" i="4"/>
  <c r="I10" i="8"/>
  <c r="I10" i="12"/>
  <c r="I25" i="4"/>
  <c r="I25" i="8"/>
  <c r="I25" i="10"/>
  <c r="H89" i="17"/>
  <c r="H109" i="17"/>
  <c r="H99" i="17"/>
  <c r="H79" i="17"/>
  <c r="I53" i="20"/>
  <c r="I52" i="20"/>
  <c r="I45" i="10"/>
  <c r="I45" i="8"/>
  <c r="I45" i="4"/>
  <c r="U49" i="12"/>
  <c r="N20" i="14"/>
  <c r="N21" i="14" s="1"/>
  <c r="P51" i="4"/>
  <c r="G7" i="2" s="1"/>
  <c r="E12" i="23"/>
  <c r="K164" i="20"/>
  <c r="L55" i="14" s="1"/>
  <c r="T24" i="8"/>
  <c r="T24" i="4"/>
  <c r="S24" i="8"/>
  <c r="N23" i="8"/>
  <c r="X15" i="12"/>
  <c r="X15" i="10"/>
  <c r="X15" i="8"/>
  <c r="X15" i="4"/>
  <c r="X15" i="6"/>
  <c r="W37" i="10"/>
  <c r="I52" i="23"/>
  <c r="E52" i="23" s="1"/>
  <c r="J134" i="20"/>
  <c r="J165" i="20"/>
  <c r="J164" i="20"/>
  <c r="N33" i="4"/>
  <c r="N33" i="6"/>
  <c r="N63" i="6" s="1"/>
  <c r="N33" i="8"/>
  <c r="N63" i="8" s="1"/>
  <c r="W48" i="12"/>
  <c r="W51" i="12" s="1"/>
  <c r="N52" i="12"/>
  <c r="N52" i="10"/>
  <c r="N52" i="6"/>
  <c r="N52" i="8"/>
  <c r="N52" i="4"/>
  <c r="N15" i="9"/>
  <c r="N15" i="7"/>
  <c r="N15" i="11"/>
  <c r="N15" i="5"/>
  <c r="N15" i="3"/>
  <c r="O16" i="14"/>
  <c r="O12" i="4"/>
  <c r="O16" i="4" s="1"/>
  <c r="O12" i="10"/>
  <c r="O16" i="10" s="1"/>
  <c r="O12" i="12"/>
  <c r="O12" i="6"/>
  <c r="O12" i="8"/>
  <c r="O16" i="8" s="1"/>
  <c r="G101" i="20"/>
  <c r="Q131" i="17"/>
  <c r="W27" i="4"/>
  <c r="U11" i="3"/>
  <c r="T11" i="3"/>
  <c r="S29" i="4"/>
  <c r="W28" i="4"/>
  <c r="W30" i="4"/>
  <c r="G165" i="21"/>
  <c r="T34" i="14"/>
  <c r="U34" i="8"/>
  <c r="U64" i="8" s="1"/>
  <c r="U34" i="6"/>
  <c r="U64" i="6" s="1"/>
  <c r="U34" i="4"/>
  <c r="I15" i="12"/>
  <c r="I15" i="6"/>
  <c r="I15" i="10"/>
  <c r="I15" i="4"/>
  <c r="I15" i="8"/>
  <c r="N7" i="13"/>
  <c r="P15" i="10"/>
  <c r="I42" i="8"/>
  <c r="I46" i="14"/>
  <c r="I42" i="4"/>
  <c r="I42" i="10"/>
  <c r="O35" i="6"/>
  <c r="O65" i="6" s="1"/>
  <c r="O35" i="4"/>
  <c r="O35" i="8"/>
  <c r="O65" i="8" s="1"/>
  <c r="P137" i="21"/>
  <c r="P146" i="21"/>
  <c r="P140" i="21"/>
  <c r="Q15" i="13"/>
  <c r="P134" i="21"/>
  <c r="P141" i="21"/>
  <c r="P144" i="21"/>
  <c r="P135" i="21"/>
  <c r="P139" i="21"/>
  <c r="P142" i="21"/>
  <c r="P138" i="21"/>
  <c r="P143" i="21"/>
  <c r="K149" i="21"/>
  <c r="I55" i="12"/>
  <c r="I55" i="6"/>
  <c r="I55" i="4"/>
  <c r="I55" i="10"/>
  <c r="I55" i="8"/>
  <c r="P51" i="6"/>
  <c r="K116" i="18"/>
  <c r="L37" i="14" s="1"/>
  <c r="K117" i="18"/>
  <c r="K165" i="20"/>
  <c r="Q61" i="14"/>
  <c r="Q57" i="10"/>
  <c r="Q57" i="4"/>
  <c r="Q57" i="8"/>
  <c r="I100" i="20"/>
  <c r="I101" i="20"/>
  <c r="N23" i="4"/>
  <c r="P164" i="19"/>
  <c r="F151" i="19"/>
  <c r="F164" i="19" s="1"/>
  <c r="P165" i="19"/>
  <c r="X32" i="6"/>
  <c r="X36" i="14"/>
  <c r="X32" i="8"/>
  <c r="X32" i="4"/>
  <c r="X36" i="4" s="1"/>
  <c r="L17" i="2" s="1"/>
  <c r="G52" i="18"/>
  <c r="H17" i="14" s="1"/>
  <c r="Q60" i="14"/>
  <c r="R60" i="14"/>
  <c r="H52" i="20"/>
  <c r="I20" i="14" s="1"/>
  <c r="M149" i="17"/>
  <c r="C67" i="17"/>
  <c r="C72" i="17" s="1"/>
  <c r="P181" i="19"/>
  <c r="P114" i="17"/>
  <c r="P125" i="17" s="1"/>
  <c r="O16" i="13"/>
  <c r="P16" i="11"/>
  <c r="P16" i="9"/>
  <c r="P16" i="5"/>
  <c r="P16" i="7"/>
  <c r="P16" i="3"/>
  <c r="P137" i="17"/>
  <c r="C57" i="17"/>
  <c r="C69" i="17" s="1"/>
  <c r="C74" i="17" s="1"/>
  <c r="L20" i="12"/>
  <c r="L20" i="8"/>
  <c r="L20" i="4"/>
  <c r="X17" i="14"/>
  <c r="X20" i="14"/>
  <c r="D17" i="15"/>
  <c r="X18" i="14"/>
  <c r="P143" i="17"/>
  <c r="P149" i="17"/>
  <c r="Q42" i="14"/>
  <c r="U9" i="6"/>
  <c r="O58" i="4"/>
  <c r="O58" i="8"/>
  <c r="P50" i="12"/>
  <c r="N10" i="13"/>
  <c r="O8" i="9"/>
  <c r="P10" i="6"/>
  <c r="P28" i="8"/>
  <c r="P31" i="8" s="1"/>
  <c r="W23" i="8"/>
  <c r="H53" i="18"/>
  <c r="H52" i="18"/>
  <c r="I17" i="14" s="1"/>
  <c r="I42" i="23"/>
  <c r="E42" i="23" s="1"/>
  <c r="J102" i="20"/>
  <c r="P147" i="21"/>
  <c r="P51" i="10"/>
  <c r="P8" i="13"/>
  <c r="R57" i="4"/>
  <c r="R57" i="8"/>
  <c r="F149" i="17"/>
  <c r="F143" i="17"/>
  <c r="I57" i="17"/>
  <c r="G24" i="14"/>
  <c r="F69" i="17"/>
  <c r="F74" i="17" s="1"/>
  <c r="I47" i="12"/>
  <c r="X35" i="6"/>
  <c r="X65" i="6" s="1"/>
  <c r="X35" i="4"/>
  <c r="X35" i="8"/>
  <c r="X65" i="8" s="1"/>
  <c r="P18" i="12"/>
  <c r="P18" i="4"/>
  <c r="P18" i="6"/>
  <c r="P18" i="8"/>
  <c r="W41" i="8"/>
  <c r="O13" i="13"/>
  <c r="K37" i="21"/>
  <c r="F39" i="19"/>
  <c r="K53" i="19"/>
  <c r="K52" i="19"/>
  <c r="L18" i="14" s="1"/>
  <c r="F131" i="20"/>
  <c r="O20" i="4"/>
  <c r="O20" i="8"/>
  <c r="O20" i="6"/>
  <c r="L14" i="13"/>
  <c r="P148" i="19"/>
  <c r="P149" i="19"/>
  <c r="F135" i="19"/>
  <c r="I165" i="21"/>
  <c r="R16" i="13"/>
  <c r="P55" i="10"/>
  <c r="P55" i="12"/>
  <c r="P56" i="12" s="1"/>
  <c r="P55" i="8"/>
  <c r="P56" i="8" s="1"/>
  <c r="P55" i="4"/>
  <c r="P55" i="6"/>
  <c r="P10" i="13"/>
  <c r="G100" i="20"/>
  <c r="H35" i="14" s="1"/>
  <c r="N40" i="14"/>
  <c r="K84" i="18"/>
  <c r="K85" i="18"/>
  <c r="W15" i="12"/>
  <c r="W13" i="12"/>
  <c r="W12" i="12"/>
  <c r="P36" i="14"/>
  <c r="P32" i="8"/>
  <c r="P32" i="6"/>
  <c r="P32" i="4"/>
  <c r="F179" i="20"/>
  <c r="G180" i="20"/>
  <c r="H60" i="14" s="1"/>
  <c r="P25" i="8"/>
  <c r="P58" i="14"/>
  <c r="B135" i="17"/>
  <c r="F6" i="20"/>
  <c r="G20" i="20"/>
  <c r="G21" i="20"/>
  <c r="O53" i="12"/>
  <c r="O7" i="6"/>
  <c r="P61" i="21"/>
  <c r="P63" i="21"/>
  <c r="P64" i="21"/>
  <c r="P60" i="21"/>
  <c r="Q10" i="13"/>
  <c r="P66" i="21"/>
  <c r="P59" i="21"/>
  <c r="P57" i="21"/>
  <c r="P58" i="21"/>
  <c r="P56" i="21"/>
  <c r="P62" i="21"/>
  <c r="P55" i="21"/>
  <c r="P54" i="21"/>
  <c r="P21" i="19"/>
  <c r="P20" i="19"/>
  <c r="I69" i="20"/>
  <c r="I68" i="20"/>
  <c r="S11" i="8"/>
  <c r="X8" i="10"/>
  <c r="X8" i="12"/>
  <c r="X8" i="8"/>
  <c r="X8" i="6"/>
  <c r="X8" i="4"/>
  <c r="W55" i="17"/>
  <c r="W67" i="17"/>
  <c r="W72" i="17" s="1"/>
  <c r="L53" i="12"/>
  <c r="L53" i="10"/>
  <c r="L53" i="8"/>
  <c r="L53" i="4"/>
  <c r="L53" i="6"/>
  <c r="E102" i="16"/>
  <c r="T10" i="3"/>
  <c r="U10" i="3"/>
  <c r="W23" i="4"/>
  <c r="W22" i="4"/>
  <c r="T19" i="4"/>
  <c r="T19" i="12"/>
  <c r="T19" i="6"/>
  <c r="T19" i="8"/>
  <c r="G57" i="17"/>
  <c r="M148" i="18"/>
  <c r="N47" i="14" s="1"/>
  <c r="M149" i="18"/>
  <c r="G9" i="4"/>
  <c r="I7" i="3" s="1"/>
  <c r="S11" i="4"/>
  <c r="I14" i="2" s="1"/>
  <c r="G68" i="17"/>
  <c r="G73" i="17" s="1"/>
  <c r="X7" i="12"/>
  <c r="X11" i="14"/>
  <c r="X7" i="6"/>
  <c r="X7" i="10"/>
  <c r="X11" i="10" s="1"/>
  <c r="X7" i="8"/>
  <c r="X11" i="8" s="1"/>
  <c r="X7" i="4"/>
  <c r="X11" i="4" s="1"/>
  <c r="L14" i="2" s="1"/>
  <c r="S51" i="12"/>
  <c r="N17" i="8"/>
  <c r="N17" i="4"/>
  <c r="N17" i="6"/>
  <c r="N60" i="10"/>
  <c r="N60" i="8"/>
  <c r="N60" i="4"/>
  <c r="H116" i="17"/>
  <c r="H137" i="17" s="1"/>
  <c r="H148" i="17" s="1"/>
  <c r="N10" i="12"/>
  <c r="N10" i="8"/>
  <c r="N10" i="6"/>
  <c r="N10" i="4"/>
  <c r="N10" i="10"/>
  <c r="R35" i="4"/>
  <c r="R35" i="6"/>
  <c r="R65" i="6" s="1"/>
  <c r="R35" i="8"/>
  <c r="R65" i="8" s="1"/>
  <c r="O55" i="17"/>
  <c r="O67" i="17"/>
  <c r="O72" i="17" s="1"/>
  <c r="W17" i="4"/>
  <c r="W21" i="4" s="1"/>
  <c r="K12" i="2" s="1"/>
  <c r="W20" i="4"/>
  <c r="U9" i="3"/>
  <c r="T9" i="3"/>
  <c r="W18" i="4"/>
  <c r="W22" i="8"/>
  <c r="L16" i="7"/>
  <c r="L16" i="9"/>
  <c r="L16" i="5"/>
  <c r="L16" i="3"/>
  <c r="L16" i="11"/>
  <c r="I22" i="23"/>
  <c r="J38" i="20"/>
  <c r="N25" i="8"/>
  <c r="L17" i="13"/>
  <c r="D99" i="16"/>
  <c r="I18" i="10" s="1"/>
  <c r="D100" i="16"/>
  <c r="O18" i="12" s="1"/>
  <c r="D98" i="16"/>
  <c r="P30" i="4"/>
  <c r="P31" i="4" s="1"/>
  <c r="G8" i="2" s="1"/>
  <c r="P30" i="8"/>
  <c r="N25" i="4"/>
  <c r="W57" i="4"/>
  <c r="W58" i="4"/>
  <c r="U17" i="3"/>
  <c r="T17" i="3"/>
  <c r="W60" i="4"/>
  <c r="P8" i="12"/>
  <c r="P8" i="4"/>
  <c r="P8" i="6"/>
  <c r="P8" i="8"/>
  <c r="P8" i="10"/>
  <c r="Q13" i="7"/>
  <c r="Q13" i="3"/>
  <c r="I116" i="20"/>
  <c r="I117" i="20"/>
  <c r="R10" i="14"/>
  <c r="Q10" i="14"/>
  <c r="R12" i="13"/>
  <c r="N58" i="14"/>
  <c r="E11" i="23"/>
  <c r="W45" i="10"/>
  <c r="O57" i="4"/>
  <c r="O57" i="8"/>
  <c r="O61" i="14"/>
  <c r="X33" i="4"/>
  <c r="X33" i="8"/>
  <c r="X63" i="8" s="1"/>
  <c r="X33" i="6"/>
  <c r="X63" i="6" s="1"/>
  <c r="X33" i="10"/>
  <c r="X63" i="10" s="1"/>
  <c r="T125" i="17"/>
  <c r="T114" i="17"/>
  <c r="L33" i="8"/>
  <c r="L63" i="8" s="1"/>
  <c r="L33" i="4"/>
  <c r="L33" i="6"/>
  <c r="L63" i="6" s="1"/>
  <c r="K164" i="18"/>
  <c r="L52" i="14" s="1"/>
  <c r="I58" i="14"/>
  <c r="I61" i="14" s="1"/>
  <c r="O7" i="13"/>
  <c r="S16" i="4"/>
  <c r="I15" i="2" s="1"/>
  <c r="G14" i="4"/>
  <c r="I8" i="3" s="1"/>
  <c r="H37" i="21"/>
  <c r="N8" i="13" s="1"/>
  <c r="G165" i="20"/>
  <c r="O14" i="13"/>
  <c r="K23" i="15"/>
  <c r="W53" i="6"/>
  <c r="W55" i="6"/>
  <c r="W55" i="10"/>
  <c r="W53" i="10"/>
  <c r="S58" i="17"/>
  <c r="K21" i="20"/>
  <c r="L10" i="14" s="1"/>
  <c r="Q89" i="17"/>
  <c r="Q109" i="17" s="1"/>
  <c r="Q99" i="17"/>
  <c r="Q79" i="17"/>
  <c r="K69" i="18"/>
  <c r="K68" i="18"/>
  <c r="L22" i="14" s="1"/>
  <c r="F54" i="18"/>
  <c r="I35" i="10"/>
  <c r="I65" i="10" s="1"/>
  <c r="I35" i="6"/>
  <c r="I65" i="6" s="1"/>
  <c r="I35" i="4"/>
  <c r="I35" i="8"/>
  <c r="I65" i="8" s="1"/>
  <c r="O52" i="12"/>
  <c r="O56" i="12" s="1"/>
  <c r="O52" i="10"/>
  <c r="O56" i="14"/>
  <c r="O52" i="6"/>
  <c r="O52" i="8"/>
  <c r="O56" i="8" s="1"/>
  <c r="O52" i="4"/>
  <c r="S14" i="6"/>
  <c r="S54" i="6"/>
  <c r="R67" i="17"/>
  <c r="R72" i="17" s="1"/>
  <c r="B81" i="17"/>
  <c r="B111" i="17" s="1"/>
  <c r="B101" i="17"/>
  <c r="B91" i="17"/>
  <c r="P13" i="6"/>
  <c r="S14" i="10"/>
  <c r="N69" i="17"/>
  <c r="N74" i="17" s="1"/>
  <c r="H117" i="18"/>
  <c r="I37" i="14" s="1"/>
  <c r="I28" i="12"/>
  <c r="I28" i="4"/>
  <c r="I28" i="8"/>
  <c r="M132" i="18"/>
  <c r="M133" i="18"/>
  <c r="S34" i="8"/>
  <c r="I38" i="12"/>
  <c r="I38" i="4"/>
  <c r="I38" i="8"/>
  <c r="K149" i="19"/>
  <c r="F8" i="20"/>
  <c r="L8" i="13"/>
  <c r="S56" i="4"/>
  <c r="I13" i="2" s="1"/>
  <c r="I60" i="10"/>
  <c r="I60" i="8"/>
  <c r="I60" i="4"/>
  <c r="O12" i="13"/>
  <c r="K85" i="21"/>
  <c r="Q11" i="13" s="1"/>
  <c r="Q25" i="14"/>
  <c r="R25" i="14"/>
  <c r="L13" i="13"/>
  <c r="I56" i="17"/>
  <c r="I68" i="17"/>
  <c r="I73" i="17" s="1"/>
  <c r="I152" i="23"/>
  <c r="E152" i="23" s="1"/>
  <c r="J72" i="20"/>
  <c r="F72" i="20" s="1"/>
  <c r="E151" i="23"/>
  <c r="G164" i="18"/>
  <c r="H52" i="14" s="1"/>
  <c r="U57" i="17"/>
  <c r="U69" i="17"/>
  <c r="U74" i="17" s="1"/>
  <c r="L38" i="14"/>
  <c r="W51" i="8"/>
  <c r="F54" i="20"/>
  <c r="P148" i="18"/>
  <c r="P149" i="18"/>
  <c r="F67" i="20"/>
  <c r="F115" i="18"/>
  <c r="F165" i="18"/>
  <c r="X51" i="14"/>
  <c r="X47" i="12"/>
  <c r="X47" i="10"/>
  <c r="X47" i="6"/>
  <c r="X47" i="8"/>
  <c r="X47" i="4"/>
  <c r="S51" i="10"/>
  <c r="O23" i="12"/>
  <c r="O23" i="4"/>
  <c r="O23" i="8"/>
  <c r="L15" i="13"/>
  <c r="N43" i="4"/>
  <c r="N43" i="8"/>
  <c r="F35" i="18"/>
  <c r="O41" i="14"/>
  <c r="O37" i="10"/>
  <c r="O37" i="4"/>
  <c r="O41" i="4" s="1"/>
  <c r="O37" i="8"/>
  <c r="P67" i="21"/>
  <c r="O10" i="3"/>
  <c r="U59" i="10"/>
  <c r="R40" i="14"/>
  <c r="Q43" i="8"/>
  <c r="Q43" i="10"/>
  <c r="Q43" i="4"/>
  <c r="Q18" i="14"/>
  <c r="O9" i="7"/>
  <c r="P13" i="12"/>
  <c r="P84" i="20"/>
  <c r="L90" i="17"/>
  <c r="L100" i="17"/>
  <c r="L80" i="17"/>
  <c r="L110" i="17" s="1"/>
  <c r="E37" i="23"/>
  <c r="K181" i="18"/>
  <c r="K180" i="18"/>
  <c r="L57" i="14" s="1"/>
  <c r="O36" i="14"/>
  <c r="O32" i="4"/>
  <c r="O36" i="4" s="1"/>
  <c r="O32" i="6"/>
  <c r="O32" i="8"/>
  <c r="M85" i="18"/>
  <c r="M84" i="18"/>
  <c r="K53" i="18"/>
  <c r="F39" i="18"/>
  <c r="K52" i="18"/>
  <c r="P14" i="3"/>
  <c r="P14" i="9"/>
  <c r="P14" i="7"/>
  <c r="X37" i="14"/>
  <c r="X40" i="14"/>
  <c r="H17" i="15"/>
  <c r="X38" i="14"/>
  <c r="D116" i="17"/>
  <c r="D137" i="17" s="1"/>
  <c r="D127" i="17"/>
  <c r="Q35" i="12"/>
  <c r="Q65" i="12" s="1"/>
  <c r="Q35" i="6"/>
  <c r="Q65" i="6" s="1"/>
  <c r="Q35" i="4"/>
  <c r="Q35" i="8"/>
  <c r="Q65" i="8" s="1"/>
  <c r="L91" i="17"/>
  <c r="L81" i="17"/>
  <c r="L101" i="17"/>
  <c r="R8" i="13"/>
  <c r="T54" i="10"/>
  <c r="T54" i="12"/>
  <c r="T54" i="4"/>
  <c r="G54" i="4" s="1"/>
  <c r="I16" i="3" s="1"/>
  <c r="T54" i="8"/>
  <c r="T54" i="6"/>
  <c r="V100" i="17"/>
  <c r="V90" i="17"/>
  <c r="V110" i="17" s="1"/>
  <c r="V80" i="17"/>
  <c r="W11" i="4"/>
  <c r="K14" i="2" s="1"/>
  <c r="P16" i="14"/>
  <c r="P12" i="12"/>
  <c r="P12" i="6"/>
  <c r="P16" i="6" s="1"/>
  <c r="P12" i="8"/>
  <c r="P16" i="8" s="1"/>
  <c r="P12" i="4"/>
  <c r="P16" i="4" s="1"/>
  <c r="G15" i="2" s="1"/>
  <c r="P12" i="10"/>
  <c r="O47" i="12"/>
  <c r="W25" i="4"/>
  <c r="W53" i="12"/>
  <c r="W56" i="12" s="1"/>
  <c r="W55" i="12"/>
  <c r="B90" i="17"/>
  <c r="B110" i="17" s="1"/>
  <c r="B80" i="17"/>
  <c r="B100" i="17"/>
  <c r="O22" i="10"/>
  <c r="O22" i="4"/>
  <c r="O22" i="8"/>
  <c r="O26" i="14"/>
  <c r="J53" i="21"/>
  <c r="H100" i="16"/>
  <c r="W38" i="12" s="1"/>
  <c r="H99" i="16"/>
  <c r="O38" i="10" s="1"/>
  <c r="H98" i="16"/>
  <c r="O37" i="6" s="1"/>
  <c r="M68" i="17"/>
  <c r="M73" i="17" s="1"/>
  <c r="M56" i="17"/>
  <c r="X10" i="12"/>
  <c r="X10" i="10"/>
  <c r="X10" i="4"/>
  <c r="X10" i="6"/>
  <c r="X10" i="8"/>
  <c r="G19" i="8"/>
  <c r="I9" i="7" s="1"/>
  <c r="S21" i="8"/>
  <c r="W7" i="12"/>
  <c r="S9" i="12"/>
  <c r="N50" i="12"/>
  <c r="I8" i="12"/>
  <c r="I8" i="6"/>
  <c r="I8" i="10"/>
  <c r="I8" i="8"/>
  <c r="I8" i="4"/>
  <c r="U55" i="17"/>
  <c r="U67" i="17" s="1"/>
  <c r="U72" i="17" s="1"/>
  <c r="I37" i="23"/>
  <c r="J86" i="20"/>
  <c r="E36" i="23"/>
  <c r="P116" i="19"/>
  <c r="P117" i="19"/>
  <c r="S24" i="4"/>
  <c r="M68" i="18"/>
  <c r="M69" i="18"/>
  <c r="R11" i="13"/>
  <c r="F6" i="19"/>
  <c r="G21" i="19"/>
  <c r="G20" i="19"/>
  <c r="H8" i="14" s="1"/>
  <c r="F168" i="20"/>
  <c r="F180" i="20" s="1"/>
  <c r="M21" i="18"/>
  <c r="M20" i="18"/>
  <c r="L18" i="13"/>
  <c r="L12" i="7"/>
  <c r="L18" i="7" s="1"/>
  <c r="L12" i="5"/>
  <c r="L18" i="5" s="1"/>
  <c r="L12" i="3"/>
  <c r="H80" i="17"/>
  <c r="H90" i="17"/>
  <c r="H100" i="17"/>
  <c r="H110" i="17"/>
  <c r="P47" i="12"/>
  <c r="P51" i="12" s="1"/>
  <c r="R90" i="17"/>
  <c r="R110" i="17" s="1"/>
  <c r="R100" i="17"/>
  <c r="R80" i="17"/>
  <c r="W57" i="17"/>
  <c r="W69" i="17" s="1"/>
  <c r="W74" i="17" s="1"/>
  <c r="I84" i="20"/>
  <c r="I85" i="20"/>
  <c r="P11" i="13"/>
  <c r="W12" i="10"/>
  <c r="W13" i="10"/>
  <c r="W15" i="10"/>
  <c r="U9" i="10"/>
  <c r="N13" i="12"/>
  <c r="N13" i="10"/>
  <c r="N13" i="8"/>
  <c r="N13" i="6"/>
  <c r="N13" i="4"/>
  <c r="G55" i="17"/>
  <c r="G67" i="17"/>
  <c r="G72" i="17" s="1"/>
  <c r="L30" i="14"/>
  <c r="G85" i="20"/>
  <c r="G84" i="20"/>
  <c r="H30" i="14" s="1"/>
  <c r="X25" i="14"/>
  <c r="X22" i="14"/>
  <c r="E17" i="15"/>
  <c r="X23" i="14"/>
  <c r="P20" i="4"/>
  <c r="N17" i="13"/>
  <c r="P45" i="8"/>
  <c r="P45" i="4"/>
  <c r="L40" i="14"/>
  <c r="P10" i="12"/>
  <c r="O11" i="4"/>
  <c r="I50" i="10"/>
  <c r="I51" i="10" s="1"/>
  <c r="I50" i="12"/>
  <c r="I50" i="4"/>
  <c r="I51" i="4" s="1"/>
  <c r="C7" i="2" s="1"/>
  <c r="I50" i="8"/>
  <c r="I51" i="8" s="1"/>
  <c r="I50" i="6"/>
  <c r="I51" i="6" s="1"/>
  <c r="L8" i="14"/>
  <c r="S56" i="8"/>
  <c r="P100" i="19"/>
  <c r="P101" i="19"/>
  <c r="N15" i="12"/>
  <c r="N15" i="10"/>
  <c r="N15" i="6"/>
  <c r="N15" i="8"/>
  <c r="N15" i="4"/>
  <c r="F70" i="18"/>
  <c r="G84" i="18"/>
  <c r="G85" i="18"/>
  <c r="O7" i="10"/>
  <c r="O11" i="10" s="1"/>
  <c r="N41" i="14"/>
  <c r="N37" i="8"/>
  <c r="N37" i="4"/>
  <c r="K36" i="18"/>
  <c r="K37" i="18"/>
  <c r="P53" i="10"/>
  <c r="P56" i="10" s="1"/>
  <c r="P11" i="14"/>
  <c r="P7" i="10"/>
  <c r="P11" i="10" s="1"/>
  <c r="P7" i="4"/>
  <c r="P7" i="6"/>
  <c r="P11" i="6" s="1"/>
  <c r="P7" i="12"/>
  <c r="P7" i="8"/>
  <c r="P11" i="8" s="1"/>
  <c r="P136" i="21"/>
  <c r="P122" i="21"/>
  <c r="P119" i="21"/>
  <c r="P130" i="21"/>
  <c r="P127" i="21"/>
  <c r="P123" i="21"/>
  <c r="Q14" i="13"/>
  <c r="P118" i="21"/>
  <c r="P125" i="21"/>
  <c r="P124" i="21"/>
  <c r="P128" i="21"/>
  <c r="P121" i="21"/>
  <c r="P126" i="21"/>
  <c r="F102" i="19"/>
  <c r="G117" i="19"/>
  <c r="G116" i="19"/>
  <c r="H38" i="14" s="1"/>
  <c r="I138" i="17"/>
  <c r="I131" i="17"/>
  <c r="J133" i="20"/>
  <c r="J132" i="20"/>
  <c r="U59" i="4"/>
  <c r="O11" i="14"/>
  <c r="I157" i="23"/>
  <c r="E157" i="23" s="1"/>
  <c r="J88" i="20"/>
  <c r="F88" i="20" s="1"/>
  <c r="E156" i="23"/>
  <c r="S39" i="4"/>
  <c r="W40" i="4"/>
  <c r="T13" i="3"/>
  <c r="U13" i="3"/>
  <c r="I27" i="14"/>
  <c r="F135" i="18"/>
  <c r="K149" i="18"/>
  <c r="K148" i="18"/>
  <c r="L47" i="14" s="1"/>
  <c r="F22" i="18"/>
  <c r="G36" i="18"/>
  <c r="H12" i="14" s="1"/>
  <c r="G37" i="18"/>
  <c r="S14" i="12"/>
  <c r="R9" i="13"/>
  <c r="I12" i="14"/>
  <c r="R27" i="14"/>
  <c r="Q27" i="14"/>
  <c r="S36" i="4"/>
  <c r="I17" i="2" s="1"/>
  <c r="B20" i="2" s="1"/>
  <c r="P35" i="6"/>
  <c r="P65" i="6" s="1"/>
  <c r="P35" i="4"/>
  <c r="P35" i="8"/>
  <c r="P65" i="8" s="1"/>
  <c r="U54" i="10"/>
  <c r="S54" i="10"/>
  <c r="K36" i="20"/>
  <c r="K37" i="20"/>
  <c r="J142" i="17"/>
  <c r="J148" i="17"/>
  <c r="R17" i="11"/>
  <c r="R17" i="7"/>
  <c r="R17" i="3"/>
  <c r="O25" i="10"/>
  <c r="O25" i="4"/>
  <c r="O25" i="8"/>
  <c r="U138" i="17"/>
  <c r="U131" i="17"/>
  <c r="W51" i="10"/>
  <c r="G69" i="20"/>
  <c r="H25" i="14" s="1"/>
  <c r="W32" i="8"/>
  <c r="P36" i="19"/>
  <c r="P37" i="19"/>
  <c r="O48" i="12"/>
  <c r="O48" i="10"/>
  <c r="O48" i="6"/>
  <c r="O48" i="4"/>
  <c r="O51" i="4" s="1"/>
  <c r="O48" i="8"/>
  <c r="O51" i="8" s="1"/>
  <c r="I17" i="23"/>
  <c r="J22" i="20"/>
  <c r="F22" i="20" s="1"/>
  <c r="X50" i="12"/>
  <c r="X50" i="10"/>
  <c r="X50" i="8"/>
  <c r="X50" i="4"/>
  <c r="X50" i="6"/>
  <c r="W7" i="10"/>
  <c r="W11" i="10" s="1"/>
  <c r="S9" i="10"/>
  <c r="G181" i="21"/>
  <c r="I142" i="23"/>
  <c r="E142" i="23" s="1"/>
  <c r="J40" i="20"/>
  <c r="E141" i="23"/>
  <c r="F35" i="19"/>
  <c r="G37" i="19"/>
  <c r="G36" i="19"/>
  <c r="H13" i="14" s="1"/>
  <c r="E112" i="23"/>
  <c r="G101" i="18"/>
  <c r="F17" i="15"/>
  <c r="X28" i="14"/>
  <c r="X27" i="14"/>
  <c r="X30" i="14"/>
  <c r="O50" i="12"/>
  <c r="N11" i="13"/>
  <c r="P65" i="21"/>
  <c r="R43" i="4"/>
  <c r="R43" i="8"/>
  <c r="I13" i="10"/>
  <c r="G117" i="21"/>
  <c r="L21" i="21"/>
  <c r="R7" i="13" s="1"/>
  <c r="Q116" i="20"/>
  <c r="R23" i="14"/>
  <c r="L28" i="12"/>
  <c r="L28" i="6"/>
  <c r="L28" i="4"/>
  <c r="L28" i="8"/>
  <c r="R50" i="12"/>
  <c r="R50" i="10"/>
  <c r="R50" i="4"/>
  <c r="R50" i="6"/>
  <c r="R50" i="8"/>
  <c r="Q80" i="17"/>
  <c r="Q90" i="17"/>
  <c r="Q100" i="17"/>
  <c r="Q110" i="17"/>
  <c r="F135" i="17"/>
  <c r="I57" i="10"/>
  <c r="I57" i="8"/>
  <c r="I57" i="4"/>
  <c r="Q37" i="4"/>
  <c r="Q37" i="8"/>
  <c r="O15" i="9"/>
  <c r="O15" i="7"/>
  <c r="O15" i="11"/>
  <c r="O15" i="3"/>
  <c r="O15" i="5"/>
  <c r="I67" i="17"/>
  <c r="I72" i="17" s="1"/>
  <c r="F53" i="19"/>
  <c r="F52" i="19"/>
  <c r="F115" i="20"/>
  <c r="S57" i="17"/>
  <c r="S69" i="17"/>
  <c r="S74" i="17" s="1"/>
  <c r="O11" i="13"/>
  <c r="E57" i="17"/>
  <c r="E58" i="17" s="1"/>
  <c r="E69" i="17"/>
  <c r="E74" i="17" s="1"/>
  <c r="H53" i="12"/>
  <c r="H53" i="4"/>
  <c r="H53" i="10"/>
  <c r="H53" i="8"/>
  <c r="H53" i="6"/>
  <c r="R37" i="4"/>
  <c r="R37" i="8"/>
  <c r="U24" i="8"/>
  <c r="K55" i="17"/>
  <c r="C23" i="15"/>
  <c r="W12" i="6"/>
  <c r="W16" i="6" s="1"/>
  <c r="W13" i="6"/>
  <c r="W15" i="6"/>
  <c r="B23" i="15"/>
  <c r="S9" i="6"/>
  <c r="W7" i="6"/>
  <c r="W11" i="6" s="1"/>
  <c r="P163" i="21"/>
  <c r="K56" i="17"/>
  <c r="I30" i="12"/>
  <c r="I30" i="10"/>
  <c r="I30" i="6"/>
  <c r="I30" i="4"/>
  <c r="I30" i="8"/>
  <c r="F6" i="18"/>
  <c r="G21" i="18"/>
  <c r="G20" i="18"/>
  <c r="H7" i="14" s="1"/>
  <c r="S46" i="8"/>
  <c r="P99" i="21"/>
  <c r="O60" i="8"/>
  <c r="O60" i="4"/>
  <c r="W56" i="6"/>
  <c r="G29" i="8"/>
  <c r="I11" i="7" s="1"/>
  <c r="S31" i="8"/>
  <c r="F68" i="17"/>
  <c r="F73" i="17" s="1"/>
  <c r="O28" i="8"/>
  <c r="O28" i="4"/>
  <c r="O28" i="10"/>
  <c r="H18" i="12"/>
  <c r="H18" i="8"/>
  <c r="H18" i="6"/>
  <c r="H18" i="4"/>
  <c r="T49" i="10"/>
  <c r="G49" i="10" s="1"/>
  <c r="I15" i="9" s="1"/>
  <c r="T49" i="8"/>
  <c r="T49" i="12"/>
  <c r="T49" i="6"/>
  <c r="T49" i="4"/>
  <c r="G49" i="4" s="1"/>
  <c r="I15" i="3" s="1"/>
  <c r="G49" i="14"/>
  <c r="I32" i="8"/>
  <c r="I32" i="6"/>
  <c r="I36" i="14"/>
  <c r="I32" i="4"/>
  <c r="X12" i="10"/>
  <c r="X16" i="14"/>
  <c r="X12" i="12"/>
  <c r="X16" i="12" s="1"/>
  <c r="X12" i="6"/>
  <c r="X12" i="4"/>
  <c r="X16" i="4" s="1"/>
  <c r="L15" i="2" s="1"/>
  <c r="X12" i="8"/>
  <c r="X16" i="8" s="1"/>
  <c r="P27" i="21"/>
  <c r="P24" i="21"/>
  <c r="P25" i="21"/>
  <c r="P34" i="21"/>
  <c r="P30" i="21"/>
  <c r="P23" i="21"/>
  <c r="P28" i="21"/>
  <c r="P31" i="21"/>
  <c r="P32" i="21"/>
  <c r="P26" i="21"/>
  <c r="P29" i="21"/>
  <c r="P22" i="21"/>
  <c r="Q8" i="13"/>
  <c r="L25" i="14"/>
  <c r="L7" i="11"/>
  <c r="L7" i="9"/>
  <c r="L7" i="7"/>
  <c r="L7" i="5"/>
  <c r="L7" i="3"/>
  <c r="H43" i="4"/>
  <c r="H43" i="8"/>
  <c r="L50" i="12"/>
  <c r="L50" i="6"/>
  <c r="L50" i="10"/>
  <c r="L50" i="4"/>
  <c r="L50" i="8"/>
  <c r="G59" i="8"/>
  <c r="I17" i="7" s="1"/>
  <c r="S61" i="8"/>
  <c r="I52" i="14"/>
  <c r="K20" i="21"/>
  <c r="G52" i="20"/>
  <c r="G53" i="20"/>
  <c r="K69" i="21"/>
  <c r="G23" i="15"/>
  <c r="W35" i="6"/>
  <c r="W33" i="6"/>
  <c r="W63" i="6" s="1"/>
  <c r="W32" i="6"/>
  <c r="U14" i="6"/>
  <c r="J149" i="17"/>
  <c r="J143" i="17"/>
  <c r="O17" i="13"/>
  <c r="G58" i="14"/>
  <c r="H58" i="12"/>
  <c r="H58" i="8"/>
  <c r="H58" i="4"/>
  <c r="F7" i="19"/>
  <c r="S16" i="8"/>
  <c r="Q7" i="12"/>
  <c r="Q7" i="10"/>
  <c r="Q7" i="6"/>
  <c r="Q7" i="4"/>
  <c r="Q7" i="8"/>
  <c r="E21" i="23"/>
  <c r="Q55" i="14"/>
  <c r="R55" i="14"/>
  <c r="H42" i="4"/>
  <c r="H42" i="8"/>
  <c r="U14" i="10"/>
  <c r="N12" i="13"/>
  <c r="U9" i="12"/>
  <c r="L100" i="16"/>
  <c r="S59" i="12" s="1"/>
  <c r="L98" i="16"/>
  <c r="P17" i="5" s="1"/>
  <c r="L99" i="16"/>
  <c r="S59" i="10" s="1"/>
  <c r="J67" i="17"/>
  <c r="J72" i="17" s="1"/>
  <c r="R10" i="7"/>
  <c r="R10" i="3"/>
  <c r="I100" i="16"/>
  <c r="U44" i="12" s="1"/>
  <c r="I98" i="16"/>
  <c r="I99" i="16"/>
  <c r="S44" i="10" s="1"/>
  <c r="F19" i="20"/>
  <c r="W50" i="12"/>
  <c r="N35" i="6"/>
  <c r="N65" i="6" s="1"/>
  <c r="R32" i="14"/>
  <c r="Q32" i="14"/>
  <c r="V149" i="17"/>
  <c r="V143" i="17"/>
  <c r="O40" i="8"/>
  <c r="O40" i="4"/>
  <c r="F168" i="19"/>
  <c r="F181" i="19" s="1"/>
  <c r="I53" i="10"/>
  <c r="I53" i="4"/>
  <c r="I53" i="8"/>
  <c r="I53" i="6"/>
  <c r="I53" i="12"/>
  <c r="O9" i="3"/>
  <c r="P13" i="10"/>
  <c r="N9" i="11"/>
  <c r="N9" i="7"/>
  <c r="N9" i="3"/>
  <c r="I17" i="15"/>
  <c r="R14" i="5" s="1"/>
  <c r="X45" i="14"/>
  <c r="X42" i="14"/>
  <c r="X43" i="14"/>
  <c r="K100" i="18"/>
  <c r="F87" i="18"/>
  <c r="K101" i="18"/>
  <c r="R45" i="14"/>
  <c r="R46" i="14" s="1"/>
  <c r="Q45" i="14"/>
  <c r="N45" i="14"/>
  <c r="S51" i="4"/>
  <c r="I7" i="2" s="1"/>
  <c r="E99" i="16"/>
  <c r="O23" i="10" s="1"/>
  <c r="E98" i="16"/>
  <c r="E100" i="16"/>
  <c r="T24" i="12" s="1"/>
  <c r="X53" i="12"/>
  <c r="X53" i="10"/>
  <c r="X53" i="4"/>
  <c r="X53" i="8"/>
  <c r="X53" i="6"/>
  <c r="M37" i="18"/>
  <c r="M36" i="18"/>
  <c r="N12" i="14" s="1"/>
  <c r="N53" i="6"/>
  <c r="O15" i="6"/>
  <c r="O13" i="12"/>
  <c r="O13" i="10"/>
  <c r="O13" i="8"/>
  <c r="O13" i="4"/>
  <c r="O13" i="6"/>
  <c r="K180" i="19"/>
  <c r="L58" i="14" s="1"/>
  <c r="T44" i="10"/>
  <c r="G44" i="14"/>
  <c r="T44" i="8"/>
  <c r="T44" i="6"/>
  <c r="T44" i="4"/>
  <c r="G44" i="4" s="1"/>
  <c r="I14" i="3" s="1"/>
  <c r="N79" i="17"/>
  <c r="N89" i="17"/>
  <c r="N99" i="17"/>
  <c r="N109" i="17"/>
  <c r="K101" i="20"/>
  <c r="K100" i="20"/>
  <c r="P53" i="12"/>
  <c r="P145" i="21"/>
  <c r="G116" i="18"/>
  <c r="F102" i="18"/>
  <c r="G117" i="18"/>
  <c r="S34" i="6"/>
  <c r="R20" i="14"/>
  <c r="Q20" i="14"/>
  <c r="L99" i="17"/>
  <c r="L79" i="17"/>
  <c r="L89" i="17"/>
  <c r="L109" i="17" s="1"/>
  <c r="P7" i="13"/>
  <c r="W10" i="12"/>
  <c r="E138" i="17"/>
  <c r="E131" i="17"/>
  <c r="S54" i="12"/>
  <c r="G36" i="20"/>
  <c r="G37" i="20"/>
  <c r="P77" i="21"/>
  <c r="P74" i="21"/>
  <c r="P71" i="21"/>
  <c r="P76" i="21"/>
  <c r="P79" i="21"/>
  <c r="P78" i="21"/>
  <c r="P82" i="21"/>
  <c r="P73" i="21"/>
  <c r="P80" i="21"/>
  <c r="P75" i="21"/>
  <c r="G148" i="20"/>
  <c r="H50" i="14" s="1"/>
  <c r="F134" i="20"/>
  <c r="G149" i="20"/>
  <c r="P131" i="21"/>
  <c r="I22" i="14"/>
  <c r="W51" i="6"/>
  <c r="W33" i="4"/>
  <c r="U12" i="3"/>
  <c r="W35" i="4"/>
  <c r="T12" i="3"/>
  <c r="W32" i="4"/>
  <c r="W36" i="4" s="1"/>
  <c r="K17" i="2" s="1"/>
  <c r="B23" i="2" s="1"/>
  <c r="N53" i="12"/>
  <c r="K21" i="18"/>
  <c r="K20" i="18"/>
  <c r="E172" i="23"/>
  <c r="I36" i="20"/>
  <c r="I37" i="20"/>
  <c r="J23" i="15"/>
  <c r="S49" i="6"/>
  <c r="G180" i="18"/>
  <c r="G53" i="18"/>
  <c r="F40" i="20"/>
  <c r="I137" i="23"/>
  <c r="E137" i="23" s="1"/>
  <c r="J24" i="20"/>
  <c r="F24" i="20" s="1"/>
  <c r="J110" i="17"/>
  <c r="L45" i="12"/>
  <c r="L45" i="4"/>
  <c r="L45" i="8"/>
  <c r="S46" i="4"/>
  <c r="I11" i="2" s="1"/>
  <c r="D136" i="17"/>
  <c r="P43" i="12"/>
  <c r="P43" i="4"/>
  <c r="P43" i="6"/>
  <c r="P43" i="8"/>
  <c r="K133" i="18"/>
  <c r="F118" i="18"/>
  <c r="K132" i="18"/>
  <c r="L42" i="14" s="1"/>
  <c r="P33" i="8"/>
  <c r="P63" i="8" s="1"/>
  <c r="F120" i="19"/>
  <c r="O10" i="7"/>
  <c r="Q52" i="14"/>
  <c r="G100" i="18"/>
  <c r="H32" i="14" s="1"/>
  <c r="I13" i="12"/>
  <c r="T29" i="10"/>
  <c r="T29" i="8"/>
  <c r="T29" i="4"/>
  <c r="T29" i="6"/>
  <c r="G29" i="14"/>
  <c r="P41" i="8"/>
  <c r="P56" i="4"/>
  <c r="G13" i="2" s="1"/>
  <c r="F85" i="21"/>
  <c r="L11" i="13" s="1"/>
  <c r="H22" i="10"/>
  <c r="H22" i="8"/>
  <c r="H22" i="4"/>
  <c r="P60" i="10"/>
  <c r="P60" i="4"/>
  <c r="P60" i="8"/>
  <c r="L143" i="17"/>
  <c r="L149" i="17"/>
  <c r="W65" i="8"/>
  <c r="D126" i="17"/>
  <c r="D115" i="17"/>
  <c r="F99" i="16"/>
  <c r="W28" i="10" s="1"/>
  <c r="F98" i="16"/>
  <c r="F102" i="16" s="1"/>
  <c r="F100" i="16"/>
  <c r="Q28" i="12" s="1"/>
  <c r="O21" i="14"/>
  <c r="O17" i="6"/>
  <c r="O17" i="12"/>
  <c r="O17" i="8"/>
  <c r="O17" i="4"/>
  <c r="O21" i="4" s="1"/>
  <c r="C138" i="17"/>
  <c r="C131" i="17"/>
  <c r="W46" i="8"/>
  <c r="N55" i="14"/>
  <c r="S21" i="4"/>
  <c r="I12" i="2" s="1"/>
  <c r="O51" i="10"/>
  <c r="P51" i="21"/>
  <c r="K53" i="21"/>
  <c r="N48" i="12"/>
  <c r="N48" i="6"/>
  <c r="N48" i="10"/>
  <c r="N48" i="4"/>
  <c r="N48" i="8"/>
  <c r="I27" i="23"/>
  <c r="E27" i="23" s="1"/>
  <c r="J54" i="20"/>
  <c r="W21" i="8"/>
  <c r="S41" i="8"/>
  <c r="G39" i="8"/>
  <c r="I13" i="7" s="1"/>
  <c r="P15" i="6"/>
  <c r="K37" i="19"/>
  <c r="K36" i="19"/>
  <c r="L13" i="14" s="1"/>
  <c r="F22" i="19"/>
  <c r="D67" i="17"/>
  <c r="D72" i="17" s="1"/>
  <c r="M55" i="17"/>
  <c r="M67" i="17"/>
  <c r="M72" i="17" s="1"/>
  <c r="P51" i="8"/>
  <c r="N36" i="14"/>
  <c r="N32" i="4"/>
  <c r="N36" i="4" s="1"/>
  <c r="N32" i="6"/>
  <c r="N32" i="8"/>
  <c r="F132" i="19"/>
  <c r="F133" i="19"/>
  <c r="I148" i="20"/>
  <c r="I149" i="20"/>
  <c r="W56" i="10"/>
  <c r="T9" i="12"/>
  <c r="G9" i="14"/>
  <c r="T9" i="8"/>
  <c r="T9" i="10"/>
  <c r="T9" i="4"/>
  <c r="T9" i="6"/>
  <c r="O45" i="4"/>
  <c r="O45" i="8"/>
  <c r="O45" i="6"/>
  <c r="G132" i="20"/>
  <c r="F118" i="20"/>
  <c r="G133" i="20"/>
  <c r="V116" i="17"/>
  <c r="V137" i="17" s="1"/>
  <c r="V127" i="17"/>
  <c r="X55" i="10"/>
  <c r="X55" i="4"/>
  <c r="X55" i="8"/>
  <c r="X55" i="6"/>
  <c r="X55" i="12"/>
  <c r="N8" i="6"/>
  <c r="N8" i="12"/>
  <c r="N8" i="10"/>
  <c r="N8" i="4"/>
  <c r="N8" i="8"/>
  <c r="I23" i="10"/>
  <c r="I23" i="12"/>
  <c r="I23" i="4"/>
  <c r="I23" i="8"/>
  <c r="N13" i="13"/>
  <c r="O8" i="5"/>
  <c r="O7" i="12"/>
  <c r="P57" i="4"/>
  <c r="P57" i="10"/>
  <c r="P57" i="8"/>
  <c r="N35" i="8"/>
  <c r="N65" i="8" s="1"/>
  <c r="F150" i="20"/>
  <c r="G85" i="21"/>
  <c r="I32" i="23"/>
  <c r="E32" i="23" s="1"/>
  <c r="J70" i="20"/>
  <c r="F70" i="20" s="1"/>
  <c r="X56" i="14"/>
  <c r="X52" i="10"/>
  <c r="X56" i="10" s="1"/>
  <c r="X52" i="6"/>
  <c r="X52" i="4"/>
  <c r="X56" i="4" s="1"/>
  <c r="L13" i="2" s="1"/>
  <c r="X52" i="12"/>
  <c r="X52" i="8"/>
  <c r="I181" i="21"/>
  <c r="K132" i="19"/>
  <c r="L43" i="14" s="1"/>
  <c r="S59" i="4"/>
  <c r="K100" i="21"/>
  <c r="R7" i="12"/>
  <c r="R7" i="10"/>
  <c r="R7" i="8"/>
  <c r="R7" i="4"/>
  <c r="R7" i="6"/>
  <c r="N18" i="10"/>
  <c r="N18" i="12"/>
  <c r="N18" i="4"/>
  <c r="N18" i="8"/>
  <c r="T14" i="6"/>
  <c r="T14" i="10"/>
  <c r="T14" i="12"/>
  <c r="T14" i="4"/>
  <c r="T14" i="8"/>
  <c r="X57" i="14"/>
  <c r="X60" i="14"/>
  <c r="X58" i="14"/>
  <c r="L17" i="15"/>
  <c r="N57" i="6" s="1"/>
  <c r="T59" i="4"/>
  <c r="T59" i="10"/>
  <c r="T59" i="8"/>
  <c r="U44" i="10"/>
  <c r="G39" i="14"/>
  <c r="T39" i="4"/>
  <c r="T39" i="8"/>
  <c r="G164" i="20"/>
  <c r="H55" i="14" s="1"/>
  <c r="P36" i="20"/>
  <c r="I43" i="14"/>
  <c r="G43" i="14" s="1"/>
  <c r="O43" i="4"/>
  <c r="O43" i="8"/>
  <c r="R13" i="13"/>
  <c r="N28" i="14"/>
  <c r="N14" i="13"/>
  <c r="F165" i="19"/>
  <c r="E17" i="23"/>
  <c r="G100" i="19"/>
  <c r="G101" i="19"/>
  <c r="F86" i="19"/>
  <c r="Q50" i="12"/>
  <c r="Q50" i="4"/>
  <c r="Q50" i="6"/>
  <c r="Q50" i="8"/>
  <c r="Q50" i="10"/>
  <c r="P53" i="6"/>
  <c r="F88" i="19"/>
  <c r="P12" i="13"/>
  <c r="C56" i="17"/>
  <c r="P40" i="10"/>
  <c r="P40" i="12"/>
  <c r="P40" i="6"/>
  <c r="P40" i="8"/>
  <c r="P40" i="4"/>
  <c r="U54" i="6"/>
  <c r="G85" i="19"/>
  <c r="G84" i="19"/>
  <c r="H28" i="14" s="1"/>
  <c r="F70" i="19"/>
  <c r="G54" i="14"/>
  <c r="G149" i="19"/>
  <c r="F134" i="19"/>
  <c r="G148" i="19"/>
  <c r="H48" i="14" s="1"/>
  <c r="G68" i="19"/>
  <c r="G69" i="19"/>
  <c r="F54" i="19"/>
  <c r="E51" i="23"/>
  <c r="W11" i="8"/>
  <c r="S68" i="17"/>
  <c r="S73" i="17" s="1"/>
  <c r="S138" i="17"/>
  <c r="S131" i="17"/>
  <c r="M131" i="17"/>
  <c r="E55" i="17"/>
  <c r="E67" i="17"/>
  <c r="E72" i="17" s="1"/>
  <c r="E122" i="23"/>
  <c r="W51" i="4"/>
  <c r="K7" i="2" s="1"/>
  <c r="F125" i="17"/>
  <c r="N53" i="10"/>
  <c r="O51" i="6"/>
  <c r="O56" i="17"/>
  <c r="O68" i="17"/>
  <c r="O73" i="17" s="1"/>
  <c r="X48" i="12"/>
  <c r="X48" i="10"/>
  <c r="X48" i="4"/>
  <c r="X48" i="8"/>
  <c r="X48" i="6"/>
  <c r="J181" i="20"/>
  <c r="J180" i="20"/>
  <c r="K57" i="17"/>
  <c r="K69" i="17"/>
  <c r="K74" i="17" s="1"/>
  <c r="N30" i="14"/>
  <c r="V109" i="17"/>
  <c r="N50" i="10"/>
  <c r="P69" i="18"/>
  <c r="P68" i="18"/>
  <c r="R12" i="10"/>
  <c r="U19" i="4"/>
  <c r="P33" i="4"/>
  <c r="U68" i="17"/>
  <c r="U73" i="17" s="1"/>
  <c r="O8" i="8"/>
  <c r="O11" i="8" s="1"/>
  <c r="O8" i="6"/>
  <c r="O8" i="12"/>
  <c r="O8" i="4"/>
  <c r="O8" i="10"/>
  <c r="U29" i="4"/>
  <c r="P37" i="4"/>
  <c r="P41" i="4" s="1"/>
  <c r="G10" i="2" s="1"/>
  <c r="P52" i="6"/>
  <c r="L149" i="21"/>
  <c r="F36" i="20" l="1"/>
  <c r="F37" i="20"/>
  <c r="S46" i="10"/>
  <c r="G44" i="10"/>
  <c r="I14" i="9" s="1"/>
  <c r="R7" i="11"/>
  <c r="R7" i="3"/>
  <c r="R7" i="5"/>
  <c r="R7" i="7"/>
  <c r="R7" i="9"/>
  <c r="R115" i="17"/>
  <c r="R136" i="17" s="1"/>
  <c r="R126" i="17"/>
  <c r="S114" i="17"/>
  <c r="S125" i="17" s="1"/>
  <c r="V142" i="17"/>
  <c r="V148" i="17"/>
  <c r="B127" i="17"/>
  <c r="B116" i="17"/>
  <c r="E115" i="17"/>
  <c r="E136" i="17" s="1"/>
  <c r="V115" i="17"/>
  <c r="V126" i="17" s="1"/>
  <c r="C81" i="17"/>
  <c r="C111" i="17"/>
  <c r="C101" i="17"/>
  <c r="C91" i="17"/>
  <c r="V136" i="17"/>
  <c r="N8" i="11"/>
  <c r="N8" i="5"/>
  <c r="N8" i="7"/>
  <c r="N8" i="9"/>
  <c r="N8" i="3"/>
  <c r="L11" i="11"/>
  <c r="L11" i="7"/>
  <c r="L11" i="5"/>
  <c r="L11" i="9"/>
  <c r="L11" i="3"/>
  <c r="Q114" i="17"/>
  <c r="Q135" i="17" s="1"/>
  <c r="Q125" i="17"/>
  <c r="H136" i="17"/>
  <c r="B115" i="17"/>
  <c r="B136" i="17" s="1"/>
  <c r="B126" i="17"/>
  <c r="L10" i="6"/>
  <c r="L10" i="12"/>
  <c r="L10" i="8"/>
  <c r="L10" i="10"/>
  <c r="L10" i="4"/>
  <c r="H25" i="12"/>
  <c r="H25" i="6"/>
  <c r="H25" i="8"/>
  <c r="H25" i="10"/>
  <c r="H25" i="4"/>
  <c r="L115" i="17"/>
  <c r="L136" i="17" s="1"/>
  <c r="L147" i="17" s="1"/>
  <c r="F85" i="20"/>
  <c r="F84" i="20"/>
  <c r="AA56" i="4"/>
  <c r="W101" i="17"/>
  <c r="W81" i="17"/>
  <c r="W111" i="17" s="1"/>
  <c r="W91" i="17"/>
  <c r="L114" i="17"/>
  <c r="U79" i="17"/>
  <c r="U82" i="17" s="1"/>
  <c r="U99" i="17"/>
  <c r="U89" i="17"/>
  <c r="U92" i="17" s="1"/>
  <c r="U55" i="14" s="1"/>
  <c r="U109" i="17"/>
  <c r="Q11" i="11"/>
  <c r="Q11" i="7"/>
  <c r="Q11" i="9"/>
  <c r="Q11" i="3"/>
  <c r="Q11" i="5"/>
  <c r="L60" i="12"/>
  <c r="L60" i="10"/>
  <c r="L60" i="4"/>
  <c r="L60" i="8"/>
  <c r="L60" i="6"/>
  <c r="O116" i="17"/>
  <c r="O137" i="17" s="1"/>
  <c r="O148" i="17" s="1"/>
  <c r="I41" i="14"/>
  <c r="I37" i="10"/>
  <c r="I37" i="12"/>
  <c r="I37" i="4"/>
  <c r="I41" i="4" s="1"/>
  <c r="C10" i="2" s="1"/>
  <c r="I37" i="8"/>
  <c r="I41" i="8" s="1"/>
  <c r="I37" i="6"/>
  <c r="N36" i="6"/>
  <c r="N62" i="6"/>
  <c r="N66" i="6" s="1"/>
  <c r="X23" i="10"/>
  <c r="X23" i="12"/>
  <c r="X23" i="6"/>
  <c r="X23" i="4"/>
  <c r="X23" i="8"/>
  <c r="M90" i="17"/>
  <c r="M100" i="17"/>
  <c r="M80" i="17"/>
  <c r="M110" i="17" s="1"/>
  <c r="Q47" i="14"/>
  <c r="R47" i="14"/>
  <c r="J116" i="20"/>
  <c r="J117" i="20"/>
  <c r="L46" i="14"/>
  <c r="L42" i="12"/>
  <c r="L42" i="4"/>
  <c r="L42" i="8"/>
  <c r="L46" i="8" s="1"/>
  <c r="L42" i="10"/>
  <c r="L42" i="6"/>
  <c r="L46" i="6" s="1"/>
  <c r="R32" i="12"/>
  <c r="R32" i="10"/>
  <c r="R32" i="6"/>
  <c r="R32" i="4"/>
  <c r="R32" i="8"/>
  <c r="K67" i="17"/>
  <c r="K72" i="17" s="1"/>
  <c r="E23" i="15"/>
  <c r="W23" i="6"/>
  <c r="W22" i="6"/>
  <c r="W25" i="6"/>
  <c r="U24" i="6"/>
  <c r="O10" i="5"/>
  <c r="N23" i="6"/>
  <c r="S24" i="6"/>
  <c r="N25" i="6"/>
  <c r="P25" i="6"/>
  <c r="D102" i="16"/>
  <c r="W58" i="17"/>
  <c r="H55" i="12"/>
  <c r="H55" i="6"/>
  <c r="H55" i="10"/>
  <c r="H55" i="4"/>
  <c r="H55" i="8"/>
  <c r="O17" i="9"/>
  <c r="O17" i="7"/>
  <c r="O17" i="5"/>
  <c r="O17" i="11"/>
  <c r="O17" i="3"/>
  <c r="X31" i="14"/>
  <c r="X27" i="10"/>
  <c r="X27" i="12"/>
  <c r="X27" i="6"/>
  <c r="X27" i="4"/>
  <c r="X27" i="8"/>
  <c r="P11" i="12"/>
  <c r="I60" i="6"/>
  <c r="O79" i="17"/>
  <c r="O89" i="17"/>
  <c r="O92" i="17" s="1"/>
  <c r="U40" i="14" s="1"/>
  <c r="O99" i="17"/>
  <c r="O109" i="17"/>
  <c r="F21" i="20"/>
  <c r="F20" i="20"/>
  <c r="L14" i="11"/>
  <c r="L14" i="7"/>
  <c r="L14" i="9"/>
  <c r="L14" i="3"/>
  <c r="L14" i="5"/>
  <c r="O38" i="6"/>
  <c r="N38" i="10"/>
  <c r="J69" i="20"/>
  <c r="J68" i="20"/>
  <c r="L25" i="10"/>
  <c r="L25" i="12"/>
  <c r="L25" i="4"/>
  <c r="L25" i="6"/>
  <c r="L25" i="8"/>
  <c r="O51" i="12"/>
  <c r="S56" i="6"/>
  <c r="G54" i="6"/>
  <c r="I16" i="5" s="1"/>
  <c r="T19" i="10"/>
  <c r="P9" i="7"/>
  <c r="P9" i="5"/>
  <c r="P9" i="11"/>
  <c r="P9" i="9"/>
  <c r="P9" i="3"/>
  <c r="Q9" i="11"/>
  <c r="Q9" i="5"/>
  <c r="Q9" i="9"/>
  <c r="Q9" i="7"/>
  <c r="Q9" i="3"/>
  <c r="S34" i="10"/>
  <c r="W32" i="10"/>
  <c r="P60" i="6"/>
  <c r="P38" i="10"/>
  <c r="Q8" i="9"/>
  <c r="Q8" i="7"/>
  <c r="Q8" i="11"/>
  <c r="Q8" i="5"/>
  <c r="Q8" i="3"/>
  <c r="P37" i="10"/>
  <c r="P41" i="10" s="1"/>
  <c r="L15" i="14"/>
  <c r="P11" i="4"/>
  <c r="G14" i="2" s="1"/>
  <c r="F21" i="19"/>
  <c r="F20" i="19"/>
  <c r="S39" i="6"/>
  <c r="H23" i="15"/>
  <c r="W40" i="6"/>
  <c r="U39" i="6"/>
  <c r="P37" i="6"/>
  <c r="W38" i="6"/>
  <c r="P38" i="6"/>
  <c r="W37" i="6"/>
  <c r="W41" i="6" s="1"/>
  <c r="O37" i="12"/>
  <c r="O41" i="12" s="1"/>
  <c r="X11" i="6"/>
  <c r="Q57" i="6"/>
  <c r="J20" i="20"/>
  <c r="J21" i="20"/>
  <c r="P22" i="6"/>
  <c r="P26" i="6" s="1"/>
  <c r="W21" i="12"/>
  <c r="W33" i="10"/>
  <c r="W63" i="10" s="1"/>
  <c r="X43" i="12"/>
  <c r="X43" i="10"/>
  <c r="X43" i="4"/>
  <c r="X43" i="6"/>
  <c r="X43" i="8"/>
  <c r="Q37" i="12"/>
  <c r="W40" i="10"/>
  <c r="G54" i="10"/>
  <c r="I16" i="9" s="1"/>
  <c r="S56" i="10"/>
  <c r="R9" i="11"/>
  <c r="R9" i="5"/>
  <c r="R9" i="9"/>
  <c r="R9" i="3"/>
  <c r="R9" i="7"/>
  <c r="F85" i="18"/>
  <c r="F84" i="18"/>
  <c r="W16" i="10"/>
  <c r="L12" i="11"/>
  <c r="L18" i="11" s="1"/>
  <c r="R11" i="11"/>
  <c r="R11" i="7"/>
  <c r="R11" i="3"/>
  <c r="R11" i="5"/>
  <c r="R11" i="9"/>
  <c r="X40" i="12"/>
  <c r="X40" i="6"/>
  <c r="X40" i="10"/>
  <c r="X40" i="4"/>
  <c r="X40" i="8"/>
  <c r="O62" i="6"/>
  <c r="Q43" i="6"/>
  <c r="X33" i="12"/>
  <c r="X63" i="12" s="1"/>
  <c r="R10" i="10"/>
  <c r="R10" i="12"/>
  <c r="R10" i="6"/>
  <c r="R10" i="8"/>
  <c r="R10" i="4"/>
  <c r="N60" i="6"/>
  <c r="N61" i="6" s="1"/>
  <c r="W26" i="4"/>
  <c r="K9" i="2" s="1"/>
  <c r="P58" i="12"/>
  <c r="P58" i="10"/>
  <c r="P58" i="4"/>
  <c r="P58" i="6"/>
  <c r="P58" i="8"/>
  <c r="P61" i="8" s="1"/>
  <c r="H35" i="12"/>
  <c r="H65" i="12" s="1"/>
  <c r="H35" i="6"/>
  <c r="H65" i="6" s="1"/>
  <c r="H35" i="10"/>
  <c r="H65" i="10" s="1"/>
  <c r="H35" i="4"/>
  <c r="H35" i="8"/>
  <c r="H65" i="8" s="1"/>
  <c r="D23" i="15"/>
  <c r="W17" i="6"/>
  <c r="W18" i="6"/>
  <c r="W20" i="6"/>
  <c r="U19" i="6"/>
  <c r="O9" i="5"/>
  <c r="O18" i="6"/>
  <c r="O21" i="6" s="1"/>
  <c r="P20" i="6"/>
  <c r="S19" i="6"/>
  <c r="X32" i="10"/>
  <c r="I46" i="8"/>
  <c r="W100" i="17"/>
  <c r="W90" i="17"/>
  <c r="W80" i="17"/>
  <c r="P13" i="11"/>
  <c r="L9" i="9"/>
  <c r="Q58" i="10"/>
  <c r="Q61" i="10" s="1"/>
  <c r="Q58" i="12"/>
  <c r="Q58" i="6"/>
  <c r="Q58" i="8"/>
  <c r="Q58" i="4"/>
  <c r="R18" i="10"/>
  <c r="O18" i="10"/>
  <c r="R42" i="12"/>
  <c r="Q22" i="14"/>
  <c r="R22" i="14"/>
  <c r="H48" i="10"/>
  <c r="H48" i="6"/>
  <c r="H48" i="12"/>
  <c r="H51" i="12" s="1"/>
  <c r="H48" i="8"/>
  <c r="H51" i="8" s="1"/>
  <c r="H48" i="4"/>
  <c r="C68" i="17"/>
  <c r="C73" i="17" s="1"/>
  <c r="T39" i="10"/>
  <c r="F132" i="20"/>
  <c r="F133" i="20"/>
  <c r="W35" i="10"/>
  <c r="M99" i="17"/>
  <c r="M79" i="17"/>
  <c r="M109" i="17" s="1"/>
  <c r="M89" i="17"/>
  <c r="O21" i="12"/>
  <c r="P60" i="12"/>
  <c r="G102" i="16"/>
  <c r="Q20" i="12"/>
  <c r="Q20" i="10"/>
  <c r="Q20" i="4"/>
  <c r="Q20" i="8"/>
  <c r="Q20" i="6"/>
  <c r="X42" i="12"/>
  <c r="X42" i="10"/>
  <c r="X42" i="8"/>
  <c r="X42" i="4"/>
  <c r="X42" i="6"/>
  <c r="X46" i="14"/>
  <c r="W62" i="6"/>
  <c r="W66" i="6" s="1"/>
  <c r="W36" i="6"/>
  <c r="X16" i="10"/>
  <c r="H18" i="10"/>
  <c r="G18" i="10" s="1"/>
  <c r="H9" i="9" s="1"/>
  <c r="O60" i="12"/>
  <c r="K68" i="17"/>
  <c r="K73" i="17" s="1"/>
  <c r="S81" i="17"/>
  <c r="S91" i="17"/>
  <c r="S111" i="17" s="1"/>
  <c r="S101" i="17"/>
  <c r="F180" i="19"/>
  <c r="AA61" i="14" s="1"/>
  <c r="U149" i="17"/>
  <c r="U143" i="17"/>
  <c r="S16" i="12"/>
  <c r="G14" i="12"/>
  <c r="I8" i="11" s="1"/>
  <c r="P11" i="7"/>
  <c r="P11" i="5"/>
  <c r="P11" i="3"/>
  <c r="P11" i="9"/>
  <c r="P11" i="11"/>
  <c r="L12" i="9"/>
  <c r="L18" i="9" s="1"/>
  <c r="G9" i="12"/>
  <c r="I7" i="11" s="1"/>
  <c r="S11" i="12"/>
  <c r="O26" i="8"/>
  <c r="P16" i="10"/>
  <c r="X41" i="14"/>
  <c r="X37" i="4"/>
  <c r="X37" i="10"/>
  <c r="X37" i="6"/>
  <c r="X37" i="8"/>
  <c r="X37" i="12"/>
  <c r="N43" i="10"/>
  <c r="X51" i="4"/>
  <c r="L7" i="2" s="1"/>
  <c r="G52" i="14"/>
  <c r="H52" i="6"/>
  <c r="H52" i="10"/>
  <c r="H56" i="14"/>
  <c r="H52" i="12"/>
  <c r="H52" i="4"/>
  <c r="H52" i="8"/>
  <c r="I60" i="12"/>
  <c r="G14" i="6"/>
  <c r="I8" i="5" s="1"/>
  <c r="S16" i="6"/>
  <c r="Q82" i="17"/>
  <c r="W61" i="4"/>
  <c r="K16" i="2" s="1"/>
  <c r="N60" i="12"/>
  <c r="X11" i="12"/>
  <c r="P10" i="7"/>
  <c r="P10" i="3"/>
  <c r="P10" i="11"/>
  <c r="P10" i="9"/>
  <c r="P10" i="5"/>
  <c r="O20" i="10"/>
  <c r="U39" i="10"/>
  <c r="X20" i="12"/>
  <c r="X20" i="10"/>
  <c r="X20" i="4"/>
  <c r="X20" i="8"/>
  <c r="X20" i="6"/>
  <c r="O16" i="11"/>
  <c r="O16" i="9"/>
  <c r="O16" i="5"/>
  <c r="O16" i="7"/>
  <c r="O16" i="3"/>
  <c r="X32" i="12"/>
  <c r="I42" i="6"/>
  <c r="I45" i="6"/>
  <c r="I25" i="12"/>
  <c r="O42" i="12"/>
  <c r="P13" i="5"/>
  <c r="P26" i="10"/>
  <c r="U24" i="12"/>
  <c r="L9" i="5"/>
  <c r="S26" i="10"/>
  <c r="U19" i="10"/>
  <c r="R42" i="10"/>
  <c r="R46" i="10" s="1"/>
  <c r="F149" i="19"/>
  <c r="F148" i="19"/>
  <c r="AA51" i="6" s="1"/>
  <c r="P18" i="13"/>
  <c r="P12" i="9"/>
  <c r="P18" i="9" s="1"/>
  <c r="P12" i="11"/>
  <c r="P18" i="11" s="1"/>
  <c r="P12" i="5"/>
  <c r="P18" i="5" s="1"/>
  <c r="P12" i="3"/>
  <c r="P12" i="7"/>
  <c r="P18" i="7" s="1"/>
  <c r="N14" i="11"/>
  <c r="N14" i="9"/>
  <c r="N14" i="5"/>
  <c r="N14" i="3"/>
  <c r="N14" i="7"/>
  <c r="T39" i="6"/>
  <c r="P93" i="21"/>
  <c r="P95" i="21"/>
  <c r="P96" i="21"/>
  <c r="P87" i="21"/>
  <c r="P90" i="21"/>
  <c r="P92" i="21"/>
  <c r="P89" i="21"/>
  <c r="P91" i="21"/>
  <c r="P98" i="21"/>
  <c r="P94" i="21"/>
  <c r="P88" i="21"/>
  <c r="P86" i="21"/>
  <c r="P97" i="21"/>
  <c r="P57" i="6"/>
  <c r="P61" i="6" s="1"/>
  <c r="H45" i="14"/>
  <c r="M58" i="17"/>
  <c r="O17" i="10"/>
  <c r="O21" i="10" s="1"/>
  <c r="T29" i="12"/>
  <c r="P43" i="10"/>
  <c r="H57" i="14"/>
  <c r="R20" i="12"/>
  <c r="R20" i="8"/>
  <c r="R20" i="10"/>
  <c r="R20" i="6"/>
  <c r="R20" i="4"/>
  <c r="T44" i="12"/>
  <c r="X45" i="12"/>
  <c r="X45" i="10"/>
  <c r="X45" i="6"/>
  <c r="X45" i="4"/>
  <c r="X45" i="8"/>
  <c r="O40" i="6"/>
  <c r="O41" i="6" s="1"/>
  <c r="I102" i="16"/>
  <c r="G14" i="8"/>
  <c r="I8" i="7" s="1"/>
  <c r="I36" i="4"/>
  <c r="C17" i="2" s="1"/>
  <c r="O60" i="10"/>
  <c r="R37" i="6"/>
  <c r="N35" i="12"/>
  <c r="N65" i="12" s="1"/>
  <c r="L40" i="12"/>
  <c r="L40" i="10"/>
  <c r="L40" i="6"/>
  <c r="L40" i="8"/>
  <c r="L40" i="4"/>
  <c r="L30" i="12"/>
  <c r="L30" i="6"/>
  <c r="L30" i="10"/>
  <c r="L30" i="4"/>
  <c r="L30" i="8"/>
  <c r="N22" i="14"/>
  <c r="G22" i="14" s="1"/>
  <c r="W11" i="12"/>
  <c r="O22" i="12"/>
  <c r="R8" i="9"/>
  <c r="R8" i="7"/>
  <c r="R8" i="11"/>
  <c r="R8" i="5"/>
  <c r="R8" i="3"/>
  <c r="Q43" i="12"/>
  <c r="N43" i="6"/>
  <c r="X51" i="8"/>
  <c r="I28" i="10"/>
  <c r="O56" i="4"/>
  <c r="O7" i="9"/>
  <c r="O7" i="7"/>
  <c r="O7" i="11"/>
  <c r="O7" i="5"/>
  <c r="O7" i="3"/>
  <c r="O57" i="10"/>
  <c r="O61" i="10" s="1"/>
  <c r="L102" i="16"/>
  <c r="G100" i="17"/>
  <c r="G80" i="17"/>
  <c r="G110" i="17" s="1"/>
  <c r="G90" i="17"/>
  <c r="H60" i="12"/>
  <c r="H60" i="4"/>
  <c r="H60" i="10"/>
  <c r="H60" i="6"/>
  <c r="H60" i="8"/>
  <c r="O20" i="12"/>
  <c r="X21" i="14"/>
  <c r="X17" i="6"/>
  <c r="X21" i="6" s="1"/>
  <c r="X17" i="10"/>
  <c r="X21" i="10" s="1"/>
  <c r="X17" i="8"/>
  <c r="X17" i="4"/>
  <c r="X17" i="12"/>
  <c r="X21" i="12" s="1"/>
  <c r="I42" i="12"/>
  <c r="N23" i="12"/>
  <c r="Q40" i="12"/>
  <c r="W23" i="10"/>
  <c r="W26" i="10" s="1"/>
  <c r="P23" i="6"/>
  <c r="S19" i="10"/>
  <c r="N55" i="12"/>
  <c r="N56" i="12" s="1"/>
  <c r="N55" i="10"/>
  <c r="N56" i="10" s="1"/>
  <c r="N55" i="6"/>
  <c r="N55" i="4"/>
  <c r="N55" i="8"/>
  <c r="N56" i="8" s="1"/>
  <c r="I58" i="17"/>
  <c r="H51" i="4"/>
  <c r="P7" i="7"/>
  <c r="P7" i="11"/>
  <c r="P7" i="5"/>
  <c r="P7" i="3"/>
  <c r="P7" i="9"/>
  <c r="S61" i="12"/>
  <c r="Q13" i="14"/>
  <c r="R13" i="14"/>
  <c r="Q31" i="14"/>
  <c r="Q27" i="10"/>
  <c r="Q27" i="8"/>
  <c r="Q27" i="6"/>
  <c r="Q27" i="12"/>
  <c r="Q27" i="4"/>
  <c r="H115" i="17"/>
  <c r="H126" i="17" s="1"/>
  <c r="O23" i="6"/>
  <c r="R48" i="14"/>
  <c r="Q48" i="14"/>
  <c r="G48" i="14" s="1"/>
  <c r="Q57" i="12"/>
  <c r="O33" i="12"/>
  <c r="O63" i="12" s="1"/>
  <c r="X58" i="10"/>
  <c r="X58" i="6"/>
  <c r="X58" i="12"/>
  <c r="X58" i="8"/>
  <c r="X58" i="4"/>
  <c r="J115" i="17"/>
  <c r="J136" i="17" s="1"/>
  <c r="J126" i="17"/>
  <c r="G49" i="8"/>
  <c r="I15" i="7" s="1"/>
  <c r="E91" i="17"/>
  <c r="E81" i="17"/>
  <c r="E111" i="17" s="1"/>
  <c r="E101" i="17"/>
  <c r="R31" i="14"/>
  <c r="R27" i="10"/>
  <c r="R27" i="6"/>
  <c r="R27" i="8"/>
  <c r="R27" i="12"/>
  <c r="R27" i="4"/>
  <c r="F68" i="18"/>
  <c r="F69" i="18"/>
  <c r="I21" i="14"/>
  <c r="I17" i="12"/>
  <c r="I17" i="10"/>
  <c r="I17" i="6"/>
  <c r="I17" i="4"/>
  <c r="I17" i="8"/>
  <c r="I21" i="8" s="1"/>
  <c r="Q61" i="4"/>
  <c r="U34" i="12"/>
  <c r="U64" i="12" s="1"/>
  <c r="Q37" i="10"/>
  <c r="O32" i="12"/>
  <c r="L38" i="8"/>
  <c r="L38" i="6"/>
  <c r="L38" i="4"/>
  <c r="L38" i="12"/>
  <c r="L38" i="10"/>
  <c r="U39" i="12"/>
  <c r="L27" i="14"/>
  <c r="O38" i="12"/>
  <c r="L32" i="14"/>
  <c r="O11" i="9"/>
  <c r="O11" i="7"/>
  <c r="O11" i="5"/>
  <c r="O11" i="3"/>
  <c r="O11" i="11"/>
  <c r="F23" i="15"/>
  <c r="W30" i="6"/>
  <c r="W27" i="6"/>
  <c r="W31" i="6" s="1"/>
  <c r="W28" i="6"/>
  <c r="S29" i="6"/>
  <c r="P27" i="6"/>
  <c r="U29" i="6"/>
  <c r="P28" i="6"/>
  <c r="O30" i="6"/>
  <c r="J53" i="20"/>
  <c r="J52" i="20"/>
  <c r="N40" i="12"/>
  <c r="N40" i="10"/>
  <c r="N40" i="8"/>
  <c r="N40" i="6"/>
  <c r="N40" i="4"/>
  <c r="X62" i="6"/>
  <c r="X66" i="6" s="1"/>
  <c r="X36" i="6"/>
  <c r="T34" i="12"/>
  <c r="T34" i="10"/>
  <c r="T34" i="8"/>
  <c r="T34" i="6"/>
  <c r="T34" i="4"/>
  <c r="G34" i="14"/>
  <c r="Q40" i="6"/>
  <c r="R58" i="12"/>
  <c r="R58" i="10"/>
  <c r="R58" i="6"/>
  <c r="R58" i="8"/>
  <c r="R61" i="8" s="1"/>
  <c r="R58" i="4"/>
  <c r="H23" i="14"/>
  <c r="F164" i="20"/>
  <c r="AA56" i="14" s="1"/>
  <c r="F165" i="20"/>
  <c r="N28" i="12"/>
  <c r="N28" i="6"/>
  <c r="N28" i="10"/>
  <c r="N28" i="4"/>
  <c r="N28" i="8"/>
  <c r="G59" i="4"/>
  <c r="I17" i="3" s="1"/>
  <c r="S61" i="4"/>
  <c r="I16" i="2" s="1"/>
  <c r="W65" i="6"/>
  <c r="R37" i="10"/>
  <c r="O25" i="6"/>
  <c r="W60" i="12"/>
  <c r="P45" i="6"/>
  <c r="L61" i="14"/>
  <c r="L57" i="12"/>
  <c r="L61" i="12" s="1"/>
  <c r="L57" i="6"/>
  <c r="L61" i="6" s="1"/>
  <c r="L57" i="8"/>
  <c r="L57" i="4"/>
  <c r="L57" i="10"/>
  <c r="Q92" i="17"/>
  <c r="U45" i="14" s="1"/>
  <c r="R35" i="10"/>
  <c r="R65" i="10" s="1"/>
  <c r="Q15" i="11"/>
  <c r="Q15" i="7"/>
  <c r="Q15" i="5"/>
  <c r="Q15" i="3"/>
  <c r="Q15" i="9"/>
  <c r="L43" i="12"/>
  <c r="L43" i="8"/>
  <c r="G43" i="8" s="1"/>
  <c r="H14" i="7" s="1"/>
  <c r="L43" i="6"/>
  <c r="L43" i="10"/>
  <c r="L43" i="4"/>
  <c r="D147" i="17"/>
  <c r="D141" i="17"/>
  <c r="I22" i="12"/>
  <c r="I26" i="14"/>
  <c r="I22" i="6"/>
  <c r="I22" i="10"/>
  <c r="I26" i="10" s="1"/>
  <c r="I22" i="8"/>
  <c r="I26" i="8" s="1"/>
  <c r="I22" i="4"/>
  <c r="I26" i="4" s="1"/>
  <c r="C9" i="2" s="1"/>
  <c r="H42" i="6"/>
  <c r="I57" i="6"/>
  <c r="F37" i="18"/>
  <c r="F36" i="18"/>
  <c r="O56" i="6"/>
  <c r="R61" i="14"/>
  <c r="I33" i="12"/>
  <c r="I63" i="12" s="1"/>
  <c r="S26" i="12"/>
  <c r="G24" i="12"/>
  <c r="I10" i="11" s="1"/>
  <c r="N30" i="12"/>
  <c r="N30" i="8"/>
  <c r="N30" i="4"/>
  <c r="N30" i="10"/>
  <c r="N30" i="6"/>
  <c r="N9" i="9"/>
  <c r="O40" i="12"/>
  <c r="H43" i="6"/>
  <c r="R37" i="12"/>
  <c r="L111" i="17"/>
  <c r="L8" i="7"/>
  <c r="L8" i="5"/>
  <c r="L8" i="9"/>
  <c r="L8" i="3"/>
  <c r="L8" i="11"/>
  <c r="Q13" i="9"/>
  <c r="N17" i="10"/>
  <c r="P36" i="6"/>
  <c r="P62" i="6"/>
  <c r="P66" i="6" s="1"/>
  <c r="E79" i="17"/>
  <c r="E109" i="17" s="1"/>
  <c r="E99" i="17"/>
  <c r="E89" i="17"/>
  <c r="P57" i="12"/>
  <c r="L58" i="12"/>
  <c r="L58" i="6"/>
  <c r="L58" i="4"/>
  <c r="L58" i="8"/>
  <c r="L58" i="10"/>
  <c r="P14" i="5"/>
  <c r="O56" i="10"/>
  <c r="N51" i="14"/>
  <c r="N47" i="12"/>
  <c r="N51" i="12" s="1"/>
  <c r="N47" i="10"/>
  <c r="N51" i="10" s="1"/>
  <c r="N47" i="4"/>
  <c r="N51" i="4" s="1"/>
  <c r="N47" i="6"/>
  <c r="N51" i="6" s="1"/>
  <c r="N47" i="8"/>
  <c r="N51" i="8" s="1"/>
  <c r="R57" i="12"/>
  <c r="Q116" i="17"/>
  <c r="Q127" i="17"/>
  <c r="O43" i="6"/>
  <c r="O46" i="6" s="1"/>
  <c r="X56" i="8"/>
  <c r="P61" i="14"/>
  <c r="O45" i="10"/>
  <c r="W37" i="12"/>
  <c r="W41" i="12" s="1"/>
  <c r="H22" i="6"/>
  <c r="Q52" i="12"/>
  <c r="Q52" i="4"/>
  <c r="Q52" i="6"/>
  <c r="Q52" i="8"/>
  <c r="Q52" i="10"/>
  <c r="H15" i="14"/>
  <c r="N9" i="5"/>
  <c r="R10" i="5"/>
  <c r="H42" i="10"/>
  <c r="H58" i="6"/>
  <c r="I32" i="12"/>
  <c r="H7" i="12"/>
  <c r="H7" i="4"/>
  <c r="H7" i="6"/>
  <c r="H7" i="8"/>
  <c r="H7" i="10"/>
  <c r="R43" i="12"/>
  <c r="P35" i="10"/>
  <c r="P65" i="10" s="1"/>
  <c r="N41" i="8"/>
  <c r="R33" i="14"/>
  <c r="Q33" i="14"/>
  <c r="P45" i="12"/>
  <c r="G58" i="17"/>
  <c r="W35" i="12"/>
  <c r="J101" i="20"/>
  <c r="J100" i="20"/>
  <c r="L17" i="14"/>
  <c r="W60" i="10"/>
  <c r="B137" i="17"/>
  <c r="L13" i="11"/>
  <c r="L13" i="9"/>
  <c r="L13" i="5"/>
  <c r="L13" i="7"/>
  <c r="L13" i="3"/>
  <c r="S16" i="10"/>
  <c r="G14" i="10"/>
  <c r="I8" i="9" s="1"/>
  <c r="Q13" i="11"/>
  <c r="P30" i="12"/>
  <c r="R8" i="14"/>
  <c r="Q8" i="14"/>
  <c r="P32" i="10"/>
  <c r="I51" i="12"/>
  <c r="R57" i="10"/>
  <c r="R61" i="10" s="1"/>
  <c r="O58" i="6"/>
  <c r="L20" i="10"/>
  <c r="W31" i="4"/>
  <c r="K8" i="2" s="1"/>
  <c r="C58" i="17"/>
  <c r="T24" i="10"/>
  <c r="G24" i="10" s="1"/>
  <c r="I10" i="9" s="1"/>
  <c r="I33" i="10"/>
  <c r="I63" i="10" s="1"/>
  <c r="U29" i="10"/>
  <c r="W23" i="12"/>
  <c r="U29" i="12"/>
  <c r="I40" i="10"/>
  <c r="T110" i="17"/>
  <c r="L23" i="12"/>
  <c r="P46" i="8"/>
  <c r="W17" i="10"/>
  <c r="R15" i="14"/>
  <c r="Q15" i="14"/>
  <c r="N114" i="17"/>
  <c r="W79" i="17"/>
  <c r="W82" i="17" s="1"/>
  <c r="W89" i="17"/>
  <c r="W99" i="17"/>
  <c r="S34" i="12"/>
  <c r="P33" i="12"/>
  <c r="P63" i="12" s="1"/>
  <c r="X30" i="12"/>
  <c r="X30" i="10"/>
  <c r="X30" i="4"/>
  <c r="X30" i="6"/>
  <c r="X30" i="8"/>
  <c r="G39" i="4"/>
  <c r="I13" i="3" s="1"/>
  <c r="S41" i="4"/>
  <c r="I10" i="2" s="1"/>
  <c r="O14" i="11"/>
  <c r="O14" i="9"/>
  <c r="O14" i="5"/>
  <c r="O14" i="3"/>
  <c r="O14" i="7"/>
  <c r="H10" i="14"/>
  <c r="L55" i="10"/>
  <c r="L55" i="12"/>
  <c r="L55" i="4"/>
  <c r="L55" i="6"/>
  <c r="L55" i="8"/>
  <c r="N147" i="17"/>
  <c r="N141" i="17"/>
  <c r="I23" i="6"/>
  <c r="F132" i="18"/>
  <c r="F133" i="18"/>
  <c r="M92" i="17"/>
  <c r="U35" i="14" s="1"/>
  <c r="H102" i="16"/>
  <c r="X22" i="10"/>
  <c r="X22" i="8"/>
  <c r="X22" i="6"/>
  <c r="X22" i="4"/>
  <c r="X22" i="12"/>
  <c r="X26" i="14"/>
  <c r="Q18" i="12"/>
  <c r="Q18" i="10"/>
  <c r="Q18" i="6"/>
  <c r="Q18" i="4"/>
  <c r="Q18" i="8"/>
  <c r="R89" i="17"/>
  <c r="S92" i="17" s="1"/>
  <c r="U50" i="14" s="1"/>
  <c r="R79" i="17"/>
  <c r="R99" i="17"/>
  <c r="Q17" i="5"/>
  <c r="Q21" i="14"/>
  <c r="Q17" i="12"/>
  <c r="Q17" i="6"/>
  <c r="Q17" i="10"/>
  <c r="Q17" i="4"/>
  <c r="Q17" i="8"/>
  <c r="X60" i="12"/>
  <c r="X60" i="10"/>
  <c r="X60" i="6"/>
  <c r="X60" i="4"/>
  <c r="X60" i="8"/>
  <c r="N18" i="13"/>
  <c r="N12" i="7"/>
  <c r="N18" i="7" s="1"/>
  <c r="N12" i="11"/>
  <c r="N18" i="11" s="1"/>
  <c r="N12" i="9"/>
  <c r="N18" i="9" s="1"/>
  <c r="N12" i="5"/>
  <c r="N18" i="5" s="1"/>
  <c r="N12" i="3"/>
  <c r="X16" i="6"/>
  <c r="R23" i="10"/>
  <c r="R23" i="12"/>
  <c r="R23" i="6"/>
  <c r="R23" i="8"/>
  <c r="R23" i="4"/>
  <c r="X25" i="12"/>
  <c r="X25" i="10"/>
  <c r="X25" i="6"/>
  <c r="X25" i="8"/>
  <c r="X25" i="4"/>
  <c r="N38" i="12"/>
  <c r="S39" i="10"/>
  <c r="H27" i="14"/>
  <c r="U91" i="17"/>
  <c r="U101" i="17"/>
  <c r="U81" i="17"/>
  <c r="U111" i="17"/>
  <c r="P37" i="12"/>
  <c r="P41" i="12" s="1"/>
  <c r="O46" i="10"/>
  <c r="S51" i="6"/>
  <c r="G49" i="6"/>
  <c r="I15" i="5" s="1"/>
  <c r="W45" i="6"/>
  <c r="I23" i="15"/>
  <c r="S44" i="6"/>
  <c r="W42" i="6"/>
  <c r="W43" i="6"/>
  <c r="U44" i="6"/>
  <c r="J36" i="20"/>
  <c r="J37" i="20"/>
  <c r="P14" i="11"/>
  <c r="X51" i="6"/>
  <c r="I28" i="6"/>
  <c r="I58" i="4"/>
  <c r="G58" i="4" s="1"/>
  <c r="H17" i="3" s="1"/>
  <c r="I58" i="10"/>
  <c r="I61" i="10" s="1"/>
  <c r="I58" i="12"/>
  <c r="G58" i="12" s="1"/>
  <c r="H17" i="11" s="1"/>
  <c r="I58" i="8"/>
  <c r="G58" i="8" s="1"/>
  <c r="H17" i="7" s="1"/>
  <c r="I58" i="6"/>
  <c r="Q10" i="7"/>
  <c r="Q10" i="9"/>
  <c r="Q10" i="11"/>
  <c r="Q10" i="5"/>
  <c r="Q10" i="3"/>
  <c r="L37" i="10"/>
  <c r="L41" i="14"/>
  <c r="L37" i="12"/>
  <c r="L37" i="6"/>
  <c r="L37" i="8"/>
  <c r="L37" i="4"/>
  <c r="R15" i="11"/>
  <c r="R15" i="3"/>
  <c r="R15" i="7"/>
  <c r="R15" i="5"/>
  <c r="R15" i="9"/>
  <c r="Q40" i="10"/>
  <c r="T39" i="12"/>
  <c r="P61" i="10"/>
  <c r="G18" i="14"/>
  <c r="Q14" i="11"/>
  <c r="Q14" i="9"/>
  <c r="Q14" i="7"/>
  <c r="Q14" i="3"/>
  <c r="Q14" i="5"/>
  <c r="P36" i="4"/>
  <c r="G17" i="2" s="1"/>
  <c r="N7" i="9"/>
  <c r="N7" i="7"/>
  <c r="N7" i="11"/>
  <c r="N7" i="5"/>
  <c r="N7" i="3"/>
  <c r="I40" i="12"/>
  <c r="O45" i="12"/>
  <c r="R10" i="11"/>
  <c r="I62" i="8"/>
  <c r="I66" i="8" s="1"/>
  <c r="I36" i="8"/>
  <c r="S11" i="6"/>
  <c r="G9" i="6"/>
  <c r="I7" i="5" s="1"/>
  <c r="H13" i="12"/>
  <c r="H13" i="10"/>
  <c r="H13" i="6"/>
  <c r="H13" i="8"/>
  <c r="H13" i="4"/>
  <c r="W57" i="12"/>
  <c r="P16" i="12"/>
  <c r="I80" i="17"/>
  <c r="I100" i="17"/>
  <c r="I90" i="17"/>
  <c r="I110" i="17"/>
  <c r="L18" i="10"/>
  <c r="L18" i="12"/>
  <c r="L18" i="8"/>
  <c r="G18" i="8" s="1"/>
  <c r="H9" i="7" s="1"/>
  <c r="L18" i="4"/>
  <c r="G18" i="4" s="1"/>
  <c r="H9" i="3" s="1"/>
  <c r="L18" i="6"/>
  <c r="G18" i="6" s="1"/>
  <c r="H9" i="5" s="1"/>
  <c r="R53" i="14"/>
  <c r="Q53" i="14"/>
  <c r="P27" i="12"/>
  <c r="P31" i="12" s="1"/>
  <c r="P23" i="12"/>
  <c r="P26" i="12" s="1"/>
  <c r="W20" i="10"/>
  <c r="L13" i="12"/>
  <c r="L13" i="10"/>
  <c r="L13" i="6"/>
  <c r="L13" i="8"/>
  <c r="L13" i="4"/>
  <c r="H37" i="14"/>
  <c r="O40" i="10"/>
  <c r="O41" i="10" s="1"/>
  <c r="K58" i="17"/>
  <c r="O28" i="6"/>
  <c r="O31" i="6" s="1"/>
  <c r="R43" i="6"/>
  <c r="R46" i="6" s="1"/>
  <c r="P30" i="6"/>
  <c r="W22" i="12"/>
  <c r="W26" i="12" s="1"/>
  <c r="W18" i="10"/>
  <c r="O43" i="10"/>
  <c r="T59" i="12"/>
  <c r="G59" i="12" s="1"/>
  <c r="I17" i="11" s="1"/>
  <c r="N18" i="6"/>
  <c r="X56" i="12"/>
  <c r="N36" i="8"/>
  <c r="N62" i="8"/>
  <c r="N66" i="8" s="1"/>
  <c r="H22" i="12"/>
  <c r="L45" i="6"/>
  <c r="F148" i="20"/>
  <c r="F149" i="20"/>
  <c r="S56" i="12"/>
  <c r="G54" i="12"/>
  <c r="I16" i="11" s="1"/>
  <c r="R10" i="9"/>
  <c r="G42" i="14"/>
  <c r="H20" i="14"/>
  <c r="H43" i="12"/>
  <c r="U59" i="12"/>
  <c r="R17" i="5"/>
  <c r="P35" i="12"/>
  <c r="P65" i="12" s="1"/>
  <c r="I31" i="14"/>
  <c r="I27" i="10"/>
  <c r="I31" i="10" s="1"/>
  <c r="I27" i="12"/>
  <c r="I31" i="12" s="1"/>
  <c r="I27" i="8"/>
  <c r="I31" i="8" s="1"/>
  <c r="I27" i="6"/>
  <c r="I31" i="6" s="1"/>
  <c r="I27" i="4"/>
  <c r="I31" i="4" s="1"/>
  <c r="C8" i="2" s="1"/>
  <c r="N37" i="6"/>
  <c r="N41" i="6" s="1"/>
  <c r="G54" i="8"/>
  <c r="I16" i="7" s="1"/>
  <c r="N17" i="5"/>
  <c r="N17" i="11"/>
  <c r="N17" i="3"/>
  <c r="N17" i="7"/>
  <c r="N17" i="9"/>
  <c r="W33" i="12"/>
  <c r="W63" i="12" s="1"/>
  <c r="Q35" i="10"/>
  <c r="Q65" i="10" s="1"/>
  <c r="F53" i="18"/>
  <c r="F52" i="18"/>
  <c r="W57" i="10"/>
  <c r="R25" i="10"/>
  <c r="R25" i="12"/>
  <c r="R25" i="4"/>
  <c r="R25" i="6"/>
  <c r="R25" i="8"/>
  <c r="W43" i="10"/>
  <c r="P30" i="10"/>
  <c r="N17" i="12"/>
  <c r="G69" i="17"/>
  <c r="G74" i="17" s="1"/>
  <c r="O11" i="6"/>
  <c r="R16" i="11"/>
  <c r="R16" i="9"/>
  <c r="R16" i="7"/>
  <c r="R16" i="3"/>
  <c r="R16" i="5"/>
  <c r="F91" i="17"/>
  <c r="F81" i="17"/>
  <c r="F111" i="17" s="1"/>
  <c r="F101" i="17"/>
  <c r="P8" i="11"/>
  <c r="P8" i="7"/>
  <c r="P8" i="5"/>
  <c r="P8" i="3"/>
  <c r="P8" i="9"/>
  <c r="I20" i="12"/>
  <c r="I20" i="6"/>
  <c r="I20" i="8"/>
  <c r="I20" i="4"/>
  <c r="I20" i="10"/>
  <c r="F86" i="20"/>
  <c r="P38" i="12"/>
  <c r="Q137" i="17"/>
  <c r="Q148" i="17" s="1"/>
  <c r="I11" i="4"/>
  <c r="C14" i="2" s="1"/>
  <c r="S29" i="10"/>
  <c r="R14" i="11"/>
  <c r="P17" i="9"/>
  <c r="W30" i="12"/>
  <c r="Q28" i="6"/>
  <c r="P42" i="12"/>
  <c r="O33" i="6"/>
  <c r="O63" i="6" s="1"/>
  <c r="S90" i="17"/>
  <c r="S100" i="17"/>
  <c r="S80" i="17"/>
  <c r="Q45" i="6"/>
  <c r="Q45" i="10"/>
  <c r="Q45" i="4"/>
  <c r="Q45" i="12"/>
  <c r="Q45" i="8"/>
  <c r="Q115" i="17"/>
  <c r="Q126" i="17" s="1"/>
  <c r="H38" i="10"/>
  <c r="H38" i="12"/>
  <c r="H38" i="8"/>
  <c r="H38" i="4"/>
  <c r="H38" i="6"/>
  <c r="H114" i="17"/>
  <c r="H125" i="17"/>
  <c r="P17" i="10"/>
  <c r="P21" i="10" s="1"/>
  <c r="N13" i="5"/>
  <c r="N13" i="3"/>
  <c r="N13" i="7"/>
  <c r="N13" i="11"/>
  <c r="N13" i="9"/>
  <c r="F68" i="20"/>
  <c r="F69" i="20"/>
  <c r="O35" i="12"/>
  <c r="O65" i="12" s="1"/>
  <c r="W46" i="12"/>
  <c r="F116" i="19"/>
  <c r="F117" i="19"/>
  <c r="O62" i="8"/>
  <c r="O66" i="8" s="1"/>
  <c r="O36" i="8"/>
  <c r="L17" i="9"/>
  <c r="L17" i="11"/>
  <c r="L17" i="7"/>
  <c r="L17" i="5"/>
  <c r="L17" i="3"/>
  <c r="I25" i="6"/>
  <c r="M111" i="17"/>
  <c r="S46" i="12"/>
  <c r="G44" i="12"/>
  <c r="I14" i="11" s="1"/>
  <c r="C149" i="17"/>
  <c r="C143" i="17"/>
  <c r="N12" i="12"/>
  <c r="N16" i="12" s="1"/>
  <c r="N12" i="4"/>
  <c r="N16" i="4" s="1"/>
  <c r="N12" i="6"/>
  <c r="N16" i="6" s="1"/>
  <c r="N12" i="10"/>
  <c r="N16" i="10" s="1"/>
  <c r="N12" i="8"/>
  <c r="N16" i="8" s="1"/>
  <c r="N16" i="14"/>
  <c r="X28" i="12"/>
  <c r="X28" i="8"/>
  <c r="X28" i="4"/>
  <c r="X28" i="6"/>
  <c r="X28" i="10"/>
  <c r="L26" i="14"/>
  <c r="L22" i="10"/>
  <c r="L22" i="12"/>
  <c r="L22" i="6"/>
  <c r="L22" i="4"/>
  <c r="L22" i="8"/>
  <c r="L26" i="8" s="1"/>
  <c r="F181" i="20"/>
  <c r="U34" i="10"/>
  <c r="U64" i="10" s="1"/>
  <c r="X61" i="14"/>
  <c r="X57" i="12"/>
  <c r="X57" i="10"/>
  <c r="X57" i="4"/>
  <c r="X57" i="6"/>
  <c r="X57" i="8"/>
  <c r="M82" i="17"/>
  <c r="L135" i="17"/>
  <c r="L146" i="17" s="1"/>
  <c r="Q37" i="6"/>
  <c r="H30" i="12"/>
  <c r="H30" i="10"/>
  <c r="H30" i="4"/>
  <c r="H30" i="6"/>
  <c r="H30" i="8"/>
  <c r="O32" i="10"/>
  <c r="X18" i="6"/>
  <c r="X18" i="10"/>
  <c r="X18" i="12"/>
  <c r="X18" i="8"/>
  <c r="X18" i="4"/>
  <c r="O16" i="12"/>
  <c r="Q17" i="11"/>
  <c r="P141" i="17"/>
  <c r="P147" i="17"/>
  <c r="R46" i="4"/>
  <c r="H11" i="2" s="1"/>
  <c r="D79" i="17"/>
  <c r="D99" i="17"/>
  <c r="D89" i="17"/>
  <c r="D109" i="17"/>
  <c r="G34" i="6"/>
  <c r="I12" i="5" s="1"/>
  <c r="I18" i="5" s="1"/>
  <c r="S64" i="6"/>
  <c r="S36" i="6"/>
  <c r="H42" i="12"/>
  <c r="G18" i="12"/>
  <c r="H9" i="11" s="1"/>
  <c r="H16" i="14"/>
  <c r="H12" i="6"/>
  <c r="H12" i="4"/>
  <c r="H12" i="12"/>
  <c r="H12" i="10"/>
  <c r="H12" i="8"/>
  <c r="S26" i="4"/>
  <c r="I9" i="2" s="1"/>
  <c r="G24" i="4"/>
  <c r="I10" i="3" s="1"/>
  <c r="O22" i="6"/>
  <c r="R40" i="10"/>
  <c r="R40" i="12"/>
  <c r="R40" i="8"/>
  <c r="R40" i="4"/>
  <c r="R40" i="6"/>
  <c r="N21" i="6"/>
  <c r="G9" i="8"/>
  <c r="I7" i="7" s="1"/>
  <c r="R57" i="6"/>
  <c r="R61" i="6" s="1"/>
  <c r="Q117" i="17"/>
  <c r="P135" i="17"/>
  <c r="N33" i="12"/>
  <c r="N63" i="12" s="1"/>
  <c r="O9" i="9"/>
  <c r="V114" i="17"/>
  <c r="V125" i="17"/>
  <c r="R13" i="11"/>
  <c r="R13" i="7"/>
  <c r="R13" i="5"/>
  <c r="R13" i="3"/>
  <c r="R13" i="9"/>
  <c r="I62" i="6"/>
  <c r="I66" i="6" s="1"/>
  <c r="I36" i="6"/>
  <c r="W58" i="12"/>
  <c r="O26" i="4"/>
  <c r="L56" i="14"/>
  <c r="L52" i="10"/>
  <c r="L52" i="6"/>
  <c r="L52" i="12"/>
  <c r="L52" i="4"/>
  <c r="L56" i="4" s="1"/>
  <c r="L52" i="8"/>
  <c r="N10" i="11"/>
  <c r="N10" i="9"/>
  <c r="N10" i="3"/>
  <c r="N10" i="7"/>
  <c r="N10" i="5"/>
  <c r="S31" i="4"/>
  <c r="I8" i="2" s="1"/>
  <c r="G29" i="4"/>
  <c r="I11" i="3" s="1"/>
  <c r="N33" i="10"/>
  <c r="N63" i="10" s="1"/>
  <c r="W38" i="10"/>
  <c r="I18" i="6"/>
  <c r="P20" i="10"/>
  <c r="F85" i="19"/>
  <c r="F84" i="19"/>
  <c r="P61" i="4"/>
  <c r="G16" i="2" s="1"/>
  <c r="F36" i="19"/>
  <c r="F37" i="19"/>
  <c r="F117" i="18"/>
  <c r="F116" i="18"/>
  <c r="R43" i="10"/>
  <c r="L12" i="14"/>
  <c r="G12" i="14" s="1"/>
  <c r="R38" i="14"/>
  <c r="Q38" i="14"/>
  <c r="G38" i="14" s="1"/>
  <c r="N43" i="12"/>
  <c r="O57" i="6"/>
  <c r="X35" i="10"/>
  <c r="X65" i="10" s="1"/>
  <c r="L20" i="6"/>
  <c r="I45" i="12"/>
  <c r="N35" i="10"/>
  <c r="N65" i="10" s="1"/>
  <c r="O10" i="11"/>
  <c r="P46" i="4"/>
  <c r="G11" i="2" s="1"/>
  <c r="G28" i="14"/>
  <c r="H28" i="12"/>
  <c r="H28" i="10"/>
  <c r="H28" i="6"/>
  <c r="G28" i="6" s="1"/>
  <c r="H11" i="5" s="1"/>
  <c r="H28" i="4"/>
  <c r="G28" i="4" s="1"/>
  <c r="H11" i="3" s="1"/>
  <c r="H28" i="8"/>
  <c r="G28" i="8" s="1"/>
  <c r="H11" i="7" s="1"/>
  <c r="G32" i="14"/>
  <c r="H32" i="12"/>
  <c r="H32" i="6"/>
  <c r="H32" i="10"/>
  <c r="H32" i="8"/>
  <c r="H36" i="14"/>
  <c r="H32" i="4"/>
  <c r="H43" i="10"/>
  <c r="I32" i="10"/>
  <c r="G44" i="8"/>
  <c r="I14" i="7" s="1"/>
  <c r="I89" i="17"/>
  <c r="I79" i="17"/>
  <c r="I109" i="17" s="1"/>
  <c r="I99" i="17"/>
  <c r="G79" i="17"/>
  <c r="G89" i="17"/>
  <c r="G99" i="17"/>
  <c r="N91" i="17"/>
  <c r="N101" i="17"/>
  <c r="N81" i="17"/>
  <c r="O57" i="12"/>
  <c r="W26" i="8"/>
  <c r="P62" i="8"/>
  <c r="P66" i="8" s="1"/>
  <c r="P36" i="8"/>
  <c r="R14" i="9"/>
  <c r="P42" i="6"/>
  <c r="P46" i="6" s="1"/>
  <c r="O43" i="12"/>
  <c r="K101" i="21"/>
  <c r="Q12" i="13" s="1"/>
  <c r="N32" i="10"/>
  <c r="G19" i="4"/>
  <c r="I9" i="3" s="1"/>
  <c r="L7" i="14"/>
  <c r="H50" i="10"/>
  <c r="H50" i="12"/>
  <c r="H50" i="4"/>
  <c r="H50" i="8"/>
  <c r="H50" i="6"/>
  <c r="L35" i="14"/>
  <c r="J89" i="17"/>
  <c r="J99" i="17"/>
  <c r="J109" i="17" s="1"/>
  <c r="J79" i="17"/>
  <c r="R55" i="12"/>
  <c r="R55" i="10"/>
  <c r="R55" i="4"/>
  <c r="R55" i="6"/>
  <c r="R55" i="8"/>
  <c r="P18" i="21"/>
  <c r="P12" i="21"/>
  <c r="P9" i="21"/>
  <c r="P10" i="21"/>
  <c r="Q16" i="13"/>
  <c r="P15" i="21"/>
  <c r="Q7" i="13"/>
  <c r="P7" i="21"/>
  <c r="P16" i="21"/>
  <c r="P14" i="21"/>
  <c r="P11" i="21"/>
  <c r="P13" i="21"/>
  <c r="P8" i="21"/>
  <c r="P17" i="21"/>
  <c r="P6" i="21"/>
  <c r="O28" i="12"/>
  <c r="O31" i="12" s="1"/>
  <c r="F21" i="18"/>
  <c r="F20" i="18"/>
  <c r="F140" i="17"/>
  <c r="F146" i="17"/>
  <c r="L28" i="10"/>
  <c r="R17" i="9"/>
  <c r="I143" i="17"/>
  <c r="I149" i="17"/>
  <c r="N37" i="12"/>
  <c r="N7" i="14"/>
  <c r="W58" i="10"/>
  <c r="Q25" i="10"/>
  <c r="Q25" i="12"/>
  <c r="Q25" i="4"/>
  <c r="Q25" i="6"/>
  <c r="Q25" i="8"/>
  <c r="I38" i="6"/>
  <c r="L33" i="10"/>
  <c r="L63" i="10" s="1"/>
  <c r="W42" i="10"/>
  <c r="P32" i="12"/>
  <c r="O13" i="9"/>
  <c r="O13" i="7"/>
  <c r="O13" i="11"/>
  <c r="O13" i="3"/>
  <c r="O13" i="5"/>
  <c r="O58" i="10"/>
  <c r="R60" i="10"/>
  <c r="R60" i="12"/>
  <c r="R60" i="8"/>
  <c r="R60" i="4"/>
  <c r="R60" i="6"/>
  <c r="N56" i="4"/>
  <c r="J148" i="20"/>
  <c r="J149" i="20"/>
  <c r="T24" i="6"/>
  <c r="H40" i="14"/>
  <c r="I11" i="10"/>
  <c r="W30" i="10"/>
  <c r="S29" i="12"/>
  <c r="S19" i="12"/>
  <c r="Q28" i="10"/>
  <c r="P21" i="8"/>
  <c r="N16" i="11"/>
  <c r="N16" i="5"/>
  <c r="N16" i="9"/>
  <c r="N16" i="3"/>
  <c r="N16" i="7"/>
  <c r="P42" i="10"/>
  <c r="P46" i="10" s="1"/>
  <c r="Q32" i="12"/>
  <c r="Q32" i="10"/>
  <c r="Q32" i="6"/>
  <c r="Q32" i="4"/>
  <c r="Q32" i="8"/>
  <c r="H21" i="14"/>
  <c r="G17" i="14"/>
  <c r="H17" i="12"/>
  <c r="H17" i="4"/>
  <c r="H17" i="6"/>
  <c r="H17" i="10"/>
  <c r="H17" i="8"/>
  <c r="W41" i="10"/>
  <c r="H33" i="14"/>
  <c r="L23" i="15"/>
  <c r="W58" i="6"/>
  <c r="W57" i="6"/>
  <c r="W61" i="6" s="1"/>
  <c r="W60" i="6"/>
  <c r="U59" i="6"/>
  <c r="S59" i="6"/>
  <c r="R45" i="12"/>
  <c r="R45" i="10"/>
  <c r="R45" i="6"/>
  <c r="R45" i="4"/>
  <c r="R45" i="8"/>
  <c r="R46" i="8" s="1"/>
  <c r="S11" i="10"/>
  <c r="G9" i="10"/>
  <c r="I7" i="9" s="1"/>
  <c r="O18" i="13"/>
  <c r="O12" i="11"/>
  <c r="O18" i="11" s="1"/>
  <c r="O12" i="9"/>
  <c r="O18" i="9" s="1"/>
  <c r="O12" i="3"/>
  <c r="O12" i="5"/>
  <c r="O18" i="5" s="1"/>
  <c r="O12" i="7"/>
  <c r="O18" i="7" s="1"/>
  <c r="H127" i="17"/>
  <c r="Q46" i="14"/>
  <c r="Q42" i="10"/>
  <c r="Q42" i="4"/>
  <c r="Q42" i="12"/>
  <c r="Q42" i="6"/>
  <c r="Q46" i="6" s="1"/>
  <c r="Q42" i="8"/>
  <c r="N56" i="6"/>
  <c r="P21" i="6"/>
  <c r="U100" i="17"/>
  <c r="U80" i="17"/>
  <c r="U90" i="17"/>
  <c r="U110" i="17" s="1"/>
  <c r="J84" i="20"/>
  <c r="J85" i="20"/>
  <c r="W36" i="8"/>
  <c r="W62" i="8"/>
  <c r="W66" i="8" s="1"/>
  <c r="H8" i="12"/>
  <c r="G8" i="14"/>
  <c r="H8" i="10"/>
  <c r="H8" i="6"/>
  <c r="H8" i="8"/>
  <c r="H8" i="4"/>
  <c r="D148" i="17"/>
  <c r="D142" i="17"/>
  <c r="S36" i="8"/>
  <c r="S64" i="8"/>
  <c r="N58" i="12"/>
  <c r="N58" i="4"/>
  <c r="N61" i="4" s="1"/>
  <c r="N58" i="10"/>
  <c r="N61" i="10" s="1"/>
  <c r="N58" i="6"/>
  <c r="N58" i="8"/>
  <c r="N61" i="8" s="1"/>
  <c r="X36" i="8"/>
  <c r="X62" i="8"/>
  <c r="X66" i="8" s="1"/>
  <c r="S41" i="12"/>
  <c r="G39" i="12"/>
  <c r="I13" i="11" s="1"/>
  <c r="P21" i="12"/>
  <c r="F68" i="19"/>
  <c r="F69" i="19"/>
  <c r="N135" i="17"/>
  <c r="F101" i="18"/>
  <c r="F100" i="18"/>
  <c r="X38" i="12"/>
  <c r="X38" i="6"/>
  <c r="X38" i="10"/>
  <c r="X38" i="4"/>
  <c r="X38" i="8"/>
  <c r="R12" i="9"/>
  <c r="R18" i="9" s="1"/>
  <c r="R12" i="11"/>
  <c r="R18" i="11" s="1"/>
  <c r="R12" i="7"/>
  <c r="R18" i="7" s="1"/>
  <c r="R18" i="13"/>
  <c r="R12" i="5"/>
  <c r="R18" i="5" s="1"/>
  <c r="R12" i="3"/>
  <c r="B140" i="17"/>
  <c r="B146" i="17"/>
  <c r="P18" i="10"/>
  <c r="O16" i="6"/>
  <c r="R21" i="14"/>
  <c r="R17" i="12"/>
  <c r="R21" i="12" s="1"/>
  <c r="R17" i="10"/>
  <c r="R17" i="4"/>
  <c r="R17" i="6"/>
  <c r="R21" i="6" s="1"/>
  <c r="R17" i="8"/>
  <c r="R21" i="8" s="1"/>
  <c r="O80" i="17"/>
  <c r="O82" i="17" s="1"/>
  <c r="O100" i="17"/>
  <c r="O90" i="17"/>
  <c r="O110" i="17"/>
  <c r="O58" i="17"/>
  <c r="O60" i="6"/>
  <c r="I16" i="14"/>
  <c r="I12" i="12"/>
  <c r="I16" i="12" s="1"/>
  <c r="I12" i="10"/>
  <c r="I16" i="10" s="1"/>
  <c r="I12" i="4"/>
  <c r="I16" i="4" s="1"/>
  <c r="C15" i="2" s="1"/>
  <c r="I12" i="8"/>
  <c r="I16" i="8" s="1"/>
  <c r="I12" i="6"/>
  <c r="I16" i="6" s="1"/>
  <c r="N42" i="14"/>
  <c r="Q10" i="12"/>
  <c r="Q10" i="6"/>
  <c r="Q10" i="8"/>
  <c r="Q10" i="10"/>
  <c r="Q10" i="4"/>
  <c r="N20" i="10"/>
  <c r="N20" i="12"/>
  <c r="N20" i="8"/>
  <c r="N21" i="8" s="1"/>
  <c r="N20" i="4"/>
  <c r="N21" i="4" s="1"/>
  <c r="N20" i="6"/>
  <c r="P13" i="9"/>
  <c r="O21" i="8"/>
  <c r="W41" i="4"/>
  <c r="K10" i="2" s="1"/>
  <c r="O61" i="8"/>
  <c r="I40" i="6"/>
  <c r="X51" i="10"/>
  <c r="O61" i="4"/>
  <c r="F16" i="2" s="1"/>
  <c r="Q13" i="5"/>
  <c r="R35" i="12"/>
  <c r="R65" i="12" s="1"/>
  <c r="X35" i="12"/>
  <c r="X65" i="12" s="1"/>
  <c r="R116" i="17"/>
  <c r="R137" i="17" s="1"/>
  <c r="R148" i="17" s="1"/>
  <c r="P56" i="6"/>
  <c r="I57" i="12"/>
  <c r="L51" i="14"/>
  <c r="L47" i="12"/>
  <c r="L51" i="12" s="1"/>
  <c r="L47" i="4"/>
  <c r="L51" i="4" s="1"/>
  <c r="E7" i="2" s="1"/>
  <c r="L47" i="10"/>
  <c r="L51" i="10" s="1"/>
  <c r="L47" i="8"/>
  <c r="L51" i="8" s="1"/>
  <c r="L47" i="6"/>
  <c r="L51" i="6" s="1"/>
  <c r="P45" i="10"/>
  <c r="O26" i="10"/>
  <c r="X51" i="12"/>
  <c r="R61" i="4"/>
  <c r="H16" i="2" s="1"/>
  <c r="C99" i="17"/>
  <c r="C109" i="17" s="1"/>
  <c r="C79" i="17"/>
  <c r="C89" i="17"/>
  <c r="G24" i="8"/>
  <c r="I10" i="7" s="1"/>
  <c r="S26" i="8"/>
  <c r="K81" i="17"/>
  <c r="K111" i="17" s="1"/>
  <c r="K91" i="17"/>
  <c r="K101" i="17"/>
  <c r="F38" i="20"/>
  <c r="O25" i="12"/>
  <c r="N41" i="4"/>
  <c r="W32" i="12"/>
  <c r="L15" i="7"/>
  <c r="L15" i="9"/>
  <c r="L15" i="5"/>
  <c r="L15" i="3"/>
  <c r="L15" i="11"/>
  <c r="P31" i="10"/>
  <c r="P28" i="12"/>
  <c r="L23" i="6"/>
  <c r="N61" i="14"/>
  <c r="S149" i="17"/>
  <c r="S143" i="17"/>
  <c r="F100" i="19"/>
  <c r="F101" i="19"/>
  <c r="I43" i="12"/>
  <c r="I43" i="10"/>
  <c r="I46" i="10" s="1"/>
  <c r="I43" i="4"/>
  <c r="G43" i="4" s="1"/>
  <c r="H14" i="3" s="1"/>
  <c r="I43" i="6"/>
  <c r="I43" i="8"/>
  <c r="T59" i="6"/>
  <c r="X56" i="6"/>
  <c r="O11" i="12"/>
  <c r="N32" i="12"/>
  <c r="L45" i="10"/>
  <c r="E149" i="17"/>
  <c r="E143" i="17"/>
  <c r="N45" i="10"/>
  <c r="N45" i="12"/>
  <c r="N45" i="4"/>
  <c r="N45" i="8"/>
  <c r="N45" i="6"/>
  <c r="S61" i="10"/>
  <c r="G59" i="10"/>
  <c r="I17" i="9" s="1"/>
  <c r="Q55" i="12"/>
  <c r="Q55" i="6"/>
  <c r="Q55" i="10"/>
  <c r="Q55" i="8"/>
  <c r="Q55" i="4"/>
  <c r="H58" i="10"/>
  <c r="I52" i="10"/>
  <c r="I56" i="10" s="1"/>
  <c r="I52" i="6"/>
  <c r="I56" i="6" s="1"/>
  <c r="I56" i="14"/>
  <c r="I52" i="8"/>
  <c r="I56" i="8" s="1"/>
  <c r="I52" i="4"/>
  <c r="I56" i="4" s="1"/>
  <c r="C13" i="2" s="1"/>
  <c r="I52" i="12"/>
  <c r="I56" i="12" s="1"/>
  <c r="F100" i="17"/>
  <c r="F80" i="17"/>
  <c r="F90" i="17"/>
  <c r="N11" i="9"/>
  <c r="N11" i="7"/>
  <c r="N11" i="11"/>
  <c r="N11" i="5"/>
  <c r="N11" i="3"/>
  <c r="N37" i="10"/>
  <c r="N41" i="10" s="1"/>
  <c r="L8" i="10"/>
  <c r="L8" i="12"/>
  <c r="L8" i="6"/>
  <c r="L8" i="4"/>
  <c r="L8" i="8"/>
  <c r="U58" i="17"/>
  <c r="N27" i="14"/>
  <c r="R30" i="14"/>
  <c r="Q30" i="14"/>
  <c r="O41" i="8"/>
  <c r="I38" i="10"/>
  <c r="I35" i="12"/>
  <c r="I65" i="12" s="1"/>
  <c r="T135" i="17"/>
  <c r="G49" i="12"/>
  <c r="I15" i="11" s="1"/>
  <c r="P19" i="21"/>
  <c r="W16" i="12"/>
  <c r="I69" i="17"/>
  <c r="I74" i="17" s="1"/>
  <c r="O58" i="12"/>
  <c r="P148" i="17"/>
  <c r="P142" i="17"/>
  <c r="Q60" i="12"/>
  <c r="Q60" i="10"/>
  <c r="Q60" i="4"/>
  <c r="Q60" i="6"/>
  <c r="Q60" i="8"/>
  <c r="Q61" i="8" s="1"/>
  <c r="O35" i="10"/>
  <c r="O65" i="10" s="1"/>
  <c r="N56" i="14"/>
  <c r="H51" i="6"/>
  <c r="F102" i="20"/>
  <c r="R28" i="10"/>
  <c r="I11" i="8"/>
  <c r="Q23" i="6"/>
  <c r="P17" i="11"/>
  <c r="W27" i="12"/>
  <c r="W31" i="12" s="1"/>
  <c r="P21" i="4"/>
  <c r="G12" i="2" s="1"/>
  <c r="N38" i="6"/>
  <c r="N57" i="12"/>
  <c r="K21" i="21"/>
  <c r="F127" i="17" l="1"/>
  <c r="F116" i="17"/>
  <c r="M114" i="17"/>
  <c r="M135" i="17" s="1"/>
  <c r="M146" i="17" s="1"/>
  <c r="K116" i="17"/>
  <c r="K137" i="17" s="1"/>
  <c r="K127" i="17"/>
  <c r="G115" i="17"/>
  <c r="G136" i="17" s="1"/>
  <c r="G126" i="17"/>
  <c r="Q12" i="9"/>
  <c r="Q18" i="9" s="1"/>
  <c r="Q12" i="11"/>
  <c r="Q18" i="11" s="1"/>
  <c r="Q18" i="13"/>
  <c r="Q12" i="3"/>
  <c r="Q12" i="5"/>
  <c r="Q18" i="5" s="1"/>
  <c r="Q12" i="7"/>
  <c r="Q18" i="7" s="1"/>
  <c r="W116" i="17"/>
  <c r="W137" i="17" s="1"/>
  <c r="C125" i="17"/>
  <c r="C114" i="17"/>
  <c r="U115" i="17"/>
  <c r="U136" i="17" s="1"/>
  <c r="S116" i="17"/>
  <c r="S127" i="17" s="1"/>
  <c r="Q140" i="17"/>
  <c r="Q146" i="17"/>
  <c r="I114" i="17"/>
  <c r="I135" i="17" s="1"/>
  <c r="I125" i="17"/>
  <c r="U40" i="12"/>
  <c r="U40" i="10"/>
  <c r="U40" i="6"/>
  <c r="U40" i="8"/>
  <c r="U40" i="4"/>
  <c r="M115" i="17"/>
  <c r="M136" i="17" s="1"/>
  <c r="M147" i="17" s="1"/>
  <c r="E114" i="17"/>
  <c r="E135" i="17" s="1"/>
  <c r="E125" i="17"/>
  <c r="J114" i="17"/>
  <c r="J135" i="17" s="1"/>
  <c r="E116" i="17"/>
  <c r="E137" i="17" s="1"/>
  <c r="E127" i="17"/>
  <c r="H16" i="4"/>
  <c r="AA46" i="6"/>
  <c r="AA46" i="4"/>
  <c r="AA46" i="14"/>
  <c r="W61" i="12"/>
  <c r="G42" i="10"/>
  <c r="G14" i="9" s="1"/>
  <c r="H46" i="10"/>
  <c r="U114" i="17"/>
  <c r="U125" i="17"/>
  <c r="H21" i="10"/>
  <c r="Q7" i="11"/>
  <c r="Q7" i="3"/>
  <c r="Q7" i="7"/>
  <c r="Q7" i="5"/>
  <c r="Q7" i="9"/>
  <c r="L35" i="10"/>
  <c r="L65" i="10" s="1"/>
  <c r="L35" i="12"/>
  <c r="L65" i="12" s="1"/>
  <c r="L35" i="6"/>
  <c r="L65" i="6" s="1"/>
  <c r="L35" i="8"/>
  <c r="L65" i="8" s="1"/>
  <c r="L35" i="4"/>
  <c r="Q21" i="4"/>
  <c r="F12" i="2" s="1"/>
  <c r="AA41" i="14"/>
  <c r="AA41" i="4"/>
  <c r="AA41" i="6"/>
  <c r="Q53" i="12"/>
  <c r="Q53" i="4"/>
  <c r="Q53" i="6"/>
  <c r="G53" i="6" s="1"/>
  <c r="H16" i="5" s="1"/>
  <c r="Q53" i="8"/>
  <c r="G53" i="8" s="1"/>
  <c r="H16" i="7" s="1"/>
  <c r="Q53" i="10"/>
  <c r="G53" i="10" s="1"/>
  <c r="H16" i="9" s="1"/>
  <c r="G53" i="14"/>
  <c r="H15" i="10"/>
  <c r="H15" i="12"/>
  <c r="H16" i="12" s="1"/>
  <c r="H15" i="4"/>
  <c r="H15" i="6"/>
  <c r="H15" i="8"/>
  <c r="F53" i="20"/>
  <c r="F52" i="20"/>
  <c r="G8" i="10"/>
  <c r="H7" i="9" s="1"/>
  <c r="Q46" i="12"/>
  <c r="G28" i="10"/>
  <c r="H11" i="9" s="1"/>
  <c r="H46" i="12"/>
  <c r="G42" i="12"/>
  <c r="G14" i="11" s="1"/>
  <c r="L26" i="10"/>
  <c r="H135" i="17"/>
  <c r="R53" i="12"/>
  <c r="R56" i="12" s="1"/>
  <c r="R53" i="6"/>
  <c r="R56" i="6" s="1"/>
  <c r="R53" i="10"/>
  <c r="R56" i="10" s="1"/>
  <c r="R53" i="4"/>
  <c r="R56" i="4" s="1"/>
  <c r="H13" i="2" s="1"/>
  <c r="R53" i="8"/>
  <c r="R56" i="8" s="1"/>
  <c r="R56" i="14"/>
  <c r="G13" i="10"/>
  <c r="H8" i="9" s="1"/>
  <c r="L41" i="4"/>
  <c r="E10" i="2" s="1"/>
  <c r="Q21" i="6"/>
  <c r="Q56" i="10"/>
  <c r="P61" i="12"/>
  <c r="R41" i="12"/>
  <c r="R13" i="10"/>
  <c r="R13" i="6"/>
  <c r="R13" i="12"/>
  <c r="R13" i="4"/>
  <c r="R13" i="8"/>
  <c r="R16" i="14"/>
  <c r="X41" i="12"/>
  <c r="S135" i="17"/>
  <c r="W21" i="6"/>
  <c r="O127" i="17"/>
  <c r="V141" i="17"/>
  <c r="V147" i="17"/>
  <c r="R141" i="17"/>
  <c r="R147" i="17"/>
  <c r="Q46" i="4"/>
  <c r="F11" i="2" s="1"/>
  <c r="AA11" i="14"/>
  <c r="AA11" i="4"/>
  <c r="AA11" i="6"/>
  <c r="G28" i="12"/>
  <c r="H11" i="11" s="1"/>
  <c r="X61" i="8"/>
  <c r="G13" i="14"/>
  <c r="L41" i="8"/>
  <c r="Q21" i="12"/>
  <c r="Q15" i="10"/>
  <c r="Q15" i="6"/>
  <c r="Q15" i="12"/>
  <c r="Q15" i="8"/>
  <c r="Q15" i="4"/>
  <c r="G43" i="6"/>
  <c r="H14" i="5" s="1"/>
  <c r="I61" i="6"/>
  <c r="R31" i="6"/>
  <c r="Q13" i="12"/>
  <c r="G13" i="12" s="1"/>
  <c r="H8" i="11" s="1"/>
  <c r="Q13" i="10"/>
  <c r="Q13" i="4"/>
  <c r="Q16" i="4" s="1"/>
  <c r="F15" i="2" s="1"/>
  <c r="Q13" i="6"/>
  <c r="Q13" i="8"/>
  <c r="Q16" i="8" s="1"/>
  <c r="Q16" i="14"/>
  <c r="X21" i="4"/>
  <c r="L12" i="2" s="1"/>
  <c r="I61" i="4"/>
  <c r="C16" i="2" s="1"/>
  <c r="Q159" i="17"/>
  <c r="V45" i="14" s="1"/>
  <c r="X41" i="8"/>
  <c r="Q61" i="6"/>
  <c r="W26" i="6"/>
  <c r="L126" i="17"/>
  <c r="N61" i="12"/>
  <c r="G58" i="10"/>
  <c r="H17" i="9" s="1"/>
  <c r="Q46" i="10"/>
  <c r="I36" i="10"/>
  <c r="I62" i="10"/>
  <c r="I66" i="10" s="1"/>
  <c r="S66" i="6"/>
  <c r="X61" i="6"/>
  <c r="S110" i="17"/>
  <c r="W61" i="10"/>
  <c r="L41" i="6"/>
  <c r="X26" i="12"/>
  <c r="R15" i="4"/>
  <c r="R15" i="12"/>
  <c r="R15" i="10"/>
  <c r="R15" i="6"/>
  <c r="R15" i="8"/>
  <c r="Q56" i="6"/>
  <c r="R61" i="12"/>
  <c r="X21" i="8"/>
  <c r="S137" i="17"/>
  <c r="S148" i="17" s="1"/>
  <c r="X41" i="6"/>
  <c r="X46" i="6"/>
  <c r="R22" i="12"/>
  <c r="R26" i="12" s="1"/>
  <c r="R26" i="14"/>
  <c r="R22" i="10"/>
  <c r="R26" i="10" s="1"/>
  <c r="R22" i="8"/>
  <c r="R26" i="8" s="1"/>
  <c r="R22" i="4"/>
  <c r="R26" i="4" s="1"/>
  <c r="H9" i="2" s="1"/>
  <c r="R22" i="6"/>
  <c r="R26" i="6" s="1"/>
  <c r="W110" i="17"/>
  <c r="Q136" i="17"/>
  <c r="S46" i="6"/>
  <c r="G44" i="6"/>
  <c r="I14" i="5" s="1"/>
  <c r="R38" i="10"/>
  <c r="R41" i="10" s="1"/>
  <c r="R38" i="12"/>
  <c r="G38" i="12" s="1"/>
  <c r="H13" i="11" s="1"/>
  <c r="R38" i="4"/>
  <c r="R41" i="4" s="1"/>
  <c r="H10" i="2" s="1"/>
  <c r="R38" i="6"/>
  <c r="R38" i="8"/>
  <c r="R41" i="8" s="1"/>
  <c r="R41" i="14"/>
  <c r="G29" i="10"/>
  <c r="I11" i="9" s="1"/>
  <c r="S31" i="10"/>
  <c r="Q33" i="12"/>
  <c r="Q63" i="12" s="1"/>
  <c r="Q33" i="10"/>
  <c r="Q63" i="10" s="1"/>
  <c r="Q33" i="8"/>
  <c r="Q63" i="8" s="1"/>
  <c r="Q33" i="6"/>
  <c r="Q63" i="6" s="1"/>
  <c r="Q33" i="4"/>
  <c r="L46" i="10"/>
  <c r="L16" i="14"/>
  <c r="L12" i="10"/>
  <c r="L12" i="12"/>
  <c r="L12" i="6"/>
  <c r="L12" i="4"/>
  <c r="L12" i="8"/>
  <c r="R33" i="12"/>
  <c r="R63" i="12" s="1"/>
  <c r="R33" i="6"/>
  <c r="R63" i="6" s="1"/>
  <c r="R33" i="10"/>
  <c r="R63" i="10" s="1"/>
  <c r="R33" i="4"/>
  <c r="R36" i="4" s="1"/>
  <c r="H17" i="2" s="1"/>
  <c r="R33" i="8"/>
  <c r="R63" i="8" s="1"/>
  <c r="W46" i="10"/>
  <c r="L116" i="17"/>
  <c r="L137" i="17" s="1"/>
  <c r="L15" i="12"/>
  <c r="L15" i="6"/>
  <c r="L15" i="10"/>
  <c r="L15" i="8"/>
  <c r="L15" i="4"/>
  <c r="L41" i="12"/>
  <c r="O26" i="12"/>
  <c r="X46" i="4"/>
  <c r="L11" i="2" s="1"/>
  <c r="R30" i="12"/>
  <c r="R30" i="10"/>
  <c r="R31" i="10" s="1"/>
  <c r="R30" i="6"/>
  <c r="R30" i="4"/>
  <c r="R31" i="4" s="1"/>
  <c r="H8" i="2" s="1"/>
  <c r="R30" i="8"/>
  <c r="R31" i="8" s="1"/>
  <c r="S61" i="6"/>
  <c r="G59" i="6"/>
  <c r="I17" i="5" s="1"/>
  <c r="Q61" i="12"/>
  <c r="X46" i="8"/>
  <c r="E13" i="2"/>
  <c r="X61" i="12"/>
  <c r="L41" i="10"/>
  <c r="H10" i="12"/>
  <c r="H10" i="10"/>
  <c r="H10" i="4"/>
  <c r="H10" i="6"/>
  <c r="H10" i="8"/>
  <c r="L17" i="12"/>
  <c r="L21" i="12" s="1"/>
  <c r="L21" i="14"/>
  <c r="L17" i="8"/>
  <c r="L21" i="8" s="1"/>
  <c r="L17" i="4"/>
  <c r="L21" i="4" s="1"/>
  <c r="E12" i="2" s="1"/>
  <c r="L17" i="10"/>
  <c r="L21" i="10" s="1"/>
  <c r="L17" i="6"/>
  <c r="L21" i="6" s="1"/>
  <c r="N22" i="10"/>
  <c r="N26" i="10" s="1"/>
  <c r="N26" i="14"/>
  <c r="N22" i="6"/>
  <c r="N26" i="6" s="1"/>
  <c r="N22" i="8"/>
  <c r="N26" i="8" s="1"/>
  <c r="N22" i="12"/>
  <c r="N26" i="12" s="1"/>
  <c r="N22" i="4"/>
  <c r="N26" i="4" s="1"/>
  <c r="R36" i="8"/>
  <c r="R62" i="8"/>
  <c r="R66" i="8" s="1"/>
  <c r="R51" i="14"/>
  <c r="R47" i="12"/>
  <c r="R51" i="12" s="1"/>
  <c r="R47" i="8"/>
  <c r="R51" i="8" s="1"/>
  <c r="R47" i="6"/>
  <c r="R47" i="10"/>
  <c r="R51" i="10" s="1"/>
  <c r="R47" i="4"/>
  <c r="R51" i="4" s="1"/>
  <c r="H7" i="2" s="1"/>
  <c r="R21" i="10"/>
  <c r="Q36" i="4"/>
  <c r="F17" i="2" s="1"/>
  <c r="S31" i="12"/>
  <c r="G29" i="12"/>
  <c r="I11" i="11" s="1"/>
  <c r="N111" i="17"/>
  <c r="L56" i="12"/>
  <c r="E92" i="17"/>
  <c r="U15" i="14" s="1"/>
  <c r="P46" i="12"/>
  <c r="I61" i="8"/>
  <c r="X26" i="10"/>
  <c r="P62" i="10"/>
  <c r="P66" i="10" s="1"/>
  <c r="P36" i="10"/>
  <c r="G7" i="6"/>
  <c r="G7" i="5" s="1"/>
  <c r="H11" i="6"/>
  <c r="H26" i="6"/>
  <c r="I26" i="6"/>
  <c r="T64" i="6"/>
  <c r="I21" i="4"/>
  <c r="C12" i="2" s="1"/>
  <c r="R48" i="4"/>
  <c r="R48" i="10"/>
  <c r="R48" i="8"/>
  <c r="G48" i="8" s="1"/>
  <c r="H15" i="7" s="1"/>
  <c r="R48" i="12"/>
  <c r="R48" i="6"/>
  <c r="S21" i="10"/>
  <c r="G19" i="10"/>
  <c r="I9" i="9" s="1"/>
  <c r="O46" i="12"/>
  <c r="H56" i="8"/>
  <c r="G52" i="8"/>
  <c r="G16" i="7" s="1"/>
  <c r="X46" i="12"/>
  <c r="O66" i="6"/>
  <c r="X31" i="8"/>
  <c r="Q51" i="14"/>
  <c r="Q47" i="12"/>
  <c r="Q47" i="8"/>
  <c r="Q51" i="8" s="1"/>
  <c r="Q47" i="6"/>
  <c r="Q47" i="4"/>
  <c r="Q47" i="10"/>
  <c r="G47" i="14"/>
  <c r="I41" i="6"/>
  <c r="N140" i="17"/>
  <c r="N146" i="17"/>
  <c r="H62" i="12"/>
  <c r="G32" i="12"/>
  <c r="G12" i="11" s="1"/>
  <c r="G18" i="11" s="1"/>
  <c r="H36" i="12"/>
  <c r="U50" i="10"/>
  <c r="U50" i="6"/>
  <c r="U50" i="12"/>
  <c r="U50" i="8"/>
  <c r="U50" i="4"/>
  <c r="G58" i="6"/>
  <c r="H17" i="5" s="1"/>
  <c r="H56" i="6"/>
  <c r="G52" i="6"/>
  <c r="G16" i="5" s="1"/>
  <c r="H21" i="8"/>
  <c r="G17" i="8"/>
  <c r="G9" i="7" s="1"/>
  <c r="G82" i="17"/>
  <c r="P36" i="12"/>
  <c r="P62" i="12"/>
  <c r="P66" i="12" s="1"/>
  <c r="G13" i="4"/>
  <c r="H8" i="3" s="1"/>
  <c r="Q21" i="8"/>
  <c r="U55" i="12"/>
  <c r="U55" i="10"/>
  <c r="U55" i="6"/>
  <c r="U55" i="8"/>
  <c r="U55" i="4"/>
  <c r="H21" i="4"/>
  <c r="G17" i="4"/>
  <c r="G9" i="3" s="1"/>
  <c r="Q21" i="10"/>
  <c r="N125" i="17"/>
  <c r="O61" i="12"/>
  <c r="G43" i="10"/>
  <c r="H14" i="9" s="1"/>
  <c r="F100" i="20"/>
  <c r="F101" i="20"/>
  <c r="X26" i="4"/>
  <c r="L9" i="2" s="1"/>
  <c r="H11" i="10"/>
  <c r="N36" i="12"/>
  <c r="N62" i="12"/>
  <c r="N66" i="12" s="1"/>
  <c r="X61" i="10"/>
  <c r="X26" i="6"/>
  <c r="G7" i="8"/>
  <c r="G7" i="7" s="1"/>
  <c r="H11" i="8"/>
  <c r="N31" i="14"/>
  <c r="N27" i="12"/>
  <c r="N31" i="12" s="1"/>
  <c r="N27" i="10"/>
  <c r="N31" i="10" s="1"/>
  <c r="N27" i="8"/>
  <c r="N31" i="8" s="1"/>
  <c r="N27" i="6"/>
  <c r="N31" i="6" s="1"/>
  <c r="N27" i="4"/>
  <c r="N31" i="4" s="1"/>
  <c r="L11" i="14"/>
  <c r="L7" i="8"/>
  <c r="L11" i="8" s="1"/>
  <c r="L7" i="4"/>
  <c r="L11" i="4" s="1"/>
  <c r="E14" i="2" s="1"/>
  <c r="L7" i="10"/>
  <c r="L11" i="10" s="1"/>
  <c r="L7" i="12"/>
  <c r="L11" i="12" s="1"/>
  <c r="L7" i="6"/>
  <c r="L11" i="6" s="1"/>
  <c r="X46" i="10"/>
  <c r="T64" i="8"/>
  <c r="H56" i="4"/>
  <c r="G52" i="4"/>
  <c r="G16" i="3" s="1"/>
  <c r="O36" i="6"/>
  <c r="I81" i="17"/>
  <c r="I101" i="17"/>
  <c r="I91" i="17"/>
  <c r="I92" i="17" s="1"/>
  <c r="U25" i="14" s="1"/>
  <c r="U135" i="17"/>
  <c r="I61" i="12"/>
  <c r="AA36" i="14"/>
  <c r="AA36" i="6"/>
  <c r="AA36" i="4"/>
  <c r="S66" i="8"/>
  <c r="G64" i="8"/>
  <c r="Q62" i="6"/>
  <c r="Q66" i="6" s="1"/>
  <c r="Q36" i="6"/>
  <c r="N7" i="10"/>
  <c r="N11" i="10" s="1"/>
  <c r="N11" i="14"/>
  <c r="N7" i="4"/>
  <c r="N11" i="4" s="1"/>
  <c r="N7" i="8"/>
  <c r="N11" i="8" s="1"/>
  <c r="N7" i="6"/>
  <c r="N11" i="6" s="1"/>
  <c r="N7" i="12"/>
  <c r="N11" i="12" s="1"/>
  <c r="H62" i="8"/>
  <c r="L56" i="10"/>
  <c r="V135" i="17"/>
  <c r="H16" i="8"/>
  <c r="E82" i="17"/>
  <c r="O62" i="10"/>
  <c r="O66" i="10" s="1"/>
  <c r="O36" i="10"/>
  <c r="G91" i="17"/>
  <c r="G92" i="17" s="1"/>
  <c r="U20" i="14" s="1"/>
  <c r="G81" i="17"/>
  <c r="G101" i="17"/>
  <c r="G43" i="12"/>
  <c r="H14" i="11" s="1"/>
  <c r="H31" i="14"/>
  <c r="H27" i="12"/>
  <c r="H27" i="10"/>
  <c r="G27" i="14"/>
  <c r="H27" i="4"/>
  <c r="H27" i="8"/>
  <c r="H27" i="6"/>
  <c r="T115" i="17"/>
  <c r="T136" i="17" s="1"/>
  <c r="R8" i="6"/>
  <c r="R11" i="6" s="1"/>
  <c r="R8" i="10"/>
  <c r="R11" i="10" s="1"/>
  <c r="R8" i="8"/>
  <c r="R11" i="8" s="1"/>
  <c r="R8" i="12"/>
  <c r="R11" i="12" s="1"/>
  <c r="R8" i="4"/>
  <c r="R11" i="4" s="1"/>
  <c r="H14" i="2" s="1"/>
  <c r="R11" i="14"/>
  <c r="W65" i="12"/>
  <c r="G7" i="14"/>
  <c r="N21" i="10"/>
  <c r="I26" i="12"/>
  <c r="L61" i="10"/>
  <c r="T64" i="10"/>
  <c r="P31" i="6"/>
  <c r="I21" i="10"/>
  <c r="AA61" i="6"/>
  <c r="G42" i="8"/>
  <c r="G14" i="7" s="1"/>
  <c r="H61" i="14"/>
  <c r="G57" i="14"/>
  <c r="H57" i="10"/>
  <c r="H57" i="12"/>
  <c r="H57" i="6"/>
  <c r="H57" i="8"/>
  <c r="H57" i="4"/>
  <c r="G52" i="12"/>
  <c r="G16" i="11" s="1"/>
  <c r="H56" i="12"/>
  <c r="X62" i="10"/>
  <c r="X66" i="10" s="1"/>
  <c r="X36" i="10"/>
  <c r="W62" i="10"/>
  <c r="W36" i="10"/>
  <c r="X31" i="6"/>
  <c r="R62" i="10"/>
  <c r="E126" i="17"/>
  <c r="P146" i="17"/>
  <c r="P140" i="17"/>
  <c r="B7" i="2"/>
  <c r="G39" i="6"/>
  <c r="I13" i="5" s="1"/>
  <c r="S41" i="6"/>
  <c r="AA26" i="6"/>
  <c r="AA26" i="14"/>
  <c r="AA26" i="4"/>
  <c r="G24" i="6"/>
  <c r="I10" i="5" s="1"/>
  <c r="S26" i="6"/>
  <c r="G8" i="4"/>
  <c r="H7" i="3" s="1"/>
  <c r="L26" i="4"/>
  <c r="E9" i="2" s="1"/>
  <c r="G23" i="14"/>
  <c r="H23" i="4"/>
  <c r="H23" i="8"/>
  <c r="H23" i="6"/>
  <c r="G23" i="6" s="1"/>
  <c r="H10" i="5" s="1"/>
  <c r="H23" i="10"/>
  <c r="H23" i="12"/>
  <c r="G23" i="12" s="1"/>
  <c r="H10" i="11" s="1"/>
  <c r="H26" i="14"/>
  <c r="AA51" i="4"/>
  <c r="B141" i="17"/>
  <c r="B147" i="17"/>
  <c r="Q46" i="8"/>
  <c r="L26" i="6"/>
  <c r="O36" i="12"/>
  <c r="O62" i="12"/>
  <c r="O66" i="12" s="1"/>
  <c r="AA51" i="14"/>
  <c r="L46" i="4"/>
  <c r="E11" i="2" s="1"/>
  <c r="O115" i="17"/>
  <c r="O136" i="17" s="1"/>
  <c r="O126" i="17"/>
  <c r="Q16" i="11"/>
  <c r="Q16" i="9"/>
  <c r="Q16" i="7"/>
  <c r="Q16" i="5"/>
  <c r="Q16" i="3"/>
  <c r="L26" i="12"/>
  <c r="AA16" i="4"/>
  <c r="AA16" i="6"/>
  <c r="AA16" i="14"/>
  <c r="I46" i="12"/>
  <c r="L46" i="12"/>
  <c r="AA21" i="14"/>
  <c r="AA21" i="4"/>
  <c r="AA21" i="6"/>
  <c r="H41" i="14"/>
  <c r="G37" i="14"/>
  <c r="H37" i="12"/>
  <c r="H37" i="10"/>
  <c r="H37" i="4"/>
  <c r="H37" i="8"/>
  <c r="H37" i="6"/>
  <c r="B148" i="17"/>
  <c r="B142" i="17"/>
  <c r="L36" i="14"/>
  <c r="L32" i="12"/>
  <c r="L32" i="6"/>
  <c r="L32" i="4"/>
  <c r="L36" i="4" s="1"/>
  <c r="E17" i="2" s="1"/>
  <c r="L32" i="8"/>
  <c r="L32" i="10"/>
  <c r="G32" i="10" s="1"/>
  <c r="G12" i="9" s="1"/>
  <c r="G18" i="9" s="1"/>
  <c r="X41" i="10"/>
  <c r="C116" i="17"/>
  <c r="C137" i="17" s="1"/>
  <c r="C127" i="17"/>
  <c r="N42" i="12"/>
  <c r="N46" i="12" s="1"/>
  <c r="N46" i="14"/>
  <c r="N42" i="4"/>
  <c r="N46" i="4" s="1"/>
  <c r="N42" i="10"/>
  <c r="N46" i="10" s="1"/>
  <c r="N42" i="8"/>
  <c r="N46" i="8" s="1"/>
  <c r="N42" i="6"/>
  <c r="N46" i="6" s="1"/>
  <c r="L56" i="8"/>
  <c r="M116" i="17"/>
  <c r="M137" i="17" s="1"/>
  <c r="U116" i="17"/>
  <c r="U137" i="17" s="1"/>
  <c r="U127" i="17"/>
  <c r="Q56" i="4"/>
  <c r="F13" i="2" s="1"/>
  <c r="G19" i="12"/>
  <c r="I9" i="11" s="1"/>
  <c r="S21" i="12"/>
  <c r="D114" i="17"/>
  <c r="E117" i="17" s="1"/>
  <c r="X26" i="8"/>
  <c r="Q56" i="12"/>
  <c r="G34" i="4"/>
  <c r="I12" i="3" s="1"/>
  <c r="Q48" i="12"/>
  <c r="G48" i="12" s="1"/>
  <c r="H15" i="11" s="1"/>
  <c r="Q48" i="10"/>
  <c r="G48" i="10" s="1"/>
  <c r="H15" i="9" s="1"/>
  <c r="Q48" i="4"/>
  <c r="G48" i="4" s="1"/>
  <c r="H15" i="3" s="1"/>
  <c r="Q48" i="6"/>
  <c r="G48" i="6" s="1"/>
  <c r="H15" i="5" s="1"/>
  <c r="Q48" i="8"/>
  <c r="I46" i="4"/>
  <c r="C11" i="2" s="1"/>
  <c r="Q36" i="14"/>
  <c r="G34" i="12"/>
  <c r="I12" i="11" s="1"/>
  <c r="I18" i="11" s="1"/>
  <c r="S64" i="12"/>
  <c r="S36" i="12"/>
  <c r="H11" i="4"/>
  <c r="U45" i="12"/>
  <c r="U45" i="10"/>
  <c r="U45" i="6"/>
  <c r="U45" i="4"/>
  <c r="U45" i="8"/>
  <c r="I21" i="6"/>
  <c r="P41" i="6"/>
  <c r="E141" i="17"/>
  <c r="E147" i="17"/>
  <c r="F110" i="17"/>
  <c r="C92" i="17"/>
  <c r="U10" i="14" s="1"/>
  <c r="G34" i="8"/>
  <c r="I12" i="7" s="1"/>
  <c r="I18" i="7" s="1"/>
  <c r="Q62" i="10"/>
  <c r="Q66" i="10" s="1"/>
  <c r="H40" i="12"/>
  <c r="H40" i="10"/>
  <c r="H40" i="4"/>
  <c r="H40" i="6"/>
  <c r="H40" i="8"/>
  <c r="N41" i="12"/>
  <c r="H36" i="10"/>
  <c r="H62" i="10"/>
  <c r="O61" i="6"/>
  <c r="G12" i="10"/>
  <c r="G8" i="9" s="1"/>
  <c r="N21" i="12"/>
  <c r="H20" i="12"/>
  <c r="H21" i="12" s="1"/>
  <c r="H20" i="6"/>
  <c r="H21" i="6" s="1"/>
  <c r="H20" i="8"/>
  <c r="H20" i="10"/>
  <c r="H20" i="4"/>
  <c r="G39" i="10"/>
  <c r="I13" i="9" s="1"/>
  <c r="S41" i="10"/>
  <c r="S82" i="17"/>
  <c r="U35" i="10"/>
  <c r="U65" i="10" s="1"/>
  <c r="U35" i="8"/>
  <c r="U65" i="8" s="1"/>
  <c r="U35" i="12"/>
  <c r="U65" i="12" s="1"/>
  <c r="U35" i="4"/>
  <c r="U35" i="6"/>
  <c r="U65" i="6" s="1"/>
  <c r="W109" i="17"/>
  <c r="G7" i="12"/>
  <c r="G7" i="11" s="1"/>
  <c r="H11" i="12"/>
  <c r="L61" i="4"/>
  <c r="E16" i="2" s="1"/>
  <c r="T64" i="12"/>
  <c r="S31" i="6"/>
  <c r="G29" i="6"/>
  <c r="I11" i="5" s="1"/>
  <c r="I21" i="12"/>
  <c r="AA61" i="4"/>
  <c r="S21" i="6"/>
  <c r="G19" i="6"/>
  <c r="I9" i="5" s="1"/>
  <c r="S64" i="10"/>
  <c r="S36" i="10"/>
  <c r="G34" i="10"/>
  <c r="I12" i="9" s="1"/>
  <c r="I18" i="9" s="1"/>
  <c r="X31" i="12"/>
  <c r="R62" i="12"/>
  <c r="I41" i="12"/>
  <c r="AA56" i="6"/>
  <c r="Q38" i="10"/>
  <c r="Q41" i="10" s="1"/>
  <c r="Q38" i="8"/>
  <c r="Q41" i="8" s="1"/>
  <c r="Q38" i="4"/>
  <c r="Q41" i="4" s="1"/>
  <c r="F10" i="2" s="1"/>
  <c r="Q38" i="6"/>
  <c r="G38" i="6" s="1"/>
  <c r="H13" i="5" s="1"/>
  <c r="Q38" i="12"/>
  <c r="Q41" i="12" s="1"/>
  <c r="Q41" i="14"/>
  <c r="X62" i="12"/>
  <c r="X66" i="12" s="1"/>
  <c r="X36" i="12"/>
  <c r="C90" i="17"/>
  <c r="C80" i="17"/>
  <c r="C82" i="17" s="1"/>
  <c r="C100" i="17"/>
  <c r="W62" i="12"/>
  <c r="W36" i="12"/>
  <c r="G12" i="6"/>
  <c r="G8" i="5" s="1"/>
  <c r="H16" i="6"/>
  <c r="J147" i="17"/>
  <c r="J141" i="17"/>
  <c r="T140" i="17"/>
  <c r="T146" i="17"/>
  <c r="H45" i="12"/>
  <c r="H45" i="10"/>
  <c r="H45" i="6"/>
  <c r="H46" i="6" s="1"/>
  <c r="H45" i="8"/>
  <c r="H46" i="8" s="1"/>
  <c r="H45" i="4"/>
  <c r="H46" i="4" s="1"/>
  <c r="H46" i="14"/>
  <c r="H141" i="17"/>
  <c r="H147" i="17"/>
  <c r="F137" i="17"/>
  <c r="R31" i="12"/>
  <c r="O114" i="17"/>
  <c r="O135" i="17" s="1"/>
  <c r="Q30" i="12"/>
  <c r="Q31" i="12" s="1"/>
  <c r="Q30" i="6"/>
  <c r="Q31" i="6" s="1"/>
  <c r="Q30" i="10"/>
  <c r="Q31" i="10" s="1"/>
  <c r="Q30" i="4"/>
  <c r="Q31" i="4" s="1"/>
  <c r="F8" i="2" s="1"/>
  <c r="Q30" i="8"/>
  <c r="Q31" i="8" s="1"/>
  <c r="X61" i="4"/>
  <c r="L16" i="2" s="1"/>
  <c r="Q56" i="14"/>
  <c r="R41" i="6"/>
  <c r="Q22" i="12"/>
  <c r="Q26" i="12" s="1"/>
  <c r="Q26" i="14"/>
  <c r="Q22" i="10"/>
  <c r="Q26" i="10" s="1"/>
  <c r="Q22" i="8"/>
  <c r="Q26" i="8" s="1"/>
  <c r="Q22" i="4"/>
  <c r="Q26" i="4" s="1"/>
  <c r="Q22" i="6"/>
  <c r="Q26" i="6" s="1"/>
  <c r="W21" i="10"/>
  <c r="X41" i="4"/>
  <c r="L10" i="2" s="1"/>
  <c r="R46" i="12"/>
  <c r="K99" i="17"/>
  <c r="K89" i="17"/>
  <c r="K92" i="17" s="1"/>
  <c r="U30" i="14" s="1"/>
  <c r="K79" i="17"/>
  <c r="K109" i="17" s="1"/>
  <c r="L125" i="17"/>
  <c r="R21" i="4"/>
  <c r="H12" i="2" s="1"/>
  <c r="Q62" i="8"/>
  <c r="Q66" i="8" s="1"/>
  <c r="Q36" i="8"/>
  <c r="G42" i="4"/>
  <c r="G14" i="3" s="1"/>
  <c r="O26" i="6"/>
  <c r="H11" i="14"/>
  <c r="W65" i="10"/>
  <c r="N62" i="10"/>
  <c r="N66" i="10" s="1"/>
  <c r="N36" i="10"/>
  <c r="L56" i="6"/>
  <c r="I115" i="17"/>
  <c r="I136" i="17" s="1"/>
  <c r="Q8" i="12"/>
  <c r="Q11" i="12" s="1"/>
  <c r="Q8" i="6"/>
  <c r="Q11" i="6" s="1"/>
  <c r="Q8" i="8"/>
  <c r="Q11" i="8" s="1"/>
  <c r="Q8" i="10"/>
  <c r="Q11" i="10" s="1"/>
  <c r="Q8" i="4"/>
  <c r="Q11" i="4" s="1"/>
  <c r="F14" i="2" s="1"/>
  <c r="Q11" i="14"/>
  <c r="L31" i="14"/>
  <c r="L27" i="12"/>
  <c r="L31" i="12" s="1"/>
  <c r="L27" i="10"/>
  <c r="L31" i="10" s="1"/>
  <c r="L27" i="8"/>
  <c r="L31" i="8" s="1"/>
  <c r="L27" i="6"/>
  <c r="L31" i="6" s="1"/>
  <c r="L27" i="4"/>
  <c r="L31" i="4" s="1"/>
  <c r="E8" i="2" s="1"/>
  <c r="AA31" i="14"/>
  <c r="AA31" i="4"/>
  <c r="AA31" i="6"/>
  <c r="X31" i="4"/>
  <c r="L8" i="2" s="1"/>
  <c r="R62" i="6"/>
  <c r="F117" i="20"/>
  <c r="F116" i="20"/>
  <c r="C135" i="17"/>
  <c r="R127" i="17"/>
  <c r="G33" i="14"/>
  <c r="H33" i="10"/>
  <c r="H33" i="6"/>
  <c r="H33" i="12"/>
  <c r="H33" i="4"/>
  <c r="H33" i="8"/>
  <c r="Q62" i="12"/>
  <c r="Q66" i="12" s="1"/>
  <c r="Q36" i="12"/>
  <c r="H51" i="10"/>
  <c r="G109" i="17"/>
  <c r="H62" i="6"/>
  <c r="G32" i="6"/>
  <c r="G12" i="5" s="1"/>
  <c r="G18" i="5" s="1"/>
  <c r="F9" i="2"/>
  <c r="G12" i="12"/>
  <c r="G8" i="11" s="1"/>
  <c r="W46" i="6"/>
  <c r="R109" i="17"/>
  <c r="W92" i="17"/>
  <c r="U60" i="14" s="1"/>
  <c r="I62" i="12"/>
  <c r="I66" i="12" s="1"/>
  <c r="I36" i="12"/>
  <c r="L61" i="8"/>
  <c r="W31" i="10"/>
  <c r="I46" i="6"/>
  <c r="H56" i="10"/>
  <c r="G52" i="10"/>
  <c r="G16" i="9" s="1"/>
  <c r="K90" i="17"/>
  <c r="K100" i="17"/>
  <c r="K80" i="17"/>
  <c r="K110" i="17" s="1"/>
  <c r="X31" i="10"/>
  <c r="R36" i="14"/>
  <c r="I41" i="10"/>
  <c r="J146" i="17" l="1"/>
  <c r="J140" i="17"/>
  <c r="K125" i="17"/>
  <c r="K114" i="17"/>
  <c r="U30" i="12"/>
  <c r="T30" i="14"/>
  <c r="U30" i="10"/>
  <c r="U30" i="6"/>
  <c r="U30" i="4"/>
  <c r="U30" i="8"/>
  <c r="C148" i="17"/>
  <c r="C142" i="17"/>
  <c r="U20" i="10"/>
  <c r="U20" i="12"/>
  <c r="U20" i="4"/>
  <c r="U20" i="8"/>
  <c r="U20" i="6"/>
  <c r="G141" i="17"/>
  <c r="G147" i="17"/>
  <c r="I140" i="17"/>
  <c r="I146" i="17"/>
  <c r="K115" i="17"/>
  <c r="K126" i="17"/>
  <c r="U25" i="12"/>
  <c r="U25" i="10"/>
  <c r="U25" i="6"/>
  <c r="U25" i="4"/>
  <c r="U25" i="8"/>
  <c r="U141" i="17"/>
  <c r="U147" i="17"/>
  <c r="I147" i="17"/>
  <c r="I141" i="17"/>
  <c r="B14" i="2"/>
  <c r="G33" i="4"/>
  <c r="H12" i="3" s="1"/>
  <c r="G33" i="12"/>
  <c r="H12" i="11" s="1"/>
  <c r="H18" i="11" s="1"/>
  <c r="H63" i="12"/>
  <c r="G63" i="12" s="1"/>
  <c r="G38" i="10"/>
  <c r="H13" i="9" s="1"/>
  <c r="H61" i="6"/>
  <c r="G57" i="6"/>
  <c r="G17" i="5" s="1"/>
  <c r="G33" i="6"/>
  <c r="H12" i="5" s="1"/>
  <c r="H18" i="5" s="1"/>
  <c r="H63" i="6"/>
  <c r="G63" i="6" s="1"/>
  <c r="L36" i="8"/>
  <c r="L62" i="8"/>
  <c r="L66" i="8" s="1"/>
  <c r="G23" i="8"/>
  <c r="H10" i="7" s="1"/>
  <c r="H26" i="8"/>
  <c r="H61" i="12"/>
  <c r="G57" i="12"/>
  <c r="G17" i="11" s="1"/>
  <c r="G32" i="8"/>
  <c r="G12" i="7" s="1"/>
  <c r="G18" i="7" s="1"/>
  <c r="G38" i="4"/>
  <c r="H13" i="3" s="1"/>
  <c r="G22" i="10"/>
  <c r="G10" i="9" s="1"/>
  <c r="L16" i="4"/>
  <c r="E15" i="2" s="1"/>
  <c r="Q16" i="6"/>
  <c r="G17" i="12"/>
  <c r="G9" i="11" s="1"/>
  <c r="G33" i="10"/>
  <c r="H12" i="9" s="1"/>
  <c r="H18" i="9" s="1"/>
  <c r="H63" i="10"/>
  <c r="G63" i="10" s="1"/>
  <c r="W66" i="12"/>
  <c r="G47" i="12"/>
  <c r="G15" i="11" s="1"/>
  <c r="U142" i="17"/>
  <c r="U148" i="17"/>
  <c r="G23" i="4"/>
  <c r="H10" i="3" s="1"/>
  <c r="H26" i="4"/>
  <c r="G57" i="10"/>
  <c r="G17" i="9" s="1"/>
  <c r="H61" i="10"/>
  <c r="H66" i="8"/>
  <c r="B12" i="2"/>
  <c r="L16" i="6"/>
  <c r="G53" i="4"/>
  <c r="H16" i="3" s="1"/>
  <c r="B15" i="2"/>
  <c r="U126" i="17"/>
  <c r="K142" i="17"/>
  <c r="K148" i="17"/>
  <c r="O125" i="17"/>
  <c r="H66" i="10"/>
  <c r="G62" i="10"/>
  <c r="M127" i="17"/>
  <c r="L36" i="6"/>
  <c r="L62" i="6"/>
  <c r="L66" i="6" s="1"/>
  <c r="Q51" i="10"/>
  <c r="G47" i="10"/>
  <c r="G15" i="9" s="1"/>
  <c r="R51" i="6"/>
  <c r="L127" i="17"/>
  <c r="L16" i="12"/>
  <c r="G8" i="12"/>
  <c r="H7" i="11" s="1"/>
  <c r="Q16" i="10"/>
  <c r="S140" i="17"/>
  <c r="S146" i="17"/>
  <c r="G53" i="12"/>
  <c r="H16" i="11" s="1"/>
  <c r="G12" i="4"/>
  <c r="G8" i="3" s="1"/>
  <c r="M125" i="17"/>
  <c r="V45" i="12"/>
  <c r="V45" i="10"/>
  <c r="V45" i="4"/>
  <c r="V45" i="8"/>
  <c r="V45" i="6"/>
  <c r="I126" i="17"/>
  <c r="H63" i="8"/>
  <c r="G63" i="8" s="1"/>
  <c r="G33" i="8"/>
  <c r="H12" i="7" s="1"/>
  <c r="H18" i="7" s="1"/>
  <c r="W114" i="17"/>
  <c r="W125" i="17"/>
  <c r="G27" i="4"/>
  <c r="G11" i="3" s="1"/>
  <c r="H31" i="4"/>
  <c r="D125" i="17"/>
  <c r="G22" i="6"/>
  <c r="G10" i="5" s="1"/>
  <c r="U10" i="10"/>
  <c r="U10" i="12"/>
  <c r="U10" i="6"/>
  <c r="U10" i="8"/>
  <c r="U10" i="4"/>
  <c r="M117" i="17"/>
  <c r="M159" i="17" s="1"/>
  <c r="V35" i="14" s="1"/>
  <c r="H61" i="4"/>
  <c r="G57" i="4"/>
  <c r="G17" i="3" s="1"/>
  <c r="H66" i="12"/>
  <c r="G23" i="10"/>
  <c r="H10" i="9" s="1"/>
  <c r="H26" i="10"/>
  <c r="O150" i="17"/>
  <c r="N156" i="17" s="1"/>
  <c r="H36" i="8"/>
  <c r="O141" i="17"/>
  <c r="O147" i="17"/>
  <c r="O146" i="17"/>
  <c r="O140" i="17"/>
  <c r="O117" i="17"/>
  <c r="O159" i="17" s="1"/>
  <c r="V40" i="14" s="1"/>
  <c r="L142" i="17"/>
  <c r="L148" i="17"/>
  <c r="H36" i="6"/>
  <c r="R36" i="12"/>
  <c r="R66" i="10"/>
  <c r="G17" i="6"/>
  <c r="G9" i="5" s="1"/>
  <c r="T147" i="17"/>
  <c r="T141" i="17"/>
  <c r="G7" i="10"/>
  <c r="G7" i="9" s="1"/>
  <c r="G114" i="17"/>
  <c r="G125" i="17"/>
  <c r="F148" i="17"/>
  <c r="F142" i="17"/>
  <c r="T45" i="14"/>
  <c r="H41" i="6"/>
  <c r="G37" i="6"/>
  <c r="G13" i="5" s="1"/>
  <c r="T126" i="17"/>
  <c r="I82" i="17"/>
  <c r="R16" i="12"/>
  <c r="J125" i="17"/>
  <c r="M126" i="17"/>
  <c r="S66" i="12"/>
  <c r="G64" i="12"/>
  <c r="F115" i="17"/>
  <c r="F136" i="17" s="1"/>
  <c r="R125" i="17"/>
  <c r="R114" i="17"/>
  <c r="H16" i="10"/>
  <c r="Q51" i="4"/>
  <c r="F7" i="2" s="1"/>
  <c r="G47" i="4"/>
  <c r="G15" i="3" s="1"/>
  <c r="L16" i="10"/>
  <c r="R36" i="10"/>
  <c r="W148" i="17"/>
  <c r="W142" i="17"/>
  <c r="R66" i="12"/>
  <c r="R16" i="8"/>
  <c r="Q51" i="12"/>
  <c r="G17" i="10"/>
  <c r="G9" i="9" s="1"/>
  <c r="R66" i="6"/>
  <c r="G8" i="6"/>
  <c r="H7" i="5" s="1"/>
  <c r="G37" i="8"/>
  <c r="G13" i="7" s="1"/>
  <c r="H41" i="8"/>
  <c r="W66" i="10"/>
  <c r="D135" i="17"/>
  <c r="G32" i="4"/>
  <c r="G12" i="3" s="1"/>
  <c r="G8" i="8"/>
  <c r="H7" i="7" s="1"/>
  <c r="S115" i="17"/>
  <c r="S136" i="17" s="1"/>
  <c r="S126" i="17"/>
  <c r="Q56" i="8"/>
  <c r="R16" i="6"/>
  <c r="G47" i="8"/>
  <c r="G15" i="7" s="1"/>
  <c r="U117" i="17"/>
  <c r="U159" i="17" s="1"/>
  <c r="V55" i="14" s="1"/>
  <c r="G37" i="12"/>
  <c r="G13" i="11" s="1"/>
  <c r="H41" i="12"/>
  <c r="K135" i="17"/>
  <c r="V140" i="17"/>
  <c r="V146" i="17"/>
  <c r="H31" i="12"/>
  <c r="G27" i="12"/>
  <c r="G11" i="11" s="1"/>
  <c r="L36" i="12"/>
  <c r="L62" i="12"/>
  <c r="L66" i="12" s="1"/>
  <c r="U146" i="17"/>
  <c r="U150" i="17" s="1"/>
  <c r="T156" i="17" s="1"/>
  <c r="U140" i="17"/>
  <c r="G22" i="8"/>
  <c r="G10" i="7" s="1"/>
  <c r="C110" i="17"/>
  <c r="G13" i="8"/>
  <c r="H8" i="7" s="1"/>
  <c r="Q51" i="6"/>
  <c r="G47" i="6"/>
  <c r="G15" i="5" s="1"/>
  <c r="G111" i="17"/>
  <c r="I111" i="17"/>
  <c r="H26" i="12"/>
  <c r="U15" i="12"/>
  <c r="U15" i="8"/>
  <c r="U15" i="6"/>
  <c r="U15" i="4"/>
  <c r="U15" i="10"/>
  <c r="Q41" i="6"/>
  <c r="K117" i="17"/>
  <c r="K82" i="17"/>
  <c r="K159" i="17" s="1"/>
  <c r="V30" i="14" s="1"/>
  <c r="R36" i="6"/>
  <c r="S66" i="10"/>
  <c r="G64" i="10"/>
  <c r="H41" i="4"/>
  <c r="G37" i="4"/>
  <c r="G13" i="3" s="1"/>
  <c r="G22" i="4"/>
  <c r="G10" i="3" s="1"/>
  <c r="G27" i="6"/>
  <c r="G11" i="5" s="1"/>
  <c r="H31" i="6"/>
  <c r="E159" i="17"/>
  <c r="V15" i="14" s="1"/>
  <c r="H36" i="4"/>
  <c r="Q141" i="17"/>
  <c r="Q147" i="17"/>
  <c r="Q150" i="17" s="1"/>
  <c r="P156" i="17" s="1"/>
  <c r="G42" i="6"/>
  <c r="G14" i="5" s="1"/>
  <c r="R16" i="10"/>
  <c r="E146" i="17"/>
  <c r="E140" i="17"/>
  <c r="W115" i="17"/>
  <c r="W136" i="17" s="1"/>
  <c r="W126" i="17"/>
  <c r="B11" i="2"/>
  <c r="H31" i="10"/>
  <c r="G27" i="10"/>
  <c r="G11" i="9" s="1"/>
  <c r="U60" i="10"/>
  <c r="U60" i="12"/>
  <c r="U60" i="6"/>
  <c r="U60" i="4"/>
  <c r="U60" i="8"/>
  <c r="G57" i="8"/>
  <c r="G17" i="7" s="1"/>
  <c r="H61" i="8"/>
  <c r="L36" i="10"/>
  <c r="L62" i="10"/>
  <c r="L66" i="10" s="1"/>
  <c r="L16" i="8"/>
  <c r="K136" i="17"/>
  <c r="M142" i="17"/>
  <c r="M148" i="17"/>
  <c r="M150" i="17" s="1"/>
  <c r="L156" i="17" s="1"/>
  <c r="Q16" i="12"/>
  <c r="C140" i="17"/>
  <c r="C146" i="17"/>
  <c r="E148" i="17"/>
  <c r="E142" i="17"/>
  <c r="G38" i="8"/>
  <c r="H13" i="7" s="1"/>
  <c r="W127" i="17"/>
  <c r="H66" i="6"/>
  <c r="G13" i="6"/>
  <c r="H8" i="5" s="1"/>
  <c r="G22" i="12"/>
  <c r="G10" i="11" s="1"/>
  <c r="R16" i="4"/>
  <c r="H15" i="2" s="1"/>
  <c r="Q36" i="10"/>
  <c r="G7" i="4"/>
  <c r="G7" i="3" s="1"/>
  <c r="H41" i="10"/>
  <c r="G37" i="10"/>
  <c r="G13" i="9" s="1"/>
  <c r="G27" i="8"/>
  <c r="G11" i="7" s="1"/>
  <c r="H31" i="8"/>
  <c r="G12" i="8"/>
  <c r="G8" i="7" s="1"/>
  <c r="B13" i="2"/>
  <c r="N116" i="17"/>
  <c r="N137" i="17" s="1"/>
  <c r="N148" i="17" s="1"/>
  <c r="G64" i="6"/>
  <c r="H140" i="17"/>
  <c r="H146" i="17"/>
  <c r="M153" i="17" l="1"/>
  <c r="J35" i="14" s="1"/>
  <c r="M12" i="13"/>
  <c r="U153" i="17"/>
  <c r="J55" i="14" s="1"/>
  <c r="M16" i="13"/>
  <c r="Q153" i="17"/>
  <c r="J45" i="14" s="1"/>
  <c r="M14" i="13"/>
  <c r="V40" i="12"/>
  <c r="V40" i="6"/>
  <c r="V40" i="10"/>
  <c r="V40" i="8"/>
  <c r="V40" i="4"/>
  <c r="T40" i="14"/>
  <c r="W141" i="17"/>
  <c r="W147" i="17"/>
  <c r="V15" i="12"/>
  <c r="V15" i="10"/>
  <c r="V15" i="6"/>
  <c r="V15" i="4"/>
  <c r="V15" i="8"/>
  <c r="T30" i="12"/>
  <c r="T31" i="12" s="1"/>
  <c r="T30" i="10"/>
  <c r="T31" i="10" s="1"/>
  <c r="T30" i="4"/>
  <c r="T31" i="4" s="1"/>
  <c r="J8" i="2" s="1"/>
  <c r="T30" i="6"/>
  <c r="T31" i="6" s="1"/>
  <c r="T30" i="8"/>
  <c r="T31" i="8" s="1"/>
  <c r="T31" i="14"/>
  <c r="T15" i="14"/>
  <c r="G117" i="17"/>
  <c r="G159" i="17" s="1"/>
  <c r="V20" i="14" s="1"/>
  <c r="G135" i="17"/>
  <c r="S147" i="17"/>
  <c r="S141" i="17"/>
  <c r="N127" i="17"/>
  <c r="G62" i="6"/>
  <c r="B10" i="2"/>
  <c r="S117" i="17"/>
  <c r="S159" i="17" s="1"/>
  <c r="V50" i="14" s="1"/>
  <c r="R135" i="17"/>
  <c r="B17" i="2"/>
  <c r="K141" i="17"/>
  <c r="K147" i="17"/>
  <c r="I116" i="17"/>
  <c r="I127" i="17"/>
  <c r="G116" i="17"/>
  <c r="G137" i="17" s="1"/>
  <c r="B8" i="2"/>
  <c r="D140" i="17"/>
  <c r="D146" i="17"/>
  <c r="E150" i="17" s="1"/>
  <c r="D156" i="17" s="1"/>
  <c r="V30" i="12"/>
  <c r="V30" i="10"/>
  <c r="V30" i="8"/>
  <c r="V30" i="6"/>
  <c r="V30" i="4"/>
  <c r="F141" i="17"/>
  <c r="F147" i="17"/>
  <c r="G62" i="8"/>
  <c r="K140" i="17"/>
  <c r="K146" i="17"/>
  <c r="F126" i="17"/>
  <c r="V55" i="12"/>
  <c r="V55" i="10"/>
  <c r="V55" i="4"/>
  <c r="V55" i="6"/>
  <c r="V55" i="8"/>
  <c r="T55" i="14"/>
  <c r="O153" i="17"/>
  <c r="J40" i="14" s="1"/>
  <c r="M13" i="13"/>
  <c r="T45" i="12"/>
  <c r="T46" i="12" s="1"/>
  <c r="T45" i="6"/>
  <c r="T46" i="6" s="1"/>
  <c r="T45" i="10"/>
  <c r="T45" i="4"/>
  <c r="T45" i="8"/>
  <c r="T46" i="14"/>
  <c r="B16" i="2"/>
  <c r="B9" i="2"/>
  <c r="G62" i="12"/>
  <c r="W135" i="17"/>
  <c r="W117" i="17"/>
  <c r="W159" i="17" s="1"/>
  <c r="V60" i="14" s="1"/>
  <c r="C115" i="17"/>
  <c r="C126" i="17"/>
  <c r="V35" i="10"/>
  <c r="V65" i="10" s="1"/>
  <c r="V35" i="12"/>
  <c r="V65" i="12" s="1"/>
  <c r="V35" i="4"/>
  <c r="V35" i="8"/>
  <c r="V65" i="8" s="1"/>
  <c r="V35" i="6"/>
  <c r="V65" i="6" s="1"/>
  <c r="T35" i="14"/>
  <c r="K150" i="17"/>
  <c r="J156" i="17" s="1"/>
  <c r="R146" i="17" l="1"/>
  <c r="S150" i="17" s="1"/>
  <c r="R156" i="17" s="1"/>
  <c r="R140" i="17"/>
  <c r="V20" i="10"/>
  <c r="V20" i="6"/>
  <c r="V20" i="12"/>
  <c r="V20" i="8"/>
  <c r="V20" i="4"/>
  <c r="T20" i="14"/>
  <c r="T15" i="12"/>
  <c r="T16" i="12" s="1"/>
  <c r="T15" i="4"/>
  <c r="T15" i="6"/>
  <c r="T16" i="6" s="1"/>
  <c r="T15" i="8"/>
  <c r="T15" i="10"/>
  <c r="T16" i="10" s="1"/>
  <c r="T16" i="14"/>
  <c r="T35" i="12"/>
  <c r="T35" i="10"/>
  <c r="T35" i="4"/>
  <c r="T36" i="4" s="1"/>
  <c r="J17" i="2" s="1"/>
  <c r="B22" i="2" s="1"/>
  <c r="T35" i="6"/>
  <c r="T35" i="8"/>
  <c r="T36" i="14"/>
  <c r="T40" i="12"/>
  <c r="T40" i="6"/>
  <c r="T41" i="6" s="1"/>
  <c r="T40" i="10"/>
  <c r="T41" i="10" s="1"/>
  <c r="T40" i="4"/>
  <c r="T41" i="4" s="1"/>
  <c r="J10" i="2" s="1"/>
  <c r="T40" i="8"/>
  <c r="T41" i="8" s="1"/>
  <c r="T41" i="14"/>
  <c r="G148" i="17"/>
  <c r="G142" i="17"/>
  <c r="G127" i="17"/>
  <c r="G140" i="17"/>
  <c r="G146" i="17"/>
  <c r="T46" i="10"/>
  <c r="C117" i="17"/>
  <c r="C159" i="17" s="1"/>
  <c r="V10" i="14" s="1"/>
  <c r="C136" i="17"/>
  <c r="K40" i="14"/>
  <c r="J40" i="4"/>
  <c r="J40" i="10"/>
  <c r="J40" i="12"/>
  <c r="J41" i="12" s="1"/>
  <c r="J40" i="6"/>
  <c r="J41" i="14"/>
  <c r="J40" i="8"/>
  <c r="G40" i="14"/>
  <c r="I117" i="17"/>
  <c r="I159" i="17" s="1"/>
  <c r="V25" i="14" s="1"/>
  <c r="I137" i="17"/>
  <c r="I148" i="17" s="1"/>
  <c r="I150" i="17" s="1"/>
  <c r="H156" i="17" s="1"/>
  <c r="T55" i="12"/>
  <c r="T56" i="12" s="1"/>
  <c r="T55" i="10"/>
  <c r="T56" i="10" s="1"/>
  <c r="T55" i="4"/>
  <c r="T56" i="4" s="1"/>
  <c r="J13" i="2" s="1"/>
  <c r="T55" i="8"/>
  <c r="T56" i="8" s="1"/>
  <c r="T55" i="6"/>
  <c r="T56" i="6" s="1"/>
  <c r="T56" i="14"/>
  <c r="M16" i="11"/>
  <c r="M16" i="5"/>
  <c r="M16" i="9"/>
  <c r="M16" i="3"/>
  <c r="M16" i="7"/>
  <c r="E153" i="17"/>
  <c r="J15" i="14" s="1"/>
  <c r="M8" i="13"/>
  <c r="V60" i="10"/>
  <c r="V60" i="12"/>
  <c r="V60" i="6"/>
  <c r="V60" i="4"/>
  <c r="V60" i="8"/>
  <c r="T60" i="14"/>
  <c r="J55" i="10"/>
  <c r="K55" i="14"/>
  <c r="J56" i="14"/>
  <c r="J55" i="4"/>
  <c r="J55" i="12"/>
  <c r="J55" i="6"/>
  <c r="J55" i="8"/>
  <c r="G55" i="14"/>
  <c r="V50" i="10"/>
  <c r="V50" i="12"/>
  <c r="V50" i="6"/>
  <c r="V50" i="8"/>
  <c r="V50" i="4"/>
  <c r="T50" i="14"/>
  <c r="K153" i="17"/>
  <c r="J30" i="14" s="1"/>
  <c r="M11" i="13"/>
  <c r="M13" i="7"/>
  <c r="M13" i="9"/>
  <c r="M13" i="5"/>
  <c r="M13" i="11"/>
  <c r="M13" i="3"/>
  <c r="W140" i="17"/>
  <c r="W146" i="17"/>
  <c r="W150" i="17" s="1"/>
  <c r="V156" i="17" s="1"/>
  <c r="M14" i="11"/>
  <c r="M14" i="7"/>
  <c r="M14" i="9"/>
  <c r="M14" i="5"/>
  <c r="M14" i="3"/>
  <c r="M18" i="13"/>
  <c r="M12" i="7"/>
  <c r="M18" i="7" s="1"/>
  <c r="M12" i="11"/>
  <c r="M18" i="11" s="1"/>
  <c r="M12" i="9"/>
  <c r="M18" i="9" s="1"/>
  <c r="M12" i="3"/>
  <c r="M12" i="5"/>
  <c r="M18" i="5" s="1"/>
  <c r="T46" i="4"/>
  <c r="J11" i="2" s="1"/>
  <c r="K45" i="14"/>
  <c r="J46" i="14"/>
  <c r="J45" i="12"/>
  <c r="J45" i="8"/>
  <c r="J46" i="8" s="1"/>
  <c r="J45" i="10"/>
  <c r="J46" i="10" s="1"/>
  <c r="J45" i="4"/>
  <c r="J46" i="4" s="1"/>
  <c r="J45" i="6"/>
  <c r="T46" i="8"/>
  <c r="J36" i="14"/>
  <c r="K35" i="14"/>
  <c r="J35" i="10"/>
  <c r="J35" i="6"/>
  <c r="J35" i="12"/>
  <c r="J35" i="4"/>
  <c r="J35" i="8"/>
  <c r="G35" i="14"/>
  <c r="Z46" i="10" l="1"/>
  <c r="G46" i="8"/>
  <c r="F14" i="7" s="1"/>
  <c r="J56" i="8"/>
  <c r="G56" i="8" s="1"/>
  <c r="F16" i="7" s="1"/>
  <c r="G55" i="8"/>
  <c r="J16" i="7" s="1"/>
  <c r="J15" i="12"/>
  <c r="K15" i="14"/>
  <c r="J16" i="14"/>
  <c r="J15" i="6"/>
  <c r="J15" i="4"/>
  <c r="J16" i="4" s="1"/>
  <c r="J15" i="10"/>
  <c r="J15" i="8"/>
  <c r="J16" i="8" s="1"/>
  <c r="G15" i="14"/>
  <c r="K46" i="14"/>
  <c r="K45" i="12"/>
  <c r="K46" i="12" s="1"/>
  <c r="K45" i="6"/>
  <c r="K46" i="6" s="1"/>
  <c r="K45" i="10"/>
  <c r="K46" i="10" s="1"/>
  <c r="G46" i="10" s="1"/>
  <c r="F14" i="9" s="1"/>
  <c r="K45" i="8"/>
  <c r="K46" i="8" s="1"/>
  <c r="K45" i="4"/>
  <c r="K46" i="4" s="1"/>
  <c r="D11" i="2" s="1"/>
  <c r="M11" i="2" s="1"/>
  <c r="Z56" i="14"/>
  <c r="G56" i="14"/>
  <c r="T20" i="12"/>
  <c r="T21" i="12" s="1"/>
  <c r="T20" i="10"/>
  <c r="T21" i="10" s="1"/>
  <c r="T20" i="6"/>
  <c r="T21" i="6" s="1"/>
  <c r="T20" i="4"/>
  <c r="T21" i="4" s="1"/>
  <c r="J12" i="2" s="1"/>
  <c r="T20" i="8"/>
  <c r="T21" i="8" s="1"/>
  <c r="T21" i="14"/>
  <c r="J36" i="10"/>
  <c r="J65" i="10"/>
  <c r="J56" i="10"/>
  <c r="K41" i="14"/>
  <c r="K40" i="10"/>
  <c r="K41" i="10" s="1"/>
  <c r="K40" i="12"/>
  <c r="K41" i="12" s="1"/>
  <c r="Z41" i="12" s="1"/>
  <c r="K40" i="4"/>
  <c r="K41" i="4" s="1"/>
  <c r="K40" i="8"/>
  <c r="K41" i="8" s="1"/>
  <c r="K40" i="6"/>
  <c r="K41" i="6" s="1"/>
  <c r="W153" i="17"/>
  <c r="J60" i="14" s="1"/>
  <c r="M17" i="13"/>
  <c r="J41" i="10"/>
  <c r="G40" i="10"/>
  <c r="J13" i="9" s="1"/>
  <c r="J36" i="6"/>
  <c r="J65" i="6"/>
  <c r="M11" i="9"/>
  <c r="M11" i="7"/>
  <c r="M11" i="5"/>
  <c r="M11" i="11"/>
  <c r="M11" i="3"/>
  <c r="C147" i="17"/>
  <c r="C150" i="17" s="1"/>
  <c r="B156" i="17" s="1"/>
  <c r="C141" i="17"/>
  <c r="G36" i="14"/>
  <c r="Z36" i="14"/>
  <c r="T50" i="10"/>
  <c r="T50" i="4"/>
  <c r="T51" i="4" s="1"/>
  <c r="J7" i="2" s="1"/>
  <c r="T50" i="12"/>
  <c r="T51" i="12" s="1"/>
  <c r="T50" i="6"/>
  <c r="T51" i="6" s="1"/>
  <c r="T50" i="8"/>
  <c r="T51" i="8" s="1"/>
  <c r="T51" i="14"/>
  <c r="T65" i="10"/>
  <c r="T66" i="10" s="1"/>
  <c r="T36" i="10"/>
  <c r="M8" i="5"/>
  <c r="M8" i="7"/>
  <c r="M8" i="3"/>
  <c r="M8" i="11"/>
  <c r="M8" i="9"/>
  <c r="G46" i="14"/>
  <c r="Z46" i="14"/>
  <c r="T16" i="8"/>
  <c r="G45" i="4"/>
  <c r="J14" i="3" s="1"/>
  <c r="J65" i="12"/>
  <c r="J36" i="12"/>
  <c r="K56" i="14"/>
  <c r="K55" i="12"/>
  <c r="K56" i="12" s="1"/>
  <c r="K55" i="8"/>
  <c r="K56" i="8" s="1"/>
  <c r="K55" i="4"/>
  <c r="K56" i="4" s="1"/>
  <c r="K55" i="10"/>
  <c r="K56" i="10" s="1"/>
  <c r="K55" i="6"/>
  <c r="K56" i="6" s="1"/>
  <c r="V10" i="12"/>
  <c r="V10" i="8"/>
  <c r="V10" i="4"/>
  <c r="V10" i="10"/>
  <c r="V10" i="6"/>
  <c r="T10" i="14"/>
  <c r="G45" i="8"/>
  <c r="J14" i="7" s="1"/>
  <c r="T60" i="10"/>
  <c r="T61" i="10" s="1"/>
  <c r="T60" i="6"/>
  <c r="T61" i="6" s="1"/>
  <c r="T60" i="12"/>
  <c r="T61" i="12" s="1"/>
  <c r="T60" i="4"/>
  <c r="T61" i="4" s="1"/>
  <c r="J16" i="2" s="1"/>
  <c r="T60" i="8"/>
  <c r="T61" i="8" s="1"/>
  <c r="T61" i="14"/>
  <c r="T65" i="8"/>
  <c r="T66" i="8" s="1"/>
  <c r="T36" i="8"/>
  <c r="I153" i="17"/>
  <c r="J25" i="14" s="1"/>
  <c r="M10" i="13"/>
  <c r="T65" i="12"/>
  <c r="T66" i="12" s="1"/>
  <c r="T36" i="12"/>
  <c r="J46" i="12"/>
  <c r="G45" i="12"/>
  <c r="J14" i="11" s="1"/>
  <c r="J41" i="8"/>
  <c r="G41" i="8" s="1"/>
  <c r="F13" i="7" s="1"/>
  <c r="G40" i="8"/>
  <c r="J13" i="7" s="1"/>
  <c r="G41" i="14"/>
  <c r="Z41" i="14"/>
  <c r="J65" i="8"/>
  <c r="J36" i="8"/>
  <c r="J56" i="12"/>
  <c r="G55" i="12"/>
  <c r="J16" i="11" s="1"/>
  <c r="T16" i="4"/>
  <c r="J15" i="2" s="1"/>
  <c r="J41" i="4"/>
  <c r="G40" i="4"/>
  <c r="J13" i="3" s="1"/>
  <c r="J30" i="12"/>
  <c r="K30" i="14"/>
  <c r="J31" i="14"/>
  <c r="J30" i="6"/>
  <c r="J30" i="10"/>
  <c r="J30" i="4"/>
  <c r="J30" i="8"/>
  <c r="G45" i="14"/>
  <c r="G150" i="17"/>
  <c r="F156" i="17" s="1"/>
  <c r="T65" i="6"/>
  <c r="T66" i="6" s="1"/>
  <c r="T36" i="6"/>
  <c r="V25" i="12"/>
  <c r="V25" i="10"/>
  <c r="V25" i="6"/>
  <c r="V25" i="8"/>
  <c r="V25" i="4"/>
  <c r="T25" i="14"/>
  <c r="J56" i="6"/>
  <c r="G55" i="6"/>
  <c r="J16" i="5" s="1"/>
  <c r="J41" i="6"/>
  <c r="G40" i="6"/>
  <c r="J13" i="5" s="1"/>
  <c r="J36" i="4"/>
  <c r="J56" i="4"/>
  <c r="K36" i="14"/>
  <c r="K35" i="10"/>
  <c r="G35" i="10" s="1"/>
  <c r="J12" i="9" s="1"/>
  <c r="J18" i="9" s="1"/>
  <c r="K35" i="12"/>
  <c r="K35" i="6"/>
  <c r="K35" i="8"/>
  <c r="K35" i="4"/>
  <c r="K36" i="4" s="1"/>
  <c r="T41" i="12"/>
  <c r="G40" i="12"/>
  <c r="J13" i="11" s="1"/>
  <c r="J46" i="6"/>
  <c r="G45" i="6"/>
  <c r="J14" i="5" s="1"/>
  <c r="S153" i="17"/>
  <c r="J50" i="14" s="1"/>
  <c r="M15" i="13"/>
  <c r="J51" i="14" l="1"/>
  <c r="K50" i="14"/>
  <c r="J50" i="10"/>
  <c r="J51" i="10" s="1"/>
  <c r="J50" i="12"/>
  <c r="J50" i="6"/>
  <c r="J50" i="4"/>
  <c r="J50" i="8"/>
  <c r="G50" i="14"/>
  <c r="Z41" i="10"/>
  <c r="G41" i="10"/>
  <c r="F13" i="9" s="1"/>
  <c r="Z46" i="6"/>
  <c r="G46" i="6"/>
  <c r="F14" i="5" s="1"/>
  <c r="T51" i="10"/>
  <c r="J16" i="6"/>
  <c r="G15" i="6"/>
  <c r="J8" i="5" s="1"/>
  <c r="T25" i="10"/>
  <c r="T26" i="10" s="1"/>
  <c r="T25" i="12"/>
  <c r="T26" i="12" s="1"/>
  <c r="T25" i="6"/>
  <c r="T26" i="6" s="1"/>
  <c r="T25" i="4"/>
  <c r="T26" i="4" s="1"/>
  <c r="J9" i="2" s="1"/>
  <c r="T25" i="8"/>
  <c r="T26" i="8" s="1"/>
  <c r="T26" i="14"/>
  <c r="K30" i="12"/>
  <c r="K31" i="12" s="1"/>
  <c r="K31" i="14"/>
  <c r="K30" i="10"/>
  <c r="K31" i="10" s="1"/>
  <c r="K30" i="6"/>
  <c r="K31" i="6" s="1"/>
  <c r="K30" i="4"/>
  <c r="K31" i="4" s="1"/>
  <c r="K30" i="8"/>
  <c r="K31" i="8" s="1"/>
  <c r="Z46" i="12"/>
  <c r="G46" i="12"/>
  <c r="F14" i="11" s="1"/>
  <c r="G16" i="14"/>
  <c r="Z16" i="14"/>
  <c r="J31" i="12"/>
  <c r="K15" i="12"/>
  <c r="K16" i="12" s="1"/>
  <c r="K16" i="14"/>
  <c r="K15" i="8"/>
  <c r="K16" i="8" s="1"/>
  <c r="K15" i="6"/>
  <c r="K16" i="6" s="1"/>
  <c r="K15" i="10"/>
  <c r="K16" i="10" s="1"/>
  <c r="K15" i="4"/>
  <c r="K16" i="4" s="1"/>
  <c r="D15" i="2" s="1"/>
  <c r="M15" i="2" s="1"/>
  <c r="J16" i="12"/>
  <c r="G15" i="12"/>
  <c r="J8" i="11" s="1"/>
  <c r="M15" i="9"/>
  <c r="M15" i="11"/>
  <c r="M15" i="7"/>
  <c r="M15" i="5"/>
  <c r="M15" i="3"/>
  <c r="G16" i="8"/>
  <c r="F8" i="7" s="1"/>
  <c r="J31" i="10"/>
  <c r="J16" i="10"/>
  <c r="J31" i="6"/>
  <c r="G30" i="6"/>
  <c r="J11" i="5" s="1"/>
  <c r="T10" i="10"/>
  <c r="T10" i="12"/>
  <c r="T11" i="12" s="1"/>
  <c r="T10" i="6"/>
  <c r="T11" i="6" s="1"/>
  <c r="T10" i="8"/>
  <c r="T11" i="8" s="1"/>
  <c r="T10" i="4"/>
  <c r="T11" i="4" s="1"/>
  <c r="J14" i="2" s="1"/>
  <c r="T11" i="14"/>
  <c r="Z31" i="14"/>
  <c r="G31" i="14"/>
  <c r="K65" i="8"/>
  <c r="K66" i="8" s="1"/>
  <c r="K36" i="8"/>
  <c r="G36" i="8" s="1"/>
  <c r="F12" i="7" s="1"/>
  <c r="F18" i="7" s="1"/>
  <c r="J31" i="8"/>
  <c r="J66" i="12"/>
  <c r="M17" i="5"/>
  <c r="M17" i="9"/>
  <c r="M17" i="11"/>
  <c r="M17" i="3"/>
  <c r="M17" i="7"/>
  <c r="J61" i="14"/>
  <c r="J60" i="10"/>
  <c r="J60" i="4"/>
  <c r="J60" i="12"/>
  <c r="K60" i="14"/>
  <c r="J60" i="6"/>
  <c r="J60" i="8"/>
  <c r="D10" i="2"/>
  <c r="M10" i="2" s="1"/>
  <c r="Z41" i="4"/>
  <c r="G41" i="4"/>
  <c r="F13" i="3" s="1"/>
  <c r="C153" i="17"/>
  <c r="J10" i="14" s="1"/>
  <c r="M7" i="13"/>
  <c r="K25" i="14"/>
  <c r="J26" i="14"/>
  <c r="J25" i="10"/>
  <c r="J25" i="4"/>
  <c r="J25" i="8"/>
  <c r="J25" i="12"/>
  <c r="J25" i="6"/>
  <c r="G25" i="14"/>
  <c r="G55" i="4"/>
  <c r="J16" i="3" s="1"/>
  <c r="G153" i="17"/>
  <c r="J20" i="14" s="1"/>
  <c r="M9" i="13"/>
  <c r="G35" i="8"/>
  <c r="J12" i="7" s="1"/>
  <c r="J18" i="7" s="1"/>
  <c r="G46" i="4"/>
  <c r="F14" i="3" s="1"/>
  <c r="Z36" i="6"/>
  <c r="G36" i="6"/>
  <c r="F12" i="5" s="1"/>
  <c r="F18" i="5" s="1"/>
  <c r="J31" i="4"/>
  <c r="Z41" i="6"/>
  <c r="G41" i="6"/>
  <c r="F13" i="5" s="1"/>
  <c r="Z16" i="4"/>
  <c r="G16" i="4"/>
  <c r="F8" i="3" s="1"/>
  <c r="M10" i="11"/>
  <c r="M10" i="9"/>
  <c r="M10" i="3"/>
  <c r="M10" i="7"/>
  <c r="M10" i="5"/>
  <c r="K36" i="6"/>
  <c r="K65" i="6"/>
  <c r="K66" i="6" s="1"/>
  <c r="G41" i="12"/>
  <c r="F13" i="11" s="1"/>
  <c r="K65" i="12"/>
  <c r="K66" i="12" s="1"/>
  <c r="K36" i="12"/>
  <c r="G36" i="12" s="1"/>
  <c r="F12" i="11" s="1"/>
  <c r="F18" i="11" s="1"/>
  <c r="K36" i="10"/>
  <c r="K65" i="10"/>
  <c r="K66" i="10" s="1"/>
  <c r="G55" i="10"/>
  <c r="J16" i="9" s="1"/>
  <c r="G56" i="10"/>
  <c r="F16" i="9" s="1"/>
  <c r="Z56" i="10"/>
  <c r="D13" i="2"/>
  <c r="M13" i="2" s="1"/>
  <c r="G56" i="4"/>
  <c r="F16" i="3" s="1"/>
  <c r="Z56" i="4"/>
  <c r="G45" i="10"/>
  <c r="J14" i="9" s="1"/>
  <c r="G35" i="6"/>
  <c r="J12" i="5" s="1"/>
  <c r="J18" i="5" s="1"/>
  <c r="J66" i="10"/>
  <c r="Z46" i="4"/>
  <c r="D17" i="2"/>
  <c r="Z36" i="4"/>
  <c r="G36" i="4"/>
  <c r="F12" i="3" s="1"/>
  <c r="Z36" i="12"/>
  <c r="G15" i="8"/>
  <c r="J8" i="7" s="1"/>
  <c r="Z56" i="6"/>
  <c r="G56" i="6"/>
  <c r="F16" i="5" s="1"/>
  <c r="G15" i="4"/>
  <c r="J8" i="3" s="1"/>
  <c r="Z56" i="12"/>
  <c r="G56" i="12"/>
  <c r="F16" i="11" s="1"/>
  <c r="G35" i="4"/>
  <c r="J12" i="3" s="1"/>
  <c r="G30" i="14"/>
  <c r="J66" i="8"/>
  <c r="G35" i="12"/>
  <c r="J12" i="11" s="1"/>
  <c r="J18" i="11" s="1"/>
  <c r="J66" i="6"/>
  <c r="G65" i="6"/>
  <c r="G36" i="10"/>
  <c r="F12" i="9" s="1"/>
  <c r="F18" i="9" s="1"/>
  <c r="Z36" i="10"/>
  <c r="J26" i="6" l="1"/>
  <c r="J26" i="4"/>
  <c r="G61" i="14"/>
  <c r="J26" i="10"/>
  <c r="G25" i="10"/>
  <c r="J10" i="9" s="1"/>
  <c r="G16" i="12"/>
  <c r="F8" i="11" s="1"/>
  <c r="Z16" i="12"/>
  <c r="J61" i="8"/>
  <c r="G61" i="8" s="1"/>
  <c r="F17" i="7" s="1"/>
  <c r="G60" i="8"/>
  <c r="J17" i="7" s="1"/>
  <c r="G16" i="6"/>
  <c r="F8" i="5" s="1"/>
  <c r="Z16" i="6"/>
  <c r="J26" i="8"/>
  <c r="G26" i="8" s="1"/>
  <c r="F10" i="7" s="1"/>
  <c r="G25" i="8"/>
  <c r="J10" i="7" s="1"/>
  <c r="K26" i="14"/>
  <c r="K25" i="12"/>
  <c r="K26" i="12" s="1"/>
  <c r="K25" i="10"/>
  <c r="K26" i="10" s="1"/>
  <c r="K25" i="4"/>
  <c r="K26" i="4" s="1"/>
  <c r="K25" i="6"/>
  <c r="K26" i="6" s="1"/>
  <c r="K25" i="8"/>
  <c r="K26" i="8" s="1"/>
  <c r="J51" i="8"/>
  <c r="J10" i="10"/>
  <c r="J11" i="10" s="1"/>
  <c r="J10" i="6"/>
  <c r="K10" i="14"/>
  <c r="J10" i="12"/>
  <c r="J11" i="14"/>
  <c r="J10" i="8"/>
  <c r="J10" i="4"/>
  <c r="G10" i="14"/>
  <c r="Z31" i="6"/>
  <c r="G31" i="6"/>
  <c r="F11" i="5" s="1"/>
  <c r="J51" i="6"/>
  <c r="J61" i="6"/>
  <c r="G60" i="6"/>
  <c r="J17" i="5" s="1"/>
  <c r="J26" i="12"/>
  <c r="G25" i="12"/>
  <c r="J10" i="11" s="1"/>
  <c r="J61" i="10"/>
  <c r="J51" i="4"/>
  <c r="G50" i="4"/>
  <c r="J15" i="3" s="1"/>
  <c r="G65" i="12"/>
  <c r="G15" i="10"/>
  <c r="J8" i="9" s="1"/>
  <c r="J51" i="12"/>
  <c r="G50" i="12"/>
  <c r="J15" i="11" s="1"/>
  <c r="G65" i="8"/>
  <c r="G65" i="10"/>
  <c r="Z66" i="12"/>
  <c r="G66" i="12"/>
  <c r="G16" i="10"/>
  <c r="F8" i="9" s="1"/>
  <c r="Z16" i="10"/>
  <c r="J61" i="4"/>
  <c r="Z26" i="14"/>
  <c r="G26" i="14"/>
  <c r="G30" i="4"/>
  <c r="J11" i="3" s="1"/>
  <c r="D8" i="2"/>
  <c r="M8" i="2" s="1"/>
  <c r="G31" i="4"/>
  <c r="F11" i="3" s="1"/>
  <c r="Z31" i="4"/>
  <c r="M17" i="2"/>
  <c r="B21" i="2"/>
  <c r="G66" i="8"/>
  <c r="G30" i="8"/>
  <c r="J11" i="7" s="1"/>
  <c r="G30" i="10"/>
  <c r="J11" i="9" s="1"/>
  <c r="G30" i="12"/>
  <c r="J11" i="11" s="1"/>
  <c r="K50" i="10"/>
  <c r="K50" i="12"/>
  <c r="K51" i="12" s="1"/>
  <c r="K51" i="14"/>
  <c r="G51" i="14" s="1"/>
  <c r="K50" i="6"/>
  <c r="K51" i="6" s="1"/>
  <c r="K50" i="4"/>
  <c r="K51" i="4" s="1"/>
  <c r="K50" i="8"/>
  <c r="K51" i="8" s="1"/>
  <c r="J20" i="12"/>
  <c r="J20" i="6"/>
  <c r="J21" i="14"/>
  <c r="J20" i="8"/>
  <c r="J20" i="4"/>
  <c r="K20" i="14"/>
  <c r="J20" i="10"/>
  <c r="G20" i="14"/>
  <c r="K61" i="14"/>
  <c r="Z61" i="14" s="1"/>
  <c r="K60" i="12"/>
  <c r="K61" i="12" s="1"/>
  <c r="K60" i="10"/>
  <c r="K61" i="10" s="1"/>
  <c r="K60" i="4"/>
  <c r="K61" i="4" s="1"/>
  <c r="K60" i="6"/>
  <c r="K61" i="6" s="1"/>
  <c r="K60" i="8"/>
  <c r="K61" i="8" s="1"/>
  <c r="J61" i="12"/>
  <c r="G60" i="12"/>
  <c r="J17" i="11" s="1"/>
  <c r="T11" i="10"/>
  <c r="M7" i="9"/>
  <c r="M7" i="7"/>
  <c r="M7" i="5"/>
  <c r="M7" i="3"/>
  <c r="M7" i="11"/>
  <c r="G66" i="6"/>
  <c r="Z66" i="6"/>
  <c r="G66" i="10"/>
  <c r="Z66" i="10"/>
  <c r="M9" i="11"/>
  <c r="M9" i="7"/>
  <c r="M9" i="5"/>
  <c r="M9" i="9"/>
  <c r="M9" i="3"/>
  <c r="G60" i="14"/>
  <c r="G31" i="8"/>
  <c r="F11" i="7" s="1"/>
  <c r="G31" i="10"/>
  <c r="F11" i="9" s="1"/>
  <c r="Z31" i="10"/>
  <c r="Z31" i="12"/>
  <c r="G31" i="12"/>
  <c r="F11" i="11" s="1"/>
  <c r="Z51" i="14"/>
  <c r="J21" i="8" l="1"/>
  <c r="J11" i="8"/>
  <c r="J21" i="12"/>
  <c r="G20" i="12"/>
  <c r="J9" i="11" s="1"/>
  <c r="K10" i="10"/>
  <c r="K10" i="12"/>
  <c r="K11" i="12" s="1"/>
  <c r="K11" i="14"/>
  <c r="Z11" i="14" s="1"/>
  <c r="K10" i="8"/>
  <c r="K11" i="8" s="1"/>
  <c r="K10" i="6"/>
  <c r="K11" i="6" s="1"/>
  <c r="K10" i="4"/>
  <c r="K11" i="4" s="1"/>
  <c r="G60" i="4"/>
  <c r="J17" i="3" s="1"/>
  <c r="G60" i="10"/>
  <c r="J17" i="9" s="1"/>
  <c r="J11" i="6"/>
  <c r="D16" i="2"/>
  <c r="M16" i="2" s="1"/>
  <c r="Z61" i="4"/>
  <c r="G61" i="4"/>
  <c r="F17" i="3" s="1"/>
  <c r="Z61" i="10"/>
  <c r="G61" i="10"/>
  <c r="F17" i="9" s="1"/>
  <c r="J11" i="4"/>
  <c r="J11" i="12"/>
  <c r="G10" i="12"/>
  <c r="J7" i="11" s="1"/>
  <c r="D7" i="2"/>
  <c r="M7" i="2" s="1"/>
  <c r="Z51" i="4"/>
  <c r="G51" i="4"/>
  <c r="F15" i="3" s="1"/>
  <c r="Z26" i="12"/>
  <c r="G26" i="12"/>
  <c r="F10" i="11" s="1"/>
  <c r="G61" i="6"/>
  <c r="F17" i="5" s="1"/>
  <c r="Z61" i="6"/>
  <c r="K51" i="10"/>
  <c r="G50" i="10"/>
  <c r="J15" i="9" s="1"/>
  <c r="G51" i="8"/>
  <c r="F15" i="7" s="1"/>
  <c r="G50" i="6"/>
  <c r="J15" i="5" s="1"/>
  <c r="G25" i="4"/>
  <c r="J10" i="3" s="1"/>
  <c r="J21" i="10"/>
  <c r="G20" i="10"/>
  <c r="J9" i="9" s="1"/>
  <c r="G51" i="6"/>
  <c r="F15" i="5" s="1"/>
  <c r="Z51" i="6"/>
  <c r="D9" i="2"/>
  <c r="M9" i="2" s="1"/>
  <c r="G26" i="4"/>
  <c r="F10" i="3" s="1"/>
  <c r="Z26" i="4"/>
  <c r="Z51" i="12"/>
  <c r="G51" i="12"/>
  <c r="F15" i="11" s="1"/>
  <c r="J21" i="6"/>
  <c r="G50" i="8"/>
  <c r="J15" i="7" s="1"/>
  <c r="G26" i="10"/>
  <c r="F10" i="9" s="1"/>
  <c r="Z26" i="10"/>
  <c r="K20" i="10"/>
  <c r="K21" i="10" s="1"/>
  <c r="K20" i="12"/>
  <c r="K21" i="12" s="1"/>
  <c r="K20" i="6"/>
  <c r="K21" i="6" s="1"/>
  <c r="K20" i="8"/>
  <c r="K21" i="8" s="1"/>
  <c r="K21" i="14"/>
  <c r="G21" i="14" s="1"/>
  <c r="K20" i="4"/>
  <c r="K21" i="4" s="1"/>
  <c r="C21" i="2"/>
  <c r="B24" i="2"/>
  <c r="C23" i="2"/>
  <c r="C20" i="2"/>
  <c r="C22" i="2"/>
  <c r="G25" i="6"/>
  <c r="J10" i="5" s="1"/>
  <c r="Z61" i="12"/>
  <c r="G61" i="12"/>
  <c r="F17" i="11" s="1"/>
  <c r="J21" i="4"/>
  <c r="Z26" i="6"/>
  <c r="G26" i="6"/>
  <c r="F10" i="5" s="1"/>
  <c r="Z21" i="10" l="1"/>
  <c r="G21" i="10"/>
  <c r="F9" i="9" s="1"/>
  <c r="D14" i="2"/>
  <c r="M14" i="2" s="1"/>
  <c r="G11" i="4"/>
  <c r="F7" i="3" s="1"/>
  <c r="Z11" i="4"/>
  <c r="G10" i="4"/>
  <c r="J7" i="3" s="1"/>
  <c r="G20" i="4"/>
  <c r="J9" i="3" s="1"/>
  <c r="K11" i="10"/>
  <c r="G10" i="10"/>
  <c r="J7" i="9" s="1"/>
  <c r="G11" i="12"/>
  <c r="F7" i="11" s="1"/>
  <c r="Z11" i="12"/>
  <c r="D12" i="2"/>
  <c r="M12" i="2" s="1"/>
  <c r="G21" i="4"/>
  <c r="F9" i="3" s="1"/>
  <c r="Z21" i="4"/>
  <c r="G11" i="14"/>
  <c r="Z51" i="10"/>
  <c r="G51" i="10"/>
  <c r="F15" i="9" s="1"/>
  <c r="G11" i="8"/>
  <c r="F7" i="7" s="1"/>
  <c r="Z21" i="12"/>
  <c r="G21" i="12"/>
  <c r="F9" i="11" s="1"/>
  <c r="G10" i="8"/>
  <c r="J7" i="7" s="1"/>
  <c r="Z21" i="14"/>
  <c r="G21" i="6"/>
  <c r="F9" i="5" s="1"/>
  <c r="Z21" i="6"/>
  <c r="G20" i="6"/>
  <c r="J9" i="5" s="1"/>
  <c r="G10" i="6"/>
  <c r="J7" i="5" s="1"/>
  <c r="G20" i="8"/>
  <c r="J9" i="7" s="1"/>
  <c r="G11" i="6"/>
  <c r="F7" i="5" s="1"/>
  <c r="Z11" i="6"/>
  <c r="G21" i="8"/>
  <c r="F9" i="7" s="1"/>
  <c r="G11" i="10" l="1"/>
  <c r="F7" i="9" s="1"/>
  <c r="Z1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I13" authorId="0" shapeId="0" xr:uid="{00000000-0006-0000-1800-000001000000}">
      <text>
        <r>
          <rPr>
            <sz val="11"/>
            <color theme="1"/>
            <rFont val="Calibri"/>
            <family val="2"/>
            <charset val="1"/>
          </rPr>
          <t>Elin Röös:
En del av produktionen sker på mark som vi valt att klassa som
kulturbetesmark, det vill säga med PDF noll. Baserat på personlig kommunikation
(James Moran, personlig kommunikation, 2022; Helen Sheridan, personlig
kommunikation 2022) har vi satt att 30% av produktionen sker på sådan typ av mark.</t>
        </r>
      </text>
    </comment>
    <comment ref="AV21" authorId="0" shapeId="0" xr:uid="{00000000-0006-0000-1800-000002000000}">
      <text>
        <r>
          <rPr>
            <sz val="11"/>
            <color theme="1"/>
            <rFont val="Calibri"/>
            <family val="2"/>
            <charset val="1"/>
          </rPr>
          <t>Elin Röös:
Cropland_LightIntense and Cropland_Intense Sweden (representing what cultivation).
Sum of CF before converting to E/MSY. See table below, from CF_GLO_country_habitat_landuse_spps_10.06.24.csv</t>
        </r>
      </text>
    </comment>
  </commentList>
</comments>
</file>

<file path=xl/sharedStrings.xml><?xml version="1.0" encoding="utf-8"?>
<sst xmlns="http://schemas.openxmlformats.org/spreadsheetml/2006/main" count="8902" uniqueCount="723">
  <si>
    <t>GHG emissions (per calf)</t>
  </si>
  <si>
    <t>* Calculated as percentage of direct emissions due to assumption due to data limitations regarding nitrogen leaching and volatilization from soils in different regions.</t>
  </si>
  <si>
    <t>Animals</t>
  </si>
  <si>
    <t>Stables</t>
  </si>
  <si>
    <t>Slaughter</t>
  </si>
  <si>
    <t>Animal products</t>
  </si>
  <si>
    <t>Sum</t>
  </si>
  <si>
    <t>Inputs</t>
  </si>
  <si>
    <t>Soil emissions</t>
  </si>
  <si>
    <t>Energy use</t>
  </si>
  <si>
    <t>Land use change</t>
  </si>
  <si>
    <t>Feed processing</t>
  </si>
  <si>
    <t>Transports</t>
  </si>
  <si>
    <t>Code</t>
  </si>
  <si>
    <t>Name</t>
  </si>
  <si>
    <t>Category</t>
  </si>
  <si>
    <t>Country</t>
  </si>
  <si>
    <t>Country code</t>
  </si>
  <si>
    <t>Gas</t>
  </si>
  <si>
    <t>GHG</t>
  </si>
  <si>
    <t>Production of mineral fertilizer</t>
  </si>
  <si>
    <t xml:space="preserve">Production of capital goods </t>
  </si>
  <si>
    <t>Direct emissions</t>
  </si>
  <si>
    <t>Indirect emissions*</t>
  </si>
  <si>
    <t>Diesel use field mach</t>
  </si>
  <si>
    <t>Energy use in greenhouses</t>
  </si>
  <si>
    <t>Energy use for irrigation</t>
  </si>
  <si>
    <t>Energy use for post-harvest proc</t>
  </si>
  <si>
    <t>LUC emissions</t>
  </si>
  <si>
    <t>Feed transports</t>
  </si>
  <si>
    <t>Enteric fermentation*</t>
  </si>
  <si>
    <t>Manure management - tot</t>
  </si>
  <si>
    <t>Manure management - direct</t>
  </si>
  <si>
    <t>Manure management - indirect</t>
  </si>
  <si>
    <t>Energy use in stables</t>
  </si>
  <si>
    <t>Energy use for slaughter</t>
  </si>
  <si>
    <t>21111.02_dc</t>
  </si>
  <si>
    <t>Calves</t>
  </si>
  <si>
    <t>Denmark</t>
  </si>
  <si>
    <t>DK</t>
  </si>
  <si>
    <t>CO2</t>
  </si>
  <si>
    <t>CH4, fossil</t>
  </si>
  <si>
    <t>CH4, biogenic</t>
  </si>
  <si>
    <t>N2O</t>
  </si>
  <si>
    <t>CO2e</t>
  </si>
  <si>
    <t>France</t>
  </si>
  <si>
    <t>FR</t>
  </si>
  <si>
    <t>Germany</t>
  </si>
  <si>
    <t>DE</t>
  </si>
  <si>
    <t>Greece</t>
  </si>
  <si>
    <t>GR</t>
  </si>
  <si>
    <t>Hungary</t>
  </si>
  <si>
    <t>HU</t>
  </si>
  <si>
    <t xml:space="preserve">Ireland </t>
  </si>
  <si>
    <t>IE</t>
  </si>
  <si>
    <t>Italy</t>
  </si>
  <si>
    <t>IT</t>
  </si>
  <si>
    <t>Netherland</t>
  </si>
  <si>
    <t>NL</t>
  </si>
  <si>
    <t>Poland</t>
  </si>
  <si>
    <t>PL</t>
  </si>
  <si>
    <t>Spain</t>
  </si>
  <si>
    <t>ES</t>
  </si>
  <si>
    <t>Sweden</t>
  </si>
  <si>
    <t>SE</t>
  </si>
  <si>
    <t>UK</t>
  </si>
  <si>
    <t>GB</t>
  </si>
  <si>
    <t>Approx Ireland for now because we only need the UK-value for the meat from dairy cows (not dairy)</t>
  </si>
  <si>
    <t>Read me</t>
  </si>
  <si>
    <t>This is a file that contains…</t>
  </si>
  <si>
    <t>Color codes:</t>
  </si>
  <si>
    <t>Results</t>
  </si>
  <si>
    <t>Sheets for input</t>
  </si>
  <si>
    <t>Intermediate calculations</t>
  </si>
  <si>
    <t>Att göra:</t>
  </si>
  <si>
    <t>Landsspecifika mortality rates ska gå att få ut från nationella databaser, i varjefall för vissa länder skriver de om här: https://www.sciencedirect.com/science/article/pii/S003452881830359X</t>
  </si>
  <si>
    <t>Se om det går att få ut en foderstat för denna från Frankrike https://productions-animales.org/article/view/5396</t>
  </si>
  <si>
    <t>Figures</t>
  </si>
  <si>
    <t>Greenhouse gas emission for milk across countries, to farmgate, no waste</t>
  </si>
  <si>
    <t xml:space="preserve">Emissions from soil </t>
  </si>
  <si>
    <t>Energy use cropping</t>
  </si>
  <si>
    <t>Energy use for feed processing</t>
  </si>
  <si>
    <t>Land use change emissions</t>
  </si>
  <si>
    <t>Enteric fermentation</t>
  </si>
  <si>
    <t>Manure management</t>
  </si>
  <si>
    <t>Tot</t>
  </si>
  <si>
    <t xml:space="preserve">Hungary </t>
  </si>
  <si>
    <t>Netherlands</t>
  </si>
  <si>
    <t xml:space="preserve">Denmark </t>
  </si>
  <si>
    <t>Ireland</t>
  </si>
  <si>
    <t>Andel</t>
  </si>
  <si>
    <t>Arla</t>
  </si>
  <si>
    <t>Våmjäsning</t>
  </si>
  <si>
    <t>Foder</t>
  </si>
  <si>
    <t>Gödsel</t>
  </si>
  <si>
    <t>Från Elmquist et al 2015</t>
  </si>
  <si>
    <t>Energi</t>
  </si>
  <si>
    <t>För Arla även diesel</t>
  </si>
  <si>
    <t xml:space="preserve">0.17 kWh/kg mjölk -&gt; </t>
  </si>
  <si>
    <t>kg CO2e/kg mjölk</t>
  </si>
  <si>
    <t>Comparison with Moberg et al. Sweden</t>
  </si>
  <si>
    <t xml:space="preserve"> - Lower values for feed due to lower emissions from grains (no SOC changes acccounted for here), ley approx the same</t>
  </si>
  <si>
    <t xml:space="preserve"> - Moberg has slightly higher EF for methane for dairy cows and heifers, but that makes a small difference</t>
  </si>
  <si>
    <t xml:space="preserve"> - Slight difference in milk yield does not explain difference in methane emissions</t>
  </si>
  <si>
    <t xml:space="preserve"> - Here we do not account for any emissions from by-products!! Should be added</t>
  </si>
  <si>
    <t>https://www.arla.se/4a9c19/globalassets/om-arla/hallbarhet/klimatberakningar/climate-check-report-2022.pdf</t>
  </si>
  <si>
    <t>Ranking here:</t>
  </si>
  <si>
    <t>Ranking Lesshen:</t>
  </si>
  <si>
    <t xml:space="preserve">Sweden </t>
  </si>
  <si>
    <t>Denmakr</t>
  </si>
  <si>
    <t>Manure</t>
  </si>
  <si>
    <t>Comp</t>
  </si>
  <si>
    <t>Emissions from manure (tot) from Emmas data, Swedish milk</t>
  </si>
  <si>
    <t xml:space="preserve">0.11 kg C02e / kg past. Milk. Near exclusively direct emissions </t>
  </si>
  <si>
    <t>Arla: 10% of total emissons (10% of 1.1)</t>
  </si>
  <si>
    <t>0.1 kg CO2e / kg milk, Swedish milk</t>
  </si>
  <si>
    <t>https://www.sciencedirect.com/science/article/pii/S1751731114001293</t>
  </si>
  <si>
    <t>10% of 1.23 kg CO2e / milk</t>
  </si>
  <si>
    <t>Factors causing variations between countries</t>
  </si>
  <si>
    <t>For both methane and nitrogen emissions, dairy cows influence emissions more than heifers as they produce more manure / nitrogen and as the population is larger (0.6 heifers per dairy cow)</t>
  </si>
  <si>
    <t>Additionally, milk yield also influences results per kg milk greatly</t>
  </si>
  <si>
    <t>Methane</t>
  </si>
  <si>
    <t xml:space="preserve">Methane emissions from manure are vary with three independent factors: </t>
  </si>
  <si>
    <t>1. Difference in total manure production</t>
  </si>
  <si>
    <t>2. National MCF values for the different systems</t>
  </si>
  <si>
    <t>3. Share of manure in these systems</t>
  </si>
  <si>
    <t>High emission countries are characterized by having a large share of the manure deposited in systems with a high national MCF factor.</t>
  </si>
  <si>
    <t>Highest emissions per kg milk</t>
  </si>
  <si>
    <t>By far highest manure production (also high milk yields, which balances it out some). 92% in liquid and deep bedding for dairy cows, 70% for heifers - with MCF of 14.4% for both</t>
  </si>
  <si>
    <t xml:space="preserve">Italy </t>
  </si>
  <si>
    <t>54% and 47%, respectively, in liquid systems with MCF of 16.6%. Furthermore, relatively low milk yields giving high CH4 emissions per kg milk</t>
  </si>
  <si>
    <t>Sweden has an exceptionally low MCF-factor</t>
  </si>
  <si>
    <t>Nitrogen</t>
  </si>
  <si>
    <t>Nitrogen emissions mostly vary with 1 factor:</t>
  </si>
  <si>
    <t>The share deposited in pasture-systems.  Emission factors for pasture are much lower than the other 3 systems, while the other 3 systems have similar emissions to eachother</t>
  </si>
  <si>
    <t>However, liquid systems have a lower emission factor (48%) than solid / deep bedding (54%)</t>
  </si>
  <si>
    <t>Therefore, high N emissions are seen for countries with low percentage of grazing animals</t>
  </si>
  <si>
    <t>No dairy cows in pasture, 65% of heifers. Dairy cows affect the results much more than heifers. Also, Spain has the lowest milk yield leading to high emissions per kg of milk</t>
  </si>
  <si>
    <t>8% dairy cows in pasture, 33% of heifers. No cows in liquid systems, with relatively low milk yields</t>
  </si>
  <si>
    <t>Footprints (per kg of milk)</t>
  </si>
  <si>
    <t>Climate</t>
  </si>
  <si>
    <t>Land</t>
  </si>
  <si>
    <t>Phosphorus</t>
  </si>
  <si>
    <t>Water</t>
  </si>
  <si>
    <t>Pesticides</t>
  </si>
  <si>
    <t>Biodiversity</t>
  </si>
  <si>
    <t>Ammonia</t>
  </si>
  <si>
    <t>Labour</t>
  </si>
  <si>
    <t>Animal welfare</t>
  </si>
  <si>
    <t>Use of antibiotics</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</si>
  <si>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</si>
  <si>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</si>
  <si>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</si>
  <si>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</si>
  <si>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</si>
  <si>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</si>
  <si>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</si>
  <si>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</si>
  <si>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</si>
  <si>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</si>
  <si>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</si>
  <si>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</si>
  <si>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</si>
  <si>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</si>
  <si>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milk</t>
  </si>
  <si>
    <t>Antibiotics use indicator/kg</t>
  </si>
  <si>
    <t>02211</t>
  </si>
  <si>
    <t>Raw milk of cattle</t>
  </si>
  <si>
    <t>Dairy</t>
  </si>
  <si>
    <t>GHG emissions (per kg of milk)</t>
  </si>
  <si>
    <t>Control</t>
  </si>
  <si>
    <t>Dairy cows</t>
  </si>
  <si>
    <t>Total feed, excl LUC</t>
  </si>
  <si>
    <t>Feed mix emissions, kg CO2E per kg feed, excl. adjustement manure</t>
  </si>
  <si>
    <t>Footprints (per kg of meat)</t>
  </si>
  <si>
    <t>Animal welfare index per kg of bonefree meat</t>
  </si>
  <si>
    <t>Beef meat from dairy cows</t>
  </si>
  <si>
    <t>Meat</t>
  </si>
  <si>
    <t>GHG emissions (per kg of meat)</t>
  </si>
  <si>
    <t>Footprints (per calf)</t>
  </si>
  <si>
    <t xml:space="preserve">** All animal welfare and antibiotics impacts allocated to the milk </t>
  </si>
  <si>
    <t>Animal welfare**</t>
  </si>
  <si>
    <t>Use of antibiotics**</t>
  </si>
  <si>
    <t>Animal welfare index per calf</t>
  </si>
  <si>
    <t>Antibiotics use indicator per calf</t>
  </si>
  <si>
    <t>Footprints (per kg of offal)</t>
  </si>
  <si>
    <t>Animal welfare index per kg of offal</t>
  </si>
  <si>
    <t>Antibiotics use indicator per kg of offal</t>
  </si>
  <si>
    <t>21151_dc</t>
  </si>
  <si>
    <t>Edible offal of cattle, fresh, chilled or frozen, dairy cows</t>
  </si>
  <si>
    <t>Offal</t>
  </si>
  <si>
    <t>GHG emissions (per kg of offal)</t>
  </si>
  <si>
    <t>Footprints (per kg of tallow)</t>
  </si>
  <si>
    <t>Animal welfare index per kg of tallow</t>
  </si>
  <si>
    <t>Antibiotics use indicator per kg of tallow</t>
  </si>
  <si>
    <t>21523_dc</t>
  </si>
  <si>
    <t>Tallow, dairy cows</t>
  </si>
  <si>
    <t>Tallow</t>
  </si>
  <si>
    <t>GHG emissions (per kg of tallow)</t>
  </si>
  <si>
    <t>Footprints (absolute, per animal system per year - undivided, unallocated; L:R only - F:J and T:U are not applicable here)</t>
  </si>
  <si>
    <t>**Values inserted directly here, no formula in this excel sheet</t>
  </si>
  <si>
    <t xml:space="preserve">NOTE! Per kg milk </t>
  </si>
  <si>
    <t>Dairy production</t>
  </si>
  <si>
    <t>Approx Ireland, only used for meat</t>
  </si>
  <si>
    <t>GHG emissions (absolute, per animal system per year - undivided, unallocated)</t>
  </si>
  <si>
    <t>Dairy and dairy products</t>
  </si>
  <si>
    <t>Production system</t>
  </si>
  <si>
    <t>Animals in production per year (no)</t>
  </si>
  <si>
    <t>Number of dairy cows (any number can be used here)</t>
  </si>
  <si>
    <t>Recruitment heifers</t>
  </si>
  <si>
    <t>Number of dairy cows * recruitment rate*2, times 2 because heifers are approx. 24 month when they go into production</t>
  </si>
  <si>
    <t>Calves for sales born</t>
  </si>
  <si>
    <t>Number of dairy cows * fertility rate - recruitment heifers/2</t>
  </si>
  <si>
    <t>Milk produced per year (kg ECM)</t>
  </si>
  <si>
    <t>Number of dairy cows * milk yield</t>
  </si>
  <si>
    <t>Animals slaughtered per year (no)</t>
  </si>
  <si>
    <t xml:space="preserve">Number of dairy cows culled (ie replaced by recruitment heifers) * mortality dairy cows </t>
  </si>
  <si>
    <t>Calves for sales per year (no)</t>
  </si>
  <si>
    <t>Number of calves * mortality calves</t>
  </si>
  <si>
    <t>Meat produced (kg CW)</t>
  </si>
  <si>
    <t>Number of slaughered dairy cows * slaughtering weight dairy cows</t>
  </si>
  <si>
    <t>Meat produced (kg bonefree)</t>
  </si>
  <si>
    <t>Offal produced (kg edible)</t>
  </si>
  <si>
    <t>Tallow produced (kg edible)</t>
  </si>
  <si>
    <t>Meat and offal produced (kg bonefree)</t>
  </si>
  <si>
    <t>Production parameters and emission factors, country specific</t>
  </si>
  <si>
    <t>Table 4 in SBA (2022)</t>
  </si>
  <si>
    <t>Production parameters</t>
  </si>
  <si>
    <t xml:space="preserve">Sources: </t>
  </si>
  <si>
    <t>Sources Denmark:</t>
  </si>
  <si>
    <t>kg/animal</t>
  </si>
  <si>
    <t>% to food</t>
  </si>
  <si>
    <t>kg to food</t>
  </si>
  <si>
    <t>Milk yield, kg ECM (kg / cow / year)</t>
  </si>
  <si>
    <t>Eurostat 2026, average 2020-2024. yearly cow milk production: Apro_MK_Farm ( dairy raw cow milk on farm), bovine population: APRO_MT_LSCATL (dairy cow), see Excel-sheet in folder Dairy</t>
  </si>
  <si>
    <t>L&amp;F Dairy Farming in Denmark. 2024, https://umbraco-netcore.vikingdanmark.dk/media/lycdtmy5/dairy-farming-in-denmark-and-how-to-ensure-the-best-conditions-for-dairy-farmers.pdf</t>
  </si>
  <si>
    <t>Blod</t>
  </si>
  <si>
    <t>Recruitment rate, %</t>
  </si>
  <si>
    <t xml:space="preserve"> </t>
  </si>
  <si>
    <t>Växa 2024, Cattle statistics</t>
  </si>
  <si>
    <t>Denmark, Mogensen et al. 2015: https://dcapub.au.dk/djfpdf/DCArapport061.pdf</t>
  </si>
  <si>
    <t>Tunga</t>
  </si>
  <si>
    <t>Fertility rate, %</t>
  </si>
  <si>
    <t>Ahlgren et al. 2022, Tabell U</t>
  </si>
  <si>
    <t>Kind</t>
  </si>
  <si>
    <t>Calf weight at weaning, kg liveweight per animal</t>
  </si>
  <si>
    <t>Meat yield, kg bonefree meat per CW</t>
  </si>
  <si>
    <t>Clune et al. 2017, Table 1</t>
  </si>
  <si>
    <t>Bräss</t>
  </si>
  <si>
    <t>Meat yield, kg CW per cow</t>
  </si>
  <si>
    <t>Country specific from NIR-reports, live weight to carcass weight 45%, see Excel-sheet in folder Cattle data</t>
  </si>
  <si>
    <t>Lungor</t>
  </si>
  <si>
    <t>Offal yield, kg edible per animal</t>
  </si>
  <si>
    <t>SBA. 2022. Table 4, see table to the right ---&gt;</t>
  </si>
  <si>
    <t>Hjärta</t>
  </si>
  <si>
    <t>Tallow yield, kg per animal</t>
  </si>
  <si>
    <t xml:space="preserve">Mortality cows, % </t>
  </si>
  <si>
    <t>Lever</t>
  </si>
  <si>
    <t>Mortality calves, % of born</t>
  </si>
  <si>
    <t>Njure</t>
  </si>
  <si>
    <t>Njurtapp</t>
  </si>
  <si>
    <t>Share of feed ingredients for dairy cows (% based on DM)</t>
  </si>
  <si>
    <t>Talg</t>
  </si>
  <si>
    <t>Not included</t>
  </si>
  <si>
    <t>Pasture</t>
  </si>
  <si>
    <t>CAPRI-data from Karlsson et al for dairy cows</t>
  </si>
  <si>
    <t>Mogensen et al. 2015</t>
  </si>
  <si>
    <t>Blad- &amp; löpmage</t>
  </si>
  <si>
    <t>Maize (fodder)</t>
  </si>
  <si>
    <t>For Sweden, adjusted as dairy cows graze  entirely on cropland</t>
  </si>
  <si>
    <t>Penis</t>
  </si>
  <si>
    <t>Other forage crops (including ley)</t>
  </si>
  <si>
    <t>Based on Cederberg &amp; Henriksson 2020, https://research.chalmers.se/publication/517805/file/517805_Fulltext.pdf</t>
  </si>
  <si>
    <t>Oxsvans</t>
  </si>
  <si>
    <t>Barley, average</t>
  </si>
  <si>
    <t>Gångben</t>
  </si>
  <si>
    <t>Maize (corn)</t>
  </si>
  <si>
    <t>Mellangärde</t>
  </si>
  <si>
    <t>Oats</t>
  </si>
  <si>
    <t>Summa:</t>
  </si>
  <si>
    <t>Rye</t>
  </si>
  <si>
    <t>Wheat, average</t>
  </si>
  <si>
    <t>Peas, dry</t>
  </si>
  <si>
    <t>Broad beans and horse beans, dry</t>
  </si>
  <si>
    <t>Rape seed cake</t>
  </si>
  <si>
    <t>Soy cake</t>
  </si>
  <si>
    <t>By-products</t>
  </si>
  <si>
    <t>Arla, 2% biprodukter istället för CAPRI 8%, flyttade till vallfoder, https://www.arla.se/4a9c19/globalassets/om-arla/hallbarhet/klimatberakningar/climate-check-report-2022.pdf</t>
  </si>
  <si>
    <t>Other</t>
  </si>
  <si>
    <t>From Cederberg et al (2009):</t>
  </si>
  <si>
    <t>Share forage crops</t>
  </si>
  <si>
    <t>Arla, 70% grovfoder</t>
  </si>
  <si>
    <t>Share of feed ingredients for heifers (% based on DM)</t>
  </si>
  <si>
    <t>CAPRI-data from Karlsson et al for Other cattle</t>
  </si>
  <si>
    <t>For Sweden, heifers graze 30% on pastures (assuming here all this is semi-natural pastures), rest on cropland</t>
  </si>
  <si>
    <t>Approx one third of forage is from pasture (Ahlgren et al 2022, tabell 12)</t>
  </si>
  <si>
    <t>And then 30% of that is semi-natural pastures</t>
  </si>
  <si>
    <t>83% forage (from CAPRI) gives, 83*1/3*0.3=8 semi-nautral pastures</t>
  </si>
  <si>
    <t>So adjusted pasture and other forage crops</t>
  </si>
  <si>
    <t>Feed requirement</t>
  </si>
  <si>
    <t>Source:</t>
  </si>
  <si>
    <t>Cows, kg DM per year</t>
  </si>
  <si>
    <t>Calculated based on feed efficiency, row 53</t>
  </si>
  <si>
    <t>Including losses in a gross way based on Ahlgren et al, we set overall losses to 10% as a lot is ley/grass</t>
  </si>
  <si>
    <t>Recruitment heifers, kg DM per animal per year</t>
  </si>
  <si>
    <t>Moberg et al (2019) for SE</t>
  </si>
  <si>
    <t>Used data from Moberg et al for all countries except Denmark</t>
  </si>
  <si>
    <t>Feed efficiency, kg milk per kg feed</t>
  </si>
  <si>
    <t>Calculated based on IPCC methodology, see Excel in folder Cattle data</t>
  </si>
  <si>
    <t>(1.4 according to IPCC calc)</t>
  </si>
  <si>
    <t>Sources for all Danish data see: Input data Denmark crops and livestock. xslx</t>
  </si>
  <si>
    <t>Methane enteric fermentation, kg CH4 per dairy cow and year</t>
  </si>
  <si>
    <t>Calculated based on IPCC methodology, see Excel in folder Dairy</t>
  </si>
  <si>
    <t>Methane enteric fermentation, kg CH4 per heifer and year</t>
  </si>
  <si>
    <t xml:space="preserve">Energy use in stables </t>
  </si>
  <si>
    <t>Electricity use, kWh per kg milk</t>
  </si>
  <si>
    <t>SE: Cederberg et al (2009), DK: Morgensen et al (2015), rest from Paris et al. 2022 with approximations for missing countries</t>
  </si>
  <si>
    <t>Energy use at slaughter</t>
  </si>
  <si>
    <t>Electricity, kWh/kg CW</t>
  </si>
  <si>
    <t xml:space="preserve">Karlis et al. 2024 </t>
  </si>
  <si>
    <t>Heat, kWh/kg CW</t>
  </si>
  <si>
    <t>Emission factors electricity</t>
  </si>
  <si>
    <t>Electricity, kg CO2e/kWh</t>
  </si>
  <si>
    <t>ecoinvent; market for electricity, low voltage</t>
  </si>
  <si>
    <t>Electricity, kg CO2/kWh</t>
  </si>
  <si>
    <t>Electricity, kg CH4/kWh</t>
  </si>
  <si>
    <t>Electricity, kg N2O/kWh</t>
  </si>
  <si>
    <t>Emission from the production of mineral fertilisers (kg)</t>
  </si>
  <si>
    <t>Production of mineral fertiliser, kg CO2/kg N</t>
  </si>
  <si>
    <t>From EF N Fertiliser.xlsx</t>
  </si>
  <si>
    <t>Production of mineral fertiliser, kg CH4/kg N</t>
  </si>
  <si>
    <t>Production of mineral fertiliser, kg N2O/kg N</t>
  </si>
  <si>
    <t>Emission factors N2O from soil</t>
  </si>
  <si>
    <t>Direct emissions from mineral fertiliser</t>
  </si>
  <si>
    <t>From Emission factors.xslx</t>
  </si>
  <si>
    <t>Direct emissions from manure and crop residues</t>
  </si>
  <si>
    <t>Difference in emission factor min. fert - manure</t>
  </si>
  <si>
    <t>Indirect emissions, share of direct emissions</t>
  </si>
  <si>
    <t>Manure replacement factor</t>
  </si>
  <si>
    <t>For grass eaters we do not adjust manure because the N in fertilisers on forage crops in our calculations here is only mineral fertiliser, so the manure produced does not replace any mineral fertiliser</t>
  </si>
  <si>
    <t>Water use</t>
  </si>
  <si>
    <t>Water use for drinking in stables, dairy cows, liter per animal per day</t>
  </si>
  <si>
    <t>From Water requirement per species.xlsx</t>
  </si>
  <si>
    <t>Service water in stables, dairy cows, liter per animal per day</t>
  </si>
  <si>
    <t>Water use for drinking in stables, replacement heifers, liter per animal per day</t>
  </si>
  <si>
    <t>Service water in stables, replacement heifers, liter per animal per day</t>
  </si>
  <si>
    <t>Allocation factors</t>
  </si>
  <si>
    <t>IDF (2022) p. 44</t>
  </si>
  <si>
    <t>Allocation factor milk</t>
  </si>
  <si>
    <t>Allocation factor meat culled dairy cows</t>
  </si>
  <si>
    <t>Allocation factor meat calves</t>
  </si>
  <si>
    <t>Allocation factor meat</t>
  </si>
  <si>
    <t>Allocation factor offal</t>
  </si>
  <si>
    <t>Allocation factor tallow</t>
  </si>
  <si>
    <t>Manure emissions</t>
  </si>
  <si>
    <t>Sources:</t>
  </si>
  <si>
    <t>Cows</t>
  </si>
  <si>
    <t>Heifers</t>
  </si>
  <si>
    <t>Share solid</t>
  </si>
  <si>
    <t>(Cow = Dairy Cow, Heifer = Non-dairy Cattle in CRF tables)</t>
  </si>
  <si>
    <t>CRF 2023, Table 3B(a)s2 Allocation.  Only shares for liquid, solid, pasture and other (deep litter) were considered and adjusted to 100%</t>
  </si>
  <si>
    <t>Share liquid</t>
  </si>
  <si>
    <t>Share deep litter</t>
  </si>
  <si>
    <t>Share pasture</t>
  </si>
  <si>
    <t>METHANE EMISSIONS</t>
  </si>
  <si>
    <t>Emission factors methane emissions</t>
  </si>
  <si>
    <t>MCF solid manure</t>
  </si>
  <si>
    <t>NIR 2023, Annex 3D Chapter 3D-1. Table 15</t>
  </si>
  <si>
    <t>CRF 2023, Table 3B(a)s2 MCF.   Only shares for liquid, solid, pasture and other (deep litter) were considered and adjusted to 100%. Weighted average between cool / temperate per type of manure</t>
  </si>
  <si>
    <t>MCF liquid manure</t>
  </si>
  <si>
    <t xml:space="preserve">  </t>
  </si>
  <si>
    <t>MCF deep litter cows</t>
  </si>
  <si>
    <t>MCF deep litter heifers</t>
  </si>
  <si>
    <t>approx germany</t>
  </si>
  <si>
    <t>MCF pasture</t>
  </si>
  <si>
    <t>Volatile solids (VS), fraction of manure</t>
  </si>
  <si>
    <t>NIR 2023, p. 427</t>
  </si>
  <si>
    <t>approx sweden</t>
  </si>
  <si>
    <t>NIR 2022, Table 5.18</t>
  </si>
  <si>
    <t>Bo, m3 CH4/kg VS</t>
  </si>
  <si>
    <t>NIR 2023, Table 5.11</t>
  </si>
  <si>
    <t xml:space="preserve">CRF 2023, Table 3B(a)s1 </t>
  </si>
  <si>
    <t>Manure production, kg DM VS per day</t>
  </si>
  <si>
    <t>NIR 2023, Annex 3D Chapter 3D-1</t>
  </si>
  <si>
    <t>CRF 2023, Table 3B(a)s1 . White swine</t>
  </si>
  <si>
    <t>Total amount of DM VS produced, kg per year</t>
  </si>
  <si>
    <t>Solid</t>
  </si>
  <si>
    <t>Liquid</t>
  </si>
  <si>
    <t xml:space="preserve">Deep litter </t>
  </si>
  <si>
    <t>Methane emissions, kg CH4 per year</t>
  </si>
  <si>
    <t>Deep litter</t>
  </si>
  <si>
    <t>Total</t>
  </si>
  <si>
    <t>NITROGEN  EMISSIONS</t>
  </si>
  <si>
    <t>N excreted per animal</t>
  </si>
  <si>
    <t>N excreted, kg per head per year</t>
  </si>
  <si>
    <t>National CRF reports, 2023</t>
  </si>
  <si>
    <t>Proportion of TAN</t>
  </si>
  <si>
    <t>EMEP/EEA 2019. Table 3.9</t>
  </si>
  <si>
    <t>N excreted in different systems, kg per year</t>
  </si>
  <si>
    <t>TAN excreted in different systems, kg per year, m_house, TAN</t>
  </si>
  <si>
    <t>Emissions from housing, kg NH3-N per year, E_house</t>
  </si>
  <si>
    <t>Step 6</t>
  </si>
  <si>
    <t xml:space="preserve">Using EF for solid manure </t>
  </si>
  <si>
    <t>Per kg meat&amp;offal</t>
  </si>
  <si>
    <t>EF NH3-N housing solid</t>
  </si>
  <si>
    <t>EMEP/EEA 2019. Table 3.9, dairy cattle and non-dairy cattle</t>
  </si>
  <si>
    <t>EF NH3-N housing slurry</t>
  </si>
  <si>
    <t>Add bedding</t>
  </si>
  <si>
    <t>Step 7</t>
  </si>
  <si>
    <t>Remaining TAN after housing losses, kg per year, m_storage, TAN</t>
  </si>
  <si>
    <t>Modified TAN to account for org N mineralisation (only applies to liquid)</t>
  </si>
  <si>
    <t>Step 9</t>
  </si>
  <si>
    <t>f min</t>
  </si>
  <si>
    <t>EMEP/EEA 2019, just below equ. 32</t>
  </si>
  <si>
    <t>Emission of NH3-N from storage, kg per year, E_storage_ammonia</t>
  </si>
  <si>
    <t>Step 10</t>
  </si>
  <si>
    <t>Step 10 is emissions of NH3-N, N2O-N, NO-N and N2 but here they are split</t>
  </si>
  <si>
    <t>EF NH3-N storage solid</t>
  </si>
  <si>
    <t>EF NH3-N storage slurry</t>
  </si>
  <si>
    <t>Emission of N2O-N from storage, kg per year, E_storage_N2O</t>
  </si>
  <si>
    <t>EF N2O-N storage solid</t>
  </si>
  <si>
    <t>EMEP/EEA 2019. Table 3.8, Pig manure heaps, solid</t>
  </si>
  <si>
    <t>Här verkar alla använda litet olika och det slår ganska mycket</t>
  </si>
  <si>
    <t>EF N2O-N storage slurry</t>
  </si>
  <si>
    <t>EMEP/EEA 2019. Table 3.8, Cattle slurry with natural crust</t>
  </si>
  <si>
    <t>Emission of NO and N2 from storage, kg per year, E_storage_NO and N2</t>
  </si>
  <si>
    <t>EF NO storage solid</t>
  </si>
  <si>
    <t>EMEP/EEA 2019. Table 3.10</t>
  </si>
  <si>
    <t>EF NO storage slurry</t>
  </si>
  <si>
    <t>EF N2 storage solid</t>
  </si>
  <si>
    <t>EF N2 storage slurry</t>
  </si>
  <si>
    <t>Remaining TAN after storage losses, kg per year, m_applic, TAN</t>
  </si>
  <si>
    <t>Emission of NH3-N from application, kg per year, E_application_ammonia</t>
  </si>
  <si>
    <t>Step 12</t>
  </si>
  <si>
    <t>EF NH3-N application solid</t>
  </si>
  <si>
    <t>EF NH3-N application slurry</t>
  </si>
  <si>
    <t>EF N2O volatilization</t>
  </si>
  <si>
    <t>IPCC, 2019</t>
  </si>
  <si>
    <t>Remaining TAN after application losses, kg per year, m_returned, TAN</t>
  </si>
  <si>
    <t>Step 13</t>
  </si>
  <si>
    <t>N2O from grazing missing???</t>
  </si>
  <si>
    <t>Emissions of NH3-N from grazing, kg per year, E_graz</t>
  </si>
  <si>
    <t>Step 14</t>
  </si>
  <si>
    <t>Grazing</t>
  </si>
  <si>
    <t>EF NH3-N grazing</t>
  </si>
  <si>
    <t>Total losses, kg N per year</t>
  </si>
  <si>
    <t>Fraction of applied that is lost:</t>
  </si>
  <si>
    <t>Remaining total-N after losses, kg per year</t>
  </si>
  <si>
    <t>Total returned to soils:</t>
  </si>
  <si>
    <t>Nitrous oxide emissions from spreading</t>
  </si>
  <si>
    <t>Nitrous oxide, kg N2O</t>
  </si>
  <si>
    <t xml:space="preserve">Remaining total-N </t>
  </si>
  <si>
    <t xml:space="preserve">Excreted N after losses, kg N </t>
  </si>
  <si>
    <t>Ammonia emissions</t>
  </si>
  <si>
    <t>Ammonia emissions, kg NH3</t>
  </si>
  <si>
    <t>Emissions of CO2 from feed crops (per kg of crop)</t>
  </si>
  <si>
    <t>Columns F-L copied straight from RPC filerna except for forage crops that are calculated here</t>
  </si>
  <si>
    <t xml:space="preserve">Shares from Karlsson et al. </t>
  </si>
  <si>
    <t>Crops</t>
  </si>
  <si>
    <t>Share</t>
  </si>
  <si>
    <t xml:space="preserve">Categories </t>
  </si>
  <si>
    <t>Indirect emissions</t>
  </si>
  <si>
    <t>Transports of feed</t>
  </si>
  <si>
    <t>Feed, forage</t>
  </si>
  <si>
    <t xml:space="preserve">Putting Pasture impact = Ley impact, most pastures fertilised etc. </t>
  </si>
  <si>
    <t>Other forage crops</t>
  </si>
  <si>
    <t>0115</t>
  </si>
  <si>
    <t>Cereals, incl feed</t>
  </si>
  <si>
    <t>0112</t>
  </si>
  <si>
    <t>0117</t>
  </si>
  <si>
    <t>0116</t>
  </si>
  <si>
    <t>0111</t>
  </si>
  <si>
    <t>01705</t>
  </si>
  <si>
    <t>Pulses, incl feed</t>
  </si>
  <si>
    <t>01702</t>
  </si>
  <si>
    <t>Protein feed</t>
  </si>
  <si>
    <t>Soy bean meal</t>
  </si>
  <si>
    <t>By-product</t>
  </si>
  <si>
    <t>Other, feed</t>
  </si>
  <si>
    <t>Feed, other</t>
  </si>
  <si>
    <t>Total for the feed mix, dairy cows:</t>
  </si>
  <si>
    <t>Total for the feed mix, heifers:</t>
  </si>
  <si>
    <t>Emissions of CH4 from feed crops (per kg of crop)</t>
  </si>
  <si>
    <t>approx Germany</t>
  </si>
  <si>
    <t>Emissions of N2O from feed crops (per kg of crop)</t>
  </si>
  <si>
    <t>Environmental footprints per kg of feed (kg DM for forage crops)</t>
  </si>
  <si>
    <t>N application, kg N/kg</t>
  </si>
  <si>
    <t>P application, kg P/kg</t>
  </si>
  <si>
    <t>Share of extinction rate , %</t>
  </si>
  <si>
    <t>Other forage crops (Ley)</t>
  </si>
  <si>
    <t>France, Germany, Poland</t>
  </si>
  <si>
    <t>Brazil, Argentina</t>
  </si>
  <si>
    <t>Approx wheaat for biod, rest with HU</t>
  </si>
  <si>
    <t>Emission, characterisation and allocation factors, general</t>
  </si>
  <si>
    <t>Emission factors energy carriers</t>
  </si>
  <si>
    <t>kg CO2 per kWh</t>
  </si>
  <si>
    <t>kg CH4 per kWh</t>
  </si>
  <si>
    <t>kg N2O per kWh</t>
  </si>
  <si>
    <t>Heating value, kWh/l</t>
  </si>
  <si>
    <t>Heating oil</t>
  </si>
  <si>
    <t>Gode et al 2011</t>
  </si>
  <si>
    <t>Natural gas</t>
  </si>
  <si>
    <t>Biofuels</t>
  </si>
  <si>
    <t>Gode et al 2011, average of bark and chips, pellets and briquettes</t>
  </si>
  <si>
    <t>Diesel</t>
  </si>
  <si>
    <t xml:space="preserve">Emissions from the production of capital goods </t>
  </si>
  <si>
    <t>kg CO2 per kg product</t>
  </si>
  <si>
    <t>kg CH4 per kg product</t>
  </si>
  <si>
    <t>kg N2O per kg product</t>
  </si>
  <si>
    <t>Frischknecht et al. 2007</t>
  </si>
  <si>
    <t>kg CO2 per kg N</t>
  </si>
  <si>
    <t>kg CH4 per kg N</t>
  </si>
  <si>
    <t>kg N2O per kg N</t>
  </si>
  <si>
    <t>Best Available Technology (BAT)</t>
  </si>
  <si>
    <t>BAT: Yara International (2010)</t>
  </si>
  <si>
    <t>Ammonium nitrate</t>
  </si>
  <si>
    <t>Ammonium nitrate: Ecoinvent Centre (2021). Activity name: “Ammonium nitrate production", Rest of the world, adjusted to N content in fertilizer (33.5%)</t>
  </si>
  <si>
    <t>Emissions from irrigation</t>
  </si>
  <si>
    <t>kg CO2 per m3</t>
  </si>
  <si>
    <t>kg CH4 per m3</t>
  </si>
  <si>
    <t>kg N2O per m3</t>
  </si>
  <si>
    <t>Irrigation</t>
  </si>
  <si>
    <t>ecoinvent version 3.9.1, Allocation cut-of by classification, *ecoinvent process used: "market for irrigation, FR"</t>
  </si>
  <si>
    <t>Emissions from forage handling</t>
  </si>
  <si>
    <t>kg CO2 per kg DM</t>
  </si>
  <si>
    <t>kg CH4 per kg DM</t>
  </si>
  <si>
    <t>kg N2O per kg DM</t>
  </si>
  <si>
    <t>Silaging</t>
  </si>
  <si>
    <t>ecoinvent version 3.9.1, Allocation cut-of by classification</t>
  </si>
  <si>
    <t>Characterisations factors</t>
  </si>
  <si>
    <t>Number of species in baseline</t>
  </si>
  <si>
    <t>Number of recognised species</t>
  </si>
  <si>
    <t>Ammonia emissions (Hutchings 2019)</t>
  </si>
  <si>
    <t>Nitrogen in inorganic fertilizer that volatiles*</t>
  </si>
  <si>
    <t>Conversion from N to NH3</t>
  </si>
  <si>
    <t>* Generic value for N inorganic fertilisers, Table 3.1</t>
  </si>
  <si>
    <t>Allocation factors, economic allocation, only used to divide emissions across meat, offal and tallow</t>
  </si>
  <si>
    <t>Calculated, based on prices from:</t>
  </si>
  <si>
    <t>Milk</t>
  </si>
  <si>
    <t>Eurostat, Selling prices of animal products (absolute prices) apri_ap_anouta 2018-2022 for LL countries</t>
  </si>
  <si>
    <t>European Comission, Agridata. Beef statistics, Beef prices (carcasses)</t>
  </si>
  <si>
    <t>User-specified (split out from prior combined meat+offal allocation factor)</t>
  </si>
  <si>
    <t>See file Allocation factors Milk Beef Updated.xlsx</t>
  </si>
  <si>
    <t>Check</t>
  </si>
  <si>
    <t>Forage crops, carbon footprint per kg of feed (DM)</t>
  </si>
  <si>
    <t>Cultivated in country</t>
  </si>
  <si>
    <t>Indirect emissions (10% of direct emissions)</t>
  </si>
  <si>
    <t>CH4, bio</t>
  </si>
  <si>
    <t>Maize, green for forage</t>
  </si>
  <si>
    <t>Maize</t>
  </si>
  <si>
    <t>Ley</t>
  </si>
  <si>
    <t>Lucerne</t>
  </si>
  <si>
    <t>Forage crops, footprints per kg of feed</t>
  </si>
  <si>
    <t>Pasture use, m2/kg</t>
  </si>
  <si>
    <t>Feed crop</t>
  </si>
  <si>
    <t>Forage crops, input data per hectare</t>
  </si>
  <si>
    <t>Approximated with half of ley for yield and all inputs, but for biodiversity values for pasture are used, and assuming no pesticides are used on pastures</t>
  </si>
  <si>
    <t xml:space="preserve">Yield </t>
  </si>
  <si>
    <t>Nutrient inputs</t>
  </si>
  <si>
    <t xml:space="preserve">Energy </t>
  </si>
  <si>
    <t>Crop residues</t>
  </si>
  <si>
    <t>Biodiversity, potential species loss/m2</t>
  </si>
  <si>
    <t xml:space="preserve">Crop </t>
  </si>
  <si>
    <t>Yield,
kg/ha</t>
  </si>
  <si>
    <t>N appl fertilisers,            kg N/ha</t>
  </si>
  <si>
    <t>N fixation, kg N/ha</t>
  </si>
  <si>
    <t>N crop residues, kg N/ha</t>
  </si>
  <si>
    <t>P appl,    kg P/ha</t>
  </si>
  <si>
    <t>Diesel use, l/ha</t>
  </si>
  <si>
    <t>Blue freshwater use, m3/ha</t>
  </si>
  <si>
    <t>Pesticide use,          kg a.i./ha</t>
  </si>
  <si>
    <t>Frac
removed</t>
  </si>
  <si>
    <t>N above ground</t>
  </si>
  <si>
    <t>Above ground / below ground</t>
  </si>
  <si>
    <t>Below ground/
above ground</t>
  </si>
  <si>
    <t>N below ground</t>
  </si>
  <si>
    <t>DM fraction harvested product</t>
  </si>
  <si>
    <t>Frac renew</t>
  </si>
  <si>
    <t>CF mammals</t>
  </si>
  <si>
    <t>CF              birds</t>
  </si>
  <si>
    <t>CF amphibians</t>
  </si>
  <si>
    <t>CF reptiles</t>
  </si>
  <si>
    <t>CF plants</t>
  </si>
  <si>
    <t>Labour requirements, h/ha</t>
  </si>
  <si>
    <t>Mineral N appl,            kg N/ha</t>
  </si>
  <si>
    <t>Above ground/
yield</t>
  </si>
  <si>
    <t>Above ground residues / DM</t>
  </si>
  <si>
    <t>Frac
removed, Frac Renew</t>
  </si>
  <si>
    <t>Source</t>
  </si>
  <si>
    <t>Approx with half ley for everything</t>
  </si>
  <si>
    <t>IPCC, 2019.</t>
  </si>
  <si>
    <t>Swedish NIR 2022</t>
  </si>
  <si>
    <t>Scherer et al 2024, Pasture_LightIntense for all but plants for which Pasture_Light is used</t>
  </si>
  <si>
    <t>ASK RASMUS FOR YIELD AND FERTILISER DATA</t>
  </si>
  <si>
    <t>Swedish NIR 2023</t>
  </si>
  <si>
    <t>Swedish NIR 2024</t>
  </si>
  <si>
    <t>Swedish NIR 2025</t>
  </si>
  <si>
    <t>Swedish NIR 2026</t>
  </si>
  <si>
    <t>Swedish NIR 2027</t>
  </si>
  <si>
    <t>Scherer et al 2024, Pasture_LightIntense for all but plants for which Pasture_Light is used, adjusted according to Ahlgren et al (2023), p. 21</t>
  </si>
  <si>
    <t>Swedish NIR 2028</t>
  </si>
  <si>
    <t>Swedish NIR 2029</t>
  </si>
  <si>
    <t xml:space="preserve">Pasture </t>
  </si>
  <si>
    <t>Swedish NIR 2030</t>
  </si>
  <si>
    <t>https://www.diva-portal.org/smash/get/diva2:1812068/FULLTEXT01.pdf</t>
  </si>
  <si>
    <t>Swedish NIR 2031</t>
  </si>
  <si>
    <t>Spörnly &amp; Glimskär, 2018</t>
  </si>
  <si>
    <t>Swedish NIR 2032</t>
  </si>
  <si>
    <t>Swedish NIR, 2022</t>
  </si>
  <si>
    <t>Scherer et al 2024, adjusted to semi-natural pastures based on the method by Ahlgren et al 2022</t>
  </si>
  <si>
    <t xml:space="preserve">Scherer et al </t>
  </si>
  <si>
    <t>Chaudhary</t>
  </si>
  <si>
    <t>PSL/m2</t>
  </si>
  <si>
    <t>fPBL/m2</t>
  </si>
  <si>
    <t>Here I think RISE does this wrongly, they have -25</t>
  </si>
  <si>
    <t>Land use classification</t>
  </si>
  <si>
    <t>Maize, fodder</t>
  </si>
  <si>
    <t>Einarsson et al, 2021</t>
  </si>
  <si>
    <t>Baky et al. 2010. Grönfoder</t>
  </si>
  <si>
    <t>Mekonnen &amp; Hoekstra, 2011</t>
  </si>
  <si>
    <t>Eurostat, 2023</t>
  </si>
  <si>
    <t>Scherer et al 2024, Cropland_LightIntense for all but plants for which Cropland_Intense is used</t>
  </si>
  <si>
    <t>Einarsson, Plan'Eat Fodder v1</t>
  </si>
  <si>
    <t>approx france</t>
  </si>
  <si>
    <t>PCS, 2017</t>
  </si>
  <si>
    <t>SS, 2022</t>
  </si>
  <si>
    <t>Einarsson, Plan'Eat Fodder v2</t>
  </si>
  <si>
    <t>Baky et al. 2010. Viktat medelvärde: Betes, slåtter och frövall</t>
  </si>
  <si>
    <t>approx maize</t>
  </si>
  <si>
    <t>Scherer et al 2024, Cropland_LightIntense for all but plants for which Cropland_Light is used</t>
  </si>
  <si>
    <t>PCS, 2017. Grasses</t>
  </si>
  <si>
    <t>SS, 2022. Vall och grönfoder</t>
  </si>
  <si>
    <t>Swedish NIR, 2022. Green Fodder (Other)</t>
  </si>
  <si>
    <t>Shares ley/lucerne</t>
  </si>
  <si>
    <t>Ley, ha</t>
  </si>
  <si>
    <t>Lucerne, ha</t>
  </si>
  <si>
    <t>Share ley</t>
  </si>
  <si>
    <t>Share lucerne</t>
  </si>
  <si>
    <t>Explanation of high N fixing in lucerne:</t>
  </si>
  <si>
    <t>Approx Sweden</t>
  </si>
  <si>
    <t>Off-farm feed</t>
  </si>
  <si>
    <t>Greenhouse gas emissons:</t>
  </si>
  <si>
    <t>Source LUC:</t>
  </si>
  <si>
    <t>0141</t>
  </si>
  <si>
    <t>Soya beans</t>
  </si>
  <si>
    <t>Brazil</t>
  </si>
  <si>
    <t>Pendrill et al. 2022</t>
  </si>
  <si>
    <t>Argentina</t>
  </si>
  <si>
    <t>0141_m</t>
  </si>
  <si>
    <t>Flysjö et al. 2008, Figur 6.35</t>
  </si>
  <si>
    <t>Flysjö et al. 2008, Figur 6.35, divided by GWP-factor used in report, Tabell 5.1</t>
  </si>
  <si>
    <t>Other footprints:</t>
  </si>
  <si>
    <t>Pulses</t>
  </si>
  <si>
    <t>BR</t>
  </si>
  <si>
    <t>Copied from RPC-file</t>
  </si>
  <si>
    <t>AR</t>
  </si>
  <si>
    <t>Remember to divide biodiversity by 100 when updating! Or use merged_data in the R-script</t>
  </si>
  <si>
    <t>Feed</t>
  </si>
  <si>
    <t>Parameters for soy</t>
  </si>
  <si>
    <t>Soy meal in 1 kg soy bean</t>
  </si>
  <si>
    <t>Flysjö et al. 2008, Tabell 4.24</t>
  </si>
  <si>
    <t>Economic allocation factor meal</t>
  </si>
  <si>
    <t>Energy use processing:</t>
  </si>
  <si>
    <t>Electricity</t>
  </si>
  <si>
    <t>MJ per kg soy beans processed</t>
  </si>
  <si>
    <t>Flysjö et al. 2008</t>
  </si>
  <si>
    <t>Biomass</t>
  </si>
  <si>
    <t>Assuming half of soy from Brazil and the other half from Argentina.</t>
  </si>
  <si>
    <t xml:space="preserve">https://www.fediol.eu/data/Where%20does%20soy%20come%20from.pdf </t>
  </si>
  <si>
    <t>Rape seed meal</t>
  </si>
  <si>
    <t>01443</t>
  </si>
  <si>
    <t>Rape or colza seed, average</t>
  </si>
  <si>
    <t>01443_m</t>
  </si>
  <si>
    <t>Flysjö et al. 2008, Figur 6.37</t>
  </si>
  <si>
    <t>Flysjö et al. 2008, Figur 6.37, divided by GWP-factor used in report, Tabell 5.1</t>
  </si>
  <si>
    <t>Parameters for rape seed</t>
  </si>
  <si>
    <t>Rape meal in 1 kg rape seed</t>
  </si>
  <si>
    <t>pl</t>
  </si>
  <si>
    <t>fr</t>
  </si>
  <si>
    <t>gee</t>
  </si>
  <si>
    <t>Flysjö et al. 2008, using the same as for soy because ratio between electricity and gas/biofuels not stated</t>
  </si>
  <si>
    <t>Using the three largest rapeseed countries and taking an average of these.</t>
  </si>
  <si>
    <t>https://projects.luke.fi/ruokafakta/en/field-crops/rapeseed-production-volumes/#:~:text=The%20largest%20producers%20are%20France,Germany%2C%20with%203.7%20billion%20kilos.</t>
  </si>
  <si>
    <t xml:space="preserve">Mycket att göra klart här - har bara approximerat grovt med Emmas data etc. Behöver kollas om det finns skördestatistik i Eurostat etc. </t>
  </si>
  <si>
    <t>Maize (forage)</t>
  </si>
  <si>
    <t>Any</t>
  </si>
  <si>
    <t>Fyll i för de andra länderna och kolla formeln - blev det rätt m2 och ha?</t>
  </si>
  <si>
    <t>Parameters for maize (forage)</t>
  </si>
  <si>
    <t>Yield, maize (forage), kg/ha</t>
  </si>
  <si>
    <t>approx.</t>
  </si>
  <si>
    <t>Emmas data</t>
  </si>
  <si>
    <t>Mineral N application, kg/ha</t>
  </si>
  <si>
    <t>MJ per kg processed</t>
  </si>
  <si>
    <t>Other forage feed (grass-clover leys)</t>
  </si>
  <si>
    <t>Other forage feed</t>
  </si>
  <si>
    <t>Parameters for other forage crops (forage)</t>
  </si>
  <si>
    <t>Verification</t>
  </si>
  <si>
    <t>From Moberg et al (2019)</t>
  </si>
  <si>
    <t>Forage, kg TS</t>
  </si>
  <si>
    <t>Pasture, kg TS</t>
  </si>
  <si>
    <t xml:space="preserve">Grains, kg </t>
  </si>
  <si>
    <t>Protein concentrate, kg</t>
  </si>
  <si>
    <t>Sum:</t>
  </si>
  <si>
    <t>Sweden: Based on Cederberg et al. (2009a) and updated and adjusted to slaughter age, slaughter weight and grazing period of animals with input from Danielsson, R., pers. comm. (2018), Hessle, A., pers. comm. (2018) and Lindberg, H., pers. comm. (2018)</t>
  </si>
  <si>
    <t>Replacement heifers</t>
  </si>
  <si>
    <t xml:space="preserve">*Cows are assessed per year, others per head for whole lifetime. </t>
  </si>
  <si>
    <t>Heifer per year</t>
  </si>
  <si>
    <t>Milk yield</t>
  </si>
  <si>
    <t>kg per cow per year</t>
  </si>
  <si>
    <t>References</t>
  </si>
  <si>
    <t>Ahlgren et al. 2022. Miljöpåverkan svensk nöt- och lammköttsproduktion. https://www.diva-portal.org/smash/get/diva2:1718732/FULLTEXT01.pdf</t>
  </si>
  <si>
    <t>Bava et al. 2017. Environmental impact of the typical heavy pig production in Italy. https://doi.org/10.1016/j.jclepro.2015.11.029</t>
  </si>
  <si>
    <t xml:space="preserve">Gård&amp;Djurhälsan. 2022. Internationella rapporten 2022. https://www.gardochdjurhalsan.se/wp-content/uploads/2022/12/internationella-rapporten-2022.pdf </t>
  </si>
  <si>
    <t xml:space="preserve">IDF. 2022. The IDF global Carbon Footprint standard for the dairy sector. https://shop.fil-idf.org/products/the-idf-global-carbon-footprint-standard-for-the-dairy-sector </t>
  </si>
  <si>
    <t>Karlis, P., Presicce, F., Giner Santonja, G., Brinkmann, T. and Roudier, S. (2024) Best Available Techniques (BAT) Reference Document for the Slaughterhouses, Animal By-products and/or Edible Co-products Industries, Publications Office of the European Union, Luxembourg, 2024, doi:10.2760/18199, JRC135916</t>
  </si>
  <si>
    <t xml:space="preserve">Landquist et al. 2020. Uppdaterad och utökad livscykelanalys av svensk grisproduktion. RISE Rapport 2020:59. https://www.diva-portal.org/smash/get/diva2:1516404/FULLTEXT03.pdf </t>
  </si>
  <si>
    <t>Morgensen et al. 2015. Environmental impact of beef. https://dcapub.au.dk/djfpdf/DCArapport061.pdf</t>
  </si>
  <si>
    <t>Paris et al. 2022. Energy use in the EU livestock sector: A review recommending energy efficiency measures and renewable energy sources adoption. Applied Sciences, 12(4), 2142. https://doi.org/10.3390/app12042142</t>
  </si>
  <si>
    <t>SBA. 2022. Livsmedelsförluster vid slakt av grisar och nötkreatur. https://www2.jordbruksverket.se/download/18.21f254fa1841746110e74b0d/1666948431839/ra22_18v5.pdf</t>
  </si>
  <si>
    <t>Växa. 2023. Cattle statistics 2024. https://vxa.qbank.se/mb/?h=c7a1d64e698d8df91094699ba3ffd110&amp;p=dccda36951e6721097a93eae5c593859&amp;display=feature&amp;s=name&amp;d=desc</t>
  </si>
  <si>
    <t>Zira S et al. 2023. Environmental consequences of pig production scenarios using biomass from rotational grass-clover leys as feed. https://doi.org/10.1016/j.eti.2023.103068</t>
  </si>
  <si>
    <t>Calf</t>
  </si>
  <si>
    <t>Red meat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</si>
</sst>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E+00"/>
    <numFmt numFmtId="165" formatCode="0.000"/>
    <numFmt numFmtId="166" formatCode="0.000E+00"/>
    <numFmt numFmtId="167" formatCode="0.0000"/>
    <numFmt numFmtId="168" formatCode="0.0"/>
    <numFmt numFmtId="169" formatCode="0.000000000"/>
    <numFmt numFmtId="170" formatCode="0.00000"/>
    <numFmt numFmtId="171" formatCode="#,##0.0"/>
    <numFmt numFmtId="172" formatCode="0E+00"/>
    <numFmt numFmtId="173" formatCode="0.0000000000"/>
    <numFmt numFmtId="174" formatCode="0.000000"/>
  </numFmts>
  <fonts count="53" x14ac:knownFonts="1">
    <font>
      <sz val="11"/>
      <color theme="1"/>
      <name val="Calibri"/>
      <family val="2"/>
      <charset val="1"/>
    </font>
    <font>
      <sz val="11"/>
      <color rgb="FF000000"/>
      <name val="Calibri"/>
      <family val="2"/>
      <charset val="1"/>
    </font>
    <font>
      <sz val="11"/>
      <color rgb="FF000000"/>
      <name val="Calibri"/>
      <family val="2"/>
      <charset val="186"/>
    </font>
    <font>
      <sz val="10"/>
      <name val="Arial"/>
      <family val="2"/>
      <charset val="1"/>
    </font>
    <font>
      <sz val="9"/>
      <name val="Times New Roman"/>
      <family val="1"/>
      <charset val="1"/>
    </font>
    <font>
      <sz val="11"/>
      <color theme="0"/>
      <name val="Calibri"/>
      <family val="2"/>
      <charset val="1"/>
    </font>
    <font>
      <sz val="11"/>
      <color rgb="FFFFFFFF"/>
      <name val="Calibri"/>
      <family val="2"/>
      <charset val="1"/>
    </font>
    <font>
      <sz val="11"/>
      <color rgb="FFFFFFFF"/>
      <name val="Calibri"/>
      <family val="2"/>
      <charset val="186"/>
    </font>
    <font>
      <u/>
      <sz val="10"/>
      <color rgb="FF0000FF"/>
      <name val="Times New Roman"/>
      <family val="1"/>
      <charset val="1"/>
    </font>
    <font>
      <b/>
      <sz val="9"/>
      <name val="Times New Roman"/>
      <family val="1"/>
      <charset val="1"/>
    </font>
    <font>
      <sz val="9"/>
      <color rgb="FF000000"/>
      <name val="Times New Roman"/>
      <family val="1"/>
      <charset val="1"/>
    </font>
    <font>
      <sz val="16"/>
      <color theme="1"/>
      <name val="Calibri"/>
      <family val="2"/>
      <charset val="1"/>
    </font>
    <font>
      <sz val="11"/>
      <color rgb="FFFF0000"/>
      <name val="Calibri"/>
      <family val="2"/>
      <charset val="1"/>
    </font>
    <font>
      <u/>
      <sz val="11"/>
      <color theme="10"/>
      <name val="Calibri"/>
      <family val="2"/>
      <charset val="1"/>
    </font>
    <font>
      <b/>
      <sz val="11"/>
      <color theme="1"/>
      <name val="Calibri"/>
      <family val="2"/>
      <charset val="1"/>
    </font>
    <font>
      <sz val="11"/>
      <name val="Calibri"/>
      <family val="2"/>
      <charset val="1"/>
    </font>
    <font>
      <i/>
      <sz val="11"/>
      <color theme="1"/>
      <name val="Calibri"/>
      <family val="2"/>
      <charset val="1"/>
    </font>
    <font>
      <b/>
      <sz val="13"/>
      <color theme="1"/>
      <name val="Calibri"/>
      <family val="2"/>
      <charset val="1"/>
    </font>
    <font>
      <b/>
      <i/>
      <sz val="11"/>
      <color theme="1"/>
      <name val="Calibri"/>
      <family val="2"/>
      <charset val="1"/>
    </font>
    <font>
      <sz val="10"/>
      <color theme="1"/>
      <name val="Calibri"/>
      <family val="2"/>
      <charset val="1"/>
    </font>
    <font>
      <sz val="11"/>
      <color theme="1" tint="0.49977111117893003"/>
      <name val="Calibri"/>
      <family val="2"/>
      <charset val="1"/>
    </font>
    <font>
      <b/>
      <sz val="11"/>
      <color theme="0"/>
      <name val="Calibri"/>
      <family val="2"/>
      <charset val="1"/>
    </font>
    <font>
      <b/>
      <sz val="11"/>
      <color theme="1" tint="0.49977111117893003"/>
      <name val="Calibri"/>
      <family val="2"/>
      <charset val="1"/>
    </font>
    <font>
      <sz val="11"/>
      <color theme="5" tint="-0.249977111117893"/>
      <name val="Calibri"/>
      <family val="2"/>
      <charset val="1"/>
    </font>
    <font>
      <sz val="14"/>
      <color theme="1"/>
      <name val="Calibri"/>
      <family val="2"/>
      <charset val="1"/>
    </font>
    <font>
      <sz val="10"/>
      <name val="Calibri"/>
      <family val="2"/>
      <charset val="1"/>
    </font>
    <font>
      <b/>
      <sz val="10"/>
      <color theme="1"/>
      <name val="Calibri"/>
      <family val="2"/>
      <charset val="1"/>
    </font>
    <font>
      <b/>
      <sz val="11"/>
      <color theme="5"/>
      <name val="Calibri"/>
      <family val="2"/>
      <charset val="1"/>
    </font>
    <font>
      <sz val="11"/>
      <color theme="4" tint="-0.249977111117893"/>
      <name val="Calibri"/>
      <family val="2"/>
      <charset val="1"/>
    </font>
    <font>
      <u/>
      <sz val="10"/>
      <color theme="10"/>
      <name val="Calibri"/>
      <family val="2"/>
      <charset val="1"/>
    </font>
    <font>
      <sz val="9"/>
      <color theme="1"/>
      <name val="Calibri"/>
      <family val="2"/>
      <charset val="1"/>
    </font>
    <font>
      <i/>
      <sz val="11"/>
      <name val="Calibri"/>
      <family val="2"/>
      <charset val="1"/>
    </font>
    <font>
      <sz val="11"/>
      <color theme="5"/>
      <name val="Calibri"/>
      <family val="2"/>
      <charset val="1"/>
    </font>
    <font>
      <sz val="11"/>
      <color theme="4"/>
      <name val="Calibri"/>
      <family val="2"/>
      <charset val="1"/>
    </font>
    <font>
      <sz val="10"/>
      <color rgb="FF000000"/>
      <name val="Calibri"/>
      <family val="2"/>
      <charset val="1"/>
    </font>
    <font>
      <sz val="11"/>
      <color theme="8"/>
      <name val="Calibri"/>
      <family val="2"/>
      <charset val="1"/>
    </font>
    <font>
      <i/>
      <sz val="11"/>
      <color rgb="FFFF0000"/>
      <name val="Calibri"/>
      <family val="2"/>
      <charset val="1"/>
    </font>
    <font>
      <b/>
      <sz val="11"/>
      <color rgb="FFFF0000"/>
      <name val="Calibri"/>
      <family val="2"/>
      <charset val="1"/>
    </font>
    <font>
      <b/>
      <sz val="10"/>
      <name val="Calibri"/>
      <family val="2"/>
      <charset val="1"/>
    </font>
    <font>
      <b/>
      <i/>
      <sz val="11"/>
      <name val="Calibri"/>
      <family val="2"/>
      <charset val="1"/>
    </font>
    <font>
      <b/>
      <sz val="11"/>
      <name val="Calibri"/>
      <family val="2"/>
      <charset val="1"/>
    </font>
    <font>
      <i/>
      <sz val="10"/>
      <color theme="1"/>
      <name val="Calibri"/>
      <family val="2"/>
      <charset val="1"/>
    </font>
    <font>
      <sz val="11"/>
      <color theme="4" tint="-0.499984740745262"/>
      <name val="Calibri"/>
      <family val="2"/>
      <charset val="1"/>
    </font>
    <font>
      <sz val="11"/>
      <color theme="8" tint="-0.249977111117893"/>
      <name val="Calibri"/>
      <family val="2"/>
      <charset val="1"/>
    </font>
    <font>
      <sz val="12"/>
      <color theme="1"/>
      <name val="Calibri"/>
      <family val="2"/>
      <charset val="1"/>
    </font>
    <font>
      <i/>
      <sz val="11"/>
      <color theme="0" tint="-0.499984740745262"/>
      <name val="Calibri"/>
      <family val="2"/>
      <charset val="1"/>
    </font>
    <font>
      <sz val="11"/>
      <color theme="0" tint="-0.499984740745262"/>
      <name val="Calibri"/>
      <family val="2"/>
      <charset val="1"/>
    </font>
    <font>
      <sz val="11"/>
      <color theme="9" tint="-0.249977111117893"/>
      <name val="Calibri"/>
      <family val="2"/>
      <charset val="1"/>
    </font>
    <font>
      <sz val="11"/>
      <color theme="1"/>
      <name val="Calibri"/>
      <family val="2"/>
      <charset val="1"/>
    </font>
    <font>
      <b/>
      <sz val="11"/>
      <color theme="5"/>
      <name val="Calibri"/>
      <family val="2"/>
    </font>
    <font>
      <i/>
      <sz val="11"/>
      <color theme="1" tint="0.499984740745262"/>
      <name val="Calibri"/>
      <family val="2"/>
      <charset val="1"/>
    </font>
    <font>
      <sz val="11"/>
      <color theme="1" tint="0.499984740745262"/>
      <name val="Calibri"/>
      <family val="2"/>
      <charset val="1"/>
    </font>
    <font>
      <sz val="11"/>
      <color theme="1"/>
      <name val="Calibri"/>
      <family val="2"/>
    </font>
  </fonts>
  <fills count="48">
    <fill>
      <patternFill patternType="none"/>
    </fill>
    <fill>
      <patternFill patternType="gray125"/>
    </fill>
    <fill>
      <patternFill patternType="solid">
        <fgColor theme="4" tint="0.79979857783745845"/>
        <bgColor rgb="FFDEE4EF"/>
      </patternFill>
    </fill>
    <fill>
      <patternFill patternType="solid">
        <fgColor rgb="FFCCCCFF"/>
        <bgColor rgb="FFB9CFEB"/>
      </patternFill>
    </fill>
    <fill>
      <patternFill patternType="solid">
        <fgColor theme="5" tint="0.79979857783745845"/>
        <bgColor rgb="FFFFF2CC"/>
      </patternFill>
    </fill>
    <fill>
      <patternFill patternType="solid">
        <fgColor rgb="FFFF99CC"/>
        <bgColor rgb="FFF4B183"/>
      </patternFill>
    </fill>
    <fill>
      <patternFill patternType="solid">
        <fgColor theme="6" tint="0.79979857783745845"/>
        <bgColor rgb="FFF2F2F2"/>
      </patternFill>
    </fill>
    <fill>
      <patternFill patternType="solid">
        <fgColor rgb="FFCCFFCC"/>
        <bgColor rgb="FFCCFFFF"/>
      </patternFill>
    </fill>
    <fill>
      <patternFill patternType="solid">
        <fgColor theme="7" tint="0.79979857783745845"/>
        <bgColor rgb="FFFBE5D6"/>
      </patternFill>
    </fill>
    <fill>
      <patternFill patternType="solid">
        <fgColor rgb="FFCC99FF"/>
        <bgColor rgb="FFFF99CC"/>
      </patternFill>
    </fill>
    <fill>
      <patternFill patternType="solid">
        <fgColor theme="8" tint="0.79979857783745845"/>
        <bgColor rgb="FFE7E6E6"/>
      </patternFill>
    </fill>
    <fill>
      <patternFill patternType="solid">
        <fgColor rgb="FFCCFFFF"/>
        <bgColor rgb="FFCCFFCC"/>
      </patternFill>
    </fill>
    <fill>
      <patternFill patternType="solid">
        <fgColor theme="9" tint="0.79979857783745845"/>
        <bgColor rgb="FFE7E6E6"/>
      </patternFill>
    </fill>
    <fill>
      <patternFill patternType="solid">
        <fgColor rgb="FFFFCC99"/>
        <bgColor rgb="FFF9D2B8"/>
      </patternFill>
    </fill>
    <fill>
      <patternFill patternType="solid">
        <fgColor theme="4" tint="0.59978026673177287"/>
        <bgColor rgb="FFB9CFEB"/>
      </patternFill>
    </fill>
    <fill>
      <patternFill patternType="solid">
        <fgColor rgb="FF99CCFF"/>
        <bgColor rgb="FF9DC3E6"/>
      </patternFill>
    </fill>
    <fill>
      <patternFill patternType="solid">
        <fgColor theme="5" tint="0.59978026673177287"/>
        <bgColor rgb="FFFFCC99"/>
      </patternFill>
    </fill>
    <fill>
      <patternFill patternType="solid">
        <fgColor rgb="FFFF8080"/>
        <bgColor rgb="FFED7D31"/>
      </patternFill>
    </fill>
    <fill>
      <patternFill patternType="solid">
        <fgColor theme="6" tint="0.59978026673177287"/>
        <bgColor rgb="FFDEE4EF"/>
      </patternFill>
    </fill>
    <fill>
      <patternFill patternType="solid">
        <fgColor rgb="FF00FF00"/>
        <bgColor rgb="FF33CCCC"/>
      </patternFill>
    </fill>
    <fill>
      <patternFill patternType="solid">
        <fgColor theme="7" tint="0.59978026673177287"/>
        <bgColor rgb="FFFFF2CC"/>
      </patternFill>
    </fill>
    <fill>
      <patternFill patternType="solid">
        <fgColor theme="8" tint="0.59978026673177287"/>
        <bgColor rgb="FFBDD7EE"/>
      </patternFill>
    </fill>
    <fill>
      <patternFill patternType="solid">
        <fgColor theme="9" tint="0.59978026673177287"/>
        <bgColor rgb="FFD0CECE"/>
      </patternFill>
    </fill>
    <fill>
      <patternFill patternType="solid">
        <fgColor rgb="FFFFCC00"/>
        <bgColor rgb="FFFFC000"/>
      </patternFill>
    </fill>
    <fill>
      <patternFill patternType="solid">
        <fgColor theme="4" tint="0.39970091860713525"/>
        <bgColor rgb="FF99CCFF"/>
      </patternFill>
    </fill>
    <fill>
      <patternFill patternType="solid">
        <fgColor rgb="FF0065CB"/>
        <bgColor rgb="FF0563C1"/>
      </patternFill>
    </fill>
    <fill>
      <patternFill patternType="solid">
        <fgColor theme="5" tint="0.39970091860713525"/>
        <bgColor rgb="FFFFCC99"/>
      </patternFill>
    </fill>
    <fill>
      <patternFill patternType="solid">
        <fgColor theme="6" tint="0.39970091860713525"/>
        <bgColor rgb="FFBFBFBF"/>
      </patternFill>
    </fill>
    <fill>
      <patternFill patternType="solid">
        <fgColor theme="7" tint="0.39970091860713525"/>
        <bgColor rgb="FFFFCC99"/>
      </patternFill>
    </fill>
    <fill>
      <patternFill patternType="solid">
        <fgColor rgb="FF800080"/>
        <bgColor rgb="FF333399"/>
      </patternFill>
    </fill>
    <fill>
      <patternFill patternType="darkGray">
        <fgColor theme="8" tint="0.39970091860713525"/>
        <bgColor rgb="FF9DC3E6"/>
      </patternFill>
    </fill>
    <fill>
      <patternFill patternType="solid">
        <fgColor rgb="FF33CCCC"/>
        <bgColor rgb="FF5B9BD5"/>
      </patternFill>
    </fill>
    <fill>
      <patternFill patternType="solid">
        <fgColor theme="9" tint="0.39970091860713525"/>
        <bgColor rgb="FFC5E0B4"/>
      </patternFill>
    </fill>
    <fill>
      <patternFill patternType="solid">
        <fgColor rgb="FFFF9900"/>
        <bgColor rgb="FFED7D31"/>
      </patternFill>
    </fill>
    <fill>
      <patternFill patternType="solid">
        <fgColor rgb="FF333399"/>
        <bgColor rgb="FF235186"/>
      </patternFill>
    </fill>
    <fill>
      <patternFill patternType="solid">
        <fgColor rgb="FFFF0000"/>
        <bgColor rgb="FFC45A11"/>
      </patternFill>
    </fill>
    <fill>
      <patternFill patternType="solid">
        <fgColor rgb="FF298F34"/>
        <bgColor rgb="FF548235"/>
      </patternFill>
    </fill>
    <fill>
      <patternFill patternType="solid">
        <fgColor rgb="FFFF6600"/>
        <bgColor rgb="FFED7D31"/>
      </patternFill>
    </fill>
    <fill>
      <patternFill patternType="solid">
        <fgColor theme="2"/>
        <bgColor rgb="FFDEE4EF"/>
      </patternFill>
    </fill>
    <fill>
      <patternFill patternType="solid">
        <fgColor theme="2" tint="-9.9978637043366805E-2"/>
        <bgColor rgb="FFC6C6C6"/>
      </patternFill>
    </fill>
    <fill>
      <patternFill patternType="solid">
        <fgColor theme="9" tint="-0.249977111117893"/>
        <bgColor rgb="FF298F34"/>
      </patternFill>
    </fill>
    <fill>
      <patternFill patternType="solid">
        <fgColor theme="5" tint="-0.249977111117893"/>
        <bgColor rgb="FFFF6600"/>
      </patternFill>
    </fill>
    <fill>
      <patternFill patternType="solid">
        <fgColor theme="7"/>
        <bgColor rgb="FFFFCC00"/>
      </patternFill>
    </fill>
    <fill>
      <patternFill patternType="solid">
        <fgColor theme="7" tint="-0.249977111117893"/>
        <bgColor rgb="FFED7D31"/>
      </patternFill>
    </fill>
    <fill>
      <patternFill patternType="solid">
        <fgColor theme="0" tint="-4.9989318521683403E-2"/>
        <bgColor rgb="FFEDEDED"/>
      </patternFill>
    </fill>
    <fill>
      <patternFill patternType="solid">
        <fgColor theme="0" tint="-0.249977111117893"/>
        <bgColor rgb="FFC6C6C6"/>
      </patternFill>
    </fill>
    <fill>
      <patternFill patternType="solid">
        <fgColor theme="2"/>
        <bgColor indexed="64"/>
      </patternFill>
    </fill>
    <fill>
      <patternFill patternType="solid">
        <fgColor theme="9"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right/>
      <top style="thin">
        <color auto="1"/>
      </top>
      <bottom/>
      <diagonal/>
    </border>
    <border>
      <left/>
      <right/>
      <top/>
      <bottom style="thin">
        <color auto="1"/>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right style="double">
        <color theme="9" tint="-0.249977111117893"/>
      </right>
      <top/>
      <bottom style="thin">
        <color auto="1"/>
      </bottom>
      <diagonal/>
    </border>
    <border>
      <left style="double">
        <color theme="9" tint="-0.249977111117893"/>
      </left>
      <right style="double">
        <color theme="9" tint="-0.249977111117893"/>
      </right>
      <top style="double">
        <color theme="9" tint="-0.249977111117893"/>
      </top>
      <bottom style="thin">
        <color auto="1"/>
      </bottom>
      <diagonal/>
    </border>
    <border>
      <left style="double">
        <color theme="9" tint="-0.249977111117893"/>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7424">
    <xf numFmtId="0" fontId="0" fillId="0" borderId="0"/>
    <xf numFmtId="0" fontId="48" fillId="2" borderId="0"/>
    <xf numFmtId="0" fontId="1" fillId="3" borderId="0"/>
    <xf numFmtId="0" fontId="2" fillId="3" borderId="0"/>
    <xf numFmtId="0" fontId="48" fillId="4" borderId="0"/>
    <xf numFmtId="0" fontId="1" fillId="5" borderId="0"/>
    <xf numFmtId="0" fontId="2" fillId="5" borderId="0"/>
    <xf numFmtId="0" fontId="48" fillId="6" borderId="0"/>
    <xf numFmtId="0" fontId="1" fillId="7" borderId="0"/>
    <xf numFmtId="0" fontId="2" fillId="7" borderId="0"/>
    <xf numFmtId="0" fontId="48" fillId="8" borderId="0"/>
    <xf numFmtId="0" fontId="1" fillId="9" borderId="0"/>
    <xf numFmtId="0" fontId="2" fillId="9" borderId="0"/>
    <xf numFmtId="0" fontId="48" fillId="10" borderId="0"/>
    <xf numFmtId="0" fontId="1" fillId="11" borderId="0"/>
    <xf numFmtId="0" fontId="2" fillId="11" borderId="0"/>
    <xf numFmtId="0" fontId="48" fillId="12" borderId="0"/>
    <xf numFmtId="0" fontId="1" fillId="13" borderId="0"/>
    <xf numFmtId="0" fontId="2" fillId="13" borderId="0"/>
    <xf numFmtId="0" fontId="2" fillId="3" borderId="0"/>
    <xf numFmtId="0" fontId="2" fillId="3" borderId="0"/>
    <xf numFmtId="0" fontId="2" fillId="5" borderId="0"/>
    <xf numFmtId="0" fontId="2" fillId="5" borderId="0"/>
    <xf numFmtId="0" fontId="2" fillId="7" borderId="0"/>
    <xf numFmtId="0" fontId="2" fillId="7" borderId="0"/>
    <xf numFmtId="0" fontId="2" fillId="9" borderId="0"/>
    <xf numFmtId="0" fontId="2" fillId="9" borderId="0"/>
    <xf numFmtId="0" fontId="2" fillId="11" borderId="0"/>
    <xf numFmtId="0" fontId="2" fillId="11" borderId="0"/>
    <xf numFmtId="0" fontId="2" fillId="13" borderId="0"/>
    <xf numFmtId="0" fontId="2" fillId="13" borderId="0"/>
    <xf numFmtId="0" fontId="3" fillId="0" borderId="0">
      <alignment horizontal="left" vertical="center" indent="2"/>
    </xf>
    <xf numFmtId="0" fontId="3" fillId="0" borderId="0">
      <alignment horizontal="left" vertical="center" indent="2"/>
    </xf>
    <xf numFmtId="0" fontId="3" fillId="0" borderId="0">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49" fontId="4" fillId="0" borderId="1">
      <alignment horizontal="left" vertical="center" indent="2"/>
    </xf>
    <xf numFmtId="0" fontId="48" fillId="14" borderId="0"/>
    <xf numFmtId="0" fontId="1" fillId="15" borderId="0"/>
    <xf numFmtId="0" fontId="2" fillId="15" borderId="0"/>
    <xf numFmtId="0" fontId="48" fillId="16" borderId="0"/>
    <xf numFmtId="0" fontId="1" fillId="17" borderId="0"/>
    <xf numFmtId="0" fontId="2" fillId="17" borderId="0"/>
    <xf numFmtId="0" fontId="48" fillId="18" borderId="0"/>
    <xf numFmtId="0" fontId="1" fillId="19" borderId="0"/>
    <xf numFmtId="0" fontId="2" fillId="19" borderId="0"/>
    <xf numFmtId="0" fontId="48" fillId="20" borderId="0"/>
    <xf numFmtId="0" fontId="1" fillId="9" borderId="0"/>
    <xf numFmtId="0" fontId="2" fillId="9" borderId="0"/>
    <xf numFmtId="0" fontId="48" fillId="21" borderId="0"/>
    <xf numFmtId="0" fontId="1" fillId="15" borderId="0"/>
    <xf numFmtId="0" fontId="2" fillId="15" borderId="0"/>
    <xf numFmtId="0" fontId="48" fillId="22" borderId="0"/>
    <xf numFmtId="0" fontId="1" fillId="23" borderId="0"/>
    <xf numFmtId="0" fontId="2" fillId="23" borderId="0"/>
    <xf numFmtId="0" fontId="2" fillId="15" borderId="0"/>
    <xf numFmtId="0" fontId="2" fillId="15" borderId="0"/>
    <xf numFmtId="0" fontId="2" fillId="17" borderId="0"/>
    <xf numFmtId="0" fontId="2" fillId="17" borderId="0"/>
    <xf numFmtId="0" fontId="2" fillId="19" borderId="0"/>
    <xf numFmtId="0" fontId="2" fillId="19" borderId="0"/>
    <xf numFmtId="0" fontId="2" fillId="9" borderId="0"/>
    <xf numFmtId="0" fontId="2" fillId="9" borderId="0"/>
    <xf numFmtId="0" fontId="2" fillId="15" borderId="0"/>
    <xf numFmtId="0" fontId="2" fillId="15" borderId="0"/>
    <xf numFmtId="0" fontId="2" fillId="23" borderId="0"/>
    <xf numFmtId="0" fontId="2" fillId="23" borderId="0"/>
    <xf numFmtId="0" fontId="3" fillId="0" borderId="0">
      <alignment horizontal="left" vertical="center" indent="5"/>
    </xf>
    <xf numFmtId="0" fontId="3" fillId="0" borderId="0">
      <alignment horizontal="left" vertical="center" indent="5"/>
    </xf>
    <xf numFmtId="0" fontId="3" fillId="0" borderId="0">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49" fontId="4" fillId="0" borderId="2">
      <alignment horizontal="left" vertical="center" indent="5"/>
    </xf>
    <xf numFmtId="0" fontId="3" fillId="0" borderId="0">
      <alignment horizontal="left" vertical="center"/>
    </xf>
    <xf numFmtId="0" fontId="5" fillId="24" borderId="0"/>
    <xf numFmtId="0" fontId="6" fillId="25" borderId="0"/>
    <xf numFmtId="0" fontId="7" fillId="25" borderId="0"/>
    <xf numFmtId="0" fontId="5" fillId="26" borderId="0"/>
    <xf numFmtId="0" fontId="6" fillId="17" borderId="0"/>
    <xf numFmtId="0" fontId="7" fillId="17" borderId="0"/>
    <xf numFmtId="0" fontId="5" fillId="27" borderId="0"/>
    <xf numFmtId="0" fontId="6" fillId="19" borderId="0"/>
    <xf numFmtId="0" fontId="7" fillId="19" borderId="0"/>
    <xf numFmtId="0" fontId="5" fillId="28" borderId="0"/>
    <xf numFmtId="0" fontId="6" fillId="29" borderId="0"/>
    <xf numFmtId="0" fontId="7" fillId="29" borderId="0"/>
    <xf numFmtId="0" fontId="5" fillId="30" borderId="0"/>
    <xf numFmtId="0" fontId="6" fillId="31" borderId="0"/>
    <xf numFmtId="0" fontId="7" fillId="31" borderId="0"/>
    <xf numFmtId="0" fontId="5" fillId="32" borderId="0"/>
    <xf numFmtId="0" fontId="6" fillId="33" borderId="0"/>
    <xf numFmtId="0" fontId="7" fillId="33" borderId="0"/>
    <xf numFmtId="0" fontId="7" fillId="25" borderId="0"/>
    <xf numFmtId="0" fontId="7" fillId="25" borderId="0"/>
    <xf numFmtId="0" fontId="7" fillId="17" borderId="0"/>
    <xf numFmtId="0" fontId="7" fillId="17" borderId="0"/>
    <xf numFmtId="0" fontId="7" fillId="19" borderId="0"/>
    <xf numFmtId="0" fontId="7" fillId="19" borderId="0"/>
    <xf numFmtId="0" fontId="7" fillId="29" borderId="0"/>
    <xf numFmtId="0" fontId="7" fillId="29" borderId="0"/>
    <xf numFmtId="0" fontId="7" fillId="31" borderId="0"/>
    <xf numFmtId="0" fontId="7" fillId="31" borderId="0"/>
    <xf numFmtId="0" fontId="7" fillId="33" borderId="0"/>
    <xf numFmtId="0" fontId="7" fillId="33" borderId="0"/>
    <xf numFmtId="0" fontId="8" fillId="0" borderId="0"/>
    <xf numFmtId="0" fontId="7" fillId="34" borderId="0"/>
    <xf numFmtId="0" fontId="7" fillId="34" borderId="0"/>
    <xf numFmtId="0" fontId="6" fillId="34" borderId="0"/>
    <xf numFmtId="0" fontId="7" fillId="35" borderId="0"/>
    <xf numFmtId="0" fontId="7" fillId="35" borderId="0"/>
    <xf numFmtId="0" fontId="6" fillId="35" borderId="0"/>
    <xf numFmtId="0" fontId="7" fillId="36" borderId="0"/>
    <xf numFmtId="0" fontId="7" fillId="36" borderId="0"/>
    <xf numFmtId="0" fontId="6" fillId="36" borderId="0"/>
    <xf numFmtId="0" fontId="7" fillId="29" borderId="0"/>
    <xf numFmtId="0" fontId="7" fillId="29" borderId="0"/>
    <xf numFmtId="0" fontId="6" fillId="29" borderId="0"/>
    <xf numFmtId="0" fontId="7" fillId="31" borderId="0"/>
    <xf numFmtId="0" fontId="7" fillId="31" borderId="0"/>
    <xf numFmtId="0" fontId="6" fillId="31" borderId="0"/>
    <xf numFmtId="0" fontId="7" fillId="37" borderId="0"/>
    <xf numFmtId="0" fontId="7" fillId="37" borderId="0"/>
    <xf numFmtId="0" fontId="6" fillId="37" borderId="0"/>
    <xf numFmtId="0" fontId="9" fillId="11" borderId="0"/>
    <xf numFmtId="4" fontId="9" fillId="11" borderId="0"/>
    <xf numFmtId="0" fontId="4" fillId="11" borderId="0">
      <alignment horizontal="right" vertical="center"/>
    </xf>
    <xf numFmtId="4" fontId="4" fillId="11" borderId="0">
      <alignment horizontal="right" vertical="center"/>
    </xf>
    <xf numFmtId="0" fontId="4" fillId="11" borderId="1">
      <alignment horizontal="right" vertical="center"/>
    </xf>
    <xf numFmtId="0" fontId="4" fillId="7" borderId="0">
      <alignment horizontal="right" vertical="center"/>
    </xf>
    <xf numFmtId="4" fontId="4" fillId="7" borderId="0">
      <alignment horizontal="right" vertical="center"/>
    </xf>
    <xf numFmtId="0" fontId="4" fillId="7" borderId="0">
      <alignment horizontal="right" vertical="center"/>
    </xf>
    <xf numFmtId="0" fontId="4" fillId="7" borderId="0">
      <alignment horizontal="right" vertical="center"/>
    </xf>
    <xf numFmtId="0" fontId="4" fillId="7" borderId="0">
      <alignment horizontal="right" vertical="center"/>
    </xf>
    <xf numFmtId="4" fontId="4" fillId="7" borderId="0">
      <alignment horizontal="right" vertical="center"/>
    </xf>
    <xf numFmtId="0" fontId="4" fillId="7" borderId="0">
      <alignment horizontal="right" vertical="center"/>
    </xf>
    <xf numFmtId="0" fontId="4" fillId="7" borderId="0">
      <alignment horizontal="right" vertical="center"/>
    </xf>
    <xf numFmtId="0" fontId="4" fillId="7" borderId="3">
      <alignment horizontal="right" vertical="center"/>
    </xf>
    <xf numFmtId="0"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4" fontId="10" fillId="7" borderId="1">
      <alignment horizontal="righ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cellStyleXfs>
  <cellXfs count="542">
    <xf numFmtId="0" fontId="0" fillId="0" borderId="0" xfId="0"/>
    <xf numFmtId="0" fontId="0" fillId="0" borderId="0" xfId="1537" applyFont="1" applyAlignment="1">
      <alignment horizontal="left"/>
    </xf>
    <xf numFmtId="0" fontId="11" fillId="0" borderId="0" xfId="1537" applyFont="1" applyAlignment="1">
      <alignment horizontal="left"/>
    </xf>
    <xf numFmtId="0" fontId="12" fillId="0" borderId="0" xfId="1537" applyFont="1" applyAlignment="1">
      <alignment horizontal="left"/>
    </xf>
    <xf numFmtId="0" fontId="13" fillId="0" borderId="0" xfId="1537" applyFont="1"/>
    <xf numFmtId="0" fontId="0" fillId="22" borderId="0" xfId="1537" applyFont="1" applyFill="1" applyAlignment="1">
      <alignment horizontal="left"/>
    </xf>
    <xf numFmtId="0" fontId="0" fillId="24" borderId="0" xfId="1537" applyFont="1" applyFill="1" applyAlignment="1">
      <alignment horizontal="left"/>
    </xf>
    <xf numFmtId="0" fontId="0" fillId="38" borderId="0" xfId="1537" applyFont="1" applyFill="1" applyAlignment="1">
      <alignment horizontal="left"/>
    </xf>
    <xf numFmtId="0" fontId="14" fillId="0" borderId="0" xfId="1537" applyFont="1" applyAlignment="1">
      <alignment horizontal="left"/>
    </xf>
    <xf numFmtId="0" fontId="11" fillId="0" borderId="0" xfId="1537" applyFont="1"/>
    <xf numFmtId="164" fontId="15" fillId="0" borderId="0" xfId="1537" applyNumberFormat="1" applyFont="1" applyAlignment="1">
      <alignment horizontal="left" vertical="center" wrapText="1"/>
    </xf>
    <xf numFmtId="0" fontId="15" fillId="0" borderId="0" xfId="1537" applyFont="1" applyAlignment="1">
      <alignment horizontal="left" vertical="center" wrapText="1"/>
    </xf>
    <xf numFmtId="0" fontId="0" fillId="39" borderId="0" xfId="1537" applyFont="1" applyFill="1"/>
    <xf numFmtId="165" fontId="0" fillId="0" borderId="0" xfId="1537" applyNumberFormat="1" applyFont="1"/>
    <xf numFmtId="0" fontId="15" fillId="39" borderId="0" xfId="1537" applyFont="1" applyFill="1"/>
    <xf numFmtId="2" fontId="0" fillId="0" borderId="0" xfId="1537" applyNumberFormat="1" applyFont="1"/>
    <xf numFmtId="2" fontId="16" fillId="0" borderId="0" xfId="1537" applyNumberFormat="1" applyFont="1"/>
    <xf numFmtId="2" fontId="14" fillId="0" borderId="0" xfId="1537" applyNumberFormat="1" applyFont="1"/>
    <xf numFmtId="0" fontId="15" fillId="0" borderId="0" xfId="1537" applyFont="1"/>
    <xf numFmtId="0" fontId="17" fillId="0" borderId="0" xfId="1537" applyFont="1"/>
    <xf numFmtId="0" fontId="14" fillId="0" borderId="0" xfId="1537" applyFont="1"/>
    <xf numFmtId="0" fontId="18" fillId="0" borderId="0" xfId="1537" applyFont="1"/>
    <xf numFmtId="0" fontId="16" fillId="0" borderId="0" xfId="1537" applyFont="1"/>
    <xf numFmtId="0" fontId="0" fillId="0" borderId="0" xfId="1537" applyFont="1" applyAlignment="1">
      <alignment horizontal="left" vertical="top"/>
    </xf>
    <xf numFmtId="0" fontId="19" fillId="0" borderId="0" xfId="1537" applyFont="1" applyAlignment="1">
      <alignment horizontal="left"/>
    </xf>
    <xf numFmtId="0" fontId="12" fillId="0" borderId="0" xfId="1537" applyFont="1"/>
    <xf numFmtId="0" fontId="20" fillId="0" borderId="0" xfId="1537" applyFont="1"/>
    <xf numFmtId="0" fontId="0" fillId="40" borderId="0" xfId="1537" applyFont="1" applyFill="1" applyAlignment="1">
      <alignment horizontal="left"/>
    </xf>
    <xf numFmtId="0" fontId="0" fillId="40" borderId="0" xfId="1537" applyFont="1" applyFill="1"/>
    <xf numFmtId="0" fontId="0" fillId="40" borderId="0" xfId="1537" applyFont="1" applyFill="1" applyAlignment="1">
      <alignment horizontal="left" vertical="top"/>
    </xf>
    <xf numFmtId="0" fontId="12" fillId="40" borderId="0" xfId="1537" applyFont="1" applyFill="1"/>
    <xf numFmtId="0" fontId="20" fillId="40" borderId="0" xfId="1537" applyFont="1" applyFill="1"/>
    <xf numFmtId="49" fontId="14" fillId="22" borderId="0" xfId="1537" applyNumberFormat="1" applyFont="1" applyFill="1" applyAlignment="1">
      <alignment horizontal="left"/>
    </xf>
    <xf numFmtId="0" fontId="15" fillId="22" borderId="0" xfId="1537" applyFont="1" applyFill="1"/>
    <xf numFmtId="0" fontId="0" fillId="22" borderId="0" xfId="1537" applyFont="1" applyFill="1"/>
    <xf numFmtId="0" fontId="14" fillId="22" borderId="0" xfId="1537" applyFont="1" applyFill="1"/>
    <xf numFmtId="2" fontId="14" fillId="22" borderId="0" xfId="1537" applyNumberFormat="1" applyFont="1" applyFill="1" applyAlignment="1">
      <alignment horizontal="left" vertical="center"/>
    </xf>
    <xf numFmtId="11" fontId="14" fillId="22" borderId="0" xfId="1537" applyNumberFormat="1" applyFont="1" applyFill="1" applyAlignment="1">
      <alignment horizontal="left" vertical="center"/>
    </xf>
    <xf numFmtId="164" fontId="14" fillId="22" borderId="0" xfId="1537" applyNumberFormat="1" applyFont="1" applyFill="1"/>
    <xf numFmtId="49" fontId="0" fillId="12" borderId="0" xfId="1537" applyNumberFormat="1" applyFont="1" applyFill="1" applyAlignment="1">
      <alignment horizontal="center" vertical="center" wrapText="1"/>
    </xf>
    <xf numFmtId="0" fontId="15" fillId="12" borderId="0" xfId="1537" applyFont="1" applyFill="1" applyAlignment="1">
      <alignment horizontal="center" vertical="center" wrapText="1"/>
    </xf>
    <xf numFmtId="0" fontId="0" fillId="12" borderId="0" xfId="1537" applyFont="1" applyFill="1" applyAlignment="1">
      <alignment horizontal="center" vertical="center"/>
    </xf>
    <xf numFmtId="0" fontId="0" fillId="12" borderId="0" xfId="1537" applyFont="1" applyFill="1" applyAlignment="1">
      <alignment horizontal="center" vertical="center" wrapText="1"/>
    </xf>
    <xf numFmtId="1" fontId="0" fillId="12" borderId="0" xfId="1537" applyNumberFormat="1" applyFont="1" applyFill="1" applyAlignment="1">
      <alignment horizontal="left" vertical="top" wrapText="1"/>
    </xf>
    <xf numFmtId="1" fontId="15" fillId="12" borderId="0" xfId="1537" applyNumberFormat="1" applyFont="1" applyFill="1" applyAlignment="1">
      <alignment horizontal="left" vertical="top" wrapText="1"/>
    </xf>
    <xf numFmtId="1" fontId="15" fillId="12" borderId="0" xfId="1537" applyNumberFormat="1" applyFont="1" applyFill="1" applyAlignment="1">
      <alignment horizontal="center" vertical="center" wrapText="1"/>
    </xf>
    <xf numFmtId="2" fontId="15" fillId="12" borderId="0" xfId="1537" applyNumberFormat="1" applyFont="1" applyFill="1" applyAlignment="1">
      <alignment horizontal="center" vertical="center" wrapText="1"/>
    </xf>
    <xf numFmtId="166" fontId="0" fillId="12" borderId="0" xfId="1537" applyNumberFormat="1" applyFont="1" applyFill="1" applyAlignment="1">
      <alignment horizontal="center" vertical="center" wrapText="1"/>
    </xf>
    <xf numFmtId="11" fontId="0" fillId="12" borderId="0" xfId="1537" applyNumberFormat="1" applyFont="1" applyFill="1" applyAlignment="1">
      <alignment horizontal="center" vertical="center" wrapText="1"/>
    </xf>
    <xf numFmtId="164" fontId="0" fillId="12" borderId="0" xfId="1537" applyNumberFormat="1" applyFont="1" applyFill="1" applyAlignment="1">
      <alignment horizontal="center" vertical="center" wrapText="1"/>
    </xf>
    <xf numFmtId="0" fontId="0" fillId="0" borderId="0" xfId="1537" applyFont="1" applyAlignment="1">
      <alignment vertical="center"/>
    </xf>
    <xf numFmtId="49" fontId="0" fillId="0" borderId="0" xfId="1537" applyNumberFormat="1" applyFont="1" applyAlignment="1">
      <alignment horizontal="left" vertical="top"/>
    </xf>
    <xf numFmtId="167" fontId="0" fillId="0" borderId="0" xfId="1537" applyNumberFormat="1" applyFont="1"/>
    <xf numFmtId="11" fontId="0" fillId="0" borderId="0" xfId="1537" applyNumberFormat="1" applyFont="1"/>
    <xf numFmtId="2" fontId="15" fillId="0" borderId="0" xfId="1537" applyNumberFormat="1" applyFont="1"/>
    <xf numFmtId="167" fontId="15" fillId="0" borderId="0" xfId="1537" applyNumberFormat="1" applyFont="1"/>
    <xf numFmtId="166" fontId="15" fillId="0" borderId="0" xfId="1537" applyNumberFormat="1" applyFont="1"/>
    <xf numFmtId="4" fontId="0" fillId="0" borderId="0" xfId="1537" applyNumberFormat="1" applyFont="1"/>
    <xf numFmtId="3" fontId="0" fillId="0" borderId="0" xfId="1537" applyNumberFormat="1" applyFont="1"/>
    <xf numFmtId="168" fontId="0" fillId="0" borderId="0" xfId="1537" applyNumberFormat="1" applyFont="1"/>
    <xf numFmtId="169" fontId="0" fillId="0" borderId="0" xfId="1537" applyNumberFormat="1" applyFont="1"/>
    <xf numFmtId="0" fontId="5" fillId="40" borderId="0" xfId="1537" applyFont="1" applyFill="1" applyAlignment="1">
      <alignment horizontal="left"/>
    </xf>
    <xf numFmtId="0" fontId="5" fillId="40" borderId="0" xfId="1537" applyFont="1" applyFill="1"/>
    <xf numFmtId="0" fontId="21" fillId="40" borderId="0" xfId="1537" applyFont="1" applyFill="1"/>
    <xf numFmtId="164" fontId="21" fillId="40" borderId="0" xfId="1537" applyNumberFormat="1" applyFont="1" applyFill="1"/>
    <xf numFmtId="0" fontId="22" fillId="40" borderId="0" xfId="1537" applyFont="1" applyFill="1"/>
    <xf numFmtId="0" fontId="0" fillId="22" borderId="0" xfId="1537" applyFont="1" applyFill="1" applyAlignment="1">
      <alignment horizontal="left" vertical="top"/>
    </xf>
    <xf numFmtId="164" fontId="14" fillId="22" borderId="0" xfId="1537" applyNumberFormat="1" applyFont="1" applyFill="1" applyAlignment="1">
      <alignment horizontal="left" vertical="center"/>
    </xf>
    <xf numFmtId="164" fontId="0" fillId="22" borderId="0" xfId="1537" applyNumberFormat="1" applyFont="1" applyFill="1" applyAlignment="1">
      <alignment horizontal="center" vertical="center" wrapText="1"/>
    </xf>
    <xf numFmtId="164" fontId="0" fillId="22" borderId="0" xfId="1537" applyNumberFormat="1" applyFont="1" applyFill="1"/>
    <xf numFmtId="0" fontId="5" fillId="22" borderId="0" xfId="1537" applyFont="1" applyFill="1"/>
    <xf numFmtId="0" fontId="20" fillId="22" borderId="0" xfId="1537" applyFont="1" applyFill="1"/>
    <xf numFmtId="164" fontId="5" fillId="22" borderId="0" xfId="1537" applyNumberFormat="1" applyFont="1" applyFill="1"/>
    <xf numFmtId="0" fontId="20" fillId="12" borderId="0" xfId="1537" applyFont="1" applyFill="1" applyAlignment="1">
      <alignment horizontal="center" vertical="center" wrapText="1"/>
    </xf>
    <xf numFmtId="0" fontId="0" fillId="0" borderId="4" xfId="1537" applyFont="1" applyBorder="1" applyAlignment="1">
      <alignment horizontal="left" vertical="top"/>
    </xf>
    <xf numFmtId="0" fontId="15" fillId="0" borderId="4" xfId="1537" applyFont="1" applyBorder="1"/>
    <xf numFmtId="3" fontId="0" fillId="0" borderId="4" xfId="1537" applyNumberFormat="1" applyFont="1" applyBorder="1"/>
    <xf numFmtId="3" fontId="0" fillId="0" borderId="4" xfId="1537" applyNumberFormat="1" applyFont="1" applyBorder="1" applyAlignment="1">
      <alignment horizontal="left" vertical="top"/>
    </xf>
    <xf numFmtId="165" fontId="15" fillId="0" borderId="4" xfId="1537" applyNumberFormat="1" applyFont="1" applyBorder="1"/>
    <xf numFmtId="165" fontId="0" fillId="0" borderId="4" xfId="1537" applyNumberFormat="1" applyFont="1" applyBorder="1"/>
    <xf numFmtId="0" fontId="0" fillId="0" borderId="4" xfId="1537" applyFont="1" applyBorder="1"/>
    <xf numFmtId="0" fontId="20" fillId="0" borderId="4" xfId="1537" applyFont="1" applyBorder="1"/>
    <xf numFmtId="167" fontId="0" fillId="0" borderId="4" xfId="1537" applyNumberFormat="1" applyFont="1" applyBorder="1"/>
    <xf numFmtId="165" fontId="15" fillId="0" borderId="0" xfId="1537" applyNumberFormat="1" applyFont="1"/>
    <xf numFmtId="164" fontId="15" fillId="0" borderId="0" xfId="1537" applyNumberFormat="1" applyFont="1"/>
    <xf numFmtId="166" fontId="12" fillId="0" borderId="0" xfId="1537" applyNumberFormat="1" applyFont="1"/>
    <xf numFmtId="11" fontId="20" fillId="0" borderId="0" xfId="1537" applyNumberFormat="1" applyFont="1"/>
    <xf numFmtId="11" fontId="15" fillId="0" borderId="0" xfId="1537" applyNumberFormat="1" applyFont="1" applyAlignment="1">
      <alignment horizontal="left" vertical="top"/>
    </xf>
    <xf numFmtId="164" fontId="20" fillId="0" borderId="0" xfId="1537" applyNumberFormat="1" applyFont="1"/>
    <xf numFmtId="0" fontId="0" fillId="38" borderId="5" xfId="1537" applyFont="1" applyFill="1" applyBorder="1" applyAlignment="1">
      <alignment horizontal="left" vertical="top"/>
    </xf>
    <xf numFmtId="0" fontId="15" fillId="38" borderId="5" xfId="1537" applyFont="1" applyFill="1" applyBorder="1"/>
    <xf numFmtId="3" fontId="0" fillId="38" borderId="5" xfId="1537" applyNumberFormat="1" applyFont="1" applyFill="1" applyBorder="1"/>
    <xf numFmtId="11" fontId="15" fillId="38" borderId="5" xfId="1537" applyNumberFormat="1" applyFont="1" applyFill="1" applyBorder="1" applyAlignment="1">
      <alignment horizontal="left" vertical="top"/>
    </xf>
    <xf numFmtId="167" fontId="15" fillId="38" borderId="6" xfId="1537" applyNumberFormat="1" applyFont="1" applyFill="1" applyBorder="1"/>
    <xf numFmtId="165" fontId="15" fillId="38" borderId="5" xfId="1537" applyNumberFormat="1" applyFont="1" applyFill="1" applyBorder="1"/>
    <xf numFmtId="2" fontId="15" fillId="38" borderId="0" xfId="1537" applyNumberFormat="1" applyFont="1" applyFill="1"/>
    <xf numFmtId="2" fontId="0" fillId="6" borderId="0" xfId="1537" applyNumberFormat="1" applyFont="1" applyFill="1"/>
    <xf numFmtId="3" fontId="0" fillId="0" borderId="0" xfId="1537" applyNumberFormat="1" applyFont="1" applyAlignment="1">
      <alignment horizontal="left" vertical="top"/>
    </xf>
    <xf numFmtId="2" fontId="0" fillId="0" borderId="4" xfId="1537" applyNumberFormat="1" applyFont="1" applyBorder="1"/>
    <xf numFmtId="164" fontId="0" fillId="0" borderId="0" xfId="1537" applyNumberFormat="1" applyFont="1"/>
    <xf numFmtId="3" fontId="0" fillId="38" borderId="0" xfId="1537" applyNumberFormat="1" applyFont="1" applyFill="1"/>
    <xf numFmtId="11" fontId="15" fillId="38" borderId="7" xfId="1537" applyNumberFormat="1" applyFont="1" applyFill="1" applyBorder="1" applyAlignment="1">
      <alignment horizontal="left" vertical="top"/>
    </xf>
    <xf numFmtId="2" fontId="15" fillId="38" borderId="6" xfId="1537" applyNumberFormat="1" applyFont="1" applyFill="1" applyBorder="1"/>
    <xf numFmtId="0" fontId="0" fillId="38" borderId="5" xfId="1537" applyFont="1" applyFill="1" applyBorder="1"/>
    <xf numFmtId="2" fontId="15" fillId="38" borderId="8" xfId="1537" applyNumberFormat="1" applyFont="1" applyFill="1" applyBorder="1"/>
    <xf numFmtId="165" fontId="15" fillId="38" borderId="9" xfId="1537" applyNumberFormat="1" applyFont="1" applyFill="1" applyBorder="1"/>
    <xf numFmtId="2" fontId="0" fillId="38" borderId="0" xfId="1537" applyNumberFormat="1" applyFont="1" applyFill="1"/>
    <xf numFmtId="0" fontId="0" fillId="41" borderId="0" xfId="1537" applyFont="1" applyFill="1" applyAlignment="1">
      <alignment horizontal="left"/>
    </xf>
    <xf numFmtId="0" fontId="0" fillId="41" borderId="0" xfId="1537" applyFont="1" applyFill="1"/>
    <xf numFmtId="0" fontId="0" fillId="41" borderId="0" xfId="1537" applyFont="1" applyFill="1" applyAlignment="1">
      <alignment horizontal="left" vertical="top"/>
    </xf>
    <xf numFmtId="0" fontId="12" fillId="41" borderId="0" xfId="1537" applyFont="1" applyFill="1"/>
    <xf numFmtId="0" fontId="20" fillId="41" borderId="0" xfId="1537" applyFont="1" applyFill="1"/>
    <xf numFmtId="49" fontId="14" fillId="26" borderId="0" xfId="1537" applyNumberFormat="1" applyFont="1" applyFill="1" applyAlignment="1">
      <alignment horizontal="left"/>
    </xf>
    <xf numFmtId="0" fontId="15" fillId="26" borderId="0" xfId="1537" applyFont="1" applyFill="1"/>
    <xf numFmtId="0" fontId="0" fillId="26" borderId="0" xfId="1537" applyFont="1" applyFill="1"/>
    <xf numFmtId="0" fontId="14" fillId="26" borderId="0" xfId="1537" applyFont="1" applyFill="1"/>
    <xf numFmtId="2" fontId="14" fillId="26" borderId="0" xfId="1537" applyNumberFormat="1" applyFont="1" applyFill="1" applyAlignment="1">
      <alignment horizontal="left" vertical="center"/>
    </xf>
    <xf numFmtId="11" fontId="14" fillId="26" borderId="0" xfId="1537" applyNumberFormat="1" applyFont="1" applyFill="1" applyAlignment="1">
      <alignment horizontal="left" vertical="center"/>
    </xf>
    <xf numFmtId="164" fontId="14" fillId="26" borderId="0" xfId="1537" applyNumberFormat="1" applyFont="1" applyFill="1"/>
    <xf numFmtId="49" fontId="0" fillId="4" borderId="0" xfId="1537" applyNumberFormat="1" applyFont="1" applyFill="1" applyAlignment="1">
      <alignment horizontal="center" vertical="center" wrapText="1"/>
    </xf>
    <xf numFmtId="0" fontId="15" fillId="4" borderId="0" xfId="1537" applyFont="1" applyFill="1" applyAlignment="1">
      <alignment horizontal="center" vertical="center" wrapText="1"/>
    </xf>
    <xf numFmtId="0" fontId="0" fillId="4" borderId="0" xfId="1537" applyFont="1" applyFill="1" applyAlignment="1">
      <alignment horizontal="center" vertical="center"/>
    </xf>
    <xf numFmtId="0" fontId="0" fillId="4" borderId="0" xfId="1537" applyFont="1" applyFill="1" applyAlignment="1">
      <alignment horizontal="center" vertical="center" wrapText="1"/>
    </xf>
    <xf numFmtId="1" fontId="0" fillId="4" borderId="0" xfId="1537" applyNumberFormat="1" applyFont="1" applyFill="1" applyAlignment="1">
      <alignment horizontal="left" vertical="top" wrapText="1"/>
    </xf>
    <xf numFmtId="1" fontId="15" fillId="4" borderId="0" xfId="1537" applyNumberFormat="1" applyFont="1" applyFill="1" applyAlignment="1">
      <alignment horizontal="left" vertical="top" wrapText="1"/>
    </xf>
    <xf numFmtId="1" fontId="15" fillId="4" borderId="0" xfId="1537" applyNumberFormat="1" applyFont="1" applyFill="1" applyAlignment="1">
      <alignment horizontal="center" vertical="center" wrapText="1"/>
    </xf>
    <xf numFmtId="2" fontId="15" fillId="4" borderId="0" xfId="1537" applyNumberFormat="1" applyFont="1" applyFill="1" applyAlignment="1">
      <alignment horizontal="center" vertical="center" wrapText="1"/>
    </xf>
    <xf numFmtId="166" fontId="0" fillId="4" borderId="0" xfId="1537" applyNumberFormat="1" applyFont="1" applyFill="1" applyAlignment="1">
      <alignment horizontal="center" vertical="center" wrapText="1"/>
    </xf>
    <xf numFmtId="11" fontId="0" fillId="4" borderId="0" xfId="1537" applyNumberFormat="1" applyFont="1" applyFill="1" applyAlignment="1">
      <alignment horizontal="center" vertical="center" wrapText="1"/>
    </xf>
    <xf numFmtId="164" fontId="0" fillId="4" borderId="0" xfId="1537" applyNumberFormat="1" applyFont="1" applyFill="1" applyAlignment="1">
      <alignment horizontal="center" vertical="center" wrapText="1"/>
    </xf>
    <xf numFmtId="1" fontId="0" fillId="0" borderId="0" xfId="1537" applyNumberFormat="1" applyFont="1"/>
    <xf numFmtId="49" fontId="0" fillId="38" borderId="0" xfId="1537" applyNumberFormat="1" applyFont="1" applyFill="1" applyAlignment="1">
      <alignment horizontal="left" vertical="top"/>
    </xf>
    <xf numFmtId="0" fontId="0" fillId="38" borderId="0" xfId="1537" applyFont="1" applyFill="1" applyAlignment="1">
      <alignment horizontal="left" vertical="top"/>
    </xf>
    <xf numFmtId="0" fontId="15" fillId="38" borderId="0" xfId="1537" applyFont="1" applyFill="1"/>
    <xf numFmtId="167" fontId="0" fillId="38" borderId="0" xfId="1537" applyNumberFormat="1" applyFont="1" applyFill="1"/>
    <xf numFmtId="11" fontId="0" fillId="38" borderId="0" xfId="1537" applyNumberFormat="1" applyFont="1" applyFill="1"/>
    <xf numFmtId="165" fontId="0" fillId="38" borderId="0" xfId="1537" applyNumberFormat="1" applyFont="1" applyFill="1"/>
    <xf numFmtId="166" fontId="0" fillId="38" borderId="0" xfId="1537" applyNumberFormat="1" applyFont="1" applyFill="1"/>
    <xf numFmtId="1" fontId="0" fillId="38" borderId="0" xfId="1537" applyNumberFormat="1" applyFont="1" applyFill="1"/>
    <xf numFmtId="0" fontId="5" fillId="41" borderId="0" xfId="1537" applyFont="1" applyFill="1" applyAlignment="1">
      <alignment horizontal="left"/>
    </xf>
    <xf numFmtId="0" fontId="5" fillId="41" borderId="0" xfId="1537" applyFont="1" applyFill="1"/>
    <xf numFmtId="0" fontId="21" fillId="41" borderId="0" xfId="1537" applyFont="1" applyFill="1"/>
    <xf numFmtId="164" fontId="21" fillId="41" borderId="0" xfId="1537" applyNumberFormat="1" applyFont="1" applyFill="1"/>
    <xf numFmtId="0" fontId="22" fillId="41" borderId="0" xfId="1537" applyFont="1" applyFill="1"/>
    <xf numFmtId="0" fontId="0" fillId="26" borderId="0" xfId="1537" applyFont="1" applyFill="1" applyAlignment="1">
      <alignment horizontal="left" vertical="top"/>
    </xf>
    <xf numFmtId="164" fontId="14" fillId="26" borderId="0" xfId="1537" applyNumberFormat="1" applyFont="1" applyFill="1" applyAlignment="1">
      <alignment horizontal="left" vertical="center"/>
    </xf>
    <xf numFmtId="164" fontId="0" fillId="26" borderId="0" xfId="1537" applyNumberFormat="1" applyFont="1" applyFill="1" applyAlignment="1">
      <alignment horizontal="center" vertical="center" wrapText="1"/>
    </xf>
    <xf numFmtId="164" fontId="0" fillId="26" borderId="0" xfId="1537" applyNumberFormat="1" applyFont="1" applyFill="1"/>
    <xf numFmtId="0" fontId="5" fillId="26" borderId="0" xfId="1537" applyFont="1" applyFill="1"/>
    <xf numFmtId="0" fontId="20" fillId="26" borderId="0" xfId="1537" applyFont="1" applyFill="1"/>
    <xf numFmtId="164" fontId="5" fillId="26" borderId="0" xfId="1537" applyNumberFormat="1" applyFont="1" applyFill="1"/>
    <xf numFmtId="0" fontId="20" fillId="4" borderId="0" xfId="1537" applyFont="1" applyFill="1" applyAlignment="1">
      <alignment horizontal="center" vertical="center" wrapText="1"/>
    </xf>
    <xf numFmtId="165" fontId="15" fillId="8" borderId="0" xfId="1537" applyNumberFormat="1" applyFont="1" applyFill="1"/>
    <xf numFmtId="164" fontId="15" fillId="8" borderId="0" xfId="1537" applyNumberFormat="1" applyFont="1" applyFill="1"/>
    <xf numFmtId="0" fontId="0" fillId="42" borderId="0" xfId="1537" applyFont="1" applyFill="1" applyAlignment="1">
      <alignment horizontal="left"/>
    </xf>
    <xf numFmtId="0" fontId="0" fillId="42" borderId="0" xfId="1537" applyFont="1" applyFill="1"/>
    <xf numFmtId="0" fontId="0" fillId="42" borderId="0" xfId="1537" applyFont="1" applyFill="1" applyAlignment="1">
      <alignment horizontal="left" vertical="top"/>
    </xf>
    <xf numFmtId="0" fontId="12" fillId="42" borderId="0" xfId="1537" applyFont="1" applyFill="1"/>
    <xf numFmtId="0" fontId="20" fillId="42" borderId="0" xfId="1537" applyFont="1" applyFill="1"/>
    <xf numFmtId="49" fontId="14" fillId="28" borderId="0" xfId="1537" applyNumberFormat="1" applyFont="1" applyFill="1" applyAlignment="1">
      <alignment horizontal="left"/>
    </xf>
    <xf numFmtId="0" fontId="15" fillId="28" borderId="0" xfId="1537" applyFont="1" applyFill="1"/>
    <xf numFmtId="0" fontId="0" fillId="28" borderId="0" xfId="1537" applyFont="1" applyFill="1"/>
    <xf numFmtId="0" fontId="14" fillId="28" borderId="0" xfId="1537" applyFont="1" applyFill="1"/>
    <xf numFmtId="2" fontId="14" fillId="28" borderId="0" xfId="1537" applyNumberFormat="1" applyFont="1" applyFill="1" applyAlignment="1">
      <alignment horizontal="left" vertical="center"/>
    </xf>
    <xf numFmtId="11" fontId="14" fillId="28" borderId="0" xfId="1537" applyNumberFormat="1" applyFont="1" applyFill="1" applyAlignment="1">
      <alignment horizontal="left" vertical="center"/>
    </xf>
    <xf numFmtId="164" fontId="14" fillId="28" borderId="0" xfId="1537" applyNumberFormat="1" applyFont="1" applyFill="1"/>
    <xf numFmtId="49" fontId="0" fillId="8" borderId="0" xfId="1537" applyNumberFormat="1" applyFont="1" applyFill="1" applyAlignment="1">
      <alignment horizontal="center" vertical="center" wrapText="1"/>
    </xf>
    <xf numFmtId="0" fontId="15" fillId="8" borderId="0" xfId="1537" applyFont="1" applyFill="1" applyAlignment="1">
      <alignment horizontal="center" vertical="center" wrapText="1"/>
    </xf>
    <xf numFmtId="0" fontId="0" fillId="8" borderId="0" xfId="1537" applyFont="1" applyFill="1" applyAlignment="1">
      <alignment horizontal="center" vertical="center"/>
    </xf>
    <xf numFmtId="0" fontId="0" fillId="8" borderId="0" xfId="1537" applyFont="1" applyFill="1" applyAlignment="1">
      <alignment horizontal="center" vertical="center" wrapText="1"/>
    </xf>
    <xf numFmtId="1" fontId="0" fillId="8" borderId="0" xfId="1537" applyNumberFormat="1" applyFont="1" applyFill="1" applyAlignment="1">
      <alignment horizontal="left" vertical="top" wrapText="1"/>
    </xf>
    <xf numFmtId="1" fontId="15" fillId="8" borderId="0" xfId="1537" applyNumberFormat="1" applyFont="1" applyFill="1" applyAlignment="1">
      <alignment horizontal="left" vertical="top" wrapText="1"/>
    </xf>
    <xf numFmtId="1" fontId="15" fillId="8" borderId="0" xfId="1537" applyNumberFormat="1" applyFont="1" applyFill="1" applyAlignment="1">
      <alignment horizontal="center" vertical="center" wrapText="1"/>
    </xf>
    <xf numFmtId="2" fontId="15" fillId="8" borderId="0" xfId="1537" applyNumberFormat="1" applyFont="1" applyFill="1" applyAlignment="1">
      <alignment horizontal="center" vertical="center" wrapText="1"/>
    </xf>
    <xf numFmtId="166" fontId="0" fillId="8" borderId="0" xfId="1537" applyNumberFormat="1" applyFont="1" applyFill="1" applyAlignment="1">
      <alignment horizontal="center" vertical="center" wrapText="1"/>
    </xf>
    <xf numFmtId="11" fontId="0" fillId="8" borderId="0" xfId="1537" applyNumberFormat="1" applyFont="1" applyFill="1" applyAlignment="1">
      <alignment horizontal="center" vertical="center" wrapText="1"/>
    </xf>
    <xf numFmtId="164" fontId="0" fillId="8" borderId="0" xfId="1537" applyNumberFormat="1" applyFont="1" applyFill="1" applyAlignment="1">
      <alignment horizontal="center" vertical="center" wrapText="1"/>
    </xf>
    <xf numFmtId="170" fontId="0" fillId="0" borderId="0" xfId="1537" applyNumberFormat="1" applyFont="1"/>
    <xf numFmtId="1" fontId="15" fillId="0" borderId="0" xfId="1537" applyNumberFormat="1" applyFont="1"/>
    <xf numFmtId="0" fontId="5" fillId="43" borderId="0" xfId="1537" applyFont="1" applyFill="1" applyAlignment="1">
      <alignment horizontal="left"/>
    </xf>
    <xf numFmtId="0" fontId="5" fillId="43" borderId="0" xfId="1537" applyFont="1" applyFill="1"/>
    <xf numFmtId="0" fontId="21" fillId="43" borderId="0" xfId="1537" applyFont="1" applyFill="1"/>
    <xf numFmtId="164" fontId="21" fillId="43" borderId="0" xfId="1537" applyNumberFormat="1" applyFont="1" applyFill="1"/>
    <xf numFmtId="0" fontId="22" fillId="43" borderId="0" xfId="1537" applyFont="1" applyFill="1"/>
    <xf numFmtId="0" fontId="0" fillId="28" borderId="0" xfId="1537" applyFont="1" applyFill="1" applyAlignment="1">
      <alignment horizontal="left" vertical="top"/>
    </xf>
    <xf numFmtId="164" fontId="14" fillId="28" borderId="0" xfId="1537" applyNumberFormat="1" applyFont="1" applyFill="1" applyAlignment="1">
      <alignment horizontal="left" vertical="center"/>
    </xf>
    <xf numFmtId="164" fontId="0" fillId="28" borderId="0" xfId="1537" applyNumberFormat="1" applyFont="1" applyFill="1" applyAlignment="1">
      <alignment horizontal="center" vertical="center" wrapText="1"/>
    </xf>
    <xf numFmtId="164" fontId="0" fillId="28" borderId="0" xfId="1537" applyNumberFormat="1" applyFont="1" applyFill="1"/>
    <xf numFmtId="0" fontId="5" fillId="28" borderId="0" xfId="1537" applyFont="1" applyFill="1"/>
    <xf numFmtId="0" fontId="20" fillId="28" borderId="0" xfId="1537" applyFont="1" applyFill="1"/>
    <xf numFmtId="164" fontId="5" fillId="28" borderId="0" xfId="1537" applyNumberFormat="1" applyFont="1" applyFill="1"/>
    <xf numFmtId="0" fontId="20" fillId="8" borderId="0" xfId="1537" applyFont="1" applyFill="1" applyAlignment="1">
      <alignment horizontal="center" vertical="center" wrapText="1"/>
    </xf>
    <xf numFmtId="165" fontId="15" fillId="8" borderId="4" xfId="1537" applyNumberFormat="1" applyFont="1" applyFill="1" applyBorder="1"/>
    <xf numFmtId="0" fontId="23" fillId="0" borderId="0" xfId="1537" applyFont="1"/>
    <xf numFmtId="0" fontId="24" fillId="0" borderId="0" xfId="1537" applyFont="1"/>
    <xf numFmtId="3" fontId="15" fillId="0" borderId="0" xfId="1537" applyNumberFormat="1" applyFont="1"/>
    <xf numFmtId="0" fontId="1" fillId="0" borderId="0" xfId="1537" applyFont="1"/>
    <xf numFmtId="0" fontId="0" fillId="38" borderId="0" xfId="1537" applyFont="1" applyFill="1"/>
    <xf numFmtId="4" fontId="0" fillId="38" borderId="0" xfId="1537" applyNumberFormat="1" applyFont="1" applyFill="1"/>
    <xf numFmtId="4" fontId="15" fillId="38" borderId="0" xfId="1537" applyNumberFormat="1" applyFont="1" applyFill="1"/>
    <xf numFmtId="171" fontId="15" fillId="0" borderId="0" xfId="1537" applyNumberFormat="1" applyFont="1"/>
    <xf numFmtId="0" fontId="19" fillId="0" borderId="0" xfId="1537" applyFont="1"/>
    <xf numFmtId="4" fontId="15" fillId="0" borderId="0" xfId="1537" applyNumberFormat="1" applyFont="1"/>
    <xf numFmtId="0" fontId="25" fillId="0" borderId="0" xfId="1537" applyFont="1"/>
    <xf numFmtId="3" fontId="15" fillId="38" borderId="0" xfId="1537" applyNumberFormat="1" applyFont="1" applyFill="1"/>
    <xf numFmtId="0" fontId="26" fillId="0" borderId="10" xfId="1537" applyFont="1" applyBorder="1"/>
    <xf numFmtId="0" fontId="19" fillId="0" borderId="4" xfId="1537" applyFont="1" applyBorder="1"/>
    <xf numFmtId="0" fontId="19" fillId="0" borderId="11" xfId="1537" applyFont="1" applyBorder="1"/>
    <xf numFmtId="0" fontId="0" fillId="2" borderId="0" xfId="1537" applyFont="1" applyFill="1"/>
    <xf numFmtId="0" fontId="19" fillId="2" borderId="0" xfId="1537" applyFont="1" applyFill="1"/>
    <xf numFmtId="0" fontId="19" fillId="0" borderId="12" xfId="1537" applyFont="1" applyBorder="1"/>
    <xf numFmtId="0" fontId="19" fillId="0" borderId="13" xfId="1537" applyFont="1" applyBorder="1"/>
    <xf numFmtId="1" fontId="27" fillId="0" borderId="0" xfId="1537" applyNumberFormat="1" applyFont="1"/>
    <xf numFmtId="0" fontId="19" fillId="0" borderId="0" xfId="1537" applyFont="1" applyAlignment="1">
      <alignment horizontal="left" vertical="center"/>
    </xf>
    <xf numFmtId="168" fontId="27" fillId="0" borderId="0" xfId="1537" applyNumberFormat="1" applyFont="1"/>
    <xf numFmtId="168" fontId="28" fillId="0" borderId="0" xfId="1537" applyNumberFormat="1" applyFont="1"/>
    <xf numFmtId="0" fontId="28" fillId="0" borderId="0" xfId="1537" applyFont="1"/>
    <xf numFmtId="0" fontId="27" fillId="0" borderId="0" xfId="1537" applyFont="1"/>
    <xf numFmtId="0" fontId="29" fillId="0" borderId="0" xfId="1537" applyFont="1"/>
    <xf numFmtId="0" fontId="30" fillId="0" borderId="0" xfId="1537" applyFont="1"/>
    <xf numFmtId="3" fontId="16" fillId="0" borderId="0" xfId="1537" applyNumberFormat="1" applyFont="1"/>
    <xf numFmtId="165" fontId="27" fillId="0" borderId="0" xfId="1537" applyNumberFormat="1" applyFont="1"/>
    <xf numFmtId="2" fontId="28" fillId="0" borderId="0" xfId="1537" applyNumberFormat="1" applyFont="1"/>
    <xf numFmtId="2" fontId="27" fillId="0" borderId="0" xfId="1537" applyNumberFormat="1" applyFont="1"/>
    <xf numFmtId="0" fontId="31" fillId="0" borderId="0" xfId="1537" applyFont="1"/>
    <xf numFmtId="0" fontId="19" fillId="0" borderId="14" xfId="1537" applyFont="1" applyBorder="1"/>
    <xf numFmtId="0" fontId="19" fillId="0" borderId="5" xfId="1537" applyFont="1" applyBorder="1"/>
    <xf numFmtId="168" fontId="19" fillId="0" borderId="5" xfId="1537" applyNumberFormat="1" applyFont="1" applyBorder="1"/>
    <xf numFmtId="0" fontId="19" fillId="0" borderId="15" xfId="1537" applyFont="1" applyBorder="1"/>
    <xf numFmtId="171" fontId="16" fillId="0" borderId="0" xfId="1537" applyNumberFormat="1" applyFont="1"/>
    <xf numFmtId="2" fontId="32" fillId="0" borderId="0" xfId="1537" applyNumberFormat="1" applyFont="1"/>
    <xf numFmtId="0" fontId="19" fillId="0" borderId="0" xfId="1537" applyFont="1" applyAlignment="1">
      <alignment horizontal="center" vertical="center"/>
    </xf>
    <xf numFmtId="1" fontId="25" fillId="0" borderId="0" xfId="1537" applyNumberFormat="1" applyFont="1" applyAlignment="1">
      <alignment horizontal="center" vertical="center"/>
    </xf>
    <xf numFmtId="3" fontId="23" fillId="0" borderId="0" xfId="1537" applyNumberFormat="1" applyFont="1"/>
    <xf numFmtId="0" fontId="23" fillId="2" borderId="0" xfId="1537" applyFont="1" applyFill="1"/>
    <xf numFmtId="1" fontId="32" fillId="0" borderId="0" xfId="1537" applyNumberFormat="1" applyFont="1"/>
    <xf numFmtId="0" fontId="33" fillId="0" borderId="0" xfId="1537" applyFont="1"/>
    <xf numFmtId="0" fontId="34" fillId="0" borderId="0" xfId="1537" applyFont="1" applyAlignment="1">
      <alignment horizontal="left" vertical="center"/>
    </xf>
    <xf numFmtId="0" fontId="13" fillId="0" borderId="0" xfId="1537" applyFont="1" applyAlignment="1">
      <alignment horizontal="left" vertical="center"/>
    </xf>
    <xf numFmtId="165" fontId="28" fillId="0" borderId="0" xfId="1537" applyNumberFormat="1" applyFont="1"/>
    <xf numFmtId="167" fontId="28" fillId="0" borderId="0" xfId="1537" applyNumberFormat="1" applyFont="1"/>
    <xf numFmtId="170" fontId="28" fillId="0" borderId="0" xfId="1537" applyNumberFormat="1" applyFont="1"/>
    <xf numFmtId="164" fontId="28" fillId="0" borderId="0" xfId="1537" applyNumberFormat="1" applyFont="1"/>
    <xf numFmtId="168" fontId="32" fillId="0" borderId="0" xfId="1537" applyNumberFormat="1" applyFont="1"/>
    <xf numFmtId="168" fontId="32" fillId="0" borderId="0" xfId="1537" applyNumberFormat="1" applyFont="1" applyAlignment="1">
      <alignment horizontal="right" vertical="center"/>
    </xf>
    <xf numFmtId="170" fontId="32" fillId="0" borderId="0" xfId="1537" applyNumberFormat="1" applyFont="1"/>
    <xf numFmtId="0" fontId="16" fillId="0" borderId="0" xfId="1537" applyFont="1" applyAlignment="1">
      <alignment vertical="center"/>
    </xf>
    <xf numFmtId="165" fontId="32" fillId="0" borderId="0" xfId="1537" applyNumberFormat="1" applyFont="1" applyAlignment="1">
      <alignment vertical="center"/>
    </xf>
    <xf numFmtId="2" fontId="35" fillId="0" borderId="0" xfId="1537" applyNumberFormat="1" applyFont="1" applyAlignment="1">
      <alignment vertical="center"/>
    </xf>
    <xf numFmtId="0" fontId="28" fillId="2" borderId="0" xfId="1537" applyFont="1" applyFill="1"/>
    <xf numFmtId="168" fontId="28" fillId="0" borderId="0" xfId="1537" applyNumberFormat="1" applyFont="1" applyAlignment="1">
      <alignment vertical="center"/>
    </xf>
    <xf numFmtId="2" fontId="28" fillId="0" borderId="0" xfId="1537" applyNumberFormat="1" applyFont="1" applyAlignment="1">
      <alignment vertical="center"/>
    </xf>
    <xf numFmtId="0" fontId="35" fillId="0" borderId="0" xfId="1537" applyFont="1"/>
    <xf numFmtId="2" fontId="15" fillId="0" borderId="0" xfId="1537" applyNumberFormat="1" applyFont="1" applyAlignment="1">
      <alignment horizontal="right" vertical="center" wrapText="1"/>
    </xf>
    <xf numFmtId="2" fontId="4" fillId="0" borderId="0" xfId="1537" applyNumberFormat="1" applyFont="1" applyAlignment="1">
      <alignment horizontal="right"/>
    </xf>
    <xf numFmtId="2" fontId="23" fillId="0" borderId="0" xfId="1537" applyNumberFormat="1" applyFont="1"/>
    <xf numFmtId="0" fontId="0" fillId="2" borderId="16" xfId="1537" applyFont="1" applyFill="1" applyBorder="1"/>
    <xf numFmtId="0" fontId="0" fillId="2" borderId="10" xfId="1537" applyFont="1" applyFill="1" applyBorder="1"/>
    <xf numFmtId="0" fontId="0" fillId="2" borderId="4" xfId="1537" applyFont="1" applyFill="1" applyBorder="1"/>
    <xf numFmtId="0" fontId="0" fillId="2" borderId="11" xfId="1537" applyFont="1" applyFill="1" applyBorder="1"/>
    <xf numFmtId="0" fontId="0" fillId="0" borderId="17" xfId="1537" applyFont="1" applyBorder="1"/>
    <xf numFmtId="0" fontId="31" fillId="0" borderId="12" xfId="1537" applyFont="1" applyBorder="1" applyAlignment="1">
      <alignment horizontal="left" vertical="center"/>
    </xf>
    <xf numFmtId="0" fontId="31" fillId="0" borderId="13" xfId="1537" applyFont="1" applyBorder="1" applyAlignment="1">
      <alignment horizontal="left" vertical="center"/>
    </xf>
    <xf numFmtId="0" fontId="31" fillId="0" borderId="0" xfId="1537" applyFont="1" applyAlignment="1">
      <alignment horizontal="left" vertical="center"/>
    </xf>
    <xf numFmtId="2" fontId="31" fillId="0" borderId="17" xfId="1537" applyNumberFormat="1" applyFont="1" applyBorder="1"/>
    <xf numFmtId="2" fontId="28" fillId="0" borderId="0" xfId="1537" applyNumberFormat="1" applyFont="1" applyAlignment="1">
      <alignment horizontal="right" vertical="center"/>
    </xf>
    <xf numFmtId="2" fontId="28" fillId="0" borderId="13" xfId="1537" applyNumberFormat="1" applyFont="1" applyBorder="1" applyAlignment="1">
      <alignment horizontal="right" vertical="center"/>
    </xf>
    <xf numFmtId="2" fontId="28" fillId="0" borderId="12" xfId="1537" applyNumberFormat="1" applyFont="1" applyBorder="1" applyAlignment="1">
      <alignment horizontal="right" vertical="center"/>
    </xf>
    <xf numFmtId="2" fontId="28" fillId="0" borderId="12" xfId="1537" applyNumberFormat="1" applyFont="1" applyBorder="1" applyAlignment="1">
      <alignment horizontal="right"/>
    </xf>
    <xf numFmtId="2" fontId="28" fillId="0" borderId="13" xfId="1537" applyNumberFormat="1" applyFont="1" applyBorder="1" applyAlignment="1">
      <alignment horizontal="right"/>
    </xf>
    <xf numFmtId="0" fontId="31" fillId="0" borderId="17" xfId="1537" applyFont="1" applyBorder="1"/>
    <xf numFmtId="2" fontId="28" fillId="0" borderId="12" xfId="1537" applyNumberFormat="1" applyFont="1" applyBorder="1"/>
    <xf numFmtId="0" fontId="0" fillId="0" borderId="12" xfId="1537" applyFont="1" applyBorder="1"/>
    <xf numFmtId="0" fontId="15" fillId="24" borderId="17" xfId="1537" applyFont="1" applyFill="1" applyBorder="1" applyAlignment="1">
      <alignment horizontal="left" vertical="center"/>
    </xf>
    <xf numFmtId="0" fontId="0" fillId="24" borderId="12" xfId="1537" applyFont="1" applyFill="1" applyBorder="1"/>
    <xf numFmtId="0" fontId="0" fillId="24" borderId="13" xfId="1537" applyFont="1" applyFill="1" applyBorder="1"/>
    <xf numFmtId="0" fontId="0" fillId="24" borderId="0" xfId="1537" applyFont="1" applyFill="1"/>
    <xf numFmtId="0" fontId="0" fillId="38" borderId="17" xfId="1537" applyFont="1" applyFill="1" applyBorder="1"/>
    <xf numFmtId="0" fontId="23" fillId="38" borderId="12" xfId="1537" applyFont="1" applyFill="1" applyBorder="1"/>
    <xf numFmtId="0" fontId="23" fillId="38" borderId="13" xfId="1537" applyFont="1" applyFill="1" applyBorder="1"/>
    <xf numFmtId="0" fontId="23" fillId="38" borderId="0" xfId="1537" applyFont="1" applyFill="1"/>
    <xf numFmtId="0" fontId="16" fillId="0" borderId="17" xfId="1537" applyFont="1" applyBorder="1" applyAlignment="1">
      <alignment horizontal="left" vertical="center"/>
    </xf>
    <xf numFmtId="165" fontId="28" fillId="0" borderId="12" xfId="1537" applyNumberFormat="1" applyFont="1" applyBorder="1" applyAlignment="1">
      <alignment horizontal="right" vertical="center"/>
    </xf>
    <xf numFmtId="0" fontId="0" fillId="0" borderId="13" xfId="1537" applyFont="1" applyBorder="1"/>
    <xf numFmtId="165" fontId="28" fillId="0" borderId="0" xfId="1537" applyNumberFormat="1" applyFont="1" applyAlignment="1">
      <alignment horizontal="right" vertical="center"/>
    </xf>
    <xf numFmtId="0" fontId="31" fillId="0" borderId="17" xfId="1537" applyFont="1" applyBorder="1" applyAlignment="1">
      <alignment horizontal="left" vertical="center"/>
    </xf>
    <xf numFmtId="0" fontId="28" fillId="0" borderId="13" xfId="1537" applyFont="1" applyBorder="1"/>
    <xf numFmtId="2" fontId="28" fillId="0" borderId="13" xfId="1537" applyNumberFormat="1" applyFont="1" applyBorder="1"/>
    <xf numFmtId="0" fontId="16" fillId="38" borderId="17" xfId="1537" applyFont="1" applyFill="1" applyBorder="1" applyAlignment="1">
      <alignment horizontal="left" vertical="center"/>
    </xf>
    <xf numFmtId="0" fontId="0" fillId="38" borderId="12" xfId="1537" applyFont="1" applyFill="1" applyBorder="1"/>
    <xf numFmtId="0" fontId="0" fillId="38" borderId="13" xfId="1537" applyFont="1" applyFill="1" applyBorder="1"/>
    <xf numFmtId="1" fontId="15" fillId="0" borderId="12" xfId="1537" applyNumberFormat="1" applyFont="1" applyBorder="1"/>
    <xf numFmtId="1" fontId="15" fillId="0" borderId="13" xfId="1537" applyNumberFormat="1" applyFont="1" applyBorder="1"/>
    <xf numFmtId="2" fontId="0" fillId="0" borderId="12" xfId="1537" applyNumberFormat="1" applyFont="1" applyBorder="1"/>
    <xf numFmtId="1" fontId="0" fillId="0" borderId="13" xfId="1537" applyNumberFormat="1" applyFont="1" applyBorder="1"/>
    <xf numFmtId="0" fontId="31" fillId="38" borderId="17" xfId="1537" applyFont="1" applyFill="1" applyBorder="1" applyAlignment="1">
      <alignment horizontal="left" vertical="center"/>
    </xf>
    <xf numFmtId="1" fontId="15" fillId="38" borderId="0" xfId="1537" applyNumberFormat="1" applyFont="1" applyFill="1"/>
    <xf numFmtId="1" fontId="15" fillId="38" borderId="13" xfId="1537" applyNumberFormat="1" applyFont="1" applyFill="1" applyBorder="1"/>
    <xf numFmtId="2" fontId="0" fillId="0" borderId="13" xfId="1537" applyNumberFormat="1" applyFont="1" applyBorder="1"/>
    <xf numFmtId="2" fontId="28" fillId="0" borderId="0" xfId="1537" applyNumberFormat="1" applyFont="1" applyAlignment="1">
      <alignment horizontal="right"/>
    </xf>
    <xf numFmtId="168" fontId="28" fillId="0" borderId="12" xfId="1537" applyNumberFormat="1" applyFont="1" applyBorder="1" applyAlignment="1">
      <alignment horizontal="right" vertical="center"/>
    </xf>
    <xf numFmtId="168" fontId="28" fillId="0" borderId="0" xfId="1537" applyNumberFormat="1" applyFont="1" applyAlignment="1">
      <alignment horizontal="right" vertical="center"/>
    </xf>
    <xf numFmtId="168" fontId="28" fillId="0" borderId="13" xfId="1537" applyNumberFormat="1" applyFont="1" applyBorder="1" applyAlignment="1">
      <alignment horizontal="right" vertical="center"/>
    </xf>
    <xf numFmtId="2" fontId="15" fillId="0" borderId="12" xfId="1537" applyNumberFormat="1" applyFont="1" applyBorder="1"/>
    <xf numFmtId="2" fontId="15" fillId="0" borderId="13" xfId="1537" applyNumberFormat="1" applyFont="1" applyBorder="1"/>
    <xf numFmtId="168" fontId="0" fillId="0" borderId="12" xfId="1537" applyNumberFormat="1" applyFont="1" applyBorder="1"/>
    <xf numFmtId="168" fontId="0" fillId="0" borderId="13" xfId="1537" applyNumberFormat="1" applyFont="1" applyBorder="1"/>
    <xf numFmtId="0" fontId="16" fillId="0" borderId="17" xfId="1537" applyFont="1" applyBorder="1"/>
    <xf numFmtId="0" fontId="36" fillId="0" borderId="17" xfId="1537" applyFont="1" applyBorder="1" applyAlignment="1">
      <alignment horizontal="left" vertical="center"/>
    </xf>
    <xf numFmtId="0" fontId="12" fillId="0" borderId="12" xfId="1537" applyFont="1" applyBorder="1"/>
    <xf numFmtId="0" fontId="12" fillId="0" borderId="13" xfId="1537" applyFont="1" applyBorder="1"/>
    <xf numFmtId="0" fontId="37" fillId="0" borderId="0" xfId="1537" applyFont="1"/>
    <xf numFmtId="1" fontId="15" fillId="38" borderId="12" xfId="1537" applyNumberFormat="1" applyFont="1" applyFill="1" applyBorder="1"/>
    <xf numFmtId="168" fontId="15" fillId="0" borderId="12" xfId="1537" applyNumberFormat="1" applyFont="1" applyBorder="1"/>
    <xf numFmtId="0" fontId="28" fillId="0" borderId="12" xfId="1537" applyFont="1" applyBorder="1"/>
    <xf numFmtId="0" fontId="16" fillId="38" borderId="17" xfId="1537" applyFont="1" applyFill="1" applyBorder="1"/>
    <xf numFmtId="165" fontId="0" fillId="0" borderId="12" xfId="1537" applyNumberFormat="1" applyFont="1" applyBorder="1"/>
    <xf numFmtId="165" fontId="0" fillId="0" borderId="13" xfId="1537" applyNumberFormat="1" applyFont="1" applyBorder="1"/>
    <xf numFmtId="1" fontId="0" fillId="0" borderId="12" xfId="1537" applyNumberFormat="1" applyFont="1" applyBorder="1"/>
    <xf numFmtId="1" fontId="28" fillId="0" borderId="0" xfId="1537" applyNumberFormat="1" applyFont="1"/>
    <xf numFmtId="167" fontId="28" fillId="0" borderId="12" xfId="1537" applyNumberFormat="1" applyFont="1" applyBorder="1"/>
    <xf numFmtId="167" fontId="28" fillId="0" borderId="13" xfId="1537" applyNumberFormat="1" applyFont="1" applyBorder="1"/>
    <xf numFmtId="168" fontId="0" fillId="38" borderId="12" xfId="1537" applyNumberFormat="1" applyFont="1" applyFill="1" applyBorder="1"/>
    <xf numFmtId="168" fontId="0" fillId="38" borderId="0" xfId="1537" applyNumberFormat="1" applyFont="1" applyFill="1"/>
    <xf numFmtId="168" fontId="0" fillId="38" borderId="13" xfId="1537" applyNumberFormat="1" applyFont="1" applyFill="1" applyBorder="1"/>
    <xf numFmtId="0" fontId="38" fillId="0" borderId="0" xfId="1537" applyFont="1"/>
    <xf numFmtId="0" fontId="15" fillId="0" borderId="17" xfId="1537" applyFont="1" applyBorder="1" applyAlignment="1">
      <alignment horizontal="left" vertical="center"/>
    </xf>
    <xf numFmtId="0" fontId="39" fillId="0" borderId="17" xfId="1537" applyFont="1" applyBorder="1" applyAlignment="1">
      <alignment horizontal="left" vertical="center"/>
    </xf>
    <xf numFmtId="2" fontId="16" fillId="0" borderId="12" xfId="1537" applyNumberFormat="1" applyFont="1" applyBorder="1"/>
    <xf numFmtId="2" fontId="16" fillId="0" borderId="13" xfId="1537" applyNumberFormat="1" applyFont="1" applyBorder="1"/>
    <xf numFmtId="0" fontId="23" fillId="0" borderId="12" xfId="1537" applyFont="1" applyBorder="1"/>
    <xf numFmtId="0" fontId="0" fillId="0" borderId="18" xfId="1537" applyFont="1" applyBorder="1"/>
    <xf numFmtId="0" fontId="0" fillId="0" borderId="14" xfId="1537" applyFont="1" applyBorder="1"/>
    <xf numFmtId="0" fontId="0" fillId="0" borderId="5" xfId="1537" applyFont="1" applyBorder="1"/>
    <xf numFmtId="0" fontId="0" fillId="0" borderId="15" xfId="1537" applyFont="1" applyBorder="1"/>
    <xf numFmtId="0" fontId="16" fillId="0" borderId="0" xfId="1537" applyFont="1" applyAlignment="1">
      <alignment horizontal="left" vertical="center"/>
    </xf>
    <xf numFmtId="0" fontId="14" fillId="24" borderId="0" xfId="1537" applyFont="1" applyFill="1" applyAlignment="1">
      <alignment vertical="center"/>
    </xf>
    <xf numFmtId="0" fontId="0" fillId="24" borderId="0" xfId="1537" applyFont="1" applyFill="1" applyAlignment="1">
      <alignment horizontal="center" vertical="center"/>
    </xf>
    <xf numFmtId="164" fontId="40" fillId="24" borderId="0" xfId="1537" applyNumberFormat="1" applyFont="1" applyFill="1" applyAlignment="1">
      <alignment horizontal="center" vertical="center"/>
    </xf>
    <xf numFmtId="164" fontId="14" fillId="24" borderId="0" xfId="1537" applyNumberFormat="1" applyFont="1" applyFill="1" applyAlignment="1">
      <alignment horizontal="center" vertical="center"/>
    </xf>
    <xf numFmtId="164" fontId="0" fillId="24" borderId="0" xfId="1537" applyNumberFormat="1" applyFont="1" applyFill="1" applyAlignment="1">
      <alignment horizontal="center" vertical="center" wrapText="1"/>
    </xf>
    <xf numFmtId="164" fontId="0" fillId="24" borderId="0" xfId="1537" applyNumberFormat="1" applyFont="1" applyFill="1" applyAlignment="1">
      <alignment horizontal="center" vertical="center"/>
    </xf>
    <xf numFmtId="164" fontId="14" fillId="24" borderId="0" xfId="1537" applyNumberFormat="1" applyFont="1" applyFill="1" applyAlignment="1">
      <alignment horizontal="center" vertical="center" wrapText="1"/>
    </xf>
    <xf numFmtId="0" fontId="14" fillId="24" borderId="0" xfId="1537" applyFont="1" applyFill="1" applyAlignment="1">
      <alignment horizontal="center" vertical="center"/>
    </xf>
    <xf numFmtId="164" fontId="14" fillId="24" borderId="0" xfId="1537" applyNumberFormat="1" applyFont="1" applyFill="1" applyAlignment="1">
      <alignment vertical="center"/>
    </xf>
    <xf numFmtId="0" fontId="0" fillId="2" borderId="0" xfId="1537" applyFont="1" applyFill="1" applyAlignment="1">
      <alignment horizontal="left" vertical="center"/>
    </xf>
    <xf numFmtId="0" fontId="0" fillId="2" borderId="0" xfId="1537" applyFont="1" applyFill="1" applyAlignment="1">
      <alignment horizontal="center" vertical="center" wrapText="1"/>
    </xf>
    <xf numFmtId="0" fontId="40" fillId="2" borderId="0" xfId="1537" applyFont="1" applyFill="1" applyAlignment="1">
      <alignment horizontal="left" vertical="center" wrapText="1"/>
    </xf>
    <xf numFmtId="164" fontId="0" fillId="2" borderId="0" xfId="1537" applyNumberFormat="1" applyFont="1" applyFill="1" applyAlignment="1">
      <alignment horizontal="center" vertical="center" wrapText="1"/>
    </xf>
    <xf numFmtId="0" fontId="15" fillId="0" borderId="0" xfId="1537" applyFont="1" applyAlignment="1">
      <alignment horizontal="left"/>
    </xf>
    <xf numFmtId="2" fontId="15" fillId="0" borderId="0" xfId="1537" applyNumberFormat="1" applyFont="1" applyAlignment="1">
      <alignment horizontal="right"/>
    </xf>
    <xf numFmtId="2" fontId="31" fillId="0" borderId="0" xfId="1537" applyNumberFormat="1" applyFont="1"/>
    <xf numFmtId="165" fontId="15" fillId="0" borderId="0" xfId="1537" applyNumberFormat="1" applyFont="1" applyAlignment="1">
      <alignment horizontal="right"/>
    </xf>
    <xf numFmtId="49" fontId="0" fillId="0" borderId="0" xfId="1537" applyNumberFormat="1" applyFont="1"/>
    <xf numFmtId="0" fontId="41" fillId="0" borderId="0" xfId="1537" applyFont="1" applyAlignment="1">
      <alignment horizontal="left" vertical="center"/>
    </xf>
    <xf numFmtId="2" fontId="15" fillId="0" borderId="0" xfId="1537" applyNumberFormat="1" applyFont="1" applyAlignment="1">
      <alignment horizontal="left" vertical="center"/>
    </xf>
    <xf numFmtId="2" fontId="15" fillId="0" borderId="0" xfId="1537" applyNumberFormat="1" applyFont="1" applyAlignment="1">
      <alignment horizontal="right" vertical="center"/>
    </xf>
    <xf numFmtId="0" fontId="0" fillId="44" borderId="0" xfId="1537" applyFont="1" applyFill="1"/>
    <xf numFmtId="3" fontId="14" fillId="44" borderId="0" xfId="1537" applyNumberFormat="1" applyFont="1" applyFill="1"/>
    <xf numFmtId="0" fontId="15" fillId="44" borderId="0" xfId="1537" applyFont="1" applyFill="1"/>
    <xf numFmtId="0" fontId="15" fillId="44" borderId="0" xfId="1537" applyFont="1" applyFill="1" applyAlignment="1">
      <alignment horizontal="left"/>
    </xf>
    <xf numFmtId="2" fontId="15" fillId="44" borderId="0" xfId="1537" applyNumberFormat="1" applyFont="1" applyFill="1"/>
    <xf numFmtId="0" fontId="39" fillId="44" borderId="0" xfId="1537" applyFont="1" applyFill="1"/>
    <xf numFmtId="0" fontId="0" fillId="44" borderId="5" xfId="1537" applyFont="1" applyFill="1" applyBorder="1"/>
    <xf numFmtId="3" fontId="14" fillId="44" borderId="5" xfId="1537" applyNumberFormat="1" applyFont="1" applyFill="1" applyBorder="1"/>
    <xf numFmtId="0" fontId="15" fillId="44" borderId="5" xfId="1537" applyFont="1" applyFill="1" applyBorder="1"/>
    <xf numFmtId="0" fontId="15" fillId="44" borderId="5" xfId="1537" applyFont="1" applyFill="1" applyBorder="1" applyAlignment="1">
      <alignment horizontal="left"/>
    </xf>
    <xf numFmtId="2" fontId="15" fillId="44" borderId="5" xfId="1537" applyNumberFormat="1" applyFont="1" applyFill="1" applyBorder="1"/>
    <xf numFmtId="0" fontId="39" fillId="44" borderId="5" xfId="1537" applyFont="1" applyFill="1" applyBorder="1"/>
    <xf numFmtId="2" fontId="39" fillId="44" borderId="0" xfId="1537" applyNumberFormat="1" applyFont="1" applyFill="1"/>
    <xf numFmtId="165" fontId="12" fillId="0" borderId="0" xfId="1537" applyNumberFormat="1" applyFont="1"/>
    <xf numFmtId="11" fontId="15" fillId="0" borderId="0" xfId="1537" applyNumberFormat="1" applyFont="1" applyAlignment="1">
      <alignment horizontal="right"/>
    </xf>
    <xf numFmtId="11" fontId="15" fillId="0" borderId="0" xfId="1537" applyNumberFormat="1" applyFont="1"/>
    <xf numFmtId="11" fontId="28" fillId="0" borderId="0" xfId="1537" applyNumberFormat="1" applyFont="1"/>
    <xf numFmtId="11" fontId="28" fillId="0" borderId="0" xfId="1537" applyNumberFormat="1" applyFont="1" applyAlignment="1">
      <alignment horizontal="right"/>
    </xf>
    <xf numFmtId="11" fontId="15" fillId="0" borderId="0" xfId="1537" applyNumberFormat="1" applyFont="1" applyAlignment="1">
      <alignment horizontal="right" vertical="center"/>
    </xf>
    <xf numFmtId="11" fontId="15" fillId="44" borderId="0" xfId="1537" applyNumberFormat="1" applyFont="1" applyFill="1"/>
    <xf numFmtId="11" fontId="15" fillId="44" borderId="5" xfId="1537" applyNumberFormat="1" applyFont="1" applyFill="1" applyBorder="1"/>
    <xf numFmtId="172" fontId="28" fillId="0" borderId="0" xfId="1537" applyNumberFormat="1" applyFont="1"/>
    <xf numFmtId="170" fontId="15" fillId="0" borderId="0" xfId="1537" applyNumberFormat="1" applyFont="1"/>
    <xf numFmtId="164" fontId="0" fillId="0" borderId="0" xfId="1537" applyNumberFormat="1" applyFont="1" applyAlignment="1">
      <alignment horizontal="center" vertical="center" wrapText="1"/>
    </xf>
    <xf numFmtId="0" fontId="0" fillId="0" borderId="0" xfId="1537" applyFont="1" applyAlignment="1">
      <alignment horizontal="center" vertical="center" wrapText="1"/>
    </xf>
    <xf numFmtId="0" fontId="14" fillId="24" borderId="0" xfId="1537" applyFont="1" applyFill="1"/>
    <xf numFmtId="2" fontId="14" fillId="24" borderId="0" xfId="1537" applyNumberFormat="1" applyFont="1" applyFill="1" applyAlignment="1">
      <alignment horizontal="left" vertical="center"/>
    </xf>
    <xf numFmtId="11" fontId="14" fillId="24" borderId="0" xfId="1537" applyNumberFormat="1" applyFont="1" applyFill="1" applyAlignment="1">
      <alignment horizontal="left" vertical="center"/>
    </xf>
    <xf numFmtId="164" fontId="14" fillId="24" borderId="0" xfId="1537" applyNumberFormat="1" applyFont="1" applyFill="1"/>
    <xf numFmtId="0" fontId="0" fillId="2" borderId="0" xfId="1537" applyFont="1" applyFill="1" applyAlignment="1">
      <alignment horizontal="center" vertical="center"/>
    </xf>
    <xf numFmtId="1" fontId="15" fillId="2" borderId="0" xfId="1537" applyNumberFormat="1" applyFont="1" applyFill="1" applyAlignment="1">
      <alignment horizontal="center" vertical="center" wrapText="1"/>
    </xf>
    <xf numFmtId="2" fontId="15" fillId="2" borderId="0" xfId="1537" applyNumberFormat="1" applyFont="1" applyFill="1" applyAlignment="1">
      <alignment horizontal="center" vertical="center" wrapText="1"/>
    </xf>
    <xf numFmtId="166" fontId="0" fillId="2" borderId="0" xfId="1537" applyNumberFormat="1" applyFont="1" applyFill="1" applyAlignment="1">
      <alignment horizontal="center" vertical="center" wrapText="1"/>
    </xf>
    <xf numFmtId="11" fontId="0" fillId="2" borderId="0" xfId="1537" applyNumberFormat="1" applyFont="1" applyFill="1" applyAlignment="1">
      <alignment horizontal="center" vertical="center" wrapText="1"/>
    </xf>
    <xf numFmtId="167" fontId="15" fillId="0" borderId="0" xfId="1537" applyNumberFormat="1" applyFont="1" applyAlignment="1">
      <alignment horizontal="right"/>
    </xf>
    <xf numFmtId="2" fontId="42" fillId="0" borderId="0" xfId="1537" applyNumberFormat="1" applyFont="1" applyAlignment="1">
      <alignment horizontal="right"/>
    </xf>
    <xf numFmtId="165" fontId="42" fillId="0" borderId="0" xfId="1537" applyNumberFormat="1" applyFont="1"/>
    <xf numFmtId="167" fontId="42" fillId="0" borderId="0" xfId="1537" applyNumberFormat="1" applyFont="1"/>
    <xf numFmtId="11" fontId="42" fillId="0" borderId="0" xfId="1537" applyNumberFormat="1" applyFont="1"/>
    <xf numFmtId="2" fontId="42" fillId="0" borderId="0" xfId="1537" applyNumberFormat="1" applyFont="1"/>
    <xf numFmtId="0" fontId="43" fillId="0" borderId="0" xfId="1537" applyFont="1"/>
    <xf numFmtId="167" fontId="43" fillId="0" borderId="0" xfId="1537" applyNumberFormat="1" applyFont="1"/>
    <xf numFmtId="165" fontId="43" fillId="0" borderId="0" xfId="1537" applyNumberFormat="1" applyFont="1" applyAlignment="1">
      <alignment horizontal="right" vertical="center"/>
    </xf>
    <xf numFmtId="11" fontId="43" fillId="0" borderId="0" xfId="1537" applyNumberFormat="1" applyFont="1" applyAlignment="1">
      <alignment horizontal="right" vertical="center"/>
    </xf>
    <xf numFmtId="165" fontId="15" fillId="0" borderId="0" xfId="1537" applyNumberFormat="1" applyFont="1" applyAlignment="1">
      <alignment horizontal="right" vertical="center"/>
    </xf>
    <xf numFmtId="167" fontId="15" fillId="0" borderId="0" xfId="1537" applyNumberFormat="1" applyFont="1" applyAlignment="1">
      <alignment horizontal="right" vertical="center"/>
    </xf>
    <xf numFmtId="165" fontId="15" fillId="44" borderId="0" xfId="1537" applyNumberFormat="1" applyFont="1" applyFill="1"/>
    <xf numFmtId="165" fontId="15" fillId="44" borderId="5" xfId="1537" applyNumberFormat="1" applyFont="1" applyFill="1" applyBorder="1"/>
    <xf numFmtId="2" fontId="43" fillId="0" borderId="0" xfId="1537" applyNumberFormat="1" applyFont="1"/>
    <xf numFmtId="165" fontId="43" fillId="0" borderId="0" xfId="1537" applyNumberFormat="1" applyFont="1"/>
    <xf numFmtId="166" fontId="15" fillId="0" borderId="0" xfId="1537" applyNumberFormat="1" applyFont="1" applyAlignment="1">
      <alignment horizontal="right" vertical="center"/>
    </xf>
    <xf numFmtId="2" fontId="42" fillId="8" borderId="0" xfId="1537" applyNumberFormat="1" applyFont="1" applyFill="1"/>
    <xf numFmtId="165" fontId="42" fillId="8" borderId="0" xfId="1537" applyNumberFormat="1" applyFont="1" applyFill="1"/>
    <xf numFmtId="11" fontId="42" fillId="8" borderId="0" xfId="1537" applyNumberFormat="1" applyFont="1" applyFill="1"/>
    <xf numFmtId="0" fontId="42" fillId="0" borderId="0" xfId="1537" applyFont="1"/>
    <xf numFmtId="165" fontId="42" fillId="0" borderId="0" xfId="1537" applyNumberFormat="1" applyFont="1" applyAlignment="1">
      <alignment horizontal="right" vertical="center"/>
    </xf>
    <xf numFmtId="11" fontId="42" fillId="0" borderId="0" xfId="1537" applyNumberFormat="1" applyFont="1" applyAlignment="1">
      <alignment horizontal="right" vertical="center"/>
    </xf>
    <xf numFmtId="0" fontId="16" fillId="38" borderId="0" xfId="1537" applyFont="1" applyFill="1"/>
    <xf numFmtId="164" fontId="15" fillId="0" borderId="0" xfId="1537" applyNumberFormat="1" applyFont="1" applyAlignment="1">
      <alignment horizontal="right"/>
    </xf>
    <xf numFmtId="0" fontId="19" fillId="0" borderId="0" xfId="1537" applyFont="1" applyAlignment="1">
      <alignment vertical="center"/>
    </xf>
    <xf numFmtId="11" fontId="16" fillId="38" borderId="0" xfId="1537" applyNumberFormat="1" applyFont="1" applyFill="1"/>
    <xf numFmtId="1" fontId="15" fillId="0" borderId="0" xfId="1537" applyNumberFormat="1" applyFont="1" applyAlignment="1">
      <alignment vertical="center"/>
    </xf>
    <xf numFmtId="168" fontId="15" fillId="0" borderId="0" xfId="1537" applyNumberFormat="1" applyFont="1" applyAlignment="1">
      <alignment vertical="center"/>
    </xf>
    <xf numFmtId="168" fontId="15" fillId="0" borderId="0" xfId="1537" applyNumberFormat="1" applyFont="1"/>
    <xf numFmtId="0" fontId="44" fillId="38" borderId="0" xfId="1537" applyFont="1" applyFill="1" applyAlignment="1">
      <alignment vertical="center"/>
    </xf>
    <xf numFmtId="0" fontId="19" fillId="38" borderId="0" xfId="1537" applyFont="1" applyFill="1" applyAlignment="1">
      <alignment vertical="center"/>
    </xf>
    <xf numFmtId="1" fontId="16" fillId="0" borderId="0" xfId="1537" applyNumberFormat="1" applyFont="1" applyAlignment="1">
      <alignment vertical="center"/>
    </xf>
    <xf numFmtId="0" fontId="0" fillId="38" borderId="0" xfId="1537" applyFont="1" applyFill="1" applyAlignment="1">
      <alignment vertical="center"/>
    </xf>
    <xf numFmtId="2" fontId="16" fillId="0" borderId="0" xfId="1537" applyNumberFormat="1" applyFont="1" applyAlignment="1">
      <alignment vertical="center"/>
    </xf>
    <xf numFmtId="0" fontId="41" fillId="0" borderId="0" xfId="1537" applyFont="1" applyAlignment="1">
      <alignment vertical="center"/>
    </xf>
    <xf numFmtId="167" fontId="16" fillId="0" borderId="0" xfId="1537" applyNumberFormat="1" applyFont="1"/>
    <xf numFmtId="173" fontId="16" fillId="0" borderId="0" xfId="1537" applyNumberFormat="1" applyFont="1"/>
    <xf numFmtId="0" fontId="45" fillId="0" borderId="0" xfId="1537" applyFont="1"/>
    <xf numFmtId="167" fontId="46" fillId="0" borderId="0" xfId="1537" applyNumberFormat="1" applyFont="1"/>
    <xf numFmtId="0" fontId="24" fillId="38" borderId="0" xfId="1537" applyFont="1" applyFill="1"/>
    <xf numFmtId="0" fontId="14" fillId="32" borderId="0" xfId="1537" applyFont="1" applyFill="1"/>
    <xf numFmtId="0" fontId="0" fillId="32" borderId="0" xfId="1537" applyFont="1" applyFill="1"/>
    <xf numFmtId="164" fontId="14" fillId="32" borderId="0" xfId="1537" applyNumberFormat="1" applyFont="1" applyFill="1" applyAlignment="1">
      <alignment horizontal="left" vertical="center"/>
    </xf>
    <xf numFmtId="164" fontId="0" fillId="32" borderId="0" xfId="1537" applyNumberFormat="1" applyFont="1" applyFill="1" applyAlignment="1">
      <alignment horizontal="center" vertical="center" wrapText="1"/>
    </xf>
    <xf numFmtId="164" fontId="0" fillId="32" borderId="0" xfId="1537" applyNumberFormat="1" applyFont="1" applyFill="1"/>
    <xf numFmtId="164" fontId="14" fillId="32" borderId="0" xfId="1537" applyNumberFormat="1" applyFont="1" applyFill="1"/>
    <xf numFmtId="0" fontId="0" fillId="12" borderId="0" xfId="1537" applyFont="1" applyFill="1" applyAlignment="1">
      <alignment horizontal="left" vertical="center"/>
    </xf>
    <xf numFmtId="0" fontId="0" fillId="12" borderId="0" xfId="1537" applyFont="1" applyFill="1" applyAlignment="1">
      <alignment horizontal="left" vertical="top" wrapText="1"/>
    </xf>
    <xf numFmtId="0" fontId="14" fillId="12" borderId="0" xfId="1537" applyFont="1" applyFill="1" applyAlignment="1">
      <alignment horizontal="left" vertical="center" wrapText="1"/>
    </xf>
    <xf numFmtId="164" fontId="0" fillId="0" borderId="0" xfId="1537" applyNumberFormat="1" applyFont="1" applyAlignment="1">
      <alignment horizontal="left" vertical="center" wrapText="1"/>
    </xf>
    <xf numFmtId="166" fontId="0" fillId="0" borderId="0" xfId="1537" applyNumberFormat="1" applyFont="1"/>
    <xf numFmtId="165" fontId="0" fillId="38" borderId="5" xfId="1537" applyNumberFormat="1" applyFont="1" applyFill="1" applyBorder="1"/>
    <xf numFmtId="0" fontId="34" fillId="0" borderId="0" xfId="1537" applyFont="1" applyAlignment="1">
      <alignment horizontal="left" vertical="center" wrapText="1"/>
    </xf>
    <xf numFmtId="174" fontId="0" fillId="0" borderId="0" xfId="1537" applyNumberFormat="1" applyFont="1"/>
    <xf numFmtId="164" fontId="14" fillId="0" borderId="0" xfId="1537" applyNumberFormat="1" applyFont="1"/>
    <xf numFmtId="49" fontId="0" fillId="0" borderId="12" xfId="1537" applyNumberFormat="1" applyFont="1" applyBorder="1"/>
    <xf numFmtId="0" fontId="12" fillId="38" borderId="0" xfId="1537" applyFont="1" applyFill="1"/>
    <xf numFmtId="49" fontId="14" fillId="14" borderId="0" xfId="1537" applyNumberFormat="1" applyFont="1" applyFill="1"/>
    <xf numFmtId="0" fontId="15" fillId="14" borderId="0" xfId="1537" applyFont="1" applyFill="1"/>
    <xf numFmtId="1" fontId="14" fillId="14" borderId="0" xfId="1537" applyNumberFormat="1" applyFont="1" applyFill="1" applyAlignment="1">
      <alignment vertical="center"/>
    </xf>
    <xf numFmtId="1" fontId="14" fillId="14" borderId="0" xfId="1537" applyNumberFormat="1" applyFont="1" applyFill="1" applyAlignment="1">
      <alignment horizontal="left" vertical="top"/>
    </xf>
    <xf numFmtId="2" fontId="0" fillId="14" borderId="0" xfId="1537" applyNumberFormat="1" applyFont="1" applyFill="1" applyAlignment="1">
      <alignment horizontal="left" vertical="center"/>
    </xf>
    <xf numFmtId="1" fontId="0" fillId="14" borderId="0" xfId="1537" applyNumberFormat="1" applyFont="1" applyFill="1" applyAlignment="1">
      <alignment horizontal="left" vertical="center"/>
    </xf>
    <xf numFmtId="2" fontId="14" fillId="14" borderId="0" xfId="1537" applyNumberFormat="1" applyFont="1" applyFill="1" applyAlignment="1">
      <alignment horizontal="left" vertical="center"/>
    </xf>
    <xf numFmtId="11" fontId="14" fillId="14" borderId="0" xfId="1537" applyNumberFormat="1" applyFont="1" applyFill="1" applyAlignment="1">
      <alignment horizontal="left" vertical="center"/>
    </xf>
    <xf numFmtId="1" fontId="14" fillId="14" borderId="0" xfId="1537" applyNumberFormat="1" applyFont="1" applyFill="1" applyAlignment="1">
      <alignment horizontal="left" vertical="center"/>
    </xf>
    <xf numFmtId="11" fontId="0" fillId="14" borderId="0" xfId="1537" applyNumberFormat="1" applyFont="1" applyFill="1" applyAlignment="1">
      <alignment horizontal="left" vertical="center"/>
    </xf>
    <xf numFmtId="1" fontId="14" fillId="45" borderId="0" xfId="1537" applyNumberFormat="1" applyFont="1" applyFill="1" applyAlignment="1">
      <alignment vertical="center"/>
    </xf>
    <xf numFmtId="1" fontId="14" fillId="45" borderId="0" xfId="1537" applyNumberFormat="1" applyFont="1" applyFill="1" applyAlignment="1">
      <alignment horizontal="left" vertical="top"/>
    </xf>
    <xf numFmtId="2" fontId="0" fillId="45" borderId="0" xfId="1537" applyNumberFormat="1" applyFont="1" applyFill="1" applyAlignment="1">
      <alignment horizontal="left" vertical="center"/>
    </xf>
    <xf numFmtId="1" fontId="0" fillId="45" borderId="0" xfId="1537" applyNumberFormat="1" applyFont="1" applyFill="1" applyAlignment="1">
      <alignment horizontal="left" vertical="center"/>
    </xf>
    <xf numFmtId="2" fontId="14" fillId="45" borderId="0" xfId="1537" applyNumberFormat="1" applyFont="1" applyFill="1" applyAlignment="1">
      <alignment horizontal="left" vertical="center"/>
    </xf>
    <xf numFmtId="11" fontId="14" fillId="45" borderId="0" xfId="1537" applyNumberFormat="1" applyFont="1" applyFill="1" applyAlignment="1">
      <alignment horizontal="left" vertical="center"/>
    </xf>
    <xf numFmtId="1" fontId="14" fillId="45" borderId="0" xfId="1537" applyNumberFormat="1" applyFont="1" applyFill="1" applyAlignment="1">
      <alignment horizontal="left" vertical="center"/>
    </xf>
    <xf numFmtId="11" fontId="0" fillId="45" borderId="0" xfId="1537" applyNumberFormat="1" applyFont="1" applyFill="1" applyAlignment="1">
      <alignment horizontal="left" vertical="center"/>
    </xf>
    <xf numFmtId="49" fontId="0" fillId="2" borderId="0" xfId="1537" applyNumberFormat="1" applyFont="1" applyFill="1" applyAlignment="1">
      <alignment horizontal="center" vertical="top" wrapText="1"/>
    </xf>
    <xf numFmtId="0" fontId="15" fillId="2" borderId="0" xfId="1537" applyFont="1" applyFill="1" applyAlignment="1">
      <alignment horizontal="center" vertical="top" wrapText="1"/>
    </xf>
    <xf numFmtId="1" fontId="0" fillId="2" borderId="0" xfId="1537" applyNumberFormat="1" applyFont="1" applyFill="1" applyAlignment="1">
      <alignment horizontal="left" vertical="top" wrapText="1"/>
    </xf>
    <xf numFmtId="1" fontId="15" fillId="2" borderId="0" xfId="1537" applyNumberFormat="1" applyFont="1" applyFill="1" applyAlignment="1">
      <alignment horizontal="left" vertical="top" wrapText="1"/>
    </xf>
    <xf numFmtId="2" fontId="15" fillId="2" borderId="0" xfId="1537" applyNumberFormat="1" applyFont="1" applyFill="1" applyAlignment="1">
      <alignment horizontal="left" vertical="top" wrapText="1"/>
    </xf>
    <xf numFmtId="166" fontId="0" fillId="2" borderId="0" xfId="1537" applyNumberFormat="1" applyFont="1" applyFill="1" applyAlignment="1">
      <alignment horizontal="left" vertical="top" wrapText="1"/>
    </xf>
    <xf numFmtId="0" fontId="0" fillId="2" borderId="0" xfId="1537" applyFont="1" applyFill="1" applyAlignment="1">
      <alignment horizontal="left" vertical="top" wrapText="1"/>
    </xf>
    <xf numFmtId="11" fontId="0" fillId="2" borderId="0" xfId="1537" applyNumberFormat="1" applyFont="1" applyFill="1" applyAlignment="1">
      <alignment horizontal="left" vertical="top" wrapText="1"/>
    </xf>
    <xf numFmtId="1" fontId="0" fillId="44" borderId="0" xfId="1537" applyNumberFormat="1" applyFont="1" applyFill="1" applyAlignment="1">
      <alignment horizontal="left" vertical="top" wrapText="1"/>
    </xf>
    <xf numFmtId="1" fontId="15" fillId="44" borderId="0" xfId="1537" applyNumberFormat="1" applyFont="1" applyFill="1" applyAlignment="1">
      <alignment horizontal="left" vertical="top" wrapText="1"/>
    </xf>
    <xf numFmtId="2" fontId="15" fillId="44" borderId="0" xfId="1537" applyNumberFormat="1" applyFont="1" applyFill="1" applyAlignment="1">
      <alignment horizontal="left" vertical="top" wrapText="1"/>
    </xf>
    <xf numFmtId="166" fontId="0" fillId="44" borderId="0" xfId="1537" applyNumberFormat="1" applyFont="1" applyFill="1" applyAlignment="1">
      <alignment horizontal="left" vertical="top" wrapText="1"/>
    </xf>
    <xf numFmtId="0" fontId="0" fillId="44" borderId="0" xfId="1537" applyFont="1" applyFill="1" applyAlignment="1">
      <alignment horizontal="left" vertical="top" wrapText="1"/>
    </xf>
    <xf numFmtId="11" fontId="0" fillId="44" borderId="0" xfId="1537" applyNumberFormat="1" applyFont="1" applyFill="1" applyAlignment="1">
      <alignment horizontal="left" vertical="top" wrapText="1"/>
    </xf>
    <xf numFmtId="11" fontId="35" fillId="0" borderId="0" xfId="1537" applyNumberFormat="1" applyFont="1"/>
    <xf numFmtId="11" fontId="32" fillId="0" borderId="0" xfId="1537" applyNumberFormat="1" applyFont="1"/>
    <xf numFmtId="1" fontId="15" fillId="8" borderId="0" xfId="1537" applyNumberFormat="1" applyFont="1" applyFill="1"/>
    <xf numFmtId="11" fontId="32" fillId="0" borderId="0" xfId="1537" applyNumberFormat="1" applyFont="1" applyAlignment="1">
      <alignment vertical="top"/>
    </xf>
    <xf numFmtId="172" fontId="0" fillId="0" borderId="0" xfId="1537" applyNumberFormat="1" applyFont="1"/>
    <xf numFmtId="164" fontId="15" fillId="0" borderId="0" xfId="1537" applyNumberFormat="1" applyFont="1" applyAlignment="1">
      <alignment horizontal="right" vertical="center"/>
    </xf>
    <xf numFmtId="172" fontId="15" fillId="0" borderId="0" xfId="1537" applyNumberFormat="1" applyFont="1" applyAlignment="1">
      <alignment horizontal="right" vertical="center"/>
    </xf>
    <xf numFmtId="3" fontId="28" fillId="0" borderId="0" xfId="1537" applyNumberFormat="1" applyFont="1"/>
    <xf numFmtId="1" fontId="15" fillId="0" borderId="0" xfId="1537" applyNumberFormat="1" applyFont="1" applyAlignment="1">
      <alignment horizontal="right" vertical="center" wrapText="1"/>
    </xf>
    <xf numFmtId="171" fontId="28" fillId="0" borderId="0" xfId="1537" applyNumberFormat="1" applyFont="1"/>
    <xf numFmtId="0" fontId="47" fillId="0" borderId="0" xfId="1537" applyFont="1"/>
    <xf numFmtId="165" fontId="0" fillId="0" borderId="0" xfId="1537" applyNumberFormat="1" applyFont="1" applyAlignment="1">
      <alignment horizontal="right"/>
    </xf>
    <xf numFmtId="165" fontId="0" fillId="0" borderId="0" xfId="1537" applyNumberFormat="1" applyFont="1" applyAlignment="1">
      <alignment horizontal="right" vertical="center"/>
    </xf>
    <xf numFmtId="165" fontId="0" fillId="0" borderId="0" xfId="1537" applyNumberFormat="1" applyFont="1" applyAlignment="1">
      <alignment horizontal="right" vertical="center" wrapText="1"/>
    </xf>
    <xf numFmtId="11" fontId="35" fillId="0" borderId="0" xfId="1537" applyNumberFormat="1" applyFont="1" applyAlignment="1">
      <alignment vertical="top"/>
    </xf>
    <xf numFmtId="167" fontId="15" fillId="0" borderId="0" xfId="1537" applyNumberFormat="1" applyFont="1" applyAlignment="1">
      <alignment horizontal="right" vertical="center" wrapText="1"/>
    </xf>
    <xf numFmtId="0" fontId="0" fillId="14" borderId="10" xfId="1537" applyFont="1" applyFill="1" applyBorder="1"/>
    <xf numFmtId="0" fontId="0" fillId="14" borderId="4" xfId="1537" applyFont="1" applyFill="1" applyBorder="1"/>
    <xf numFmtId="0" fontId="0" fillId="14" borderId="11" xfId="1537" applyFont="1" applyFill="1" applyBorder="1"/>
    <xf numFmtId="3" fontId="0" fillId="0" borderId="14" xfId="1537" applyNumberFormat="1" applyFont="1" applyBorder="1"/>
    <xf numFmtId="1" fontId="15" fillId="0" borderId="5" xfId="1537" applyNumberFormat="1" applyFont="1" applyBorder="1"/>
    <xf numFmtId="2" fontId="0" fillId="0" borderId="14" xfId="1537" applyNumberFormat="1" applyFont="1" applyBorder="1"/>
    <xf numFmtId="2" fontId="0" fillId="0" borderId="15" xfId="1537" applyNumberFormat="1" applyFont="1" applyBorder="1"/>
    <xf numFmtId="3" fontId="0" fillId="0" borderId="12" xfId="1537" applyNumberFormat="1" applyFont="1" applyBorder="1"/>
    <xf numFmtId="0" fontId="0" fillId="0" borderId="10" xfId="1537" applyFont="1" applyBorder="1"/>
    <xf numFmtId="165" fontId="0" fillId="0" borderId="11" xfId="1537" applyNumberFormat="1" applyFont="1" applyBorder="1"/>
    <xf numFmtId="166" fontId="0" fillId="0" borderId="13" xfId="1537" applyNumberFormat="1" applyFont="1" applyBorder="1"/>
    <xf numFmtId="166" fontId="0" fillId="0" borderId="5" xfId="1537" applyNumberFormat="1" applyFont="1" applyBorder="1"/>
    <xf numFmtId="166" fontId="0" fillId="0" borderId="15" xfId="1537" applyNumberFormat="1" applyFont="1" applyBorder="1"/>
    <xf numFmtId="49" fontId="0" fillId="0" borderId="19" xfId="1537" applyNumberFormat="1" applyFont="1" applyBorder="1"/>
    <xf numFmtId="0" fontId="0" fillId="0" borderId="20" xfId="1537" applyFont="1" applyBorder="1"/>
    <xf numFmtId="2" fontId="0" fillId="0" borderId="20" xfId="1537" applyNumberFormat="1" applyFont="1" applyBorder="1"/>
    <xf numFmtId="167" fontId="0" fillId="0" borderId="20" xfId="1537" applyNumberFormat="1" applyFont="1" applyBorder="1"/>
    <xf numFmtId="11" fontId="0" fillId="0" borderId="20" xfId="1537" applyNumberFormat="1" applyFont="1" applyBorder="1"/>
    <xf numFmtId="0" fontId="0" fillId="0" borderId="19" xfId="1537" applyFont="1" applyBorder="1"/>
    <xf numFmtId="0" fontId="19" fillId="0" borderId="12" xfId="1537" applyFont="1" applyBorder="1" applyAlignment="1">
      <alignment horizontal="left" vertical="center"/>
    </xf>
    <xf numFmtId="1" fontId="25" fillId="0" borderId="13" xfId="1537" applyNumberFormat="1" applyFont="1" applyBorder="1" applyAlignment="1">
      <alignment horizontal="center" vertical="center"/>
    </xf>
    <xf numFmtId="0" fontId="26" fillId="0" borderId="0" xfId="1537" applyFont="1" applyAlignment="1">
      <alignment horizontal="left" vertical="center"/>
    </xf>
    <xf numFmtId="0" fontId="0" fillId="46" borderId="0" xfId="1537" applyFont="1" applyFill="1" applyAlignment="1">
      <alignment horizontal="left" vertical="top"/>
    </xf>
    <xf numFmtId="0" fontId="15" fillId="46" borderId="0" xfId="1537" applyFont="1" applyFill="1"/>
    <xf numFmtId="2" fontId="35" fillId="0" borderId="0" xfId="1537" applyNumberFormat="1" applyFont="1"/>
    <xf numFmtId="165" fontId="0" fillId="0" borderId="0" xfId="0" applyNumberFormat="1"/>
    <xf numFmtId="49" fontId="0" fillId="47" borderId="0" xfId="1537" applyNumberFormat="1" applyFont="1" applyFill="1" applyAlignment="1">
      <alignment horizontal="left" vertical="top"/>
    </xf>
    <xf numFmtId="0" fontId="0" fillId="47" borderId="0" xfId="1537" applyFont="1" applyFill="1" applyAlignment="1">
      <alignment horizontal="left" vertical="top"/>
    </xf>
    <xf numFmtId="0" fontId="15" fillId="47" borderId="0" xfId="1537" applyFont="1" applyFill="1"/>
    <xf numFmtId="3" fontId="0" fillId="47" borderId="0" xfId="1537" applyNumberFormat="1" applyFont="1" applyFill="1"/>
    <xf numFmtId="4" fontId="0" fillId="47" borderId="0" xfId="1537" applyNumberFormat="1" applyFont="1" applyFill="1"/>
    <xf numFmtId="2" fontId="0" fillId="47" borderId="0" xfId="1537" applyNumberFormat="1" applyFont="1" applyFill="1"/>
    <xf numFmtId="167" fontId="0" fillId="47" borderId="0" xfId="1537" applyNumberFormat="1" applyFont="1" applyFill="1"/>
    <xf numFmtId="11" fontId="0" fillId="47" borderId="0" xfId="1537" applyNumberFormat="1" applyFont="1" applyFill="1"/>
    <xf numFmtId="165" fontId="15" fillId="47" borderId="0" xfId="1537" applyNumberFormat="1" applyFont="1" applyFill="1"/>
    <xf numFmtId="0" fontId="49" fillId="0" borderId="0" xfId="1537" applyFont="1"/>
    <xf numFmtId="165" fontId="1" fillId="0" borderId="0" xfId="1537" applyNumberFormat="1" applyFont="1" applyAlignment="1">
      <alignment horizontal="right" vertical="center" wrapText="1"/>
    </xf>
    <xf numFmtId="2" fontId="0" fillId="0" borderId="0" xfId="0" applyNumberFormat="1"/>
    <xf numFmtId="0" fontId="50" fillId="0" borderId="0" xfId="1537" applyFont="1"/>
    <xf numFmtId="165" fontId="51" fillId="0" borderId="0" xfId="0" applyNumberFormat="1" applyFont="1"/>
    <xf numFmtId="165" fontId="16" fillId="0" borderId="0" xfId="1537" applyNumberFormat="1" applyFont="1" applyAlignment="1">
      <alignment vertical="center"/>
    </xf>
    <xf numFmtId="165" fontId="16" fillId="0" borderId="0" xfId="1537" applyNumberFormat="1" applyFont="1"/>
    <xf numFmtId="167" fontId="1" fillId="0" borderId="0" xfId="1537" applyNumberFormat="1" applyFont="1" applyAlignment="1">
      <alignment horizontal="right" vertical="center" wrapText="1"/>
    </xf>
    <xf numFmtId="49" fontId="0" fillId="0" borderId="4" xfId="1537" applyNumberFormat="1" applyFont="1" applyBorder="1" applyAlignment="1">
      <alignment horizontal="left" vertical="top"/>
    </xf>
    <xf numFmtId="0" fontId="52" fillId="0" borderId="4" xfId="1537" applyFont="1" applyBorder="1" applyAlignment="1">
      <alignment horizontal="left" vertical="top"/>
    </xf>
  </cellXfs>
  <cellStyles count="27424">
    <cellStyle name="???????????" xfId="1212" xr:uid="{00000000-0005-0000-0000-0000BC040000}"/>
    <cellStyle name="20 % - Akzent1" xfId="1" xr:uid="{00000000-0005-0000-0000-000001000000}"/>
    <cellStyle name="20 % - Akzent1 2" xfId="2" xr:uid="{00000000-0005-0000-0000-000002000000}"/>
    <cellStyle name="20 % - Akzent1 3" xfId="3" xr:uid="{00000000-0005-0000-0000-000003000000}"/>
    <cellStyle name="20 % - Akzent2" xfId="4" xr:uid="{00000000-0005-0000-0000-000004000000}"/>
    <cellStyle name="20 % - Akzent2 2" xfId="5" xr:uid="{00000000-0005-0000-0000-000005000000}"/>
    <cellStyle name="20 % - Akzent2 3" xfId="6" xr:uid="{00000000-0005-0000-0000-000006000000}"/>
    <cellStyle name="20 % - Akzent3" xfId="7" xr:uid="{00000000-0005-0000-0000-000007000000}"/>
    <cellStyle name="20 % - Akzent3 2" xfId="8" xr:uid="{00000000-0005-0000-0000-000008000000}"/>
    <cellStyle name="20 % - Akzent3 3" xfId="9" xr:uid="{00000000-0005-0000-0000-000009000000}"/>
    <cellStyle name="20 % - Akzent4" xfId="10" xr:uid="{00000000-0005-0000-0000-00000A000000}"/>
    <cellStyle name="20 % - Akzent4 2" xfId="11" xr:uid="{00000000-0005-0000-0000-00000B000000}"/>
    <cellStyle name="20 % - Akzent4 3" xfId="12" xr:uid="{00000000-0005-0000-0000-00000C000000}"/>
    <cellStyle name="20 % - Akzent5" xfId="13" xr:uid="{00000000-0005-0000-0000-00000D000000}"/>
    <cellStyle name="20 % - Akzent5 2" xfId="14" xr:uid="{00000000-0005-0000-0000-00000E000000}"/>
    <cellStyle name="20 % - Akzent5 3" xfId="15" xr:uid="{00000000-0005-0000-0000-00000F000000}"/>
    <cellStyle name="20 % - Akzent6" xfId="16" xr:uid="{00000000-0005-0000-0000-000010000000}"/>
    <cellStyle name="20 % - Akzent6 2" xfId="17" xr:uid="{00000000-0005-0000-0000-000011000000}"/>
    <cellStyle name="20 % - Akzent6 3" xfId="18" xr:uid="{00000000-0005-0000-0000-000012000000}"/>
    <cellStyle name="20% - Accent1 2" xfId="19" xr:uid="{00000000-0005-0000-0000-000013000000}"/>
    <cellStyle name="20% - Accent1 3" xfId="20" xr:uid="{00000000-0005-0000-0000-000014000000}"/>
    <cellStyle name="20% - Accent2 2" xfId="21" xr:uid="{00000000-0005-0000-0000-000015000000}"/>
    <cellStyle name="20% - Accent2 3" xfId="22" xr:uid="{00000000-0005-0000-0000-000016000000}"/>
    <cellStyle name="20% - Accent3 2" xfId="23" xr:uid="{00000000-0005-0000-0000-000017000000}"/>
    <cellStyle name="20% - Accent3 3" xfId="24" xr:uid="{00000000-0005-0000-0000-000018000000}"/>
    <cellStyle name="20% - Accent4 2" xfId="25" xr:uid="{00000000-0005-0000-0000-000019000000}"/>
    <cellStyle name="20% - Accent4 3" xfId="26" xr:uid="{00000000-0005-0000-0000-00001A000000}"/>
    <cellStyle name="20% - Accent5 2" xfId="27" xr:uid="{00000000-0005-0000-0000-00001B000000}"/>
    <cellStyle name="20% - Accent5 3" xfId="28" xr:uid="{00000000-0005-0000-0000-00001C000000}"/>
    <cellStyle name="20% - Accent6 2" xfId="29" xr:uid="{00000000-0005-0000-0000-00001D000000}"/>
    <cellStyle name="20% - Accent6 3" xfId="30" xr:uid="{00000000-0005-0000-0000-00001E000000}"/>
    <cellStyle name="2x indented GHG Textfiels" xfId="31" xr:uid="{00000000-0005-0000-0000-00001F000000}"/>
    <cellStyle name="2x indented GHG Textfiels 2" xfId="32" xr:uid="{00000000-0005-0000-0000-000020000000}"/>
    <cellStyle name="2x indented GHG Textfiels 2 2" xfId="33" xr:uid="{00000000-0005-0000-0000-000021000000}"/>
    <cellStyle name="2x indented GHG Textfiels 3" xfId="34" xr:uid="{00000000-0005-0000-0000-000022000000}"/>
    <cellStyle name="2x indented GHG Textfiels 3 2" xfId="35" xr:uid="{00000000-0005-0000-0000-000023000000}"/>
    <cellStyle name="2x indented GHG Textfiels 3 2 2" xfId="36" xr:uid="{00000000-0005-0000-0000-000024000000}"/>
    <cellStyle name="2x indented GHG Textfiels 3 2 2 10" xfId="37" xr:uid="{00000000-0005-0000-0000-000025000000}"/>
    <cellStyle name="2x indented GHG Textfiels 3 2 2 11" xfId="38" xr:uid="{00000000-0005-0000-0000-000026000000}"/>
    <cellStyle name="2x indented GHG Textfiels 3 2 2 12" xfId="39" xr:uid="{00000000-0005-0000-0000-000027000000}"/>
    <cellStyle name="2x indented GHG Textfiels 3 2 2 13" xfId="40" xr:uid="{00000000-0005-0000-0000-000028000000}"/>
    <cellStyle name="2x indented GHG Textfiels 3 2 2 14" xfId="41" xr:uid="{00000000-0005-0000-0000-000029000000}"/>
    <cellStyle name="2x indented GHG Textfiels 3 2 2 15" xfId="42" xr:uid="{00000000-0005-0000-0000-00002A000000}"/>
    <cellStyle name="2x indented GHG Textfiels 3 2 2 16" xfId="43" xr:uid="{00000000-0005-0000-0000-00002B000000}"/>
    <cellStyle name="2x indented GHG Textfiels 3 2 2 17" xfId="44" xr:uid="{00000000-0005-0000-0000-00002C000000}"/>
    <cellStyle name="2x indented GHG Textfiels 3 2 2 18" xfId="45" xr:uid="{00000000-0005-0000-0000-00002D000000}"/>
    <cellStyle name="2x indented GHG Textfiels 3 2 2 19" xfId="46" xr:uid="{00000000-0005-0000-0000-00002E000000}"/>
    <cellStyle name="2x indented GHG Textfiels 3 2 2 2" xfId="47" xr:uid="{00000000-0005-0000-0000-00002F000000}"/>
    <cellStyle name="2x indented GHG Textfiels 3 2 2 2 10" xfId="48" xr:uid="{00000000-0005-0000-0000-000030000000}"/>
    <cellStyle name="2x indented GHG Textfiels 3 2 2 2 11" xfId="49" xr:uid="{00000000-0005-0000-0000-000031000000}"/>
    <cellStyle name="2x indented GHG Textfiels 3 2 2 2 12" xfId="50" xr:uid="{00000000-0005-0000-0000-000032000000}"/>
    <cellStyle name="2x indented GHG Textfiels 3 2 2 2 13" xfId="51" xr:uid="{00000000-0005-0000-0000-000033000000}"/>
    <cellStyle name="2x indented GHG Textfiels 3 2 2 2 14" xfId="52" xr:uid="{00000000-0005-0000-0000-000034000000}"/>
    <cellStyle name="2x indented GHG Textfiels 3 2 2 2 15" xfId="53" xr:uid="{00000000-0005-0000-0000-000035000000}"/>
    <cellStyle name="2x indented GHG Textfiels 3 2 2 2 16" xfId="54" xr:uid="{00000000-0005-0000-0000-000036000000}"/>
    <cellStyle name="2x indented GHG Textfiels 3 2 2 2 17" xfId="55" xr:uid="{00000000-0005-0000-0000-000037000000}"/>
    <cellStyle name="2x indented GHG Textfiels 3 2 2 2 18" xfId="56" xr:uid="{00000000-0005-0000-0000-000038000000}"/>
    <cellStyle name="2x indented GHG Textfiels 3 2 2 2 19" xfId="57" xr:uid="{00000000-0005-0000-0000-000039000000}"/>
    <cellStyle name="2x indented GHG Textfiels 3 2 2 2 2" xfId="58" xr:uid="{00000000-0005-0000-0000-00003A000000}"/>
    <cellStyle name="2x indented GHG Textfiels 3 2 2 2 20" xfId="59" xr:uid="{00000000-0005-0000-0000-00003B000000}"/>
    <cellStyle name="2x indented GHG Textfiels 3 2 2 2 21" xfId="60" xr:uid="{00000000-0005-0000-0000-00003C000000}"/>
    <cellStyle name="2x indented GHG Textfiels 3 2 2 2 22" xfId="61" xr:uid="{00000000-0005-0000-0000-00003D000000}"/>
    <cellStyle name="2x indented GHG Textfiels 3 2 2 2 23" xfId="62" xr:uid="{00000000-0005-0000-0000-00003E000000}"/>
    <cellStyle name="2x indented GHG Textfiels 3 2 2 2 24" xfId="63" xr:uid="{00000000-0005-0000-0000-00003F000000}"/>
    <cellStyle name="2x indented GHG Textfiels 3 2 2 2 25" xfId="64" xr:uid="{00000000-0005-0000-0000-000040000000}"/>
    <cellStyle name="2x indented GHG Textfiels 3 2 2 2 26" xfId="65" xr:uid="{00000000-0005-0000-0000-000041000000}"/>
    <cellStyle name="2x indented GHG Textfiels 3 2 2 2 27" xfId="66" xr:uid="{00000000-0005-0000-0000-000042000000}"/>
    <cellStyle name="2x indented GHG Textfiels 3 2 2 2 28" xfId="67" xr:uid="{00000000-0005-0000-0000-000043000000}"/>
    <cellStyle name="2x indented GHG Textfiels 3 2 2 2 29" xfId="68" xr:uid="{00000000-0005-0000-0000-000044000000}"/>
    <cellStyle name="2x indented GHG Textfiels 3 2 2 2 3" xfId="69" xr:uid="{00000000-0005-0000-0000-000045000000}"/>
    <cellStyle name="2x indented GHG Textfiels 3 2 2 2 30" xfId="70" xr:uid="{00000000-0005-0000-0000-000046000000}"/>
    <cellStyle name="2x indented GHG Textfiels 3 2 2 2 31" xfId="71" xr:uid="{00000000-0005-0000-0000-000047000000}"/>
    <cellStyle name="2x indented GHG Textfiels 3 2 2 2 32" xfId="72" xr:uid="{00000000-0005-0000-0000-000048000000}"/>
    <cellStyle name="2x indented GHG Textfiels 3 2 2 2 33" xfId="73" xr:uid="{00000000-0005-0000-0000-000049000000}"/>
    <cellStyle name="2x indented GHG Textfiels 3 2 2 2 34" xfId="74" xr:uid="{00000000-0005-0000-0000-00004A000000}"/>
    <cellStyle name="2x indented GHG Textfiels 3 2 2 2 35" xfId="75" xr:uid="{00000000-0005-0000-0000-00004B000000}"/>
    <cellStyle name="2x indented GHG Textfiels 3 2 2 2 36" xfId="76" xr:uid="{00000000-0005-0000-0000-00004C000000}"/>
    <cellStyle name="2x indented GHG Textfiels 3 2 2 2 37" xfId="77" xr:uid="{00000000-0005-0000-0000-00004D000000}"/>
    <cellStyle name="2x indented GHG Textfiels 3 2 2 2 38" xfId="78" xr:uid="{00000000-0005-0000-0000-00004E000000}"/>
    <cellStyle name="2x indented GHG Textfiels 3 2 2 2 39" xfId="79" xr:uid="{00000000-0005-0000-0000-00004F000000}"/>
    <cellStyle name="2x indented GHG Textfiels 3 2 2 2 4" xfId="80" xr:uid="{00000000-0005-0000-0000-000050000000}"/>
    <cellStyle name="2x indented GHG Textfiels 3 2 2 2 40" xfId="81" xr:uid="{00000000-0005-0000-0000-000051000000}"/>
    <cellStyle name="2x indented GHG Textfiels 3 2 2 2 41" xfId="82" xr:uid="{00000000-0005-0000-0000-000052000000}"/>
    <cellStyle name="2x indented GHG Textfiels 3 2 2 2 42" xfId="83" xr:uid="{00000000-0005-0000-0000-000053000000}"/>
    <cellStyle name="2x indented GHG Textfiels 3 2 2 2 43" xfId="84" xr:uid="{00000000-0005-0000-0000-000054000000}"/>
    <cellStyle name="2x indented GHG Textfiels 3 2 2 2 44" xfId="85" xr:uid="{00000000-0005-0000-0000-000055000000}"/>
    <cellStyle name="2x indented GHG Textfiels 3 2 2 2 45" xfId="86" xr:uid="{00000000-0005-0000-0000-000056000000}"/>
    <cellStyle name="2x indented GHG Textfiels 3 2 2 2 46" xfId="87" xr:uid="{00000000-0005-0000-0000-000057000000}"/>
    <cellStyle name="2x indented GHG Textfiels 3 2 2 2 47" xfId="88" xr:uid="{00000000-0005-0000-0000-000058000000}"/>
    <cellStyle name="2x indented GHG Textfiels 3 2 2 2 48" xfId="89" xr:uid="{00000000-0005-0000-0000-000059000000}"/>
    <cellStyle name="2x indented GHG Textfiels 3 2 2 2 49" xfId="90" xr:uid="{00000000-0005-0000-0000-00005A000000}"/>
    <cellStyle name="2x indented GHG Textfiels 3 2 2 2 5" xfId="91" xr:uid="{00000000-0005-0000-0000-00005B000000}"/>
    <cellStyle name="2x indented GHG Textfiels 3 2 2 2 50" xfId="92" xr:uid="{00000000-0005-0000-0000-00005C000000}"/>
    <cellStyle name="2x indented GHG Textfiels 3 2 2 2 51" xfId="93" xr:uid="{00000000-0005-0000-0000-00005D000000}"/>
    <cellStyle name="2x indented GHG Textfiels 3 2 2 2 52" xfId="94" xr:uid="{00000000-0005-0000-0000-00005E000000}"/>
    <cellStyle name="2x indented GHG Textfiels 3 2 2 2 53" xfId="95" xr:uid="{00000000-0005-0000-0000-00005F000000}"/>
    <cellStyle name="2x indented GHG Textfiels 3 2 2 2 54" xfId="96" xr:uid="{00000000-0005-0000-0000-000060000000}"/>
    <cellStyle name="2x indented GHG Textfiels 3 2 2 2 55" xfId="97" xr:uid="{00000000-0005-0000-0000-000061000000}"/>
    <cellStyle name="2x indented GHG Textfiels 3 2 2 2 56" xfId="98" xr:uid="{00000000-0005-0000-0000-000062000000}"/>
    <cellStyle name="2x indented GHG Textfiels 3 2 2 2 57" xfId="99" xr:uid="{00000000-0005-0000-0000-000063000000}"/>
    <cellStyle name="2x indented GHG Textfiels 3 2 2 2 58" xfId="100" xr:uid="{00000000-0005-0000-0000-000064000000}"/>
    <cellStyle name="2x indented GHG Textfiels 3 2 2 2 59" xfId="101" xr:uid="{00000000-0005-0000-0000-000065000000}"/>
    <cellStyle name="2x indented GHG Textfiels 3 2 2 2 6" xfId="102" xr:uid="{00000000-0005-0000-0000-000066000000}"/>
    <cellStyle name="2x indented GHG Textfiels 3 2 2 2 60" xfId="103" xr:uid="{00000000-0005-0000-0000-000067000000}"/>
    <cellStyle name="2x indented GHG Textfiels 3 2 2 2 61" xfId="104" xr:uid="{00000000-0005-0000-0000-000068000000}"/>
    <cellStyle name="2x indented GHG Textfiels 3 2 2 2 62" xfId="105" xr:uid="{00000000-0005-0000-0000-000069000000}"/>
    <cellStyle name="2x indented GHG Textfiels 3 2 2 2 63" xfId="106" xr:uid="{00000000-0005-0000-0000-00006A000000}"/>
    <cellStyle name="2x indented GHG Textfiels 3 2 2 2 64" xfId="107" xr:uid="{00000000-0005-0000-0000-00006B000000}"/>
    <cellStyle name="2x indented GHG Textfiels 3 2 2 2 65" xfId="108" xr:uid="{00000000-0005-0000-0000-00006C000000}"/>
    <cellStyle name="2x indented GHG Textfiels 3 2 2 2 7" xfId="109" xr:uid="{00000000-0005-0000-0000-00006D000000}"/>
    <cellStyle name="2x indented GHG Textfiels 3 2 2 2 8" xfId="110" xr:uid="{00000000-0005-0000-0000-00006E000000}"/>
    <cellStyle name="2x indented GHG Textfiels 3 2 2 2 9" xfId="111" xr:uid="{00000000-0005-0000-0000-00006F000000}"/>
    <cellStyle name="2x indented GHG Textfiels 3 2 2 20" xfId="112" xr:uid="{00000000-0005-0000-0000-000070000000}"/>
    <cellStyle name="2x indented GHG Textfiels 3 2 2 21" xfId="113" xr:uid="{00000000-0005-0000-0000-000071000000}"/>
    <cellStyle name="2x indented GHG Textfiels 3 2 2 22" xfId="114" xr:uid="{00000000-0005-0000-0000-000072000000}"/>
    <cellStyle name="2x indented GHG Textfiels 3 2 2 23" xfId="115" xr:uid="{00000000-0005-0000-0000-000073000000}"/>
    <cellStyle name="2x indented GHG Textfiels 3 2 2 24" xfId="116" xr:uid="{00000000-0005-0000-0000-000074000000}"/>
    <cellStyle name="2x indented GHG Textfiels 3 2 2 25" xfId="117" xr:uid="{00000000-0005-0000-0000-000075000000}"/>
    <cellStyle name="2x indented GHG Textfiels 3 2 2 26" xfId="118" xr:uid="{00000000-0005-0000-0000-000076000000}"/>
    <cellStyle name="2x indented GHG Textfiels 3 2 2 27" xfId="119" xr:uid="{00000000-0005-0000-0000-000077000000}"/>
    <cellStyle name="2x indented GHG Textfiels 3 2 2 28" xfId="120" xr:uid="{00000000-0005-0000-0000-000078000000}"/>
    <cellStyle name="2x indented GHG Textfiels 3 2 2 29" xfId="121" xr:uid="{00000000-0005-0000-0000-000079000000}"/>
    <cellStyle name="2x indented GHG Textfiels 3 2 2 3" xfId="122" xr:uid="{00000000-0005-0000-0000-00007A000000}"/>
    <cellStyle name="2x indented GHG Textfiels 3 2 2 30" xfId="123" xr:uid="{00000000-0005-0000-0000-00007B000000}"/>
    <cellStyle name="2x indented GHG Textfiels 3 2 2 31" xfId="124" xr:uid="{00000000-0005-0000-0000-00007C000000}"/>
    <cellStyle name="2x indented GHG Textfiels 3 2 2 32" xfId="125" xr:uid="{00000000-0005-0000-0000-00007D000000}"/>
    <cellStyle name="2x indented GHG Textfiels 3 2 2 33" xfId="126" xr:uid="{00000000-0005-0000-0000-00007E000000}"/>
    <cellStyle name="2x indented GHG Textfiels 3 2 2 34" xfId="127" xr:uid="{00000000-0005-0000-0000-00007F000000}"/>
    <cellStyle name="2x indented GHG Textfiels 3 2 2 35" xfId="128" xr:uid="{00000000-0005-0000-0000-000080000000}"/>
    <cellStyle name="2x indented GHG Textfiels 3 2 2 36" xfId="129" xr:uid="{00000000-0005-0000-0000-000081000000}"/>
    <cellStyle name="2x indented GHG Textfiels 3 2 2 37" xfId="130" xr:uid="{00000000-0005-0000-0000-000082000000}"/>
    <cellStyle name="2x indented GHG Textfiels 3 2 2 38" xfId="131" xr:uid="{00000000-0005-0000-0000-000083000000}"/>
    <cellStyle name="2x indented GHG Textfiels 3 2 2 39" xfId="132" xr:uid="{00000000-0005-0000-0000-000084000000}"/>
    <cellStyle name="2x indented GHG Textfiels 3 2 2 4" xfId="133" xr:uid="{00000000-0005-0000-0000-000085000000}"/>
    <cellStyle name="2x indented GHG Textfiels 3 2 2 40" xfId="134" xr:uid="{00000000-0005-0000-0000-000086000000}"/>
    <cellStyle name="2x indented GHG Textfiels 3 2 2 41" xfId="135" xr:uid="{00000000-0005-0000-0000-000087000000}"/>
    <cellStyle name="2x indented GHG Textfiels 3 2 2 42" xfId="136" xr:uid="{00000000-0005-0000-0000-000088000000}"/>
    <cellStyle name="2x indented GHG Textfiels 3 2 2 43" xfId="137" xr:uid="{00000000-0005-0000-0000-000089000000}"/>
    <cellStyle name="2x indented GHG Textfiels 3 2 2 44" xfId="138" xr:uid="{00000000-0005-0000-0000-00008A000000}"/>
    <cellStyle name="2x indented GHG Textfiels 3 2 2 45" xfId="139" xr:uid="{00000000-0005-0000-0000-00008B000000}"/>
    <cellStyle name="2x indented GHG Textfiels 3 2 2 46" xfId="140" xr:uid="{00000000-0005-0000-0000-00008C000000}"/>
    <cellStyle name="2x indented GHG Textfiels 3 2 2 47" xfId="141" xr:uid="{00000000-0005-0000-0000-00008D000000}"/>
    <cellStyle name="2x indented GHG Textfiels 3 2 2 48" xfId="142" xr:uid="{00000000-0005-0000-0000-00008E000000}"/>
    <cellStyle name="2x indented GHG Textfiels 3 2 2 49" xfId="143" xr:uid="{00000000-0005-0000-0000-00008F000000}"/>
    <cellStyle name="2x indented GHG Textfiels 3 2 2 5" xfId="144" xr:uid="{00000000-0005-0000-0000-000090000000}"/>
    <cellStyle name="2x indented GHG Textfiels 3 2 2 50" xfId="145" xr:uid="{00000000-0005-0000-0000-000091000000}"/>
    <cellStyle name="2x indented GHG Textfiels 3 2 2 51" xfId="146" xr:uid="{00000000-0005-0000-0000-000092000000}"/>
    <cellStyle name="2x indented GHG Textfiels 3 2 2 52" xfId="147" xr:uid="{00000000-0005-0000-0000-000093000000}"/>
    <cellStyle name="2x indented GHG Textfiels 3 2 2 53" xfId="148" xr:uid="{00000000-0005-0000-0000-000094000000}"/>
    <cellStyle name="2x indented GHG Textfiels 3 2 2 54" xfId="149" xr:uid="{00000000-0005-0000-0000-000095000000}"/>
    <cellStyle name="2x indented GHG Textfiels 3 2 2 55" xfId="150" xr:uid="{00000000-0005-0000-0000-000096000000}"/>
    <cellStyle name="2x indented GHG Textfiels 3 2 2 56" xfId="151" xr:uid="{00000000-0005-0000-0000-000097000000}"/>
    <cellStyle name="2x indented GHG Textfiels 3 2 2 57" xfId="152" xr:uid="{00000000-0005-0000-0000-000098000000}"/>
    <cellStyle name="2x indented GHG Textfiels 3 2 2 58" xfId="153" xr:uid="{00000000-0005-0000-0000-000099000000}"/>
    <cellStyle name="2x indented GHG Textfiels 3 2 2 59" xfId="154" xr:uid="{00000000-0005-0000-0000-00009A000000}"/>
    <cellStyle name="2x indented GHG Textfiels 3 2 2 6" xfId="155" xr:uid="{00000000-0005-0000-0000-00009B000000}"/>
    <cellStyle name="2x indented GHG Textfiels 3 2 2 60" xfId="156" xr:uid="{00000000-0005-0000-0000-00009C000000}"/>
    <cellStyle name="2x indented GHG Textfiels 3 2 2 61" xfId="157" xr:uid="{00000000-0005-0000-0000-00009D000000}"/>
    <cellStyle name="2x indented GHG Textfiels 3 2 2 62" xfId="158" xr:uid="{00000000-0005-0000-0000-00009E000000}"/>
    <cellStyle name="2x indented GHG Textfiels 3 2 2 63" xfId="159" xr:uid="{00000000-0005-0000-0000-00009F000000}"/>
    <cellStyle name="2x indented GHG Textfiels 3 2 2 64" xfId="160" xr:uid="{00000000-0005-0000-0000-0000A0000000}"/>
    <cellStyle name="2x indented GHG Textfiels 3 2 2 65" xfId="161" xr:uid="{00000000-0005-0000-0000-0000A1000000}"/>
    <cellStyle name="2x indented GHG Textfiels 3 2 2 66" xfId="162" xr:uid="{00000000-0005-0000-0000-0000A2000000}"/>
    <cellStyle name="2x indented GHG Textfiels 3 2 2 7" xfId="163" xr:uid="{00000000-0005-0000-0000-0000A3000000}"/>
    <cellStyle name="2x indented GHG Textfiels 3 2 2 8" xfId="164" xr:uid="{00000000-0005-0000-0000-0000A4000000}"/>
    <cellStyle name="2x indented GHG Textfiels 3 2 2 9" xfId="165" xr:uid="{00000000-0005-0000-0000-0000A5000000}"/>
    <cellStyle name="2x indented GHG Textfiels 3 2 3" xfId="166" xr:uid="{00000000-0005-0000-0000-0000A6000000}"/>
    <cellStyle name="2x indented GHG Textfiels 3 2 3 10" xfId="167" xr:uid="{00000000-0005-0000-0000-0000A7000000}"/>
    <cellStyle name="2x indented GHG Textfiels 3 2 3 11" xfId="168" xr:uid="{00000000-0005-0000-0000-0000A8000000}"/>
    <cellStyle name="2x indented GHG Textfiels 3 2 3 12" xfId="169" xr:uid="{00000000-0005-0000-0000-0000A9000000}"/>
    <cellStyle name="2x indented GHG Textfiels 3 2 3 13" xfId="170" xr:uid="{00000000-0005-0000-0000-0000AA000000}"/>
    <cellStyle name="2x indented GHG Textfiels 3 2 3 14" xfId="171" xr:uid="{00000000-0005-0000-0000-0000AB000000}"/>
    <cellStyle name="2x indented GHG Textfiels 3 2 3 15" xfId="172" xr:uid="{00000000-0005-0000-0000-0000AC000000}"/>
    <cellStyle name="2x indented GHG Textfiels 3 2 3 16" xfId="173" xr:uid="{00000000-0005-0000-0000-0000AD000000}"/>
    <cellStyle name="2x indented GHG Textfiels 3 2 3 17" xfId="174" xr:uid="{00000000-0005-0000-0000-0000AE000000}"/>
    <cellStyle name="2x indented GHG Textfiels 3 2 3 18" xfId="175" xr:uid="{00000000-0005-0000-0000-0000AF000000}"/>
    <cellStyle name="2x indented GHG Textfiels 3 2 3 19" xfId="176" xr:uid="{00000000-0005-0000-0000-0000B0000000}"/>
    <cellStyle name="2x indented GHG Textfiels 3 2 3 2" xfId="177" xr:uid="{00000000-0005-0000-0000-0000B1000000}"/>
    <cellStyle name="2x indented GHG Textfiels 3 2 3 20" xfId="178" xr:uid="{00000000-0005-0000-0000-0000B2000000}"/>
    <cellStyle name="2x indented GHG Textfiels 3 2 3 21" xfId="179" xr:uid="{00000000-0005-0000-0000-0000B3000000}"/>
    <cellStyle name="2x indented GHG Textfiels 3 2 3 22" xfId="180" xr:uid="{00000000-0005-0000-0000-0000B4000000}"/>
    <cellStyle name="2x indented GHG Textfiels 3 2 3 23" xfId="181" xr:uid="{00000000-0005-0000-0000-0000B5000000}"/>
    <cellStyle name="2x indented GHG Textfiels 3 2 3 24" xfId="182" xr:uid="{00000000-0005-0000-0000-0000B6000000}"/>
    <cellStyle name="2x indented GHG Textfiels 3 2 3 25" xfId="183" xr:uid="{00000000-0005-0000-0000-0000B7000000}"/>
    <cellStyle name="2x indented GHG Textfiels 3 2 3 26" xfId="184" xr:uid="{00000000-0005-0000-0000-0000B8000000}"/>
    <cellStyle name="2x indented GHG Textfiels 3 2 3 27" xfId="185" xr:uid="{00000000-0005-0000-0000-0000B9000000}"/>
    <cellStyle name="2x indented GHG Textfiels 3 2 3 28" xfId="186" xr:uid="{00000000-0005-0000-0000-0000BA000000}"/>
    <cellStyle name="2x indented GHG Textfiels 3 2 3 29" xfId="187" xr:uid="{00000000-0005-0000-0000-0000BB000000}"/>
    <cellStyle name="2x indented GHG Textfiels 3 2 3 3" xfId="188" xr:uid="{00000000-0005-0000-0000-0000BC000000}"/>
    <cellStyle name="2x indented GHG Textfiels 3 2 3 30" xfId="189" xr:uid="{00000000-0005-0000-0000-0000BD000000}"/>
    <cellStyle name="2x indented GHG Textfiels 3 2 3 31" xfId="190" xr:uid="{00000000-0005-0000-0000-0000BE000000}"/>
    <cellStyle name="2x indented GHG Textfiels 3 2 3 32" xfId="191" xr:uid="{00000000-0005-0000-0000-0000BF000000}"/>
    <cellStyle name="2x indented GHG Textfiels 3 2 3 33" xfId="192" xr:uid="{00000000-0005-0000-0000-0000C0000000}"/>
    <cellStyle name="2x indented GHG Textfiels 3 2 3 34" xfId="193" xr:uid="{00000000-0005-0000-0000-0000C1000000}"/>
    <cellStyle name="2x indented GHG Textfiels 3 2 3 35" xfId="194" xr:uid="{00000000-0005-0000-0000-0000C2000000}"/>
    <cellStyle name="2x indented GHG Textfiels 3 2 3 36" xfId="195" xr:uid="{00000000-0005-0000-0000-0000C3000000}"/>
    <cellStyle name="2x indented GHG Textfiels 3 2 3 37" xfId="196" xr:uid="{00000000-0005-0000-0000-0000C4000000}"/>
    <cellStyle name="2x indented GHG Textfiels 3 2 3 38" xfId="197" xr:uid="{00000000-0005-0000-0000-0000C5000000}"/>
    <cellStyle name="2x indented GHG Textfiels 3 2 3 39" xfId="198" xr:uid="{00000000-0005-0000-0000-0000C6000000}"/>
    <cellStyle name="2x indented GHG Textfiels 3 2 3 4" xfId="199" xr:uid="{00000000-0005-0000-0000-0000C7000000}"/>
    <cellStyle name="2x indented GHG Textfiels 3 2 3 40" xfId="200" xr:uid="{00000000-0005-0000-0000-0000C8000000}"/>
    <cellStyle name="2x indented GHG Textfiels 3 2 3 41" xfId="201" xr:uid="{00000000-0005-0000-0000-0000C9000000}"/>
    <cellStyle name="2x indented GHG Textfiels 3 2 3 42" xfId="202" xr:uid="{00000000-0005-0000-0000-0000CA000000}"/>
    <cellStyle name="2x indented GHG Textfiels 3 2 3 43" xfId="203" xr:uid="{00000000-0005-0000-0000-0000CB000000}"/>
    <cellStyle name="2x indented GHG Textfiels 3 2 3 44" xfId="204" xr:uid="{00000000-0005-0000-0000-0000CC000000}"/>
    <cellStyle name="2x indented GHG Textfiels 3 2 3 45" xfId="205" xr:uid="{00000000-0005-0000-0000-0000CD000000}"/>
    <cellStyle name="2x indented GHG Textfiels 3 2 3 46" xfId="206" xr:uid="{00000000-0005-0000-0000-0000CE000000}"/>
    <cellStyle name="2x indented GHG Textfiels 3 2 3 47" xfId="207" xr:uid="{00000000-0005-0000-0000-0000CF000000}"/>
    <cellStyle name="2x indented GHG Textfiels 3 2 3 48" xfId="208" xr:uid="{00000000-0005-0000-0000-0000D0000000}"/>
    <cellStyle name="2x indented GHG Textfiels 3 2 3 49" xfId="209" xr:uid="{00000000-0005-0000-0000-0000D1000000}"/>
    <cellStyle name="2x indented GHG Textfiels 3 2 3 5" xfId="210" xr:uid="{00000000-0005-0000-0000-0000D2000000}"/>
    <cellStyle name="2x indented GHG Textfiels 3 2 3 50" xfId="211" xr:uid="{00000000-0005-0000-0000-0000D3000000}"/>
    <cellStyle name="2x indented GHG Textfiels 3 2 3 51" xfId="212" xr:uid="{00000000-0005-0000-0000-0000D4000000}"/>
    <cellStyle name="2x indented GHG Textfiels 3 2 3 52" xfId="213" xr:uid="{00000000-0005-0000-0000-0000D5000000}"/>
    <cellStyle name="2x indented GHG Textfiels 3 2 3 53" xfId="214" xr:uid="{00000000-0005-0000-0000-0000D6000000}"/>
    <cellStyle name="2x indented GHG Textfiels 3 2 3 54" xfId="215" xr:uid="{00000000-0005-0000-0000-0000D7000000}"/>
    <cellStyle name="2x indented GHG Textfiels 3 2 3 55" xfId="216" xr:uid="{00000000-0005-0000-0000-0000D8000000}"/>
    <cellStyle name="2x indented GHG Textfiels 3 2 3 56" xfId="217" xr:uid="{00000000-0005-0000-0000-0000D9000000}"/>
    <cellStyle name="2x indented GHG Textfiels 3 2 3 57" xfId="218" xr:uid="{00000000-0005-0000-0000-0000DA000000}"/>
    <cellStyle name="2x indented GHG Textfiels 3 2 3 58" xfId="219" xr:uid="{00000000-0005-0000-0000-0000DB000000}"/>
    <cellStyle name="2x indented GHG Textfiels 3 2 3 59" xfId="220" xr:uid="{00000000-0005-0000-0000-0000DC000000}"/>
    <cellStyle name="2x indented GHG Textfiels 3 2 3 6" xfId="221" xr:uid="{00000000-0005-0000-0000-0000DD000000}"/>
    <cellStyle name="2x indented GHG Textfiels 3 2 3 60" xfId="222" xr:uid="{00000000-0005-0000-0000-0000DE000000}"/>
    <cellStyle name="2x indented GHG Textfiels 3 2 3 61" xfId="223" xr:uid="{00000000-0005-0000-0000-0000DF000000}"/>
    <cellStyle name="2x indented GHG Textfiels 3 2 3 62" xfId="224" xr:uid="{00000000-0005-0000-0000-0000E0000000}"/>
    <cellStyle name="2x indented GHG Textfiels 3 2 3 63" xfId="225" xr:uid="{00000000-0005-0000-0000-0000E1000000}"/>
    <cellStyle name="2x indented GHG Textfiels 3 2 3 64" xfId="226" xr:uid="{00000000-0005-0000-0000-0000E2000000}"/>
    <cellStyle name="2x indented GHG Textfiels 3 2 3 65" xfId="227" xr:uid="{00000000-0005-0000-0000-0000E3000000}"/>
    <cellStyle name="2x indented GHG Textfiels 3 2 3 7" xfId="228" xr:uid="{00000000-0005-0000-0000-0000E4000000}"/>
    <cellStyle name="2x indented GHG Textfiels 3 2 3 8" xfId="229" xr:uid="{00000000-0005-0000-0000-0000E5000000}"/>
    <cellStyle name="2x indented GHG Textfiels 3 2 3 9" xfId="230" xr:uid="{00000000-0005-0000-0000-0000E6000000}"/>
    <cellStyle name="2x indented GHG Textfiels 3 3" xfId="231" xr:uid="{00000000-0005-0000-0000-0000E7000000}"/>
    <cellStyle name="2x indented GHG Textfiels 3 3 10" xfId="232" xr:uid="{00000000-0005-0000-0000-0000E8000000}"/>
    <cellStyle name="2x indented GHG Textfiels 3 3 11" xfId="233" xr:uid="{00000000-0005-0000-0000-0000E9000000}"/>
    <cellStyle name="2x indented GHG Textfiels 3 3 12" xfId="234" xr:uid="{00000000-0005-0000-0000-0000EA000000}"/>
    <cellStyle name="2x indented GHG Textfiels 3 3 13" xfId="235" xr:uid="{00000000-0005-0000-0000-0000EB000000}"/>
    <cellStyle name="2x indented GHG Textfiels 3 3 14" xfId="236" xr:uid="{00000000-0005-0000-0000-0000EC000000}"/>
    <cellStyle name="2x indented GHG Textfiels 3 3 15" xfId="237" xr:uid="{00000000-0005-0000-0000-0000ED000000}"/>
    <cellStyle name="2x indented GHG Textfiels 3 3 16" xfId="238" xr:uid="{00000000-0005-0000-0000-0000EE000000}"/>
    <cellStyle name="2x indented GHG Textfiels 3 3 17" xfId="239" xr:uid="{00000000-0005-0000-0000-0000EF000000}"/>
    <cellStyle name="2x indented GHG Textfiels 3 3 18" xfId="240" xr:uid="{00000000-0005-0000-0000-0000F0000000}"/>
    <cellStyle name="2x indented GHG Textfiels 3 3 19" xfId="241" xr:uid="{00000000-0005-0000-0000-0000F1000000}"/>
    <cellStyle name="2x indented GHG Textfiels 3 3 2" xfId="242" xr:uid="{00000000-0005-0000-0000-0000F2000000}"/>
    <cellStyle name="2x indented GHG Textfiels 3 3 2 10" xfId="243" xr:uid="{00000000-0005-0000-0000-0000F3000000}"/>
    <cellStyle name="2x indented GHG Textfiels 3 3 2 11" xfId="244" xr:uid="{00000000-0005-0000-0000-0000F4000000}"/>
    <cellStyle name="2x indented GHG Textfiels 3 3 2 12" xfId="245" xr:uid="{00000000-0005-0000-0000-0000F5000000}"/>
    <cellStyle name="2x indented GHG Textfiels 3 3 2 13" xfId="246" xr:uid="{00000000-0005-0000-0000-0000F6000000}"/>
    <cellStyle name="2x indented GHG Textfiels 3 3 2 14" xfId="247" xr:uid="{00000000-0005-0000-0000-0000F7000000}"/>
    <cellStyle name="2x indented GHG Textfiels 3 3 2 15" xfId="248" xr:uid="{00000000-0005-0000-0000-0000F8000000}"/>
    <cellStyle name="2x indented GHG Textfiels 3 3 2 16" xfId="249" xr:uid="{00000000-0005-0000-0000-0000F9000000}"/>
    <cellStyle name="2x indented GHG Textfiels 3 3 2 17" xfId="250" xr:uid="{00000000-0005-0000-0000-0000FA000000}"/>
    <cellStyle name="2x indented GHG Textfiels 3 3 2 18" xfId="251" xr:uid="{00000000-0005-0000-0000-0000FB000000}"/>
    <cellStyle name="2x indented GHG Textfiels 3 3 2 19" xfId="252" xr:uid="{00000000-0005-0000-0000-0000FC000000}"/>
    <cellStyle name="2x indented GHG Textfiels 3 3 2 2" xfId="253" xr:uid="{00000000-0005-0000-0000-0000FD000000}"/>
    <cellStyle name="2x indented GHG Textfiels 3 3 2 2 10" xfId="254" xr:uid="{00000000-0005-0000-0000-0000FE000000}"/>
    <cellStyle name="2x indented GHG Textfiels 3 3 2 2 11" xfId="255" xr:uid="{00000000-0005-0000-0000-0000FF000000}"/>
    <cellStyle name="2x indented GHG Textfiels 3 3 2 2 12" xfId="256" xr:uid="{00000000-0005-0000-0000-000000010000}"/>
    <cellStyle name="2x indented GHG Textfiels 3 3 2 2 13" xfId="257" xr:uid="{00000000-0005-0000-0000-000001010000}"/>
    <cellStyle name="2x indented GHG Textfiels 3 3 2 2 14" xfId="258" xr:uid="{00000000-0005-0000-0000-000002010000}"/>
    <cellStyle name="2x indented GHG Textfiels 3 3 2 2 15" xfId="259" xr:uid="{00000000-0005-0000-0000-000003010000}"/>
    <cellStyle name="2x indented GHG Textfiels 3 3 2 2 16" xfId="260" xr:uid="{00000000-0005-0000-0000-000004010000}"/>
    <cellStyle name="2x indented GHG Textfiels 3 3 2 2 17" xfId="261" xr:uid="{00000000-0005-0000-0000-000005010000}"/>
    <cellStyle name="2x indented GHG Textfiels 3 3 2 2 18" xfId="262" xr:uid="{00000000-0005-0000-0000-000006010000}"/>
    <cellStyle name="2x indented GHG Textfiels 3 3 2 2 19" xfId="263" xr:uid="{00000000-0005-0000-0000-000007010000}"/>
    <cellStyle name="2x indented GHG Textfiels 3 3 2 2 2" xfId="264" xr:uid="{00000000-0005-0000-0000-000008010000}"/>
    <cellStyle name="2x indented GHG Textfiels 3 3 2 2 20" xfId="265" xr:uid="{00000000-0005-0000-0000-000009010000}"/>
    <cellStyle name="2x indented GHG Textfiels 3 3 2 2 21" xfId="266" xr:uid="{00000000-0005-0000-0000-00000A010000}"/>
    <cellStyle name="2x indented GHG Textfiels 3 3 2 2 22" xfId="267" xr:uid="{00000000-0005-0000-0000-00000B010000}"/>
    <cellStyle name="2x indented GHG Textfiels 3 3 2 2 23" xfId="268" xr:uid="{00000000-0005-0000-0000-00000C010000}"/>
    <cellStyle name="2x indented GHG Textfiels 3 3 2 2 24" xfId="269" xr:uid="{00000000-0005-0000-0000-00000D010000}"/>
    <cellStyle name="2x indented GHG Textfiels 3 3 2 2 25" xfId="270" xr:uid="{00000000-0005-0000-0000-00000E010000}"/>
    <cellStyle name="2x indented GHG Textfiels 3 3 2 2 26" xfId="271" xr:uid="{00000000-0005-0000-0000-00000F010000}"/>
    <cellStyle name="2x indented GHG Textfiels 3 3 2 2 27" xfId="272" xr:uid="{00000000-0005-0000-0000-000010010000}"/>
    <cellStyle name="2x indented GHG Textfiels 3 3 2 2 28" xfId="273" xr:uid="{00000000-0005-0000-0000-000011010000}"/>
    <cellStyle name="2x indented GHG Textfiels 3 3 2 2 29" xfId="274" xr:uid="{00000000-0005-0000-0000-000012010000}"/>
    <cellStyle name="2x indented GHG Textfiels 3 3 2 2 3" xfId="275" xr:uid="{00000000-0005-0000-0000-000013010000}"/>
    <cellStyle name="2x indented GHG Textfiels 3 3 2 2 30" xfId="276" xr:uid="{00000000-0005-0000-0000-000014010000}"/>
    <cellStyle name="2x indented GHG Textfiels 3 3 2 2 31" xfId="277" xr:uid="{00000000-0005-0000-0000-000015010000}"/>
    <cellStyle name="2x indented GHG Textfiels 3 3 2 2 32" xfId="278" xr:uid="{00000000-0005-0000-0000-000016010000}"/>
    <cellStyle name="2x indented GHG Textfiels 3 3 2 2 33" xfId="279" xr:uid="{00000000-0005-0000-0000-000017010000}"/>
    <cellStyle name="2x indented GHG Textfiels 3 3 2 2 34" xfId="280" xr:uid="{00000000-0005-0000-0000-000018010000}"/>
    <cellStyle name="2x indented GHG Textfiels 3 3 2 2 35" xfId="281" xr:uid="{00000000-0005-0000-0000-000019010000}"/>
    <cellStyle name="2x indented GHG Textfiels 3 3 2 2 36" xfId="282" xr:uid="{00000000-0005-0000-0000-00001A010000}"/>
    <cellStyle name="2x indented GHG Textfiels 3 3 2 2 37" xfId="283" xr:uid="{00000000-0005-0000-0000-00001B010000}"/>
    <cellStyle name="2x indented GHG Textfiels 3 3 2 2 38" xfId="284" xr:uid="{00000000-0005-0000-0000-00001C010000}"/>
    <cellStyle name="2x indented GHG Textfiels 3 3 2 2 39" xfId="285" xr:uid="{00000000-0005-0000-0000-00001D010000}"/>
    <cellStyle name="2x indented GHG Textfiels 3 3 2 2 4" xfId="286" xr:uid="{00000000-0005-0000-0000-00001E010000}"/>
    <cellStyle name="2x indented GHG Textfiels 3 3 2 2 40" xfId="287" xr:uid="{00000000-0005-0000-0000-00001F010000}"/>
    <cellStyle name="2x indented GHG Textfiels 3 3 2 2 41" xfId="288" xr:uid="{00000000-0005-0000-0000-000020010000}"/>
    <cellStyle name="2x indented GHG Textfiels 3 3 2 2 42" xfId="289" xr:uid="{00000000-0005-0000-0000-000021010000}"/>
    <cellStyle name="2x indented GHG Textfiels 3 3 2 2 43" xfId="290" xr:uid="{00000000-0005-0000-0000-000022010000}"/>
    <cellStyle name="2x indented GHG Textfiels 3 3 2 2 44" xfId="291" xr:uid="{00000000-0005-0000-0000-000023010000}"/>
    <cellStyle name="2x indented GHG Textfiels 3 3 2 2 45" xfId="292" xr:uid="{00000000-0005-0000-0000-000024010000}"/>
    <cellStyle name="2x indented GHG Textfiels 3 3 2 2 46" xfId="293" xr:uid="{00000000-0005-0000-0000-000025010000}"/>
    <cellStyle name="2x indented GHG Textfiels 3 3 2 2 47" xfId="294" xr:uid="{00000000-0005-0000-0000-000026010000}"/>
    <cellStyle name="2x indented GHG Textfiels 3 3 2 2 48" xfId="295" xr:uid="{00000000-0005-0000-0000-000027010000}"/>
    <cellStyle name="2x indented GHG Textfiels 3 3 2 2 49" xfId="296" xr:uid="{00000000-0005-0000-0000-000028010000}"/>
    <cellStyle name="2x indented GHG Textfiels 3 3 2 2 5" xfId="297" xr:uid="{00000000-0005-0000-0000-000029010000}"/>
    <cellStyle name="2x indented GHG Textfiels 3 3 2 2 50" xfId="298" xr:uid="{00000000-0005-0000-0000-00002A010000}"/>
    <cellStyle name="2x indented GHG Textfiels 3 3 2 2 51" xfId="299" xr:uid="{00000000-0005-0000-0000-00002B010000}"/>
    <cellStyle name="2x indented GHG Textfiels 3 3 2 2 52" xfId="300" xr:uid="{00000000-0005-0000-0000-00002C010000}"/>
    <cellStyle name="2x indented GHG Textfiels 3 3 2 2 53" xfId="301" xr:uid="{00000000-0005-0000-0000-00002D010000}"/>
    <cellStyle name="2x indented GHG Textfiels 3 3 2 2 54" xfId="302" xr:uid="{00000000-0005-0000-0000-00002E010000}"/>
    <cellStyle name="2x indented GHG Textfiels 3 3 2 2 55" xfId="303" xr:uid="{00000000-0005-0000-0000-00002F010000}"/>
    <cellStyle name="2x indented GHG Textfiels 3 3 2 2 56" xfId="304" xr:uid="{00000000-0005-0000-0000-000030010000}"/>
    <cellStyle name="2x indented GHG Textfiels 3 3 2 2 57" xfId="305" xr:uid="{00000000-0005-0000-0000-000031010000}"/>
    <cellStyle name="2x indented GHG Textfiels 3 3 2 2 58" xfId="306" xr:uid="{00000000-0005-0000-0000-000032010000}"/>
    <cellStyle name="2x indented GHG Textfiels 3 3 2 2 59" xfId="307" xr:uid="{00000000-0005-0000-0000-000033010000}"/>
    <cellStyle name="2x indented GHG Textfiels 3 3 2 2 6" xfId="308" xr:uid="{00000000-0005-0000-0000-000034010000}"/>
    <cellStyle name="2x indented GHG Textfiels 3 3 2 2 60" xfId="309" xr:uid="{00000000-0005-0000-0000-000035010000}"/>
    <cellStyle name="2x indented GHG Textfiels 3 3 2 2 61" xfId="310" xr:uid="{00000000-0005-0000-0000-000036010000}"/>
    <cellStyle name="2x indented GHG Textfiels 3 3 2 2 62" xfId="311" xr:uid="{00000000-0005-0000-0000-000037010000}"/>
    <cellStyle name="2x indented GHG Textfiels 3 3 2 2 63" xfId="312" xr:uid="{00000000-0005-0000-0000-000038010000}"/>
    <cellStyle name="2x indented GHG Textfiels 3 3 2 2 64" xfId="313" xr:uid="{00000000-0005-0000-0000-000039010000}"/>
    <cellStyle name="2x indented GHG Textfiels 3 3 2 2 65" xfId="314" xr:uid="{00000000-0005-0000-0000-00003A010000}"/>
    <cellStyle name="2x indented GHG Textfiels 3 3 2 2 7" xfId="315" xr:uid="{00000000-0005-0000-0000-00003B010000}"/>
    <cellStyle name="2x indented GHG Textfiels 3 3 2 2 8" xfId="316" xr:uid="{00000000-0005-0000-0000-00003C010000}"/>
    <cellStyle name="2x indented GHG Textfiels 3 3 2 2 9" xfId="317" xr:uid="{00000000-0005-0000-0000-00003D010000}"/>
    <cellStyle name="2x indented GHG Textfiels 3 3 2 20" xfId="318" xr:uid="{00000000-0005-0000-0000-00003E010000}"/>
    <cellStyle name="2x indented GHG Textfiels 3 3 2 21" xfId="319" xr:uid="{00000000-0005-0000-0000-00003F010000}"/>
    <cellStyle name="2x indented GHG Textfiels 3 3 2 22" xfId="320" xr:uid="{00000000-0005-0000-0000-000040010000}"/>
    <cellStyle name="2x indented GHG Textfiels 3 3 2 23" xfId="321" xr:uid="{00000000-0005-0000-0000-000041010000}"/>
    <cellStyle name="2x indented GHG Textfiels 3 3 2 24" xfId="322" xr:uid="{00000000-0005-0000-0000-000042010000}"/>
    <cellStyle name="2x indented GHG Textfiels 3 3 2 25" xfId="323" xr:uid="{00000000-0005-0000-0000-000043010000}"/>
    <cellStyle name="2x indented GHG Textfiels 3 3 2 26" xfId="324" xr:uid="{00000000-0005-0000-0000-000044010000}"/>
    <cellStyle name="2x indented GHG Textfiels 3 3 2 27" xfId="325" xr:uid="{00000000-0005-0000-0000-000045010000}"/>
    <cellStyle name="2x indented GHG Textfiels 3 3 2 28" xfId="326" xr:uid="{00000000-0005-0000-0000-000046010000}"/>
    <cellStyle name="2x indented GHG Textfiels 3 3 2 29" xfId="327" xr:uid="{00000000-0005-0000-0000-000047010000}"/>
    <cellStyle name="2x indented GHG Textfiels 3 3 2 3" xfId="328" xr:uid="{00000000-0005-0000-0000-000048010000}"/>
    <cellStyle name="2x indented GHG Textfiels 3 3 2 30" xfId="329" xr:uid="{00000000-0005-0000-0000-000049010000}"/>
    <cellStyle name="2x indented GHG Textfiels 3 3 2 31" xfId="330" xr:uid="{00000000-0005-0000-0000-00004A010000}"/>
    <cellStyle name="2x indented GHG Textfiels 3 3 2 32" xfId="331" xr:uid="{00000000-0005-0000-0000-00004B010000}"/>
    <cellStyle name="2x indented GHG Textfiels 3 3 2 33" xfId="332" xr:uid="{00000000-0005-0000-0000-00004C010000}"/>
    <cellStyle name="2x indented GHG Textfiels 3 3 2 34" xfId="333" xr:uid="{00000000-0005-0000-0000-00004D010000}"/>
    <cellStyle name="2x indented GHG Textfiels 3 3 2 35" xfId="334" xr:uid="{00000000-0005-0000-0000-00004E010000}"/>
    <cellStyle name="2x indented GHG Textfiels 3 3 2 36" xfId="335" xr:uid="{00000000-0005-0000-0000-00004F010000}"/>
    <cellStyle name="2x indented GHG Textfiels 3 3 2 37" xfId="336" xr:uid="{00000000-0005-0000-0000-000050010000}"/>
    <cellStyle name="2x indented GHG Textfiels 3 3 2 38" xfId="337" xr:uid="{00000000-0005-0000-0000-000051010000}"/>
    <cellStyle name="2x indented GHG Textfiels 3 3 2 39" xfId="338" xr:uid="{00000000-0005-0000-0000-000052010000}"/>
    <cellStyle name="2x indented GHG Textfiels 3 3 2 4" xfId="339" xr:uid="{00000000-0005-0000-0000-000053010000}"/>
    <cellStyle name="2x indented GHG Textfiels 3 3 2 40" xfId="340" xr:uid="{00000000-0005-0000-0000-000054010000}"/>
    <cellStyle name="2x indented GHG Textfiels 3 3 2 41" xfId="341" xr:uid="{00000000-0005-0000-0000-000055010000}"/>
    <cellStyle name="2x indented GHG Textfiels 3 3 2 42" xfId="342" xr:uid="{00000000-0005-0000-0000-000056010000}"/>
    <cellStyle name="2x indented GHG Textfiels 3 3 2 43" xfId="343" xr:uid="{00000000-0005-0000-0000-000057010000}"/>
    <cellStyle name="2x indented GHG Textfiels 3 3 2 44" xfId="344" xr:uid="{00000000-0005-0000-0000-000058010000}"/>
    <cellStyle name="2x indented GHG Textfiels 3 3 2 45" xfId="345" xr:uid="{00000000-0005-0000-0000-000059010000}"/>
    <cellStyle name="2x indented GHG Textfiels 3 3 2 46" xfId="346" xr:uid="{00000000-0005-0000-0000-00005A010000}"/>
    <cellStyle name="2x indented GHG Textfiels 3 3 2 47" xfId="347" xr:uid="{00000000-0005-0000-0000-00005B010000}"/>
    <cellStyle name="2x indented GHG Textfiels 3 3 2 48" xfId="348" xr:uid="{00000000-0005-0000-0000-00005C010000}"/>
    <cellStyle name="2x indented GHG Textfiels 3 3 2 49" xfId="349" xr:uid="{00000000-0005-0000-0000-00005D010000}"/>
    <cellStyle name="2x indented GHG Textfiels 3 3 2 5" xfId="350" xr:uid="{00000000-0005-0000-0000-00005E010000}"/>
    <cellStyle name="2x indented GHG Textfiels 3 3 2 50" xfId="351" xr:uid="{00000000-0005-0000-0000-00005F010000}"/>
    <cellStyle name="2x indented GHG Textfiels 3 3 2 51" xfId="352" xr:uid="{00000000-0005-0000-0000-000060010000}"/>
    <cellStyle name="2x indented GHG Textfiels 3 3 2 52" xfId="353" xr:uid="{00000000-0005-0000-0000-000061010000}"/>
    <cellStyle name="2x indented GHG Textfiels 3 3 2 53" xfId="354" xr:uid="{00000000-0005-0000-0000-000062010000}"/>
    <cellStyle name="2x indented GHG Textfiels 3 3 2 54" xfId="355" xr:uid="{00000000-0005-0000-0000-000063010000}"/>
    <cellStyle name="2x indented GHG Textfiels 3 3 2 55" xfId="356" xr:uid="{00000000-0005-0000-0000-000064010000}"/>
    <cellStyle name="2x indented GHG Textfiels 3 3 2 56" xfId="357" xr:uid="{00000000-0005-0000-0000-000065010000}"/>
    <cellStyle name="2x indented GHG Textfiels 3 3 2 57" xfId="358" xr:uid="{00000000-0005-0000-0000-000066010000}"/>
    <cellStyle name="2x indented GHG Textfiels 3 3 2 58" xfId="359" xr:uid="{00000000-0005-0000-0000-000067010000}"/>
    <cellStyle name="2x indented GHG Textfiels 3 3 2 59" xfId="360" xr:uid="{00000000-0005-0000-0000-000068010000}"/>
    <cellStyle name="2x indented GHG Textfiels 3 3 2 6" xfId="361" xr:uid="{00000000-0005-0000-0000-000069010000}"/>
    <cellStyle name="2x indented GHG Textfiels 3 3 2 60" xfId="362" xr:uid="{00000000-0005-0000-0000-00006A010000}"/>
    <cellStyle name="2x indented GHG Textfiels 3 3 2 61" xfId="363" xr:uid="{00000000-0005-0000-0000-00006B010000}"/>
    <cellStyle name="2x indented GHG Textfiels 3 3 2 62" xfId="364" xr:uid="{00000000-0005-0000-0000-00006C010000}"/>
    <cellStyle name="2x indented GHG Textfiels 3 3 2 63" xfId="365" xr:uid="{00000000-0005-0000-0000-00006D010000}"/>
    <cellStyle name="2x indented GHG Textfiels 3 3 2 64" xfId="366" xr:uid="{00000000-0005-0000-0000-00006E010000}"/>
    <cellStyle name="2x indented GHG Textfiels 3 3 2 65" xfId="367" xr:uid="{00000000-0005-0000-0000-00006F010000}"/>
    <cellStyle name="2x indented GHG Textfiels 3 3 2 66" xfId="368" xr:uid="{00000000-0005-0000-0000-000070010000}"/>
    <cellStyle name="2x indented GHG Textfiels 3 3 2 7" xfId="369" xr:uid="{00000000-0005-0000-0000-000071010000}"/>
    <cellStyle name="2x indented GHG Textfiels 3 3 2 8" xfId="370" xr:uid="{00000000-0005-0000-0000-000072010000}"/>
    <cellStyle name="2x indented GHG Textfiels 3 3 2 9" xfId="371" xr:uid="{00000000-0005-0000-0000-000073010000}"/>
    <cellStyle name="2x indented GHG Textfiels 3 3 20" xfId="372" xr:uid="{00000000-0005-0000-0000-000074010000}"/>
    <cellStyle name="2x indented GHG Textfiels 3 3 21" xfId="373" xr:uid="{00000000-0005-0000-0000-000075010000}"/>
    <cellStyle name="2x indented GHG Textfiels 3 3 22" xfId="374" xr:uid="{00000000-0005-0000-0000-000076010000}"/>
    <cellStyle name="2x indented GHG Textfiels 3 3 23" xfId="375" xr:uid="{00000000-0005-0000-0000-000077010000}"/>
    <cellStyle name="2x indented GHG Textfiels 3 3 24" xfId="376" xr:uid="{00000000-0005-0000-0000-000078010000}"/>
    <cellStyle name="2x indented GHG Textfiels 3 3 25" xfId="377" xr:uid="{00000000-0005-0000-0000-000079010000}"/>
    <cellStyle name="2x indented GHG Textfiels 3 3 26" xfId="378" xr:uid="{00000000-0005-0000-0000-00007A010000}"/>
    <cellStyle name="2x indented GHG Textfiels 3 3 27" xfId="379" xr:uid="{00000000-0005-0000-0000-00007B010000}"/>
    <cellStyle name="2x indented GHG Textfiels 3 3 28" xfId="380" xr:uid="{00000000-0005-0000-0000-00007C010000}"/>
    <cellStyle name="2x indented GHG Textfiels 3 3 29" xfId="381" xr:uid="{00000000-0005-0000-0000-00007D010000}"/>
    <cellStyle name="2x indented GHG Textfiels 3 3 3" xfId="382" xr:uid="{00000000-0005-0000-0000-00007E010000}"/>
    <cellStyle name="2x indented GHG Textfiels 3 3 3 10" xfId="383" xr:uid="{00000000-0005-0000-0000-00007F010000}"/>
    <cellStyle name="2x indented GHG Textfiels 3 3 3 11" xfId="384" xr:uid="{00000000-0005-0000-0000-000080010000}"/>
    <cellStyle name="2x indented GHG Textfiels 3 3 3 12" xfId="385" xr:uid="{00000000-0005-0000-0000-000081010000}"/>
    <cellStyle name="2x indented GHG Textfiels 3 3 3 13" xfId="386" xr:uid="{00000000-0005-0000-0000-000082010000}"/>
    <cellStyle name="2x indented GHG Textfiels 3 3 3 14" xfId="387" xr:uid="{00000000-0005-0000-0000-000083010000}"/>
    <cellStyle name="2x indented GHG Textfiels 3 3 3 15" xfId="388" xr:uid="{00000000-0005-0000-0000-000084010000}"/>
    <cellStyle name="2x indented GHG Textfiels 3 3 3 16" xfId="389" xr:uid="{00000000-0005-0000-0000-000085010000}"/>
    <cellStyle name="2x indented GHG Textfiels 3 3 3 17" xfId="390" xr:uid="{00000000-0005-0000-0000-000086010000}"/>
    <cellStyle name="2x indented GHG Textfiels 3 3 3 18" xfId="391" xr:uid="{00000000-0005-0000-0000-000087010000}"/>
    <cellStyle name="2x indented GHG Textfiels 3 3 3 19" xfId="392" xr:uid="{00000000-0005-0000-0000-000088010000}"/>
    <cellStyle name="2x indented GHG Textfiels 3 3 3 2" xfId="393" xr:uid="{00000000-0005-0000-0000-000089010000}"/>
    <cellStyle name="2x indented GHG Textfiels 3 3 3 2 10" xfId="394" xr:uid="{00000000-0005-0000-0000-00008A010000}"/>
    <cellStyle name="2x indented GHG Textfiels 3 3 3 2 11" xfId="395" xr:uid="{00000000-0005-0000-0000-00008B010000}"/>
    <cellStyle name="2x indented GHG Textfiels 3 3 3 2 12" xfId="396" xr:uid="{00000000-0005-0000-0000-00008C010000}"/>
    <cellStyle name="2x indented GHG Textfiels 3 3 3 2 13" xfId="397" xr:uid="{00000000-0005-0000-0000-00008D010000}"/>
    <cellStyle name="2x indented GHG Textfiels 3 3 3 2 14" xfId="398" xr:uid="{00000000-0005-0000-0000-00008E010000}"/>
    <cellStyle name="2x indented GHG Textfiels 3 3 3 2 15" xfId="399" xr:uid="{00000000-0005-0000-0000-00008F010000}"/>
    <cellStyle name="2x indented GHG Textfiels 3 3 3 2 16" xfId="400" xr:uid="{00000000-0005-0000-0000-000090010000}"/>
    <cellStyle name="2x indented GHG Textfiels 3 3 3 2 17" xfId="401" xr:uid="{00000000-0005-0000-0000-000091010000}"/>
    <cellStyle name="2x indented GHG Textfiels 3 3 3 2 18" xfId="402" xr:uid="{00000000-0005-0000-0000-000092010000}"/>
    <cellStyle name="2x indented GHG Textfiels 3 3 3 2 19" xfId="403" xr:uid="{00000000-0005-0000-0000-000093010000}"/>
    <cellStyle name="2x indented GHG Textfiels 3 3 3 2 2" xfId="404" xr:uid="{00000000-0005-0000-0000-000094010000}"/>
    <cellStyle name="2x indented GHG Textfiels 3 3 3 2 20" xfId="405" xr:uid="{00000000-0005-0000-0000-000095010000}"/>
    <cellStyle name="2x indented GHG Textfiels 3 3 3 2 21" xfId="406" xr:uid="{00000000-0005-0000-0000-000096010000}"/>
    <cellStyle name="2x indented GHG Textfiels 3 3 3 2 22" xfId="407" xr:uid="{00000000-0005-0000-0000-000097010000}"/>
    <cellStyle name="2x indented GHG Textfiels 3 3 3 2 23" xfId="408" xr:uid="{00000000-0005-0000-0000-000098010000}"/>
    <cellStyle name="2x indented GHG Textfiels 3 3 3 2 24" xfId="409" xr:uid="{00000000-0005-0000-0000-000099010000}"/>
    <cellStyle name="2x indented GHG Textfiels 3 3 3 2 25" xfId="410" xr:uid="{00000000-0005-0000-0000-00009A010000}"/>
    <cellStyle name="2x indented GHG Textfiels 3 3 3 2 26" xfId="411" xr:uid="{00000000-0005-0000-0000-00009B010000}"/>
    <cellStyle name="2x indented GHG Textfiels 3 3 3 2 27" xfId="412" xr:uid="{00000000-0005-0000-0000-00009C010000}"/>
    <cellStyle name="2x indented GHG Textfiels 3 3 3 2 28" xfId="413" xr:uid="{00000000-0005-0000-0000-00009D010000}"/>
    <cellStyle name="2x indented GHG Textfiels 3 3 3 2 29" xfId="414" xr:uid="{00000000-0005-0000-0000-00009E010000}"/>
    <cellStyle name="2x indented GHG Textfiels 3 3 3 2 3" xfId="415" xr:uid="{00000000-0005-0000-0000-00009F010000}"/>
    <cellStyle name="2x indented GHG Textfiels 3 3 3 2 30" xfId="416" xr:uid="{00000000-0005-0000-0000-0000A0010000}"/>
    <cellStyle name="2x indented GHG Textfiels 3 3 3 2 31" xfId="417" xr:uid="{00000000-0005-0000-0000-0000A1010000}"/>
    <cellStyle name="2x indented GHG Textfiels 3 3 3 2 32" xfId="418" xr:uid="{00000000-0005-0000-0000-0000A2010000}"/>
    <cellStyle name="2x indented GHG Textfiels 3 3 3 2 33" xfId="419" xr:uid="{00000000-0005-0000-0000-0000A3010000}"/>
    <cellStyle name="2x indented GHG Textfiels 3 3 3 2 34" xfId="420" xr:uid="{00000000-0005-0000-0000-0000A4010000}"/>
    <cellStyle name="2x indented GHG Textfiels 3 3 3 2 35" xfId="421" xr:uid="{00000000-0005-0000-0000-0000A5010000}"/>
    <cellStyle name="2x indented GHG Textfiels 3 3 3 2 36" xfId="422" xr:uid="{00000000-0005-0000-0000-0000A6010000}"/>
    <cellStyle name="2x indented GHG Textfiels 3 3 3 2 37" xfId="423" xr:uid="{00000000-0005-0000-0000-0000A7010000}"/>
    <cellStyle name="2x indented GHG Textfiels 3 3 3 2 38" xfId="424" xr:uid="{00000000-0005-0000-0000-0000A8010000}"/>
    <cellStyle name="2x indented GHG Textfiels 3 3 3 2 39" xfId="425" xr:uid="{00000000-0005-0000-0000-0000A9010000}"/>
    <cellStyle name="2x indented GHG Textfiels 3 3 3 2 4" xfId="426" xr:uid="{00000000-0005-0000-0000-0000AA010000}"/>
    <cellStyle name="2x indented GHG Textfiels 3 3 3 2 40" xfId="427" xr:uid="{00000000-0005-0000-0000-0000AB010000}"/>
    <cellStyle name="2x indented GHG Textfiels 3 3 3 2 41" xfId="428" xr:uid="{00000000-0005-0000-0000-0000AC010000}"/>
    <cellStyle name="2x indented GHG Textfiels 3 3 3 2 42" xfId="429" xr:uid="{00000000-0005-0000-0000-0000AD010000}"/>
    <cellStyle name="2x indented GHG Textfiels 3 3 3 2 43" xfId="430" xr:uid="{00000000-0005-0000-0000-0000AE010000}"/>
    <cellStyle name="2x indented GHG Textfiels 3 3 3 2 44" xfId="431" xr:uid="{00000000-0005-0000-0000-0000AF010000}"/>
    <cellStyle name="2x indented GHG Textfiels 3 3 3 2 45" xfId="432" xr:uid="{00000000-0005-0000-0000-0000B0010000}"/>
    <cellStyle name="2x indented GHG Textfiels 3 3 3 2 46" xfId="433" xr:uid="{00000000-0005-0000-0000-0000B1010000}"/>
    <cellStyle name="2x indented GHG Textfiels 3 3 3 2 47" xfId="434" xr:uid="{00000000-0005-0000-0000-0000B2010000}"/>
    <cellStyle name="2x indented GHG Textfiels 3 3 3 2 48" xfId="435" xr:uid="{00000000-0005-0000-0000-0000B3010000}"/>
    <cellStyle name="2x indented GHG Textfiels 3 3 3 2 49" xfId="436" xr:uid="{00000000-0005-0000-0000-0000B4010000}"/>
    <cellStyle name="2x indented GHG Textfiels 3 3 3 2 5" xfId="437" xr:uid="{00000000-0005-0000-0000-0000B5010000}"/>
    <cellStyle name="2x indented GHG Textfiels 3 3 3 2 50" xfId="438" xr:uid="{00000000-0005-0000-0000-0000B6010000}"/>
    <cellStyle name="2x indented GHG Textfiels 3 3 3 2 51" xfId="439" xr:uid="{00000000-0005-0000-0000-0000B7010000}"/>
    <cellStyle name="2x indented GHG Textfiels 3 3 3 2 52" xfId="440" xr:uid="{00000000-0005-0000-0000-0000B8010000}"/>
    <cellStyle name="2x indented GHG Textfiels 3 3 3 2 53" xfId="441" xr:uid="{00000000-0005-0000-0000-0000B9010000}"/>
    <cellStyle name="2x indented GHG Textfiels 3 3 3 2 54" xfId="442" xr:uid="{00000000-0005-0000-0000-0000BA010000}"/>
    <cellStyle name="2x indented GHG Textfiels 3 3 3 2 55" xfId="443" xr:uid="{00000000-0005-0000-0000-0000BB010000}"/>
    <cellStyle name="2x indented GHG Textfiels 3 3 3 2 56" xfId="444" xr:uid="{00000000-0005-0000-0000-0000BC010000}"/>
    <cellStyle name="2x indented GHG Textfiels 3 3 3 2 57" xfId="445" xr:uid="{00000000-0005-0000-0000-0000BD010000}"/>
    <cellStyle name="2x indented GHG Textfiels 3 3 3 2 58" xfId="446" xr:uid="{00000000-0005-0000-0000-0000BE010000}"/>
    <cellStyle name="2x indented GHG Textfiels 3 3 3 2 59" xfId="447" xr:uid="{00000000-0005-0000-0000-0000BF010000}"/>
    <cellStyle name="2x indented GHG Textfiels 3 3 3 2 6" xfId="448" xr:uid="{00000000-0005-0000-0000-0000C0010000}"/>
    <cellStyle name="2x indented GHG Textfiels 3 3 3 2 60" xfId="449" xr:uid="{00000000-0005-0000-0000-0000C1010000}"/>
    <cellStyle name="2x indented GHG Textfiels 3 3 3 2 61" xfId="450" xr:uid="{00000000-0005-0000-0000-0000C2010000}"/>
    <cellStyle name="2x indented GHG Textfiels 3 3 3 2 62" xfId="451" xr:uid="{00000000-0005-0000-0000-0000C3010000}"/>
    <cellStyle name="2x indented GHG Textfiels 3 3 3 2 63" xfId="452" xr:uid="{00000000-0005-0000-0000-0000C4010000}"/>
    <cellStyle name="2x indented GHG Textfiels 3 3 3 2 64" xfId="453" xr:uid="{00000000-0005-0000-0000-0000C5010000}"/>
    <cellStyle name="2x indented GHG Textfiels 3 3 3 2 65" xfId="454" xr:uid="{00000000-0005-0000-0000-0000C6010000}"/>
    <cellStyle name="2x indented GHG Textfiels 3 3 3 2 7" xfId="455" xr:uid="{00000000-0005-0000-0000-0000C7010000}"/>
    <cellStyle name="2x indented GHG Textfiels 3 3 3 2 8" xfId="456" xr:uid="{00000000-0005-0000-0000-0000C8010000}"/>
    <cellStyle name="2x indented GHG Textfiels 3 3 3 2 9" xfId="457" xr:uid="{00000000-0005-0000-0000-0000C9010000}"/>
    <cellStyle name="2x indented GHG Textfiels 3 3 3 20" xfId="458" xr:uid="{00000000-0005-0000-0000-0000CA010000}"/>
    <cellStyle name="2x indented GHG Textfiels 3 3 3 21" xfId="459" xr:uid="{00000000-0005-0000-0000-0000CB010000}"/>
    <cellStyle name="2x indented GHG Textfiels 3 3 3 22" xfId="460" xr:uid="{00000000-0005-0000-0000-0000CC010000}"/>
    <cellStyle name="2x indented GHG Textfiels 3 3 3 23" xfId="461" xr:uid="{00000000-0005-0000-0000-0000CD010000}"/>
    <cellStyle name="2x indented GHG Textfiels 3 3 3 24" xfId="462" xr:uid="{00000000-0005-0000-0000-0000CE010000}"/>
    <cellStyle name="2x indented GHG Textfiels 3 3 3 25" xfId="463" xr:uid="{00000000-0005-0000-0000-0000CF010000}"/>
    <cellStyle name="2x indented GHG Textfiels 3 3 3 26" xfId="464" xr:uid="{00000000-0005-0000-0000-0000D0010000}"/>
    <cellStyle name="2x indented GHG Textfiels 3 3 3 27" xfId="465" xr:uid="{00000000-0005-0000-0000-0000D1010000}"/>
    <cellStyle name="2x indented GHG Textfiels 3 3 3 28" xfId="466" xr:uid="{00000000-0005-0000-0000-0000D2010000}"/>
    <cellStyle name="2x indented GHG Textfiels 3 3 3 29" xfId="467" xr:uid="{00000000-0005-0000-0000-0000D3010000}"/>
    <cellStyle name="2x indented GHG Textfiels 3 3 3 3" xfId="468" xr:uid="{00000000-0005-0000-0000-0000D4010000}"/>
    <cellStyle name="2x indented GHG Textfiels 3 3 3 30" xfId="469" xr:uid="{00000000-0005-0000-0000-0000D5010000}"/>
    <cellStyle name="2x indented GHG Textfiels 3 3 3 31" xfId="470" xr:uid="{00000000-0005-0000-0000-0000D6010000}"/>
    <cellStyle name="2x indented GHG Textfiels 3 3 3 32" xfId="471" xr:uid="{00000000-0005-0000-0000-0000D7010000}"/>
    <cellStyle name="2x indented GHG Textfiels 3 3 3 33" xfId="472" xr:uid="{00000000-0005-0000-0000-0000D8010000}"/>
    <cellStyle name="2x indented GHG Textfiels 3 3 3 34" xfId="473" xr:uid="{00000000-0005-0000-0000-0000D9010000}"/>
    <cellStyle name="2x indented GHG Textfiels 3 3 3 35" xfId="474" xr:uid="{00000000-0005-0000-0000-0000DA010000}"/>
    <cellStyle name="2x indented GHG Textfiels 3 3 3 36" xfId="475" xr:uid="{00000000-0005-0000-0000-0000DB010000}"/>
    <cellStyle name="2x indented GHG Textfiels 3 3 3 37" xfId="476" xr:uid="{00000000-0005-0000-0000-0000DC010000}"/>
    <cellStyle name="2x indented GHG Textfiels 3 3 3 38" xfId="477" xr:uid="{00000000-0005-0000-0000-0000DD010000}"/>
    <cellStyle name="2x indented GHG Textfiels 3 3 3 39" xfId="478" xr:uid="{00000000-0005-0000-0000-0000DE010000}"/>
    <cellStyle name="2x indented GHG Textfiels 3 3 3 4" xfId="479" xr:uid="{00000000-0005-0000-0000-0000DF010000}"/>
    <cellStyle name="2x indented GHG Textfiels 3 3 3 40" xfId="480" xr:uid="{00000000-0005-0000-0000-0000E0010000}"/>
    <cellStyle name="2x indented GHG Textfiels 3 3 3 41" xfId="481" xr:uid="{00000000-0005-0000-0000-0000E1010000}"/>
    <cellStyle name="2x indented GHG Textfiels 3 3 3 42" xfId="482" xr:uid="{00000000-0005-0000-0000-0000E2010000}"/>
    <cellStyle name="2x indented GHG Textfiels 3 3 3 43" xfId="483" xr:uid="{00000000-0005-0000-0000-0000E3010000}"/>
    <cellStyle name="2x indented GHG Textfiels 3 3 3 44" xfId="484" xr:uid="{00000000-0005-0000-0000-0000E4010000}"/>
    <cellStyle name="2x indented GHG Textfiels 3 3 3 45" xfId="485" xr:uid="{00000000-0005-0000-0000-0000E5010000}"/>
    <cellStyle name="2x indented GHG Textfiels 3 3 3 46" xfId="486" xr:uid="{00000000-0005-0000-0000-0000E6010000}"/>
    <cellStyle name="2x indented GHG Textfiels 3 3 3 47" xfId="487" xr:uid="{00000000-0005-0000-0000-0000E7010000}"/>
    <cellStyle name="2x indented GHG Textfiels 3 3 3 48" xfId="488" xr:uid="{00000000-0005-0000-0000-0000E8010000}"/>
    <cellStyle name="2x indented GHG Textfiels 3 3 3 49" xfId="489" xr:uid="{00000000-0005-0000-0000-0000E9010000}"/>
    <cellStyle name="2x indented GHG Textfiels 3 3 3 5" xfId="490" xr:uid="{00000000-0005-0000-0000-0000EA010000}"/>
    <cellStyle name="2x indented GHG Textfiels 3 3 3 50" xfId="491" xr:uid="{00000000-0005-0000-0000-0000EB010000}"/>
    <cellStyle name="2x indented GHG Textfiels 3 3 3 51" xfId="492" xr:uid="{00000000-0005-0000-0000-0000EC010000}"/>
    <cellStyle name="2x indented GHG Textfiels 3 3 3 52" xfId="493" xr:uid="{00000000-0005-0000-0000-0000ED010000}"/>
    <cellStyle name="2x indented GHG Textfiels 3 3 3 53" xfId="494" xr:uid="{00000000-0005-0000-0000-0000EE010000}"/>
    <cellStyle name="2x indented GHG Textfiels 3 3 3 54" xfId="495" xr:uid="{00000000-0005-0000-0000-0000EF010000}"/>
    <cellStyle name="2x indented GHG Textfiels 3 3 3 55" xfId="496" xr:uid="{00000000-0005-0000-0000-0000F0010000}"/>
    <cellStyle name="2x indented GHG Textfiels 3 3 3 56" xfId="497" xr:uid="{00000000-0005-0000-0000-0000F1010000}"/>
    <cellStyle name="2x indented GHG Textfiels 3 3 3 57" xfId="498" xr:uid="{00000000-0005-0000-0000-0000F2010000}"/>
    <cellStyle name="2x indented GHG Textfiels 3 3 3 58" xfId="499" xr:uid="{00000000-0005-0000-0000-0000F3010000}"/>
    <cellStyle name="2x indented GHG Textfiels 3 3 3 59" xfId="500" xr:uid="{00000000-0005-0000-0000-0000F4010000}"/>
    <cellStyle name="2x indented GHG Textfiels 3 3 3 6" xfId="501" xr:uid="{00000000-0005-0000-0000-0000F5010000}"/>
    <cellStyle name="2x indented GHG Textfiels 3 3 3 60" xfId="502" xr:uid="{00000000-0005-0000-0000-0000F6010000}"/>
    <cellStyle name="2x indented GHG Textfiels 3 3 3 61" xfId="503" xr:uid="{00000000-0005-0000-0000-0000F7010000}"/>
    <cellStyle name="2x indented GHG Textfiels 3 3 3 62" xfId="504" xr:uid="{00000000-0005-0000-0000-0000F8010000}"/>
    <cellStyle name="2x indented GHG Textfiels 3 3 3 63" xfId="505" xr:uid="{00000000-0005-0000-0000-0000F9010000}"/>
    <cellStyle name="2x indented GHG Textfiels 3 3 3 64" xfId="506" xr:uid="{00000000-0005-0000-0000-0000FA010000}"/>
    <cellStyle name="2x indented GHG Textfiels 3 3 3 65" xfId="507" xr:uid="{00000000-0005-0000-0000-0000FB010000}"/>
    <cellStyle name="2x indented GHG Textfiels 3 3 3 66" xfId="508" xr:uid="{00000000-0005-0000-0000-0000FC010000}"/>
    <cellStyle name="2x indented GHG Textfiels 3 3 3 7" xfId="509" xr:uid="{00000000-0005-0000-0000-0000FD010000}"/>
    <cellStyle name="2x indented GHG Textfiels 3 3 3 8" xfId="510" xr:uid="{00000000-0005-0000-0000-0000FE010000}"/>
    <cellStyle name="2x indented GHG Textfiels 3 3 3 9" xfId="511" xr:uid="{00000000-0005-0000-0000-0000FF010000}"/>
    <cellStyle name="2x indented GHG Textfiels 3 3 30" xfId="512" xr:uid="{00000000-0005-0000-0000-000000020000}"/>
    <cellStyle name="2x indented GHG Textfiels 3 3 31" xfId="513" xr:uid="{00000000-0005-0000-0000-000001020000}"/>
    <cellStyle name="2x indented GHG Textfiels 3 3 32" xfId="514" xr:uid="{00000000-0005-0000-0000-000002020000}"/>
    <cellStyle name="2x indented GHG Textfiels 3 3 33" xfId="515" xr:uid="{00000000-0005-0000-0000-000003020000}"/>
    <cellStyle name="2x indented GHG Textfiels 3 3 34" xfId="516" xr:uid="{00000000-0005-0000-0000-000004020000}"/>
    <cellStyle name="2x indented GHG Textfiels 3 3 35" xfId="517" xr:uid="{00000000-0005-0000-0000-000005020000}"/>
    <cellStyle name="2x indented GHG Textfiels 3 3 36" xfId="518" xr:uid="{00000000-0005-0000-0000-000006020000}"/>
    <cellStyle name="2x indented GHG Textfiels 3 3 37" xfId="519" xr:uid="{00000000-0005-0000-0000-000007020000}"/>
    <cellStyle name="2x indented GHG Textfiels 3 3 38" xfId="520" xr:uid="{00000000-0005-0000-0000-000008020000}"/>
    <cellStyle name="2x indented GHG Textfiels 3 3 39" xfId="521" xr:uid="{00000000-0005-0000-0000-000009020000}"/>
    <cellStyle name="2x indented GHG Textfiels 3 3 4" xfId="522" xr:uid="{00000000-0005-0000-0000-00000A020000}"/>
    <cellStyle name="2x indented GHG Textfiels 3 3 4 10" xfId="523" xr:uid="{00000000-0005-0000-0000-00000B020000}"/>
    <cellStyle name="2x indented GHG Textfiels 3 3 4 11" xfId="524" xr:uid="{00000000-0005-0000-0000-00000C020000}"/>
    <cellStyle name="2x indented GHG Textfiels 3 3 4 12" xfId="525" xr:uid="{00000000-0005-0000-0000-00000D020000}"/>
    <cellStyle name="2x indented GHG Textfiels 3 3 4 13" xfId="526" xr:uid="{00000000-0005-0000-0000-00000E020000}"/>
    <cellStyle name="2x indented GHG Textfiels 3 3 4 14" xfId="527" xr:uid="{00000000-0005-0000-0000-00000F020000}"/>
    <cellStyle name="2x indented GHG Textfiels 3 3 4 15" xfId="528" xr:uid="{00000000-0005-0000-0000-000010020000}"/>
    <cellStyle name="2x indented GHG Textfiels 3 3 4 16" xfId="529" xr:uid="{00000000-0005-0000-0000-000011020000}"/>
    <cellStyle name="2x indented GHG Textfiels 3 3 4 17" xfId="530" xr:uid="{00000000-0005-0000-0000-000012020000}"/>
    <cellStyle name="2x indented GHG Textfiels 3 3 4 18" xfId="531" xr:uid="{00000000-0005-0000-0000-000013020000}"/>
    <cellStyle name="2x indented GHG Textfiels 3 3 4 19" xfId="532" xr:uid="{00000000-0005-0000-0000-000014020000}"/>
    <cellStyle name="2x indented GHG Textfiels 3 3 4 2" xfId="533" xr:uid="{00000000-0005-0000-0000-000015020000}"/>
    <cellStyle name="2x indented GHG Textfiels 3 3 4 2 10" xfId="534" xr:uid="{00000000-0005-0000-0000-000016020000}"/>
    <cellStyle name="2x indented GHG Textfiels 3 3 4 2 11" xfId="535" xr:uid="{00000000-0005-0000-0000-000017020000}"/>
    <cellStyle name="2x indented GHG Textfiels 3 3 4 2 12" xfId="536" xr:uid="{00000000-0005-0000-0000-000018020000}"/>
    <cellStyle name="2x indented GHG Textfiels 3 3 4 2 13" xfId="537" xr:uid="{00000000-0005-0000-0000-000019020000}"/>
    <cellStyle name="2x indented GHG Textfiels 3 3 4 2 14" xfId="538" xr:uid="{00000000-0005-0000-0000-00001A020000}"/>
    <cellStyle name="2x indented GHG Textfiels 3 3 4 2 15" xfId="539" xr:uid="{00000000-0005-0000-0000-00001B020000}"/>
    <cellStyle name="2x indented GHG Textfiels 3 3 4 2 16" xfId="540" xr:uid="{00000000-0005-0000-0000-00001C020000}"/>
    <cellStyle name="2x indented GHG Textfiels 3 3 4 2 17" xfId="541" xr:uid="{00000000-0005-0000-0000-00001D020000}"/>
    <cellStyle name="2x indented GHG Textfiels 3 3 4 2 18" xfId="542" xr:uid="{00000000-0005-0000-0000-00001E020000}"/>
    <cellStyle name="2x indented GHG Textfiels 3 3 4 2 19" xfId="543" xr:uid="{00000000-0005-0000-0000-00001F020000}"/>
    <cellStyle name="2x indented GHG Textfiels 3 3 4 2 2" xfId="544" xr:uid="{00000000-0005-0000-0000-000020020000}"/>
    <cellStyle name="2x indented GHG Textfiels 3 3 4 2 20" xfId="545" xr:uid="{00000000-0005-0000-0000-000021020000}"/>
    <cellStyle name="2x indented GHG Textfiels 3 3 4 2 21" xfId="546" xr:uid="{00000000-0005-0000-0000-000022020000}"/>
    <cellStyle name="2x indented GHG Textfiels 3 3 4 2 22" xfId="547" xr:uid="{00000000-0005-0000-0000-000023020000}"/>
    <cellStyle name="2x indented GHG Textfiels 3 3 4 2 23" xfId="548" xr:uid="{00000000-0005-0000-0000-000024020000}"/>
    <cellStyle name="2x indented GHG Textfiels 3 3 4 2 24" xfId="549" xr:uid="{00000000-0005-0000-0000-000025020000}"/>
    <cellStyle name="2x indented GHG Textfiels 3 3 4 2 25" xfId="550" xr:uid="{00000000-0005-0000-0000-000026020000}"/>
    <cellStyle name="2x indented GHG Textfiels 3 3 4 2 26" xfId="551" xr:uid="{00000000-0005-0000-0000-000027020000}"/>
    <cellStyle name="2x indented GHG Textfiels 3 3 4 2 27" xfId="552" xr:uid="{00000000-0005-0000-0000-000028020000}"/>
    <cellStyle name="2x indented GHG Textfiels 3 3 4 2 28" xfId="553" xr:uid="{00000000-0005-0000-0000-000029020000}"/>
    <cellStyle name="2x indented GHG Textfiels 3 3 4 2 29" xfId="554" xr:uid="{00000000-0005-0000-0000-00002A020000}"/>
    <cellStyle name="2x indented GHG Textfiels 3 3 4 2 3" xfId="555" xr:uid="{00000000-0005-0000-0000-00002B020000}"/>
    <cellStyle name="2x indented GHG Textfiels 3 3 4 2 30" xfId="556" xr:uid="{00000000-0005-0000-0000-00002C020000}"/>
    <cellStyle name="2x indented GHG Textfiels 3 3 4 2 31" xfId="557" xr:uid="{00000000-0005-0000-0000-00002D020000}"/>
    <cellStyle name="2x indented GHG Textfiels 3 3 4 2 32" xfId="558" xr:uid="{00000000-0005-0000-0000-00002E020000}"/>
    <cellStyle name="2x indented GHG Textfiels 3 3 4 2 33" xfId="559" xr:uid="{00000000-0005-0000-0000-00002F020000}"/>
    <cellStyle name="2x indented GHG Textfiels 3 3 4 2 34" xfId="560" xr:uid="{00000000-0005-0000-0000-000030020000}"/>
    <cellStyle name="2x indented GHG Textfiels 3 3 4 2 35" xfId="561" xr:uid="{00000000-0005-0000-0000-000031020000}"/>
    <cellStyle name="2x indented GHG Textfiels 3 3 4 2 36" xfId="562" xr:uid="{00000000-0005-0000-0000-000032020000}"/>
    <cellStyle name="2x indented GHG Textfiels 3 3 4 2 37" xfId="563" xr:uid="{00000000-0005-0000-0000-000033020000}"/>
    <cellStyle name="2x indented GHG Textfiels 3 3 4 2 38" xfId="564" xr:uid="{00000000-0005-0000-0000-000034020000}"/>
    <cellStyle name="2x indented GHG Textfiels 3 3 4 2 39" xfId="565" xr:uid="{00000000-0005-0000-0000-000035020000}"/>
    <cellStyle name="2x indented GHG Textfiels 3 3 4 2 4" xfId="566" xr:uid="{00000000-0005-0000-0000-000036020000}"/>
    <cellStyle name="2x indented GHG Textfiels 3 3 4 2 40" xfId="567" xr:uid="{00000000-0005-0000-0000-000037020000}"/>
    <cellStyle name="2x indented GHG Textfiels 3 3 4 2 41" xfId="568" xr:uid="{00000000-0005-0000-0000-000038020000}"/>
    <cellStyle name="2x indented GHG Textfiels 3 3 4 2 42" xfId="569" xr:uid="{00000000-0005-0000-0000-000039020000}"/>
    <cellStyle name="2x indented GHG Textfiels 3 3 4 2 43" xfId="570" xr:uid="{00000000-0005-0000-0000-00003A020000}"/>
    <cellStyle name="2x indented GHG Textfiels 3 3 4 2 44" xfId="571" xr:uid="{00000000-0005-0000-0000-00003B020000}"/>
    <cellStyle name="2x indented GHG Textfiels 3 3 4 2 45" xfId="572" xr:uid="{00000000-0005-0000-0000-00003C020000}"/>
    <cellStyle name="2x indented GHG Textfiels 3 3 4 2 46" xfId="573" xr:uid="{00000000-0005-0000-0000-00003D020000}"/>
    <cellStyle name="2x indented GHG Textfiels 3 3 4 2 47" xfId="574" xr:uid="{00000000-0005-0000-0000-00003E020000}"/>
    <cellStyle name="2x indented GHG Textfiels 3 3 4 2 48" xfId="575" xr:uid="{00000000-0005-0000-0000-00003F020000}"/>
    <cellStyle name="2x indented GHG Textfiels 3 3 4 2 49" xfId="576" xr:uid="{00000000-0005-0000-0000-000040020000}"/>
    <cellStyle name="2x indented GHG Textfiels 3 3 4 2 5" xfId="577" xr:uid="{00000000-0005-0000-0000-000041020000}"/>
    <cellStyle name="2x indented GHG Textfiels 3 3 4 2 50" xfId="578" xr:uid="{00000000-0005-0000-0000-000042020000}"/>
    <cellStyle name="2x indented GHG Textfiels 3 3 4 2 51" xfId="579" xr:uid="{00000000-0005-0000-0000-000043020000}"/>
    <cellStyle name="2x indented GHG Textfiels 3 3 4 2 52" xfId="580" xr:uid="{00000000-0005-0000-0000-000044020000}"/>
    <cellStyle name="2x indented GHG Textfiels 3 3 4 2 53" xfId="581" xr:uid="{00000000-0005-0000-0000-000045020000}"/>
    <cellStyle name="2x indented GHG Textfiels 3 3 4 2 54" xfId="582" xr:uid="{00000000-0005-0000-0000-000046020000}"/>
    <cellStyle name="2x indented GHG Textfiels 3 3 4 2 55" xfId="583" xr:uid="{00000000-0005-0000-0000-000047020000}"/>
    <cellStyle name="2x indented GHG Textfiels 3 3 4 2 56" xfId="584" xr:uid="{00000000-0005-0000-0000-000048020000}"/>
    <cellStyle name="2x indented GHG Textfiels 3 3 4 2 57" xfId="585" xr:uid="{00000000-0005-0000-0000-000049020000}"/>
    <cellStyle name="2x indented GHG Textfiels 3 3 4 2 58" xfId="586" xr:uid="{00000000-0005-0000-0000-00004A020000}"/>
    <cellStyle name="2x indented GHG Textfiels 3 3 4 2 59" xfId="587" xr:uid="{00000000-0005-0000-0000-00004B020000}"/>
    <cellStyle name="2x indented GHG Textfiels 3 3 4 2 6" xfId="588" xr:uid="{00000000-0005-0000-0000-00004C020000}"/>
    <cellStyle name="2x indented GHG Textfiels 3 3 4 2 60" xfId="589" xr:uid="{00000000-0005-0000-0000-00004D020000}"/>
    <cellStyle name="2x indented GHG Textfiels 3 3 4 2 61" xfId="590" xr:uid="{00000000-0005-0000-0000-00004E020000}"/>
    <cellStyle name="2x indented GHG Textfiels 3 3 4 2 62" xfId="591" xr:uid="{00000000-0005-0000-0000-00004F020000}"/>
    <cellStyle name="2x indented GHG Textfiels 3 3 4 2 63" xfId="592" xr:uid="{00000000-0005-0000-0000-000050020000}"/>
    <cellStyle name="2x indented GHG Textfiels 3 3 4 2 64" xfId="593" xr:uid="{00000000-0005-0000-0000-000051020000}"/>
    <cellStyle name="2x indented GHG Textfiels 3 3 4 2 65" xfId="594" xr:uid="{00000000-0005-0000-0000-000052020000}"/>
    <cellStyle name="2x indented GHG Textfiels 3 3 4 2 7" xfId="595" xr:uid="{00000000-0005-0000-0000-000053020000}"/>
    <cellStyle name="2x indented GHG Textfiels 3 3 4 2 8" xfId="596" xr:uid="{00000000-0005-0000-0000-000054020000}"/>
    <cellStyle name="2x indented GHG Textfiels 3 3 4 2 9" xfId="597" xr:uid="{00000000-0005-0000-0000-000055020000}"/>
    <cellStyle name="2x indented GHG Textfiels 3 3 4 20" xfId="598" xr:uid="{00000000-0005-0000-0000-000056020000}"/>
    <cellStyle name="2x indented GHG Textfiels 3 3 4 21" xfId="599" xr:uid="{00000000-0005-0000-0000-000057020000}"/>
    <cellStyle name="2x indented GHG Textfiels 3 3 4 22" xfId="600" xr:uid="{00000000-0005-0000-0000-000058020000}"/>
    <cellStyle name="2x indented GHG Textfiels 3 3 4 23" xfId="601" xr:uid="{00000000-0005-0000-0000-000059020000}"/>
    <cellStyle name="2x indented GHG Textfiels 3 3 4 24" xfId="602" xr:uid="{00000000-0005-0000-0000-00005A020000}"/>
    <cellStyle name="2x indented GHG Textfiels 3 3 4 25" xfId="603" xr:uid="{00000000-0005-0000-0000-00005B020000}"/>
    <cellStyle name="2x indented GHG Textfiels 3 3 4 26" xfId="604" xr:uid="{00000000-0005-0000-0000-00005C020000}"/>
    <cellStyle name="2x indented GHG Textfiels 3 3 4 27" xfId="605" xr:uid="{00000000-0005-0000-0000-00005D020000}"/>
    <cellStyle name="2x indented GHG Textfiels 3 3 4 28" xfId="606" xr:uid="{00000000-0005-0000-0000-00005E020000}"/>
    <cellStyle name="2x indented GHG Textfiels 3 3 4 29" xfId="607" xr:uid="{00000000-0005-0000-0000-00005F020000}"/>
    <cellStyle name="2x indented GHG Textfiels 3 3 4 3" xfId="608" xr:uid="{00000000-0005-0000-0000-000060020000}"/>
    <cellStyle name="2x indented GHG Textfiels 3 3 4 30" xfId="609" xr:uid="{00000000-0005-0000-0000-000061020000}"/>
    <cellStyle name="2x indented GHG Textfiels 3 3 4 31" xfId="610" xr:uid="{00000000-0005-0000-0000-000062020000}"/>
    <cellStyle name="2x indented GHG Textfiels 3 3 4 32" xfId="611" xr:uid="{00000000-0005-0000-0000-000063020000}"/>
    <cellStyle name="2x indented GHG Textfiels 3 3 4 33" xfId="612" xr:uid="{00000000-0005-0000-0000-000064020000}"/>
    <cellStyle name="2x indented GHG Textfiels 3 3 4 34" xfId="613" xr:uid="{00000000-0005-0000-0000-000065020000}"/>
    <cellStyle name="2x indented GHG Textfiels 3 3 4 35" xfId="614" xr:uid="{00000000-0005-0000-0000-000066020000}"/>
    <cellStyle name="2x indented GHG Textfiels 3 3 4 36" xfId="615" xr:uid="{00000000-0005-0000-0000-000067020000}"/>
    <cellStyle name="2x indented GHG Textfiels 3 3 4 37" xfId="616" xr:uid="{00000000-0005-0000-0000-000068020000}"/>
    <cellStyle name="2x indented GHG Textfiels 3 3 4 38" xfId="617" xr:uid="{00000000-0005-0000-0000-000069020000}"/>
    <cellStyle name="2x indented GHG Textfiels 3 3 4 39" xfId="618" xr:uid="{00000000-0005-0000-0000-00006A020000}"/>
    <cellStyle name="2x indented GHG Textfiels 3 3 4 4" xfId="619" xr:uid="{00000000-0005-0000-0000-00006B020000}"/>
    <cellStyle name="2x indented GHG Textfiels 3 3 4 40" xfId="620" xr:uid="{00000000-0005-0000-0000-00006C020000}"/>
    <cellStyle name="2x indented GHG Textfiels 3 3 4 41" xfId="621" xr:uid="{00000000-0005-0000-0000-00006D020000}"/>
    <cellStyle name="2x indented GHG Textfiels 3 3 4 42" xfId="622" xr:uid="{00000000-0005-0000-0000-00006E020000}"/>
    <cellStyle name="2x indented GHG Textfiels 3 3 4 43" xfId="623" xr:uid="{00000000-0005-0000-0000-00006F020000}"/>
    <cellStyle name="2x indented GHG Textfiels 3 3 4 44" xfId="624" xr:uid="{00000000-0005-0000-0000-000070020000}"/>
    <cellStyle name="2x indented GHG Textfiels 3 3 4 45" xfId="625" xr:uid="{00000000-0005-0000-0000-000071020000}"/>
    <cellStyle name="2x indented GHG Textfiels 3 3 4 46" xfId="626" xr:uid="{00000000-0005-0000-0000-000072020000}"/>
    <cellStyle name="2x indented GHG Textfiels 3 3 4 47" xfId="627" xr:uid="{00000000-0005-0000-0000-000073020000}"/>
    <cellStyle name="2x indented GHG Textfiels 3 3 4 48" xfId="628" xr:uid="{00000000-0005-0000-0000-000074020000}"/>
    <cellStyle name="2x indented GHG Textfiels 3 3 4 49" xfId="629" xr:uid="{00000000-0005-0000-0000-000075020000}"/>
    <cellStyle name="2x indented GHG Textfiels 3 3 4 5" xfId="630" xr:uid="{00000000-0005-0000-0000-000076020000}"/>
    <cellStyle name="2x indented GHG Textfiels 3 3 4 50" xfId="631" xr:uid="{00000000-0005-0000-0000-000077020000}"/>
    <cellStyle name="2x indented GHG Textfiels 3 3 4 51" xfId="632" xr:uid="{00000000-0005-0000-0000-000078020000}"/>
    <cellStyle name="2x indented GHG Textfiels 3 3 4 52" xfId="633" xr:uid="{00000000-0005-0000-0000-000079020000}"/>
    <cellStyle name="2x indented GHG Textfiels 3 3 4 53" xfId="634" xr:uid="{00000000-0005-0000-0000-00007A020000}"/>
    <cellStyle name="2x indented GHG Textfiels 3 3 4 54" xfId="635" xr:uid="{00000000-0005-0000-0000-00007B020000}"/>
    <cellStyle name="2x indented GHG Textfiels 3 3 4 55" xfId="636" xr:uid="{00000000-0005-0000-0000-00007C020000}"/>
    <cellStyle name="2x indented GHG Textfiels 3 3 4 56" xfId="637" xr:uid="{00000000-0005-0000-0000-00007D020000}"/>
    <cellStyle name="2x indented GHG Textfiels 3 3 4 57" xfId="638" xr:uid="{00000000-0005-0000-0000-00007E020000}"/>
    <cellStyle name="2x indented GHG Textfiels 3 3 4 58" xfId="639" xr:uid="{00000000-0005-0000-0000-00007F020000}"/>
    <cellStyle name="2x indented GHG Textfiels 3 3 4 59" xfId="640" xr:uid="{00000000-0005-0000-0000-000080020000}"/>
    <cellStyle name="2x indented GHG Textfiels 3 3 4 6" xfId="641" xr:uid="{00000000-0005-0000-0000-000081020000}"/>
    <cellStyle name="2x indented GHG Textfiels 3 3 4 60" xfId="642" xr:uid="{00000000-0005-0000-0000-000082020000}"/>
    <cellStyle name="2x indented GHG Textfiels 3 3 4 61" xfId="643" xr:uid="{00000000-0005-0000-0000-000083020000}"/>
    <cellStyle name="2x indented GHG Textfiels 3 3 4 62" xfId="644" xr:uid="{00000000-0005-0000-0000-000084020000}"/>
    <cellStyle name="2x indented GHG Textfiels 3 3 4 63" xfId="645" xr:uid="{00000000-0005-0000-0000-000085020000}"/>
    <cellStyle name="2x indented GHG Textfiels 3 3 4 64" xfId="646" xr:uid="{00000000-0005-0000-0000-000086020000}"/>
    <cellStyle name="2x indented GHG Textfiels 3 3 4 65" xfId="647" xr:uid="{00000000-0005-0000-0000-000087020000}"/>
    <cellStyle name="2x indented GHG Textfiels 3 3 4 66" xfId="648" xr:uid="{00000000-0005-0000-0000-000088020000}"/>
    <cellStyle name="2x indented GHG Textfiels 3 3 4 7" xfId="649" xr:uid="{00000000-0005-0000-0000-000089020000}"/>
    <cellStyle name="2x indented GHG Textfiels 3 3 4 8" xfId="650" xr:uid="{00000000-0005-0000-0000-00008A020000}"/>
    <cellStyle name="2x indented GHG Textfiels 3 3 4 9" xfId="651" xr:uid="{00000000-0005-0000-0000-00008B020000}"/>
    <cellStyle name="2x indented GHG Textfiels 3 3 40" xfId="652" xr:uid="{00000000-0005-0000-0000-00008C020000}"/>
    <cellStyle name="2x indented GHG Textfiels 3 3 41" xfId="653" xr:uid="{00000000-0005-0000-0000-00008D020000}"/>
    <cellStyle name="2x indented GHG Textfiels 3 3 42" xfId="654" xr:uid="{00000000-0005-0000-0000-00008E020000}"/>
    <cellStyle name="2x indented GHG Textfiels 3 3 43" xfId="655" xr:uid="{00000000-0005-0000-0000-00008F020000}"/>
    <cellStyle name="2x indented GHG Textfiels 3 3 44" xfId="656" xr:uid="{00000000-0005-0000-0000-000090020000}"/>
    <cellStyle name="2x indented GHG Textfiels 3 3 45" xfId="657" xr:uid="{00000000-0005-0000-0000-000091020000}"/>
    <cellStyle name="2x indented GHG Textfiels 3 3 46" xfId="658" xr:uid="{00000000-0005-0000-0000-000092020000}"/>
    <cellStyle name="2x indented GHG Textfiels 3 3 47" xfId="659" xr:uid="{00000000-0005-0000-0000-000093020000}"/>
    <cellStyle name="2x indented GHG Textfiels 3 3 48" xfId="660" xr:uid="{00000000-0005-0000-0000-000094020000}"/>
    <cellStyle name="2x indented GHG Textfiels 3 3 49" xfId="661" xr:uid="{00000000-0005-0000-0000-000095020000}"/>
    <cellStyle name="2x indented GHG Textfiels 3 3 5" xfId="662" xr:uid="{00000000-0005-0000-0000-000096020000}"/>
    <cellStyle name="2x indented GHG Textfiels 3 3 50" xfId="663" xr:uid="{00000000-0005-0000-0000-000097020000}"/>
    <cellStyle name="2x indented GHG Textfiels 3 3 51" xfId="664" xr:uid="{00000000-0005-0000-0000-000098020000}"/>
    <cellStyle name="2x indented GHG Textfiels 3 3 52" xfId="665" xr:uid="{00000000-0005-0000-0000-000099020000}"/>
    <cellStyle name="2x indented GHG Textfiels 3 3 53" xfId="666" xr:uid="{00000000-0005-0000-0000-00009A020000}"/>
    <cellStyle name="2x indented GHG Textfiels 3 3 54" xfId="667" xr:uid="{00000000-0005-0000-0000-00009B020000}"/>
    <cellStyle name="2x indented GHG Textfiels 3 3 55" xfId="668" xr:uid="{00000000-0005-0000-0000-00009C020000}"/>
    <cellStyle name="2x indented GHG Textfiels 3 3 56" xfId="669" xr:uid="{00000000-0005-0000-0000-00009D020000}"/>
    <cellStyle name="2x indented GHG Textfiels 3 3 57" xfId="670" xr:uid="{00000000-0005-0000-0000-00009E020000}"/>
    <cellStyle name="2x indented GHG Textfiels 3 3 58" xfId="671" xr:uid="{00000000-0005-0000-0000-00009F020000}"/>
    <cellStyle name="2x indented GHG Textfiels 3 3 59" xfId="672" xr:uid="{00000000-0005-0000-0000-0000A0020000}"/>
    <cellStyle name="2x indented GHG Textfiels 3 3 6" xfId="673" xr:uid="{00000000-0005-0000-0000-0000A1020000}"/>
    <cellStyle name="2x indented GHG Textfiels 3 3 60" xfId="674" xr:uid="{00000000-0005-0000-0000-0000A2020000}"/>
    <cellStyle name="2x indented GHG Textfiels 3 3 61" xfId="675" xr:uid="{00000000-0005-0000-0000-0000A3020000}"/>
    <cellStyle name="2x indented GHG Textfiels 3 3 62" xfId="676" xr:uid="{00000000-0005-0000-0000-0000A4020000}"/>
    <cellStyle name="2x indented GHG Textfiels 3 3 63" xfId="677" xr:uid="{00000000-0005-0000-0000-0000A5020000}"/>
    <cellStyle name="2x indented GHG Textfiels 3 3 64" xfId="678" xr:uid="{00000000-0005-0000-0000-0000A6020000}"/>
    <cellStyle name="2x indented GHG Textfiels 3 3 65" xfId="679" xr:uid="{00000000-0005-0000-0000-0000A7020000}"/>
    <cellStyle name="2x indented GHG Textfiels 3 3 66" xfId="680" xr:uid="{00000000-0005-0000-0000-0000A8020000}"/>
    <cellStyle name="2x indented GHG Textfiels 3 3 67" xfId="681" xr:uid="{00000000-0005-0000-0000-0000A9020000}"/>
    <cellStyle name="2x indented GHG Textfiels 3 3 68" xfId="682" xr:uid="{00000000-0005-0000-0000-0000AA020000}"/>
    <cellStyle name="2x indented GHG Textfiels 3 3 7" xfId="683" xr:uid="{00000000-0005-0000-0000-0000AB020000}"/>
    <cellStyle name="2x indented GHG Textfiels 3 3 8" xfId="684" xr:uid="{00000000-0005-0000-0000-0000AC020000}"/>
    <cellStyle name="2x indented GHG Textfiels 3 3 9" xfId="685" xr:uid="{00000000-0005-0000-0000-0000AD020000}"/>
    <cellStyle name="40 % - Akzent1" xfId="686" xr:uid="{00000000-0005-0000-0000-0000AE020000}"/>
    <cellStyle name="40 % - Akzent1 2" xfId="687" xr:uid="{00000000-0005-0000-0000-0000AF020000}"/>
    <cellStyle name="40 % - Akzent1 3" xfId="688" xr:uid="{00000000-0005-0000-0000-0000B0020000}"/>
    <cellStyle name="40 % - Akzent2" xfId="689" xr:uid="{00000000-0005-0000-0000-0000B1020000}"/>
    <cellStyle name="40 % - Akzent2 2" xfId="690" xr:uid="{00000000-0005-0000-0000-0000B2020000}"/>
    <cellStyle name="40 % - Akzent2 3" xfId="691" xr:uid="{00000000-0005-0000-0000-0000B3020000}"/>
    <cellStyle name="40 % - Akzent3" xfId="692" xr:uid="{00000000-0005-0000-0000-0000B4020000}"/>
    <cellStyle name="40 % - Akzent3 2" xfId="693" xr:uid="{00000000-0005-0000-0000-0000B5020000}"/>
    <cellStyle name="40 % - Akzent3 3" xfId="694" xr:uid="{00000000-0005-0000-0000-0000B6020000}"/>
    <cellStyle name="40 % - Akzent4" xfId="695" xr:uid="{00000000-0005-0000-0000-0000B7020000}"/>
    <cellStyle name="40 % - Akzent4 2" xfId="696" xr:uid="{00000000-0005-0000-0000-0000B8020000}"/>
    <cellStyle name="40 % - Akzent4 3" xfId="697" xr:uid="{00000000-0005-0000-0000-0000B9020000}"/>
    <cellStyle name="40 % - Akzent5" xfId="698" xr:uid="{00000000-0005-0000-0000-0000BA020000}"/>
    <cellStyle name="40 % - Akzent5 2" xfId="699" xr:uid="{00000000-0005-0000-0000-0000BB020000}"/>
    <cellStyle name="40 % - Akzent5 3" xfId="700" xr:uid="{00000000-0005-0000-0000-0000BC020000}"/>
    <cellStyle name="40 % - Akzent6" xfId="701" xr:uid="{00000000-0005-0000-0000-0000BD020000}"/>
    <cellStyle name="40 % - Akzent6 2" xfId="702" xr:uid="{00000000-0005-0000-0000-0000BE020000}"/>
    <cellStyle name="40 % - Akzent6 3" xfId="703" xr:uid="{00000000-0005-0000-0000-0000BF020000}"/>
    <cellStyle name="40% - Accent1 2" xfId="704" xr:uid="{00000000-0005-0000-0000-0000C0020000}"/>
    <cellStyle name="40% - Accent1 3" xfId="705" xr:uid="{00000000-0005-0000-0000-0000C1020000}"/>
    <cellStyle name="40% - Accent2 2" xfId="706" xr:uid="{00000000-0005-0000-0000-0000C2020000}"/>
    <cellStyle name="40% - Accent2 3" xfId="707" xr:uid="{00000000-0005-0000-0000-0000C3020000}"/>
    <cellStyle name="40% - Accent3 2" xfId="708" xr:uid="{00000000-0005-0000-0000-0000C4020000}"/>
    <cellStyle name="40% - Accent3 3" xfId="709" xr:uid="{00000000-0005-0000-0000-0000C5020000}"/>
    <cellStyle name="40% - Accent4 2" xfId="710" xr:uid="{00000000-0005-0000-0000-0000C6020000}"/>
    <cellStyle name="40% - Accent4 3" xfId="711" xr:uid="{00000000-0005-0000-0000-0000C7020000}"/>
    <cellStyle name="40% - Accent5 2" xfId="712" xr:uid="{00000000-0005-0000-0000-0000C8020000}"/>
    <cellStyle name="40% - Accent5 3" xfId="713" xr:uid="{00000000-0005-0000-0000-0000C9020000}"/>
    <cellStyle name="40% - Accent6 2" xfId="714" xr:uid="{00000000-0005-0000-0000-0000CA020000}"/>
    <cellStyle name="40% - Accent6 3" xfId="715" xr:uid="{00000000-0005-0000-0000-0000CB020000}"/>
    <cellStyle name="5x indented GHG Textfiels" xfId="716" xr:uid="{00000000-0005-0000-0000-0000CC020000}"/>
    <cellStyle name="5x indented GHG Textfiels 2" xfId="717" xr:uid="{00000000-0005-0000-0000-0000CD020000}"/>
    <cellStyle name="5x indented GHG Textfiels 2 2" xfId="718" xr:uid="{00000000-0005-0000-0000-0000CE020000}"/>
    <cellStyle name="5x indented GHG Textfiels 3" xfId="719" xr:uid="{00000000-0005-0000-0000-0000CF020000}"/>
    <cellStyle name="5x indented GHG Textfiels 3 2" xfId="720" xr:uid="{00000000-0005-0000-0000-0000D0020000}"/>
    <cellStyle name="5x indented GHG Textfiels 3 2 2" xfId="721" xr:uid="{00000000-0005-0000-0000-0000D1020000}"/>
    <cellStyle name="5x indented GHG Textfiels 3 2 3" xfId="722" xr:uid="{00000000-0005-0000-0000-0000D2020000}"/>
    <cellStyle name="5x indented GHG Textfiels 3 3" xfId="723" xr:uid="{00000000-0005-0000-0000-0000D3020000}"/>
    <cellStyle name="5x indented GHG Textfiels 3 3 10" xfId="724" xr:uid="{00000000-0005-0000-0000-0000D4020000}"/>
    <cellStyle name="5x indented GHG Textfiels 3 3 11" xfId="725" xr:uid="{00000000-0005-0000-0000-0000D5020000}"/>
    <cellStyle name="5x indented GHG Textfiels 3 3 12" xfId="726" xr:uid="{00000000-0005-0000-0000-0000D6020000}"/>
    <cellStyle name="5x indented GHG Textfiels 3 3 13" xfId="727" xr:uid="{00000000-0005-0000-0000-0000D7020000}"/>
    <cellStyle name="5x indented GHG Textfiels 3 3 14" xfId="728" xr:uid="{00000000-0005-0000-0000-0000D8020000}"/>
    <cellStyle name="5x indented GHG Textfiels 3 3 15" xfId="729" xr:uid="{00000000-0005-0000-0000-0000D9020000}"/>
    <cellStyle name="5x indented GHG Textfiels 3 3 16" xfId="730" xr:uid="{00000000-0005-0000-0000-0000DA020000}"/>
    <cellStyle name="5x indented GHG Textfiels 3 3 17" xfId="731" xr:uid="{00000000-0005-0000-0000-0000DB020000}"/>
    <cellStyle name="5x indented GHG Textfiels 3 3 18" xfId="732" xr:uid="{00000000-0005-0000-0000-0000DC020000}"/>
    <cellStyle name="5x indented GHG Textfiels 3 3 19" xfId="733" xr:uid="{00000000-0005-0000-0000-0000DD020000}"/>
    <cellStyle name="5x indented GHG Textfiels 3 3 2" xfId="734" xr:uid="{00000000-0005-0000-0000-0000DE020000}"/>
    <cellStyle name="5x indented GHG Textfiels 3 3 2 10" xfId="735" xr:uid="{00000000-0005-0000-0000-0000DF020000}"/>
    <cellStyle name="5x indented GHG Textfiels 3 3 2 11" xfId="736" xr:uid="{00000000-0005-0000-0000-0000E0020000}"/>
    <cellStyle name="5x indented GHG Textfiels 3 3 2 12" xfId="737" xr:uid="{00000000-0005-0000-0000-0000E1020000}"/>
    <cellStyle name="5x indented GHG Textfiels 3 3 2 13" xfId="738" xr:uid="{00000000-0005-0000-0000-0000E2020000}"/>
    <cellStyle name="5x indented GHG Textfiels 3 3 2 14" xfId="739" xr:uid="{00000000-0005-0000-0000-0000E3020000}"/>
    <cellStyle name="5x indented GHG Textfiels 3 3 2 15" xfId="740" xr:uid="{00000000-0005-0000-0000-0000E4020000}"/>
    <cellStyle name="5x indented GHG Textfiels 3 3 2 16" xfId="741" xr:uid="{00000000-0005-0000-0000-0000E5020000}"/>
    <cellStyle name="5x indented GHG Textfiels 3 3 2 17" xfId="742" xr:uid="{00000000-0005-0000-0000-0000E6020000}"/>
    <cellStyle name="5x indented GHG Textfiels 3 3 2 18" xfId="743" xr:uid="{00000000-0005-0000-0000-0000E7020000}"/>
    <cellStyle name="5x indented GHG Textfiels 3 3 2 19" xfId="744" xr:uid="{00000000-0005-0000-0000-0000E8020000}"/>
    <cellStyle name="5x indented GHG Textfiels 3 3 2 2" xfId="745" xr:uid="{00000000-0005-0000-0000-0000E9020000}"/>
    <cellStyle name="5x indented GHG Textfiels 3 3 2 2 10" xfId="746" xr:uid="{00000000-0005-0000-0000-0000EA020000}"/>
    <cellStyle name="5x indented GHG Textfiels 3 3 2 2 11" xfId="747" xr:uid="{00000000-0005-0000-0000-0000EB020000}"/>
    <cellStyle name="5x indented GHG Textfiels 3 3 2 2 12" xfId="748" xr:uid="{00000000-0005-0000-0000-0000EC020000}"/>
    <cellStyle name="5x indented GHG Textfiels 3 3 2 2 13" xfId="749" xr:uid="{00000000-0005-0000-0000-0000ED020000}"/>
    <cellStyle name="5x indented GHG Textfiels 3 3 2 2 14" xfId="750" xr:uid="{00000000-0005-0000-0000-0000EE020000}"/>
    <cellStyle name="5x indented GHG Textfiels 3 3 2 2 15" xfId="751" xr:uid="{00000000-0005-0000-0000-0000EF020000}"/>
    <cellStyle name="5x indented GHG Textfiels 3 3 2 2 16" xfId="752" xr:uid="{00000000-0005-0000-0000-0000F0020000}"/>
    <cellStyle name="5x indented GHG Textfiels 3 3 2 2 17" xfId="753" xr:uid="{00000000-0005-0000-0000-0000F1020000}"/>
    <cellStyle name="5x indented GHG Textfiels 3 3 2 2 18" xfId="754" xr:uid="{00000000-0005-0000-0000-0000F2020000}"/>
    <cellStyle name="5x indented GHG Textfiels 3 3 2 2 19" xfId="755" xr:uid="{00000000-0005-0000-0000-0000F3020000}"/>
    <cellStyle name="5x indented GHG Textfiels 3 3 2 2 2" xfId="756" xr:uid="{00000000-0005-0000-0000-0000F4020000}"/>
    <cellStyle name="5x indented GHG Textfiels 3 3 2 2 20" xfId="757" xr:uid="{00000000-0005-0000-0000-0000F5020000}"/>
    <cellStyle name="5x indented GHG Textfiels 3 3 2 2 21" xfId="758" xr:uid="{00000000-0005-0000-0000-0000F6020000}"/>
    <cellStyle name="5x indented GHG Textfiels 3 3 2 2 22" xfId="759" xr:uid="{00000000-0005-0000-0000-0000F7020000}"/>
    <cellStyle name="5x indented GHG Textfiels 3 3 2 2 23" xfId="760" xr:uid="{00000000-0005-0000-0000-0000F8020000}"/>
    <cellStyle name="5x indented GHG Textfiels 3 3 2 2 24" xfId="761" xr:uid="{00000000-0005-0000-0000-0000F9020000}"/>
    <cellStyle name="5x indented GHG Textfiels 3 3 2 2 25" xfId="762" xr:uid="{00000000-0005-0000-0000-0000FA020000}"/>
    <cellStyle name="5x indented GHG Textfiels 3 3 2 2 26" xfId="763" xr:uid="{00000000-0005-0000-0000-0000FB020000}"/>
    <cellStyle name="5x indented GHG Textfiels 3 3 2 2 27" xfId="764" xr:uid="{00000000-0005-0000-0000-0000FC020000}"/>
    <cellStyle name="5x indented GHG Textfiels 3 3 2 2 28" xfId="765" xr:uid="{00000000-0005-0000-0000-0000FD020000}"/>
    <cellStyle name="5x indented GHG Textfiels 3 3 2 2 29" xfId="766" xr:uid="{00000000-0005-0000-0000-0000FE020000}"/>
    <cellStyle name="5x indented GHG Textfiels 3 3 2 2 3" xfId="767" xr:uid="{00000000-0005-0000-0000-0000FF020000}"/>
    <cellStyle name="5x indented GHG Textfiels 3 3 2 2 30" xfId="768" xr:uid="{00000000-0005-0000-0000-000000030000}"/>
    <cellStyle name="5x indented GHG Textfiels 3 3 2 2 31" xfId="769" xr:uid="{00000000-0005-0000-0000-000001030000}"/>
    <cellStyle name="5x indented GHG Textfiels 3 3 2 2 32" xfId="770" xr:uid="{00000000-0005-0000-0000-000002030000}"/>
    <cellStyle name="5x indented GHG Textfiels 3 3 2 2 33" xfId="771" xr:uid="{00000000-0005-0000-0000-000003030000}"/>
    <cellStyle name="5x indented GHG Textfiels 3 3 2 2 34" xfId="772" xr:uid="{00000000-0005-0000-0000-000004030000}"/>
    <cellStyle name="5x indented GHG Textfiels 3 3 2 2 35" xfId="773" xr:uid="{00000000-0005-0000-0000-000005030000}"/>
    <cellStyle name="5x indented GHG Textfiels 3 3 2 2 36" xfId="774" xr:uid="{00000000-0005-0000-0000-000006030000}"/>
    <cellStyle name="5x indented GHG Textfiels 3 3 2 2 37" xfId="775" xr:uid="{00000000-0005-0000-0000-000007030000}"/>
    <cellStyle name="5x indented GHG Textfiels 3 3 2 2 38" xfId="776" xr:uid="{00000000-0005-0000-0000-000008030000}"/>
    <cellStyle name="5x indented GHG Textfiels 3 3 2 2 39" xfId="777" xr:uid="{00000000-0005-0000-0000-000009030000}"/>
    <cellStyle name="5x indented GHG Textfiels 3 3 2 2 4" xfId="778" xr:uid="{00000000-0005-0000-0000-00000A030000}"/>
    <cellStyle name="5x indented GHG Textfiels 3 3 2 2 40" xfId="779" xr:uid="{00000000-0005-0000-0000-00000B030000}"/>
    <cellStyle name="5x indented GHG Textfiels 3 3 2 2 41" xfId="780" xr:uid="{00000000-0005-0000-0000-00000C030000}"/>
    <cellStyle name="5x indented GHG Textfiels 3 3 2 2 42" xfId="781" xr:uid="{00000000-0005-0000-0000-00000D030000}"/>
    <cellStyle name="5x indented GHG Textfiels 3 3 2 2 43" xfId="782" xr:uid="{00000000-0005-0000-0000-00000E030000}"/>
    <cellStyle name="5x indented GHG Textfiels 3 3 2 2 44" xfId="783" xr:uid="{00000000-0005-0000-0000-00000F030000}"/>
    <cellStyle name="5x indented GHG Textfiels 3 3 2 2 45" xfId="784" xr:uid="{00000000-0005-0000-0000-000010030000}"/>
    <cellStyle name="5x indented GHG Textfiels 3 3 2 2 46" xfId="785" xr:uid="{00000000-0005-0000-0000-000011030000}"/>
    <cellStyle name="5x indented GHG Textfiels 3 3 2 2 47" xfId="786" xr:uid="{00000000-0005-0000-0000-000012030000}"/>
    <cellStyle name="5x indented GHG Textfiels 3 3 2 2 48" xfId="787" xr:uid="{00000000-0005-0000-0000-000013030000}"/>
    <cellStyle name="5x indented GHG Textfiels 3 3 2 2 49" xfId="788" xr:uid="{00000000-0005-0000-0000-000014030000}"/>
    <cellStyle name="5x indented GHG Textfiels 3 3 2 2 5" xfId="789" xr:uid="{00000000-0005-0000-0000-000015030000}"/>
    <cellStyle name="5x indented GHG Textfiels 3 3 2 2 50" xfId="790" xr:uid="{00000000-0005-0000-0000-000016030000}"/>
    <cellStyle name="5x indented GHG Textfiels 3 3 2 2 51" xfId="791" xr:uid="{00000000-0005-0000-0000-000017030000}"/>
    <cellStyle name="5x indented GHG Textfiels 3 3 2 2 52" xfId="792" xr:uid="{00000000-0005-0000-0000-000018030000}"/>
    <cellStyle name="5x indented GHG Textfiels 3 3 2 2 53" xfId="793" xr:uid="{00000000-0005-0000-0000-000019030000}"/>
    <cellStyle name="5x indented GHG Textfiels 3 3 2 2 54" xfId="794" xr:uid="{00000000-0005-0000-0000-00001A030000}"/>
    <cellStyle name="5x indented GHG Textfiels 3 3 2 2 55" xfId="795" xr:uid="{00000000-0005-0000-0000-00001B030000}"/>
    <cellStyle name="5x indented GHG Textfiels 3 3 2 2 56" xfId="796" xr:uid="{00000000-0005-0000-0000-00001C030000}"/>
    <cellStyle name="5x indented GHG Textfiels 3 3 2 2 57" xfId="797" xr:uid="{00000000-0005-0000-0000-00001D030000}"/>
    <cellStyle name="5x indented GHG Textfiels 3 3 2 2 58" xfId="798" xr:uid="{00000000-0005-0000-0000-00001E030000}"/>
    <cellStyle name="5x indented GHG Textfiels 3 3 2 2 59" xfId="799" xr:uid="{00000000-0005-0000-0000-00001F030000}"/>
    <cellStyle name="5x indented GHG Textfiels 3 3 2 2 6" xfId="800" xr:uid="{00000000-0005-0000-0000-000020030000}"/>
    <cellStyle name="5x indented GHG Textfiels 3 3 2 2 60" xfId="801" xr:uid="{00000000-0005-0000-0000-000021030000}"/>
    <cellStyle name="5x indented GHG Textfiels 3 3 2 2 61" xfId="802" xr:uid="{00000000-0005-0000-0000-000022030000}"/>
    <cellStyle name="5x indented GHG Textfiels 3 3 2 2 62" xfId="803" xr:uid="{00000000-0005-0000-0000-000023030000}"/>
    <cellStyle name="5x indented GHG Textfiels 3 3 2 2 63" xfId="804" xr:uid="{00000000-0005-0000-0000-000024030000}"/>
    <cellStyle name="5x indented GHG Textfiels 3 3 2 2 64" xfId="805" xr:uid="{00000000-0005-0000-0000-000025030000}"/>
    <cellStyle name="5x indented GHG Textfiels 3 3 2 2 65" xfId="806" xr:uid="{00000000-0005-0000-0000-000026030000}"/>
    <cellStyle name="5x indented GHG Textfiels 3 3 2 2 7" xfId="807" xr:uid="{00000000-0005-0000-0000-000027030000}"/>
    <cellStyle name="5x indented GHG Textfiels 3 3 2 2 8" xfId="808" xr:uid="{00000000-0005-0000-0000-000028030000}"/>
    <cellStyle name="5x indented GHG Textfiels 3 3 2 2 9" xfId="809" xr:uid="{00000000-0005-0000-0000-000029030000}"/>
    <cellStyle name="5x indented GHG Textfiels 3 3 2 20" xfId="810" xr:uid="{00000000-0005-0000-0000-00002A030000}"/>
    <cellStyle name="5x indented GHG Textfiels 3 3 2 21" xfId="811" xr:uid="{00000000-0005-0000-0000-00002B030000}"/>
    <cellStyle name="5x indented GHG Textfiels 3 3 2 22" xfId="812" xr:uid="{00000000-0005-0000-0000-00002C030000}"/>
    <cellStyle name="5x indented GHG Textfiels 3 3 2 23" xfId="813" xr:uid="{00000000-0005-0000-0000-00002D030000}"/>
    <cellStyle name="5x indented GHG Textfiels 3 3 2 24" xfId="814" xr:uid="{00000000-0005-0000-0000-00002E030000}"/>
    <cellStyle name="5x indented GHG Textfiels 3 3 2 25" xfId="815" xr:uid="{00000000-0005-0000-0000-00002F030000}"/>
    <cellStyle name="5x indented GHG Textfiels 3 3 2 26" xfId="816" xr:uid="{00000000-0005-0000-0000-000030030000}"/>
    <cellStyle name="5x indented GHG Textfiels 3 3 2 27" xfId="817" xr:uid="{00000000-0005-0000-0000-000031030000}"/>
    <cellStyle name="5x indented GHG Textfiels 3 3 2 28" xfId="818" xr:uid="{00000000-0005-0000-0000-000032030000}"/>
    <cellStyle name="5x indented GHG Textfiels 3 3 2 29" xfId="819" xr:uid="{00000000-0005-0000-0000-000033030000}"/>
    <cellStyle name="5x indented GHG Textfiels 3 3 2 3" xfId="820" xr:uid="{00000000-0005-0000-0000-000034030000}"/>
    <cellStyle name="5x indented GHG Textfiels 3 3 2 30" xfId="821" xr:uid="{00000000-0005-0000-0000-000035030000}"/>
    <cellStyle name="5x indented GHG Textfiels 3 3 2 31" xfId="822" xr:uid="{00000000-0005-0000-0000-000036030000}"/>
    <cellStyle name="5x indented GHG Textfiels 3 3 2 32" xfId="823" xr:uid="{00000000-0005-0000-0000-000037030000}"/>
    <cellStyle name="5x indented GHG Textfiels 3 3 2 33" xfId="824" xr:uid="{00000000-0005-0000-0000-000038030000}"/>
    <cellStyle name="5x indented GHG Textfiels 3 3 2 34" xfId="825" xr:uid="{00000000-0005-0000-0000-000039030000}"/>
    <cellStyle name="5x indented GHG Textfiels 3 3 2 35" xfId="826" xr:uid="{00000000-0005-0000-0000-00003A030000}"/>
    <cellStyle name="5x indented GHG Textfiels 3 3 2 36" xfId="827" xr:uid="{00000000-0005-0000-0000-00003B030000}"/>
    <cellStyle name="5x indented GHG Textfiels 3 3 2 37" xfId="828" xr:uid="{00000000-0005-0000-0000-00003C030000}"/>
    <cellStyle name="5x indented GHG Textfiels 3 3 2 38" xfId="829" xr:uid="{00000000-0005-0000-0000-00003D030000}"/>
    <cellStyle name="5x indented GHG Textfiels 3 3 2 39" xfId="830" xr:uid="{00000000-0005-0000-0000-00003E030000}"/>
    <cellStyle name="5x indented GHG Textfiels 3 3 2 4" xfId="831" xr:uid="{00000000-0005-0000-0000-00003F030000}"/>
    <cellStyle name="5x indented GHG Textfiels 3 3 2 40" xfId="832" xr:uid="{00000000-0005-0000-0000-000040030000}"/>
    <cellStyle name="5x indented GHG Textfiels 3 3 2 41" xfId="833" xr:uid="{00000000-0005-0000-0000-000041030000}"/>
    <cellStyle name="5x indented GHG Textfiels 3 3 2 42" xfId="834" xr:uid="{00000000-0005-0000-0000-000042030000}"/>
    <cellStyle name="5x indented GHG Textfiels 3 3 2 43" xfId="835" xr:uid="{00000000-0005-0000-0000-000043030000}"/>
    <cellStyle name="5x indented GHG Textfiels 3 3 2 44" xfId="836" xr:uid="{00000000-0005-0000-0000-000044030000}"/>
    <cellStyle name="5x indented GHG Textfiels 3 3 2 45" xfId="837" xr:uid="{00000000-0005-0000-0000-000045030000}"/>
    <cellStyle name="5x indented GHG Textfiels 3 3 2 46" xfId="838" xr:uid="{00000000-0005-0000-0000-000046030000}"/>
    <cellStyle name="5x indented GHG Textfiels 3 3 2 47" xfId="839" xr:uid="{00000000-0005-0000-0000-000047030000}"/>
    <cellStyle name="5x indented GHG Textfiels 3 3 2 48" xfId="840" xr:uid="{00000000-0005-0000-0000-000048030000}"/>
    <cellStyle name="5x indented GHG Textfiels 3 3 2 49" xfId="841" xr:uid="{00000000-0005-0000-0000-000049030000}"/>
    <cellStyle name="5x indented GHG Textfiels 3 3 2 5" xfId="842" xr:uid="{00000000-0005-0000-0000-00004A030000}"/>
    <cellStyle name="5x indented GHG Textfiels 3 3 2 50" xfId="843" xr:uid="{00000000-0005-0000-0000-00004B030000}"/>
    <cellStyle name="5x indented GHG Textfiels 3 3 2 51" xfId="844" xr:uid="{00000000-0005-0000-0000-00004C030000}"/>
    <cellStyle name="5x indented GHG Textfiels 3 3 2 52" xfId="845" xr:uid="{00000000-0005-0000-0000-00004D030000}"/>
    <cellStyle name="5x indented GHG Textfiels 3 3 2 53" xfId="846" xr:uid="{00000000-0005-0000-0000-00004E030000}"/>
    <cellStyle name="5x indented GHG Textfiels 3 3 2 54" xfId="847" xr:uid="{00000000-0005-0000-0000-00004F030000}"/>
    <cellStyle name="5x indented GHG Textfiels 3 3 2 55" xfId="848" xr:uid="{00000000-0005-0000-0000-000050030000}"/>
    <cellStyle name="5x indented GHG Textfiels 3 3 2 56" xfId="849" xr:uid="{00000000-0005-0000-0000-000051030000}"/>
    <cellStyle name="5x indented GHG Textfiels 3 3 2 57" xfId="850" xr:uid="{00000000-0005-0000-0000-000052030000}"/>
    <cellStyle name="5x indented GHG Textfiels 3 3 2 58" xfId="851" xr:uid="{00000000-0005-0000-0000-000053030000}"/>
    <cellStyle name="5x indented GHG Textfiels 3 3 2 59" xfId="852" xr:uid="{00000000-0005-0000-0000-000054030000}"/>
    <cellStyle name="5x indented GHG Textfiels 3 3 2 6" xfId="853" xr:uid="{00000000-0005-0000-0000-000055030000}"/>
    <cellStyle name="5x indented GHG Textfiels 3 3 2 60" xfId="854" xr:uid="{00000000-0005-0000-0000-000056030000}"/>
    <cellStyle name="5x indented GHG Textfiels 3 3 2 61" xfId="855" xr:uid="{00000000-0005-0000-0000-000057030000}"/>
    <cellStyle name="5x indented GHG Textfiels 3 3 2 62" xfId="856" xr:uid="{00000000-0005-0000-0000-000058030000}"/>
    <cellStyle name="5x indented GHG Textfiels 3 3 2 63" xfId="857" xr:uid="{00000000-0005-0000-0000-000059030000}"/>
    <cellStyle name="5x indented GHG Textfiels 3 3 2 64" xfId="858" xr:uid="{00000000-0005-0000-0000-00005A030000}"/>
    <cellStyle name="5x indented GHG Textfiels 3 3 2 65" xfId="859" xr:uid="{00000000-0005-0000-0000-00005B030000}"/>
    <cellStyle name="5x indented GHG Textfiels 3 3 2 66" xfId="860" xr:uid="{00000000-0005-0000-0000-00005C030000}"/>
    <cellStyle name="5x indented GHG Textfiels 3 3 2 7" xfId="861" xr:uid="{00000000-0005-0000-0000-00005D030000}"/>
    <cellStyle name="5x indented GHG Textfiels 3 3 2 8" xfId="862" xr:uid="{00000000-0005-0000-0000-00005E030000}"/>
    <cellStyle name="5x indented GHG Textfiels 3 3 2 9" xfId="863" xr:uid="{00000000-0005-0000-0000-00005F030000}"/>
    <cellStyle name="5x indented GHG Textfiels 3 3 20" xfId="864" xr:uid="{00000000-0005-0000-0000-000060030000}"/>
    <cellStyle name="5x indented GHG Textfiels 3 3 21" xfId="865" xr:uid="{00000000-0005-0000-0000-000061030000}"/>
    <cellStyle name="5x indented GHG Textfiels 3 3 22" xfId="866" xr:uid="{00000000-0005-0000-0000-000062030000}"/>
    <cellStyle name="5x indented GHG Textfiels 3 3 23" xfId="867" xr:uid="{00000000-0005-0000-0000-000063030000}"/>
    <cellStyle name="5x indented GHG Textfiels 3 3 24" xfId="868" xr:uid="{00000000-0005-0000-0000-000064030000}"/>
    <cellStyle name="5x indented GHG Textfiels 3 3 25" xfId="869" xr:uid="{00000000-0005-0000-0000-000065030000}"/>
    <cellStyle name="5x indented GHG Textfiels 3 3 26" xfId="870" xr:uid="{00000000-0005-0000-0000-000066030000}"/>
    <cellStyle name="5x indented GHG Textfiels 3 3 27" xfId="871" xr:uid="{00000000-0005-0000-0000-000067030000}"/>
    <cellStyle name="5x indented GHG Textfiels 3 3 28" xfId="872" xr:uid="{00000000-0005-0000-0000-000068030000}"/>
    <cellStyle name="5x indented GHG Textfiels 3 3 29" xfId="873" xr:uid="{00000000-0005-0000-0000-000069030000}"/>
    <cellStyle name="5x indented GHG Textfiels 3 3 3" xfId="874" xr:uid="{00000000-0005-0000-0000-00006A030000}"/>
    <cellStyle name="5x indented GHG Textfiels 3 3 3 10" xfId="875" xr:uid="{00000000-0005-0000-0000-00006B030000}"/>
    <cellStyle name="5x indented GHG Textfiels 3 3 3 11" xfId="876" xr:uid="{00000000-0005-0000-0000-00006C030000}"/>
    <cellStyle name="5x indented GHG Textfiels 3 3 3 12" xfId="877" xr:uid="{00000000-0005-0000-0000-00006D030000}"/>
    <cellStyle name="5x indented GHG Textfiels 3 3 3 13" xfId="878" xr:uid="{00000000-0005-0000-0000-00006E030000}"/>
    <cellStyle name="5x indented GHG Textfiels 3 3 3 14" xfId="879" xr:uid="{00000000-0005-0000-0000-00006F030000}"/>
    <cellStyle name="5x indented GHG Textfiels 3 3 3 15" xfId="880" xr:uid="{00000000-0005-0000-0000-000070030000}"/>
    <cellStyle name="5x indented GHG Textfiels 3 3 3 16" xfId="881" xr:uid="{00000000-0005-0000-0000-000071030000}"/>
    <cellStyle name="5x indented GHG Textfiels 3 3 3 17" xfId="882" xr:uid="{00000000-0005-0000-0000-000072030000}"/>
    <cellStyle name="5x indented GHG Textfiels 3 3 3 18" xfId="883" xr:uid="{00000000-0005-0000-0000-000073030000}"/>
    <cellStyle name="5x indented GHG Textfiels 3 3 3 19" xfId="884" xr:uid="{00000000-0005-0000-0000-000074030000}"/>
    <cellStyle name="5x indented GHG Textfiels 3 3 3 2" xfId="885" xr:uid="{00000000-0005-0000-0000-000075030000}"/>
    <cellStyle name="5x indented GHG Textfiels 3 3 3 2 10" xfId="886" xr:uid="{00000000-0005-0000-0000-000076030000}"/>
    <cellStyle name="5x indented GHG Textfiels 3 3 3 2 11" xfId="887" xr:uid="{00000000-0005-0000-0000-000077030000}"/>
    <cellStyle name="5x indented GHG Textfiels 3 3 3 2 12" xfId="888" xr:uid="{00000000-0005-0000-0000-000078030000}"/>
    <cellStyle name="5x indented GHG Textfiels 3 3 3 2 13" xfId="889" xr:uid="{00000000-0005-0000-0000-000079030000}"/>
    <cellStyle name="5x indented GHG Textfiels 3 3 3 2 14" xfId="890" xr:uid="{00000000-0005-0000-0000-00007A030000}"/>
    <cellStyle name="5x indented GHG Textfiels 3 3 3 2 15" xfId="891" xr:uid="{00000000-0005-0000-0000-00007B030000}"/>
    <cellStyle name="5x indented GHG Textfiels 3 3 3 2 16" xfId="892" xr:uid="{00000000-0005-0000-0000-00007C030000}"/>
    <cellStyle name="5x indented GHG Textfiels 3 3 3 2 17" xfId="893" xr:uid="{00000000-0005-0000-0000-00007D030000}"/>
    <cellStyle name="5x indented GHG Textfiels 3 3 3 2 18" xfId="894" xr:uid="{00000000-0005-0000-0000-00007E030000}"/>
    <cellStyle name="5x indented GHG Textfiels 3 3 3 2 19" xfId="895" xr:uid="{00000000-0005-0000-0000-00007F030000}"/>
    <cellStyle name="5x indented GHG Textfiels 3 3 3 2 2" xfId="896" xr:uid="{00000000-0005-0000-0000-000080030000}"/>
    <cellStyle name="5x indented GHG Textfiels 3 3 3 2 20" xfId="897" xr:uid="{00000000-0005-0000-0000-000081030000}"/>
    <cellStyle name="5x indented GHG Textfiels 3 3 3 2 21" xfId="898" xr:uid="{00000000-0005-0000-0000-000082030000}"/>
    <cellStyle name="5x indented GHG Textfiels 3 3 3 2 22" xfId="899" xr:uid="{00000000-0005-0000-0000-000083030000}"/>
    <cellStyle name="5x indented GHG Textfiels 3 3 3 2 23" xfId="900" xr:uid="{00000000-0005-0000-0000-000084030000}"/>
    <cellStyle name="5x indented GHG Textfiels 3 3 3 2 24" xfId="901" xr:uid="{00000000-0005-0000-0000-000085030000}"/>
    <cellStyle name="5x indented GHG Textfiels 3 3 3 2 25" xfId="902" xr:uid="{00000000-0005-0000-0000-000086030000}"/>
    <cellStyle name="5x indented GHG Textfiels 3 3 3 2 26" xfId="903" xr:uid="{00000000-0005-0000-0000-000087030000}"/>
    <cellStyle name="5x indented GHG Textfiels 3 3 3 2 27" xfId="904" xr:uid="{00000000-0005-0000-0000-000088030000}"/>
    <cellStyle name="5x indented GHG Textfiels 3 3 3 2 28" xfId="905" xr:uid="{00000000-0005-0000-0000-000089030000}"/>
    <cellStyle name="5x indented GHG Textfiels 3 3 3 2 29" xfId="906" xr:uid="{00000000-0005-0000-0000-00008A030000}"/>
    <cellStyle name="5x indented GHG Textfiels 3 3 3 2 3" xfId="907" xr:uid="{00000000-0005-0000-0000-00008B030000}"/>
    <cellStyle name="5x indented GHG Textfiels 3 3 3 2 30" xfId="908" xr:uid="{00000000-0005-0000-0000-00008C030000}"/>
    <cellStyle name="5x indented GHG Textfiels 3 3 3 2 31" xfId="909" xr:uid="{00000000-0005-0000-0000-00008D030000}"/>
    <cellStyle name="5x indented GHG Textfiels 3 3 3 2 32" xfId="910" xr:uid="{00000000-0005-0000-0000-00008E030000}"/>
    <cellStyle name="5x indented GHG Textfiels 3 3 3 2 33" xfId="911" xr:uid="{00000000-0005-0000-0000-00008F030000}"/>
    <cellStyle name="5x indented GHG Textfiels 3 3 3 2 34" xfId="912" xr:uid="{00000000-0005-0000-0000-000090030000}"/>
    <cellStyle name="5x indented GHG Textfiels 3 3 3 2 35" xfId="913" xr:uid="{00000000-0005-0000-0000-000091030000}"/>
    <cellStyle name="5x indented GHG Textfiels 3 3 3 2 36" xfId="914" xr:uid="{00000000-0005-0000-0000-000092030000}"/>
    <cellStyle name="5x indented GHG Textfiels 3 3 3 2 37" xfId="915" xr:uid="{00000000-0005-0000-0000-000093030000}"/>
    <cellStyle name="5x indented GHG Textfiels 3 3 3 2 38" xfId="916" xr:uid="{00000000-0005-0000-0000-000094030000}"/>
    <cellStyle name="5x indented GHG Textfiels 3 3 3 2 39" xfId="917" xr:uid="{00000000-0005-0000-0000-000095030000}"/>
    <cellStyle name="5x indented GHG Textfiels 3 3 3 2 4" xfId="918" xr:uid="{00000000-0005-0000-0000-000096030000}"/>
    <cellStyle name="5x indented GHG Textfiels 3 3 3 2 40" xfId="919" xr:uid="{00000000-0005-0000-0000-000097030000}"/>
    <cellStyle name="5x indented GHG Textfiels 3 3 3 2 41" xfId="920" xr:uid="{00000000-0005-0000-0000-000098030000}"/>
    <cellStyle name="5x indented GHG Textfiels 3 3 3 2 42" xfId="921" xr:uid="{00000000-0005-0000-0000-000099030000}"/>
    <cellStyle name="5x indented GHG Textfiels 3 3 3 2 43" xfId="922" xr:uid="{00000000-0005-0000-0000-00009A030000}"/>
    <cellStyle name="5x indented GHG Textfiels 3 3 3 2 44" xfId="923" xr:uid="{00000000-0005-0000-0000-00009B030000}"/>
    <cellStyle name="5x indented GHG Textfiels 3 3 3 2 45" xfId="924" xr:uid="{00000000-0005-0000-0000-00009C030000}"/>
    <cellStyle name="5x indented GHG Textfiels 3 3 3 2 46" xfId="925" xr:uid="{00000000-0005-0000-0000-00009D030000}"/>
    <cellStyle name="5x indented GHG Textfiels 3 3 3 2 47" xfId="926" xr:uid="{00000000-0005-0000-0000-00009E030000}"/>
    <cellStyle name="5x indented GHG Textfiels 3 3 3 2 48" xfId="927" xr:uid="{00000000-0005-0000-0000-00009F030000}"/>
    <cellStyle name="5x indented GHG Textfiels 3 3 3 2 49" xfId="928" xr:uid="{00000000-0005-0000-0000-0000A0030000}"/>
    <cellStyle name="5x indented GHG Textfiels 3 3 3 2 5" xfId="929" xr:uid="{00000000-0005-0000-0000-0000A1030000}"/>
    <cellStyle name="5x indented GHG Textfiels 3 3 3 2 50" xfId="930" xr:uid="{00000000-0005-0000-0000-0000A2030000}"/>
    <cellStyle name="5x indented GHG Textfiels 3 3 3 2 51" xfId="931" xr:uid="{00000000-0005-0000-0000-0000A3030000}"/>
    <cellStyle name="5x indented GHG Textfiels 3 3 3 2 52" xfId="932" xr:uid="{00000000-0005-0000-0000-0000A4030000}"/>
    <cellStyle name="5x indented GHG Textfiels 3 3 3 2 53" xfId="933" xr:uid="{00000000-0005-0000-0000-0000A5030000}"/>
    <cellStyle name="5x indented GHG Textfiels 3 3 3 2 54" xfId="934" xr:uid="{00000000-0005-0000-0000-0000A6030000}"/>
    <cellStyle name="5x indented GHG Textfiels 3 3 3 2 55" xfId="935" xr:uid="{00000000-0005-0000-0000-0000A7030000}"/>
    <cellStyle name="5x indented GHG Textfiels 3 3 3 2 56" xfId="936" xr:uid="{00000000-0005-0000-0000-0000A8030000}"/>
    <cellStyle name="5x indented GHG Textfiels 3 3 3 2 57" xfId="937" xr:uid="{00000000-0005-0000-0000-0000A9030000}"/>
    <cellStyle name="5x indented GHG Textfiels 3 3 3 2 58" xfId="938" xr:uid="{00000000-0005-0000-0000-0000AA030000}"/>
    <cellStyle name="5x indented GHG Textfiels 3 3 3 2 59" xfId="939" xr:uid="{00000000-0005-0000-0000-0000AB030000}"/>
    <cellStyle name="5x indented GHG Textfiels 3 3 3 2 6" xfId="940" xr:uid="{00000000-0005-0000-0000-0000AC030000}"/>
    <cellStyle name="5x indented GHG Textfiels 3 3 3 2 60" xfId="941" xr:uid="{00000000-0005-0000-0000-0000AD030000}"/>
    <cellStyle name="5x indented GHG Textfiels 3 3 3 2 61" xfId="942" xr:uid="{00000000-0005-0000-0000-0000AE030000}"/>
    <cellStyle name="5x indented GHG Textfiels 3 3 3 2 62" xfId="943" xr:uid="{00000000-0005-0000-0000-0000AF030000}"/>
    <cellStyle name="5x indented GHG Textfiels 3 3 3 2 63" xfId="944" xr:uid="{00000000-0005-0000-0000-0000B0030000}"/>
    <cellStyle name="5x indented GHG Textfiels 3 3 3 2 64" xfId="945" xr:uid="{00000000-0005-0000-0000-0000B1030000}"/>
    <cellStyle name="5x indented GHG Textfiels 3 3 3 2 65" xfId="946" xr:uid="{00000000-0005-0000-0000-0000B2030000}"/>
    <cellStyle name="5x indented GHG Textfiels 3 3 3 2 7" xfId="947" xr:uid="{00000000-0005-0000-0000-0000B3030000}"/>
    <cellStyle name="5x indented GHG Textfiels 3 3 3 2 8" xfId="948" xr:uid="{00000000-0005-0000-0000-0000B4030000}"/>
    <cellStyle name="5x indented GHG Textfiels 3 3 3 2 9" xfId="949" xr:uid="{00000000-0005-0000-0000-0000B5030000}"/>
    <cellStyle name="5x indented GHG Textfiels 3 3 3 20" xfId="950" xr:uid="{00000000-0005-0000-0000-0000B6030000}"/>
    <cellStyle name="5x indented GHG Textfiels 3 3 3 21" xfId="951" xr:uid="{00000000-0005-0000-0000-0000B7030000}"/>
    <cellStyle name="5x indented GHG Textfiels 3 3 3 22" xfId="952" xr:uid="{00000000-0005-0000-0000-0000B8030000}"/>
    <cellStyle name="5x indented GHG Textfiels 3 3 3 23" xfId="953" xr:uid="{00000000-0005-0000-0000-0000B9030000}"/>
    <cellStyle name="5x indented GHG Textfiels 3 3 3 24" xfId="954" xr:uid="{00000000-0005-0000-0000-0000BA030000}"/>
    <cellStyle name="5x indented GHG Textfiels 3 3 3 25" xfId="955" xr:uid="{00000000-0005-0000-0000-0000BB030000}"/>
    <cellStyle name="5x indented GHG Textfiels 3 3 3 26" xfId="956" xr:uid="{00000000-0005-0000-0000-0000BC030000}"/>
    <cellStyle name="5x indented GHG Textfiels 3 3 3 27" xfId="957" xr:uid="{00000000-0005-0000-0000-0000BD030000}"/>
    <cellStyle name="5x indented GHG Textfiels 3 3 3 28" xfId="958" xr:uid="{00000000-0005-0000-0000-0000BE030000}"/>
    <cellStyle name="5x indented GHG Textfiels 3 3 3 29" xfId="959" xr:uid="{00000000-0005-0000-0000-0000BF030000}"/>
    <cellStyle name="5x indented GHG Textfiels 3 3 3 3" xfId="960" xr:uid="{00000000-0005-0000-0000-0000C0030000}"/>
    <cellStyle name="5x indented GHG Textfiels 3 3 3 30" xfId="961" xr:uid="{00000000-0005-0000-0000-0000C1030000}"/>
    <cellStyle name="5x indented GHG Textfiels 3 3 3 31" xfId="962" xr:uid="{00000000-0005-0000-0000-0000C2030000}"/>
    <cellStyle name="5x indented GHG Textfiels 3 3 3 32" xfId="963" xr:uid="{00000000-0005-0000-0000-0000C3030000}"/>
    <cellStyle name="5x indented GHG Textfiels 3 3 3 33" xfId="964" xr:uid="{00000000-0005-0000-0000-0000C4030000}"/>
    <cellStyle name="5x indented GHG Textfiels 3 3 3 34" xfId="965" xr:uid="{00000000-0005-0000-0000-0000C5030000}"/>
    <cellStyle name="5x indented GHG Textfiels 3 3 3 35" xfId="966" xr:uid="{00000000-0005-0000-0000-0000C6030000}"/>
    <cellStyle name="5x indented GHG Textfiels 3 3 3 36" xfId="967" xr:uid="{00000000-0005-0000-0000-0000C7030000}"/>
    <cellStyle name="5x indented GHG Textfiels 3 3 3 37" xfId="968" xr:uid="{00000000-0005-0000-0000-0000C8030000}"/>
    <cellStyle name="5x indented GHG Textfiels 3 3 3 38" xfId="969" xr:uid="{00000000-0005-0000-0000-0000C9030000}"/>
    <cellStyle name="5x indented GHG Textfiels 3 3 3 39" xfId="970" xr:uid="{00000000-0005-0000-0000-0000CA030000}"/>
    <cellStyle name="5x indented GHG Textfiels 3 3 3 4" xfId="971" xr:uid="{00000000-0005-0000-0000-0000CB030000}"/>
    <cellStyle name="5x indented GHG Textfiels 3 3 3 40" xfId="972" xr:uid="{00000000-0005-0000-0000-0000CC030000}"/>
    <cellStyle name="5x indented GHG Textfiels 3 3 3 41" xfId="973" xr:uid="{00000000-0005-0000-0000-0000CD030000}"/>
    <cellStyle name="5x indented GHG Textfiels 3 3 3 42" xfId="974" xr:uid="{00000000-0005-0000-0000-0000CE030000}"/>
    <cellStyle name="5x indented GHG Textfiels 3 3 3 43" xfId="975" xr:uid="{00000000-0005-0000-0000-0000CF030000}"/>
    <cellStyle name="5x indented GHG Textfiels 3 3 3 44" xfId="976" xr:uid="{00000000-0005-0000-0000-0000D0030000}"/>
    <cellStyle name="5x indented GHG Textfiels 3 3 3 45" xfId="977" xr:uid="{00000000-0005-0000-0000-0000D1030000}"/>
    <cellStyle name="5x indented GHG Textfiels 3 3 3 46" xfId="978" xr:uid="{00000000-0005-0000-0000-0000D2030000}"/>
    <cellStyle name="5x indented GHG Textfiels 3 3 3 47" xfId="979" xr:uid="{00000000-0005-0000-0000-0000D3030000}"/>
    <cellStyle name="5x indented GHG Textfiels 3 3 3 48" xfId="980" xr:uid="{00000000-0005-0000-0000-0000D4030000}"/>
    <cellStyle name="5x indented GHG Textfiels 3 3 3 49" xfId="981" xr:uid="{00000000-0005-0000-0000-0000D5030000}"/>
    <cellStyle name="5x indented GHG Textfiels 3 3 3 5" xfId="982" xr:uid="{00000000-0005-0000-0000-0000D6030000}"/>
    <cellStyle name="5x indented GHG Textfiels 3 3 3 50" xfId="983" xr:uid="{00000000-0005-0000-0000-0000D7030000}"/>
    <cellStyle name="5x indented GHG Textfiels 3 3 3 51" xfId="984" xr:uid="{00000000-0005-0000-0000-0000D8030000}"/>
    <cellStyle name="5x indented GHG Textfiels 3 3 3 52" xfId="985" xr:uid="{00000000-0005-0000-0000-0000D9030000}"/>
    <cellStyle name="5x indented GHG Textfiels 3 3 3 53" xfId="986" xr:uid="{00000000-0005-0000-0000-0000DA030000}"/>
    <cellStyle name="5x indented GHG Textfiels 3 3 3 54" xfId="987" xr:uid="{00000000-0005-0000-0000-0000DB030000}"/>
    <cellStyle name="5x indented GHG Textfiels 3 3 3 55" xfId="988" xr:uid="{00000000-0005-0000-0000-0000DC030000}"/>
    <cellStyle name="5x indented GHG Textfiels 3 3 3 56" xfId="989" xr:uid="{00000000-0005-0000-0000-0000DD030000}"/>
    <cellStyle name="5x indented GHG Textfiels 3 3 3 57" xfId="990" xr:uid="{00000000-0005-0000-0000-0000DE030000}"/>
    <cellStyle name="5x indented GHG Textfiels 3 3 3 58" xfId="991" xr:uid="{00000000-0005-0000-0000-0000DF030000}"/>
    <cellStyle name="5x indented GHG Textfiels 3 3 3 59" xfId="992" xr:uid="{00000000-0005-0000-0000-0000E0030000}"/>
    <cellStyle name="5x indented GHG Textfiels 3 3 3 6" xfId="993" xr:uid="{00000000-0005-0000-0000-0000E1030000}"/>
    <cellStyle name="5x indented GHG Textfiels 3 3 3 60" xfId="994" xr:uid="{00000000-0005-0000-0000-0000E2030000}"/>
    <cellStyle name="5x indented GHG Textfiels 3 3 3 61" xfId="995" xr:uid="{00000000-0005-0000-0000-0000E3030000}"/>
    <cellStyle name="5x indented GHG Textfiels 3 3 3 62" xfId="996" xr:uid="{00000000-0005-0000-0000-0000E4030000}"/>
    <cellStyle name="5x indented GHG Textfiels 3 3 3 63" xfId="997" xr:uid="{00000000-0005-0000-0000-0000E5030000}"/>
    <cellStyle name="5x indented GHG Textfiels 3 3 3 64" xfId="998" xr:uid="{00000000-0005-0000-0000-0000E6030000}"/>
    <cellStyle name="5x indented GHG Textfiels 3 3 3 65" xfId="999" xr:uid="{00000000-0005-0000-0000-0000E7030000}"/>
    <cellStyle name="5x indented GHG Textfiels 3 3 3 66" xfId="1000" xr:uid="{00000000-0005-0000-0000-0000E8030000}"/>
    <cellStyle name="5x indented GHG Textfiels 3 3 3 7" xfId="1001" xr:uid="{00000000-0005-0000-0000-0000E9030000}"/>
    <cellStyle name="5x indented GHG Textfiels 3 3 3 8" xfId="1002" xr:uid="{00000000-0005-0000-0000-0000EA030000}"/>
    <cellStyle name="5x indented GHG Textfiels 3 3 3 9" xfId="1003" xr:uid="{00000000-0005-0000-0000-0000EB030000}"/>
    <cellStyle name="5x indented GHG Textfiels 3 3 30" xfId="1004" xr:uid="{00000000-0005-0000-0000-0000EC030000}"/>
    <cellStyle name="5x indented GHG Textfiels 3 3 31" xfId="1005" xr:uid="{00000000-0005-0000-0000-0000ED030000}"/>
    <cellStyle name="5x indented GHG Textfiels 3 3 32" xfId="1006" xr:uid="{00000000-0005-0000-0000-0000EE030000}"/>
    <cellStyle name="5x indented GHG Textfiels 3 3 33" xfId="1007" xr:uid="{00000000-0005-0000-0000-0000EF030000}"/>
    <cellStyle name="5x indented GHG Textfiels 3 3 34" xfId="1008" xr:uid="{00000000-0005-0000-0000-0000F0030000}"/>
    <cellStyle name="5x indented GHG Textfiels 3 3 35" xfId="1009" xr:uid="{00000000-0005-0000-0000-0000F1030000}"/>
    <cellStyle name="5x indented GHG Textfiels 3 3 36" xfId="1010" xr:uid="{00000000-0005-0000-0000-0000F2030000}"/>
    <cellStyle name="5x indented GHG Textfiels 3 3 37" xfId="1011" xr:uid="{00000000-0005-0000-0000-0000F3030000}"/>
    <cellStyle name="5x indented GHG Textfiels 3 3 38" xfId="1012" xr:uid="{00000000-0005-0000-0000-0000F4030000}"/>
    <cellStyle name="5x indented GHG Textfiels 3 3 39" xfId="1013" xr:uid="{00000000-0005-0000-0000-0000F5030000}"/>
    <cellStyle name="5x indented GHG Textfiels 3 3 4" xfId="1014" xr:uid="{00000000-0005-0000-0000-0000F6030000}"/>
    <cellStyle name="5x indented GHG Textfiels 3 3 4 10" xfId="1015" xr:uid="{00000000-0005-0000-0000-0000F7030000}"/>
    <cellStyle name="5x indented GHG Textfiels 3 3 4 11" xfId="1016" xr:uid="{00000000-0005-0000-0000-0000F8030000}"/>
    <cellStyle name="5x indented GHG Textfiels 3 3 4 12" xfId="1017" xr:uid="{00000000-0005-0000-0000-0000F9030000}"/>
    <cellStyle name="5x indented GHG Textfiels 3 3 4 13" xfId="1018" xr:uid="{00000000-0005-0000-0000-0000FA030000}"/>
    <cellStyle name="5x indented GHG Textfiels 3 3 4 14" xfId="1019" xr:uid="{00000000-0005-0000-0000-0000FB030000}"/>
    <cellStyle name="5x indented GHG Textfiels 3 3 4 15" xfId="1020" xr:uid="{00000000-0005-0000-0000-0000FC030000}"/>
    <cellStyle name="5x indented GHG Textfiels 3 3 4 16" xfId="1021" xr:uid="{00000000-0005-0000-0000-0000FD030000}"/>
    <cellStyle name="5x indented GHG Textfiels 3 3 4 17" xfId="1022" xr:uid="{00000000-0005-0000-0000-0000FE030000}"/>
    <cellStyle name="5x indented GHG Textfiels 3 3 4 18" xfId="1023" xr:uid="{00000000-0005-0000-0000-0000FF030000}"/>
    <cellStyle name="5x indented GHG Textfiels 3 3 4 19" xfId="1024" xr:uid="{00000000-0005-0000-0000-000000040000}"/>
    <cellStyle name="5x indented GHG Textfiels 3 3 4 2" xfId="1025" xr:uid="{00000000-0005-0000-0000-000001040000}"/>
    <cellStyle name="5x indented GHG Textfiels 3 3 4 2 10" xfId="1026" xr:uid="{00000000-0005-0000-0000-000002040000}"/>
    <cellStyle name="5x indented GHG Textfiels 3 3 4 2 11" xfId="1027" xr:uid="{00000000-0005-0000-0000-000003040000}"/>
    <cellStyle name="5x indented GHG Textfiels 3 3 4 2 12" xfId="1028" xr:uid="{00000000-0005-0000-0000-000004040000}"/>
    <cellStyle name="5x indented GHG Textfiels 3 3 4 2 13" xfId="1029" xr:uid="{00000000-0005-0000-0000-000005040000}"/>
    <cellStyle name="5x indented GHG Textfiels 3 3 4 2 14" xfId="1030" xr:uid="{00000000-0005-0000-0000-000006040000}"/>
    <cellStyle name="5x indented GHG Textfiels 3 3 4 2 15" xfId="1031" xr:uid="{00000000-0005-0000-0000-000007040000}"/>
    <cellStyle name="5x indented GHG Textfiels 3 3 4 2 16" xfId="1032" xr:uid="{00000000-0005-0000-0000-000008040000}"/>
    <cellStyle name="5x indented GHG Textfiels 3 3 4 2 17" xfId="1033" xr:uid="{00000000-0005-0000-0000-000009040000}"/>
    <cellStyle name="5x indented GHG Textfiels 3 3 4 2 18" xfId="1034" xr:uid="{00000000-0005-0000-0000-00000A040000}"/>
    <cellStyle name="5x indented GHG Textfiels 3 3 4 2 19" xfId="1035" xr:uid="{00000000-0005-0000-0000-00000B040000}"/>
    <cellStyle name="5x indented GHG Textfiels 3 3 4 2 2" xfId="1036" xr:uid="{00000000-0005-0000-0000-00000C040000}"/>
    <cellStyle name="5x indented GHG Textfiels 3 3 4 2 20" xfId="1037" xr:uid="{00000000-0005-0000-0000-00000D040000}"/>
    <cellStyle name="5x indented GHG Textfiels 3 3 4 2 21" xfId="1038" xr:uid="{00000000-0005-0000-0000-00000E040000}"/>
    <cellStyle name="5x indented GHG Textfiels 3 3 4 2 22" xfId="1039" xr:uid="{00000000-0005-0000-0000-00000F040000}"/>
    <cellStyle name="5x indented GHG Textfiels 3 3 4 2 23" xfId="1040" xr:uid="{00000000-0005-0000-0000-000010040000}"/>
    <cellStyle name="5x indented GHG Textfiels 3 3 4 2 24" xfId="1041" xr:uid="{00000000-0005-0000-0000-000011040000}"/>
    <cellStyle name="5x indented GHG Textfiels 3 3 4 2 25" xfId="1042" xr:uid="{00000000-0005-0000-0000-000012040000}"/>
    <cellStyle name="5x indented GHG Textfiels 3 3 4 2 26" xfId="1043" xr:uid="{00000000-0005-0000-0000-000013040000}"/>
    <cellStyle name="5x indented GHG Textfiels 3 3 4 2 27" xfId="1044" xr:uid="{00000000-0005-0000-0000-000014040000}"/>
    <cellStyle name="5x indented GHG Textfiels 3 3 4 2 28" xfId="1045" xr:uid="{00000000-0005-0000-0000-000015040000}"/>
    <cellStyle name="5x indented GHG Textfiels 3 3 4 2 29" xfId="1046" xr:uid="{00000000-0005-0000-0000-000016040000}"/>
    <cellStyle name="5x indented GHG Textfiels 3 3 4 2 3" xfId="1047" xr:uid="{00000000-0005-0000-0000-000017040000}"/>
    <cellStyle name="5x indented GHG Textfiels 3 3 4 2 30" xfId="1048" xr:uid="{00000000-0005-0000-0000-000018040000}"/>
    <cellStyle name="5x indented GHG Textfiels 3 3 4 2 31" xfId="1049" xr:uid="{00000000-0005-0000-0000-000019040000}"/>
    <cellStyle name="5x indented GHG Textfiels 3 3 4 2 32" xfId="1050" xr:uid="{00000000-0005-0000-0000-00001A040000}"/>
    <cellStyle name="5x indented GHG Textfiels 3 3 4 2 33" xfId="1051" xr:uid="{00000000-0005-0000-0000-00001B040000}"/>
    <cellStyle name="5x indented GHG Textfiels 3 3 4 2 34" xfId="1052" xr:uid="{00000000-0005-0000-0000-00001C040000}"/>
    <cellStyle name="5x indented GHG Textfiels 3 3 4 2 35" xfId="1053" xr:uid="{00000000-0005-0000-0000-00001D040000}"/>
    <cellStyle name="5x indented GHG Textfiels 3 3 4 2 36" xfId="1054" xr:uid="{00000000-0005-0000-0000-00001E040000}"/>
    <cellStyle name="5x indented GHG Textfiels 3 3 4 2 37" xfId="1055" xr:uid="{00000000-0005-0000-0000-00001F040000}"/>
    <cellStyle name="5x indented GHG Textfiels 3 3 4 2 38" xfId="1056" xr:uid="{00000000-0005-0000-0000-000020040000}"/>
    <cellStyle name="5x indented GHG Textfiels 3 3 4 2 39" xfId="1057" xr:uid="{00000000-0005-0000-0000-000021040000}"/>
    <cellStyle name="5x indented GHG Textfiels 3 3 4 2 4" xfId="1058" xr:uid="{00000000-0005-0000-0000-000022040000}"/>
    <cellStyle name="5x indented GHG Textfiels 3 3 4 2 40" xfId="1059" xr:uid="{00000000-0005-0000-0000-000023040000}"/>
    <cellStyle name="5x indented GHG Textfiels 3 3 4 2 41" xfId="1060" xr:uid="{00000000-0005-0000-0000-000024040000}"/>
    <cellStyle name="5x indented GHG Textfiels 3 3 4 2 42" xfId="1061" xr:uid="{00000000-0005-0000-0000-000025040000}"/>
    <cellStyle name="5x indented GHG Textfiels 3 3 4 2 43" xfId="1062" xr:uid="{00000000-0005-0000-0000-000026040000}"/>
    <cellStyle name="5x indented GHG Textfiels 3 3 4 2 44" xfId="1063" xr:uid="{00000000-0005-0000-0000-000027040000}"/>
    <cellStyle name="5x indented GHG Textfiels 3 3 4 2 45" xfId="1064" xr:uid="{00000000-0005-0000-0000-000028040000}"/>
    <cellStyle name="5x indented GHG Textfiels 3 3 4 2 46" xfId="1065" xr:uid="{00000000-0005-0000-0000-000029040000}"/>
    <cellStyle name="5x indented GHG Textfiels 3 3 4 2 47" xfId="1066" xr:uid="{00000000-0005-0000-0000-00002A040000}"/>
    <cellStyle name="5x indented GHG Textfiels 3 3 4 2 48" xfId="1067" xr:uid="{00000000-0005-0000-0000-00002B040000}"/>
    <cellStyle name="5x indented GHG Textfiels 3 3 4 2 49" xfId="1068" xr:uid="{00000000-0005-0000-0000-00002C040000}"/>
    <cellStyle name="5x indented GHG Textfiels 3 3 4 2 5" xfId="1069" xr:uid="{00000000-0005-0000-0000-00002D040000}"/>
    <cellStyle name="5x indented GHG Textfiels 3 3 4 2 50" xfId="1070" xr:uid="{00000000-0005-0000-0000-00002E040000}"/>
    <cellStyle name="5x indented GHG Textfiels 3 3 4 2 51" xfId="1071" xr:uid="{00000000-0005-0000-0000-00002F040000}"/>
    <cellStyle name="5x indented GHG Textfiels 3 3 4 2 52" xfId="1072" xr:uid="{00000000-0005-0000-0000-000030040000}"/>
    <cellStyle name="5x indented GHG Textfiels 3 3 4 2 53" xfId="1073" xr:uid="{00000000-0005-0000-0000-000031040000}"/>
    <cellStyle name="5x indented GHG Textfiels 3 3 4 2 54" xfId="1074" xr:uid="{00000000-0005-0000-0000-000032040000}"/>
    <cellStyle name="5x indented GHG Textfiels 3 3 4 2 55" xfId="1075" xr:uid="{00000000-0005-0000-0000-000033040000}"/>
    <cellStyle name="5x indented GHG Textfiels 3 3 4 2 56" xfId="1076" xr:uid="{00000000-0005-0000-0000-000034040000}"/>
    <cellStyle name="5x indented GHG Textfiels 3 3 4 2 57" xfId="1077" xr:uid="{00000000-0005-0000-0000-000035040000}"/>
    <cellStyle name="5x indented GHG Textfiels 3 3 4 2 58" xfId="1078" xr:uid="{00000000-0005-0000-0000-000036040000}"/>
    <cellStyle name="5x indented GHG Textfiels 3 3 4 2 59" xfId="1079" xr:uid="{00000000-0005-0000-0000-000037040000}"/>
    <cellStyle name="5x indented GHG Textfiels 3 3 4 2 6" xfId="1080" xr:uid="{00000000-0005-0000-0000-000038040000}"/>
    <cellStyle name="5x indented GHG Textfiels 3 3 4 2 60" xfId="1081" xr:uid="{00000000-0005-0000-0000-000039040000}"/>
    <cellStyle name="5x indented GHG Textfiels 3 3 4 2 61" xfId="1082" xr:uid="{00000000-0005-0000-0000-00003A040000}"/>
    <cellStyle name="5x indented GHG Textfiels 3 3 4 2 62" xfId="1083" xr:uid="{00000000-0005-0000-0000-00003B040000}"/>
    <cellStyle name="5x indented GHG Textfiels 3 3 4 2 63" xfId="1084" xr:uid="{00000000-0005-0000-0000-00003C040000}"/>
    <cellStyle name="5x indented GHG Textfiels 3 3 4 2 64" xfId="1085" xr:uid="{00000000-0005-0000-0000-00003D040000}"/>
    <cellStyle name="5x indented GHG Textfiels 3 3 4 2 65" xfId="1086" xr:uid="{00000000-0005-0000-0000-00003E040000}"/>
    <cellStyle name="5x indented GHG Textfiels 3 3 4 2 7" xfId="1087" xr:uid="{00000000-0005-0000-0000-00003F040000}"/>
    <cellStyle name="5x indented GHG Textfiels 3 3 4 2 8" xfId="1088" xr:uid="{00000000-0005-0000-0000-000040040000}"/>
    <cellStyle name="5x indented GHG Textfiels 3 3 4 2 9" xfId="1089" xr:uid="{00000000-0005-0000-0000-000041040000}"/>
    <cellStyle name="5x indented GHG Textfiels 3 3 4 20" xfId="1090" xr:uid="{00000000-0005-0000-0000-000042040000}"/>
    <cellStyle name="5x indented GHG Textfiels 3 3 4 21" xfId="1091" xr:uid="{00000000-0005-0000-0000-000043040000}"/>
    <cellStyle name="5x indented GHG Textfiels 3 3 4 22" xfId="1092" xr:uid="{00000000-0005-0000-0000-000044040000}"/>
    <cellStyle name="5x indented GHG Textfiels 3 3 4 23" xfId="1093" xr:uid="{00000000-0005-0000-0000-000045040000}"/>
    <cellStyle name="5x indented GHG Textfiels 3 3 4 24" xfId="1094" xr:uid="{00000000-0005-0000-0000-000046040000}"/>
    <cellStyle name="5x indented GHG Textfiels 3 3 4 25" xfId="1095" xr:uid="{00000000-0005-0000-0000-000047040000}"/>
    <cellStyle name="5x indented GHG Textfiels 3 3 4 26" xfId="1096" xr:uid="{00000000-0005-0000-0000-000048040000}"/>
    <cellStyle name="5x indented GHG Textfiels 3 3 4 27" xfId="1097" xr:uid="{00000000-0005-0000-0000-000049040000}"/>
    <cellStyle name="5x indented GHG Textfiels 3 3 4 28" xfId="1098" xr:uid="{00000000-0005-0000-0000-00004A040000}"/>
    <cellStyle name="5x indented GHG Textfiels 3 3 4 29" xfId="1099" xr:uid="{00000000-0005-0000-0000-00004B040000}"/>
    <cellStyle name="5x indented GHG Textfiels 3 3 4 3" xfId="1100" xr:uid="{00000000-0005-0000-0000-00004C040000}"/>
    <cellStyle name="5x indented GHG Textfiels 3 3 4 30" xfId="1101" xr:uid="{00000000-0005-0000-0000-00004D040000}"/>
    <cellStyle name="5x indented GHG Textfiels 3 3 4 31" xfId="1102" xr:uid="{00000000-0005-0000-0000-00004E040000}"/>
    <cellStyle name="5x indented GHG Textfiels 3 3 4 32" xfId="1103" xr:uid="{00000000-0005-0000-0000-00004F040000}"/>
    <cellStyle name="5x indented GHG Textfiels 3 3 4 33" xfId="1104" xr:uid="{00000000-0005-0000-0000-000050040000}"/>
    <cellStyle name="5x indented GHG Textfiels 3 3 4 34" xfId="1105" xr:uid="{00000000-0005-0000-0000-000051040000}"/>
    <cellStyle name="5x indented GHG Textfiels 3 3 4 35" xfId="1106" xr:uid="{00000000-0005-0000-0000-000052040000}"/>
    <cellStyle name="5x indented GHG Textfiels 3 3 4 36" xfId="1107" xr:uid="{00000000-0005-0000-0000-000053040000}"/>
    <cellStyle name="5x indented GHG Textfiels 3 3 4 37" xfId="1108" xr:uid="{00000000-0005-0000-0000-000054040000}"/>
    <cellStyle name="5x indented GHG Textfiels 3 3 4 38" xfId="1109" xr:uid="{00000000-0005-0000-0000-000055040000}"/>
    <cellStyle name="5x indented GHG Textfiels 3 3 4 39" xfId="1110" xr:uid="{00000000-0005-0000-0000-000056040000}"/>
    <cellStyle name="5x indented GHG Textfiels 3 3 4 4" xfId="1111" xr:uid="{00000000-0005-0000-0000-000057040000}"/>
    <cellStyle name="5x indented GHG Textfiels 3 3 4 40" xfId="1112" xr:uid="{00000000-0005-0000-0000-000058040000}"/>
    <cellStyle name="5x indented GHG Textfiels 3 3 4 41" xfId="1113" xr:uid="{00000000-0005-0000-0000-000059040000}"/>
    <cellStyle name="5x indented GHG Textfiels 3 3 4 42" xfId="1114" xr:uid="{00000000-0005-0000-0000-00005A040000}"/>
    <cellStyle name="5x indented GHG Textfiels 3 3 4 43" xfId="1115" xr:uid="{00000000-0005-0000-0000-00005B040000}"/>
    <cellStyle name="5x indented GHG Textfiels 3 3 4 44" xfId="1116" xr:uid="{00000000-0005-0000-0000-00005C040000}"/>
    <cellStyle name="5x indented GHG Textfiels 3 3 4 45" xfId="1117" xr:uid="{00000000-0005-0000-0000-00005D040000}"/>
    <cellStyle name="5x indented GHG Textfiels 3 3 4 46" xfId="1118" xr:uid="{00000000-0005-0000-0000-00005E040000}"/>
    <cellStyle name="5x indented GHG Textfiels 3 3 4 47" xfId="1119" xr:uid="{00000000-0005-0000-0000-00005F040000}"/>
    <cellStyle name="5x indented GHG Textfiels 3 3 4 48" xfId="1120" xr:uid="{00000000-0005-0000-0000-000060040000}"/>
    <cellStyle name="5x indented GHG Textfiels 3 3 4 49" xfId="1121" xr:uid="{00000000-0005-0000-0000-000061040000}"/>
    <cellStyle name="5x indented GHG Textfiels 3 3 4 5" xfId="1122" xr:uid="{00000000-0005-0000-0000-000062040000}"/>
    <cellStyle name="5x indented GHG Textfiels 3 3 4 50" xfId="1123" xr:uid="{00000000-0005-0000-0000-000063040000}"/>
    <cellStyle name="5x indented GHG Textfiels 3 3 4 51" xfId="1124" xr:uid="{00000000-0005-0000-0000-000064040000}"/>
    <cellStyle name="5x indented GHG Textfiels 3 3 4 52" xfId="1125" xr:uid="{00000000-0005-0000-0000-000065040000}"/>
    <cellStyle name="5x indented GHG Textfiels 3 3 4 53" xfId="1126" xr:uid="{00000000-0005-0000-0000-000066040000}"/>
    <cellStyle name="5x indented GHG Textfiels 3 3 4 54" xfId="1127" xr:uid="{00000000-0005-0000-0000-000067040000}"/>
    <cellStyle name="5x indented GHG Textfiels 3 3 4 55" xfId="1128" xr:uid="{00000000-0005-0000-0000-000068040000}"/>
    <cellStyle name="5x indented GHG Textfiels 3 3 4 56" xfId="1129" xr:uid="{00000000-0005-0000-0000-000069040000}"/>
    <cellStyle name="5x indented GHG Textfiels 3 3 4 57" xfId="1130" xr:uid="{00000000-0005-0000-0000-00006A040000}"/>
    <cellStyle name="5x indented GHG Textfiels 3 3 4 58" xfId="1131" xr:uid="{00000000-0005-0000-0000-00006B040000}"/>
    <cellStyle name="5x indented GHG Textfiels 3 3 4 59" xfId="1132" xr:uid="{00000000-0005-0000-0000-00006C040000}"/>
    <cellStyle name="5x indented GHG Textfiels 3 3 4 6" xfId="1133" xr:uid="{00000000-0005-0000-0000-00006D040000}"/>
    <cellStyle name="5x indented GHG Textfiels 3 3 4 60" xfId="1134" xr:uid="{00000000-0005-0000-0000-00006E040000}"/>
    <cellStyle name="5x indented GHG Textfiels 3 3 4 61" xfId="1135" xr:uid="{00000000-0005-0000-0000-00006F040000}"/>
    <cellStyle name="5x indented GHG Textfiels 3 3 4 62" xfId="1136" xr:uid="{00000000-0005-0000-0000-000070040000}"/>
    <cellStyle name="5x indented GHG Textfiels 3 3 4 63" xfId="1137" xr:uid="{00000000-0005-0000-0000-000071040000}"/>
    <cellStyle name="5x indented GHG Textfiels 3 3 4 64" xfId="1138" xr:uid="{00000000-0005-0000-0000-000072040000}"/>
    <cellStyle name="5x indented GHG Textfiels 3 3 4 65" xfId="1139" xr:uid="{00000000-0005-0000-0000-000073040000}"/>
    <cellStyle name="5x indented GHG Textfiels 3 3 4 66" xfId="1140" xr:uid="{00000000-0005-0000-0000-000074040000}"/>
    <cellStyle name="5x indented GHG Textfiels 3 3 4 7" xfId="1141" xr:uid="{00000000-0005-0000-0000-000075040000}"/>
    <cellStyle name="5x indented GHG Textfiels 3 3 4 8" xfId="1142" xr:uid="{00000000-0005-0000-0000-000076040000}"/>
    <cellStyle name="5x indented GHG Textfiels 3 3 4 9" xfId="1143" xr:uid="{00000000-0005-0000-0000-000077040000}"/>
    <cellStyle name="5x indented GHG Textfiels 3 3 40" xfId="1144" xr:uid="{00000000-0005-0000-0000-000078040000}"/>
    <cellStyle name="5x indented GHG Textfiels 3 3 41" xfId="1145" xr:uid="{00000000-0005-0000-0000-000079040000}"/>
    <cellStyle name="5x indented GHG Textfiels 3 3 42" xfId="1146" xr:uid="{00000000-0005-0000-0000-00007A040000}"/>
    <cellStyle name="5x indented GHG Textfiels 3 3 43" xfId="1147" xr:uid="{00000000-0005-0000-0000-00007B040000}"/>
    <cellStyle name="5x indented GHG Textfiels 3 3 44" xfId="1148" xr:uid="{00000000-0005-0000-0000-00007C040000}"/>
    <cellStyle name="5x indented GHG Textfiels 3 3 45" xfId="1149" xr:uid="{00000000-0005-0000-0000-00007D040000}"/>
    <cellStyle name="5x indented GHG Textfiels 3 3 46" xfId="1150" xr:uid="{00000000-0005-0000-0000-00007E040000}"/>
    <cellStyle name="5x indented GHG Textfiels 3 3 47" xfId="1151" xr:uid="{00000000-0005-0000-0000-00007F040000}"/>
    <cellStyle name="5x indented GHG Textfiels 3 3 48" xfId="1152" xr:uid="{00000000-0005-0000-0000-000080040000}"/>
    <cellStyle name="5x indented GHG Textfiels 3 3 49" xfId="1153" xr:uid="{00000000-0005-0000-0000-000081040000}"/>
    <cellStyle name="5x indented GHG Textfiels 3 3 5" xfId="1154" xr:uid="{00000000-0005-0000-0000-000082040000}"/>
    <cellStyle name="5x indented GHG Textfiels 3 3 5 2" xfId="1155" xr:uid="{00000000-0005-0000-0000-000083040000}"/>
    <cellStyle name="5x indented GHG Textfiels 3 3 5 3" xfId="1156" xr:uid="{00000000-0005-0000-0000-000084040000}"/>
    <cellStyle name="5x indented GHG Textfiels 3 3 50" xfId="1157" xr:uid="{00000000-0005-0000-0000-000085040000}"/>
    <cellStyle name="5x indented GHG Textfiels 3 3 51" xfId="1158" xr:uid="{00000000-0005-0000-0000-000086040000}"/>
    <cellStyle name="5x indented GHG Textfiels 3 3 52" xfId="1159" xr:uid="{00000000-0005-0000-0000-000087040000}"/>
    <cellStyle name="5x indented GHG Textfiels 3 3 53" xfId="1160" xr:uid="{00000000-0005-0000-0000-000088040000}"/>
    <cellStyle name="5x indented GHG Textfiels 3 3 54" xfId="1161" xr:uid="{00000000-0005-0000-0000-000089040000}"/>
    <cellStyle name="5x indented GHG Textfiels 3 3 55" xfId="1162" xr:uid="{00000000-0005-0000-0000-00008A040000}"/>
    <cellStyle name="5x indented GHG Textfiels 3 3 56" xfId="1163" xr:uid="{00000000-0005-0000-0000-00008B040000}"/>
    <cellStyle name="5x indented GHG Textfiels 3 3 57" xfId="1164" xr:uid="{00000000-0005-0000-0000-00008C040000}"/>
    <cellStyle name="5x indented GHG Textfiels 3 3 58" xfId="1165" xr:uid="{00000000-0005-0000-0000-00008D040000}"/>
    <cellStyle name="5x indented GHG Textfiels 3 3 59" xfId="1166" xr:uid="{00000000-0005-0000-0000-00008E040000}"/>
    <cellStyle name="5x indented GHG Textfiels 3 3 6" xfId="1167" xr:uid="{00000000-0005-0000-0000-00008F040000}"/>
    <cellStyle name="5x indented GHG Textfiels 3 3 60" xfId="1168" xr:uid="{00000000-0005-0000-0000-000090040000}"/>
    <cellStyle name="5x indented GHG Textfiels 3 3 61" xfId="1169" xr:uid="{00000000-0005-0000-0000-000091040000}"/>
    <cellStyle name="5x indented GHG Textfiels 3 3 62" xfId="1170" xr:uid="{00000000-0005-0000-0000-000092040000}"/>
    <cellStyle name="5x indented GHG Textfiels 3 3 63" xfId="1171" xr:uid="{00000000-0005-0000-0000-000093040000}"/>
    <cellStyle name="5x indented GHG Textfiels 3 3 64" xfId="1172" xr:uid="{00000000-0005-0000-0000-000094040000}"/>
    <cellStyle name="5x indented GHG Textfiels 3 3 65" xfId="1173" xr:uid="{00000000-0005-0000-0000-000095040000}"/>
    <cellStyle name="5x indented GHG Textfiels 3 3 66" xfId="1174" xr:uid="{00000000-0005-0000-0000-000096040000}"/>
    <cellStyle name="5x indented GHG Textfiels 3 3 67" xfId="1175" xr:uid="{00000000-0005-0000-0000-000097040000}"/>
    <cellStyle name="5x indented GHG Textfiels 3 3 68" xfId="1176" xr:uid="{00000000-0005-0000-0000-000098040000}"/>
    <cellStyle name="5x indented GHG Textfiels 3 3 69" xfId="1177" xr:uid="{00000000-0005-0000-0000-000099040000}"/>
    <cellStyle name="5x indented GHG Textfiels 3 3 7" xfId="1178" xr:uid="{00000000-0005-0000-0000-00009A040000}"/>
    <cellStyle name="5x indented GHG Textfiels 3 3 8" xfId="1179" xr:uid="{00000000-0005-0000-0000-00009B040000}"/>
    <cellStyle name="5x indented GHG Textfiels 3 3 9" xfId="1180" xr:uid="{00000000-0005-0000-0000-00009C040000}"/>
    <cellStyle name="5x indented GHG Textfiels_Table 4(II)" xfId="1181" xr:uid="{00000000-0005-0000-0000-00009D040000}"/>
    <cellStyle name="60 % - Akzent1" xfId="1182" xr:uid="{00000000-0005-0000-0000-00009E040000}"/>
    <cellStyle name="60 % - Akzent1 2" xfId="1183" xr:uid="{00000000-0005-0000-0000-00009F040000}"/>
    <cellStyle name="60 % - Akzent1 3" xfId="1184" xr:uid="{00000000-0005-0000-0000-0000A0040000}"/>
    <cellStyle name="60 % - Akzent2" xfId="1185" xr:uid="{00000000-0005-0000-0000-0000A1040000}"/>
    <cellStyle name="60 % - Akzent2 2" xfId="1186" xr:uid="{00000000-0005-0000-0000-0000A2040000}"/>
    <cellStyle name="60 % - Akzent2 3" xfId="1187" xr:uid="{00000000-0005-0000-0000-0000A3040000}"/>
    <cellStyle name="60 % - Akzent3" xfId="1188" xr:uid="{00000000-0005-0000-0000-0000A4040000}"/>
    <cellStyle name="60 % - Akzent3 2" xfId="1189" xr:uid="{00000000-0005-0000-0000-0000A5040000}"/>
    <cellStyle name="60 % - Akzent3 3" xfId="1190" xr:uid="{00000000-0005-0000-0000-0000A6040000}"/>
    <cellStyle name="60 % - Akzent4" xfId="1191" xr:uid="{00000000-0005-0000-0000-0000A7040000}"/>
    <cellStyle name="60 % - Akzent4 2" xfId="1192" xr:uid="{00000000-0005-0000-0000-0000A8040000}"/>
    <cellStyle name="60 % - Akzent4 3" xfId="1193" xr:uid="{00000000-0005-0000-0000-0000A9040000}"/>
    <cellStyle name="60 % - Akzent5" xfId="1194" xr:uid="{00000000-0005-0000-0000-0000AA040000}"/>
    <cellStyle name="60 % - Akzent5 2" xfId="1195" xr:uid="{00000000-0005-0000-0000-0000AB040000}"/>
    <cellStyle name="60 % - Akzent5 3" xfId="1196" xr:uid="{00000000-0005-0000-0000-0000AC040000}"/>
    <cellStyle name="60 % - Akzent6" xfId="1197" xr:uid="{00000000-0005-0000-0000-0000AD040000}"/>
    <cellStyle name="60 % - Akzent6 2" xfId="1198" xr:uid="{00000000-0005-0000-0000-0000AE040000}"/>
    <cellStyle name="60 % - Akzent6 3" xfId="1199" xr:uid="{00000000-0005-0000-0000-0000AF040000}"/>
    <cellStyle name="60% - Accent1 2" xfId="1200" xr:uid="{00000000-0005-0000-0000-0000B0040000}"/>
    <cellStyle name="60% - Accent1 3" xfId="1201" xr:uid="{00000000-0005-0000-0000-0000B1040000}"/>
    <cellStyle name="60% - Accent2 2" xfId="1202" xr:uid="{00000000-0005-0000-0000-0000B2040000}"/>
    <cellStyle name="60% - Accent2 3" xfId="1203" xr:uid="{00000000-0005-0000-0000-0000B3040000}"/>
    <cellStyle name="60% - Accent3 2" xfId="1204" xr:uid="{00000000-0005-0000-0000-0000B4040000}"/>
    <cellStyle name="60% - Accent3 3" xfId="1205" xr:uid="{00000000-0005-0000-0000-0000B5040000}"/>
    <cellStyle name="60% - Accent4 2" xfId="1206" xr:uid="{00000000-0005-0000-0000-0000B6040000}"/>
    <cellStyle name="60% - Accent4 3" xfId="1207" xr:uid="{00000000-0005-0000-0000-0000B7040000}"/>
    <cellStyle name="60% - Accent5 2" xfId="1208" xr:uid="{00000000-0005-0000-0000-0000B8040000}"/>
    <cellStyle name="60% - Accent5 3" xfId="1209" xr:uid="{00000000-0005-0000-0000-0000B9040000}"/>
    <cellStyle name="60% - Accent6 2" xfId="1210" xr:uid="{00000000-0005-0000-0000-0000BA040000}"/>
    <cellStyle name="60% - Accent6 3" xfId="1211" xr:uid="{00000000-0005-0000-0000-0000BB040000}"/>
    <cellStyle name="Accent1 2" xfId="1213" xr:uid="{00000000-0005-0000-0000-0000BD040000}"/>
    <cellStyle name="Accent1 3" xfId="1214" xr:uid="{00000000-0005-0000-0000-0000BE040000}"/>
    <cellStyle name="Accent1 4" xfId="1215" xr:uid="{00000000-0005-0000-0000-0000BF040000}"/>
    <cellStyle name="Accent2 2" xfId="1216" xr:uid="{00000000-0005-0000-0000-0000C0040000}"/>
    <cellStyle name="Accent2 3" xfId="1217" xr:uid="{00000000-0005-0000-0000-0000C1040000}"/>
    <cellStyle name="Accent2 4" xfId="1218" xr:uid="{00000000-0005-0000-0000-0000C2040000}"/>
    <cellStyle name="Accent3 2" xfId="1219" xr:uid="{00000000-0005-0000-0000-0000C3040000}"/>
    <cellStyle name="Accent3 3" xfId="1220" xr:uid="{00000000-0005-0000-0000-0000C4040000}"/>
    <cellStyle name="Accent3 4" xfId="1221" xr:uid="{00000000-0005-0000-0000-0000C5040000}"/>
    <cellStyle name="Accent4 2" xfId="1222" xr:uid="{00000000-0005-0000-0000-0000C6040000}"/>
    <cellStyle name="Accent4 3" xfId="1223" xr:uid="{00000000-0005-0000-0000-0000C7040000}"/>
    <cellStyle name="Accent4 4" xfId="1224" xr:uid="{00000000-0005-0000-0000-0000C8040000}"/>
    <cellStyle name="Accent5 2" xfId="1225" xr:uid="{00000000-0005-0000-0000-0000C9040000}"/>
    <cellStyle name="Accent5 3" xfId="1226" xr:uid="{00000000-0005-0000-0000-0000CA040000}"/>
    <cellStyle name="Accent5 4" xfId="1227" xr:uid="{00000000-0005-0000-0000-0000CB040000}"/>
    <cellStyle name="Accent6 2" xfId="1228" xr:uid="{00000000-0005-0000-0000-0000CC040000}"/>
    <cellStyle name="Accent6 3" xfId="1229" xr:uid="{00000000-0005-0000-0000-0000CD040000}"/>
    <cellStyle name="Accent6 4" xfId="1230" xr:uid="{00000000-0005-0000-0000-0000CE040000}"/>
    <cellStyle name="AggblueBoldCels" xfId="1231" xr:uid="{00000000-0005-0000-0000-0000CF040000}"/>
    <cellStyle name="AggblueBoldCels 2" xfId="1232" xr:uid="{00000000-0005-0000-0000-0000D0040000}"/>
    <cellStyle name="AggblueCels" xfId="1233" xr:uid="{00000000-0005-0000-0000-0000D1040000}"/>
    <cellStyle name="AggblueCels 2" xfId="1234" xr:uid="{00000000-0005-0000-0000-0000D2040000}"/>
    <cellStyle name="AggblueCels_1x" xfId="1235" xr:uid="{00000000-0005-0000-0000-0000D3040000}"/>
    <cellStyle name="AggBoldCells" xfId="1236" xr:uid="{00000000-0005-0000-0000-0000D4040000}"/>
    <cellStyle name="AggBoldCells 2" xfId="1237" xr:uid="{00000000-0005-0000-0000-0000D5040000}"/>
    <cellStyle name="AggBoldCells 3" xfId="1238" xr:uid="{00000000-0005-0000-0000-0000D6040000}"/>
    <cellStyle name="AggBoldCells 4" xfId="1239" xr:uid="{00000000-0005-0000-0000-0000D7040000}"/>
    <cellStyle name="AggCels" xfId="1240" xr:uid="{00000000-0005-0000-0000-0000D8040000}"/>
    <cellStyle name="AggCels 2" xfId="1241" xr:uid="{00000000-0005-0000-0000-0000D9040000}"/>
    <cellStyle name="AggCels 3" xfId="1242" xr:uid="{00000000-0005-0000-0000-0000DA040000}"/>
    <cellStyle name="AggCels 4" xfId="1243" xr:uid="{00000000-0005-0000-0000-0000DB040000}"/>
    <cellStyle name="AggCels_T(2)" xfId="1244" xr:uid="{00000000-0005-0000-0000-0000DC040000}"/>
    <cellStyle name="AggGreen" xfId="1245" xr:uid="{00000000-0005-0000-0000-0000DD040000}"/>
    <cellStyle name="AggGreen 2" xfId="1246" xr:uid="{00000000-0005-0000-0000-0000DE040000}"/>
    <cellStyle name="AggGreen 2 2" xfId="1247" xr:uid="{00000000-0005-0000-0000-0000DF040000}"/>
    <cellStyle name="AggGreen 2 2 2" xfId="1248" xr:uid="{00000000-0005-0000-0000-0000E0040000}"/>
    <cellStyle name="AggGreen 2 2 2 10" xfId="1249" xr:uid="{00000000-0005-0000-0000-0000E1040000}"/>
    <cellStyle name="AggGreen 2 2 2 11" xfId="1250" xr:uid="{00000000-0005-0000-0000-0000E2040000}"/>
    <cellStyle name="AggGreen 2 2 2 12" xfId="1251" xr:uid="{00000000-0005-0000-0000-0000E3040000}"/>
    <cellStyle name="AggGreen 2 2 2 13" xfId="1252" xr:uid="{00000000-0005-0000-0000-0000E4040000}"/>
    <cellStyle name="AggGreen 2 2 2 14" xfId="1253" xr:uid="{00000000-0005-0000-0000-0000E5040000}"/>
    <cellStyle name="AggGreen 2 2 2 15" xfId="1254" xr:uid="{00000000-0005-0000-0000-0000E6040000}"/>
    <cellStyle name="AggGreen 2 2 2 16" xfId="1255" xr:uid="{00000000-0005-0000-0000-0000E7040000}"/>
    <cellStyle name="AggGreen 2 2 2 17" xfId="1256" xr:uid="{00000000-0005-0000-0000-0000E8040000}"/>
    <cellStyle name="AggGreen 2 2 2 18" xfId="1257" xr:uid="{00000000-0005-0000-0000-0000E9040000}"/>
    <cellStyle name="AggGreen 2 2 2 19" xfId="1258" xr:uid="{00000000-0005-0000-0000-0000EA040000}"/>
    <cellStyle name="AggGreen 2 2 2 2" xfId="1259" xr:uid="{00000000-0005-0000-0000-0000EB040000}"/>
    <cellStyle name="AggGreen 2 2 2 2 10" xfId="1260" xr:uid="{00000000-0005-0000-0000-0000EC040000}"/>
    <cellStyle name="AggGreen 2 2 2 2 11" xfId="1261" xr:uid="{00000000-0005-0000-0000-0000ED040000}"/>
    <cellStyle name="AggGreen 2 2 2 2 12" xfId="1262" xr:uid="{00000000-0005-0000-0000-0000EE040000}"/>
    <cellStyle name="AggGreen 2 2 2 2 13" xfId="1263" xr:uid="{00000000-0005-0000-0000-0000EF040000}"/>
    <cellStyle name="AggGreen 2 2 2 2 14" xfId="1264" xr:uid="{00000000-0005-0000-0000-0000F0040000}"/>
    <cellStyle name="AggGreen 2 2 2 2 15" xfId="1265" xr:uid="{00000000-0005-0000-0000-0000F1040000}"/>
    <cellStyle name="AggGreen 2 2 2 2 16" xfId="1266" xr:uid="{00000000-0005-0000-0000-0000F2040000}"/>
    <cellStyle name="AggGreen 2 2 2 2 17" xfId="1267" xr:uid="{00000000-0005-0000-0000-0000F3040000}"/>
    <cellStyle name="AggGreen 2 2 2 2 18" xfId="1268" xr:uid="{00000000-0005-0000-0000-0000F4040000}"/>
    <cellStyle name="AggGreen 2 2 2 2 19" xfId="1269" xr:uid="{00000000-0005-0000-0000-0000F5040000}"/>
    <cellStyle name="AggGreen 2 2 2 2 2" xfId="1270" xr:uid="{00000000-0005-0000-0000-0000F6040000}"/>
    <cellStyle name="AggGreen 2 2 2 2 20" xfId="1271" xr:uid="{00000000-0005-0000-0000-0000F7040000}"/>
    <cellStyle name="AggGreen 2 2 2 2 21" xfId="1272" xr:uid="{00000000-0005-0000-0000-0000F8040000}"/>
    <cellStyle name="AggGreen 2 2 2 2 22" xfId="1273" xr:uid="{00000000-0005-0000-0000-0000F9040000}"/>
    <cellStyle name="AggGreen 2 2 2 2 23" xfId="1274" xr:uid="{00000000-0005-0000-0000-0000FA040000}"/>
    <cellStyle name="AggGreen 2 2 2 2 24" xfId="1275" xr:uid="{00000000-0005-0000-0000-0000FB040000}"/>
    <cellStyle name="AggGreen 2 2 2 2 25" xfId="1276" xr:uid="{00000000-0005-0000-0000-0000FC040000}"/>
    <cellStyle name="AggGreen 2 2 2 2 26" xfId="1277" xr:uid="{00000000-0005-0000-0000-0000FD040000}"/>
    <cellStyle name="AggGreen 2 2 2 2 27" xfId="1278" xr:uid="{00000000-0005-0000-0000-0000FE040000}"/>
    <cellStyle name="AggGreen 2 2 2 2 28" xfId="1279" xr:uid="{00000000-0005-0000-0000-0000FF040000}"/>
    <cellStyle name="AggGreen 2 2 2 2 29" xfId="1280" xr:uid="{00000000-0005-0000-0000-000000050000}"/>
    <cellStyle name="AggGreen 2 2 2 2 3" xfId="1281" xr:uid="{00000000-0005-0000-0000-000001050000}"/>
    <cellStyle name="AggGreen 2 2 2 2 30" xfId="1282" xr:uid="{00000000-0005-0000-0000-000002050000}"/>
    <cellStyle name="AggGreen 2 2 2 2 31" xfId="1283" xr:uid="{00000000-0005-0000-0000-000003050000}"/>
    <cellStyle name="AggGreen 2 2 2 2 32" xfId="1284" xr:uid="{00000000-0005-0000-0000-000004050000}"/>
    <cellStyle name="AggGreen 2 2 2 2 33" xfId="1285" xr:uid="{00000000-0005-0000-0000-000005050000}"/>
    <cellStyle name="AggGreen 2 2 2 2 34" xfId="1286" xr:uid="{00000000-0005-0000-0000-000006050000}"/>
    <cellStyle name="AggGreen 2 2 2 2 35" xfId="1287" xr:uid="{00000000-0005-0000-0000-000007050000}"/>
    <cellStyle name="AggGreen 2 2 2 2 36" xfId="1288" xr:uid="{00000000-0005-0000-0000-000008050000}"/>
    <cellStyle name="AggGreen 2 2 2 2 37" xfId="1289" xr:uid="{00000000-0005-0000-0000-000009050000}"/>
    <cellStyle name="AggGreen 2 2 2 2 38" xfId="1290" xr:uid="{00000000-0005-0000-0000-00000A050000}"/>
    <cellStyle name="AggGreen 2 2 2 2 39" xfId="1291" xr:uid="{00000000-0005-0000-0000-00000B050000}"/>
    <cellStyle name="AggGreen 2 2 2 2 4" xfId="1292" xr:uid="{00000000-0005-0000-0000-00000C050000}"/>
    <cellStyle name="AggGreen 2 2 2 2 40" xfId="1293" xr:uid="{00000000-0005-0000-0000-00000D050000}"/>
    <cellStyle name="AggGreen 2 2 2 2 41" xfId="1294" xr:uid="{00000000-0005-0000-0000-00000E050000}"/>
    <cellStyle name="AggGreen 2 2 2 2 42" xfId="1295" xr:uid="{00000000-0005-0000-0000-00000F050000}"/>
    <cellStyle name="AggGreen 2 2 2 2 43" xfId="1296" xr:uid="{00000000-0005-0000-0000-000010050000}"/>
    <cellStyle name="AggGreen 2 2 2 2 44" xfId="1297" xr:uid="{00000000-0005-0000-0000-000011050000}"/>
    <cellStyle name="AggGreen 2 2 2 2 45" xfId="1298" xr:uid="{00000000-0005-0000-0000-000012050000}"/>
    <cellStyle name="AggGreen 2 2 2 2 46" xfId="1299" xr:uid="{00000000-0005-0000-0000-000013050000}"/>
    <cellStyle name="AggGreen 2 2 2 2 47" xfId="1300" xr:uid="{00000000-0005-0000-0000-000014050000}"/>
    <cellStyle name="AggGreen 2 2 2 2 48" xfId="1301" xr:uid="{00000000-0005-0000-0000-000015050000}"/>
    <cellStyle name="AggGreen 2 2 2 2 49" xfId="1302" xr:uid="{00000000-0005-0000-0000-000016050000}"/>
    <cellStyle name="AggGreen 2 2 2 2 5" xfId="1303" xr:uid="{00000000-0005-0000-0000-000017050000}"/>
    <cellStyle name="AggGreen 2 2 2 2 50" xfId="1304" xr:uid="{00000000-0005-0000-0000-000018050000}"/>
    <cellStyle name="AggGreen 2 2 2 2 51" xfId="1305" xr:uid="{00000000-0005-0000-0000-000019050000}"/>
    <cellStyle name="AggGreen 2 2 2 2 52" xfId="1306" xr:uid="{00000000-0005-0000-0000-00001A050000}"/>
    <cellStyle name="AggGreen 2 2 2 2 53" xfId="1307" xr:uid="{00000000-0005-0000-0000-00001B050000}"/>
    <cellStyle name="AggGreen 2 2 2 2 54" xfId="1308" xr:uid="{00000000-0005-0000-0000-00001C050000}"/>
    <cellStyle name="AggGreen 2 2 2 2 55" xfId="1309" xr:uid="{00000000-0005-0000-0000-00001D050000}"/>
    <cellStyle name="AggGreen 2 2 2 2 56" xfId="1310" xr:uid="{00000000-0005-0000-0000-00001E050000}"/>
    <cellStyle name="AggGreen 2 2 2 2 57" xfId="1311" xr:uid="{00000000-0005-0000-0000-00001F050000}"/>
    <cellStyle name="AggGreen 2 2 2 2 58" xfId="1312" xr:uid="{00000000-0005-0000-0000-000020050000}"/>
    <cellStyle name="AggGreen 2 2 2 2 59" xfId="1313" xr:uid="{00000000-0005-0000-0000-000021050000}"/>
    <cellStyle name="AggGreen 2 2 2 2 6" xfId="1314" xr:uid="{00000000-0005-0000-0000-000022050000}"/>
    <cellStyle name="AggGreen 2 2 2 2 60" xfId="1315" xr:uid="{00000000-0005-0000-0000-000023050000}"/>
    <cellStyle name="AggGreen 2 2 2 2 61" xfId="1316" xr:uid="{00000000-0005-0000-0000-000024050000}"/>
    <cellStyle name="AggGreen 2 2 2 2 62" xfId="1317" xr:uid="{00000000-0005-0000-0000-000025050000}"/>
    <cellStyle name="AggGreen 2 2 2 2 63" xfId="1318" xr:uid="{00000000-0005-0000-0000-000026050000}"/>
    <cellStyle name="AggGreen 2 2 2 2 64" xfId="1319" xr:uid="{00000000-0005-0000-0000-000027050000}"/>
    <cellStyle name="AggGreen 2 2 2 2 65" xfId="1320" xr:uid="{00000000-0005-0000-0000-000028050000}"/>
    <cellStyle name="AggGreen 2 2 2 2 7" xfId="1321" xr:uid="{00000000-0005-0000-0000-000029050000}"/>
    <cellStyle name="AggGreen 2 2 2 2 8" xfId="1322" xr:uid="{00000000-0005-0000-0000-00002A050000}"/>
    <cellStyle name="AggGreen 2 2 2 2 9" xfId="1323" xr:uid="{00000000-0005-0000-0000-00002B050000}"/>
    <cellStyle name="AggGreen 2 2 2 20" xfId="1324" xr:uid="{00000000-0005-0000-0000-00002C050000}"/>
    <cellStyle name="AggGreen 2 2 2 21" xfId="1325" xr:uid="{00000000-0005-0000-0000-00002D050000}"/>
    <cellStyle name="AggGreen 2 2 2 22" xfId="1326" xr:uid="{00000000-0005-0000-0000-00002E050000}"/>
    <cellStyle name="AggGreen 2 2 2 23" xfId="1327" xr:uid="{00000000-0005-0000-0000-00002F050000}"/>
    <cellStyle name="AggGreen 2 2 2 24" xfId="1328" xr:uid="{00000000-0005-0000-0000-000030050000}"/>
    <cellStyle name="AggGreen 2 2 2 25" xfId="1329" xr:uid="{00000000-0005-0000-0000-000031050000}"/>
    <cellStyle name="AggGreen 2 2 2 26" xfId="1330" xr:uid="{00000000-0005-0000-0000-000032050000}"/>
    <cellStyle name="AggGreen 2 2 2 27" xfId="1331" xr:uid="{00000000-0005-0000-0000-000033050000}"/>
    <cellStyle name="AggGreen 2 2 2 28" xfId="1332" xr:uid="{00000000-0005-0000-0000-000034050000}"/>
    <cellStyle name="AggGreen 2 2 2 29" xfId="1333" xr:uid="{00000000-0005-0000-0000-000035050000}"/>
    <cellStyle name="AggGreen 2 2 2 3" xfId="1334" xr:uid="{00000000-0005-0000-0000-000036050000}"/>
    <cellStyle name="AggGreen 2 2 2 30" xfId="1335" xr:uid="{00000000-0005-0000-0000-000037050000}"/>
    <cellStyle name="AggGreen 2 2 2 31" xfId="1336" xr:uid="{00000000-0005-0000-0000-000038050000}"/>
    <cellStyle name="AggGreen 2 2 2 32" xfId="1337" xr:uid="{00000000-0005-0000-0000-000039050000}"/>
    <cellStyle name="AggGreen 2 2 2 33" xfId="1338" xr:uid="{00000000-0005-0000-0000-00003A050000}"/>
    <cellStyle name="AggGreen 2 2 2 34" xfId="1339" xr:uid="{00000000-0005-0000-0000-00003B050000}"/>
    <cellStyle name="AggGreen 2 2 2 35" xfId="1340" xr:uid="{00000000-0005-0000-0000-00003C050000}"/>
    <cellStyle name="AggGreen 2 2 2 36" xfId="1341" xr:uid="{00000000-0005-0000-0000-00003D050000}"/>
    <cellStyle name="AggGreen 2 2 2 37" xfId="1342" xr:uid="{00000000-0005-0000-0000-00003E050000}"/>
    <cellStyle name="AggGreen 2 2 2 38" xfId="1343" xr:uid="{00000000-0005-0000-0000-00003F050000}"/>
    <cellStyle name="AggGreen 2 2 2 39" xfId="1344" xr:uid="{00000000-0005-0000-0000-000040050000}"/>
    <cellStyle name="AggGreen 2 2 2 4" xfId="1345" xr:uid="{00000000-0005-0000-0000-000041050000}"/>
    <cellStyle name="AggGreen 2 2 2 40" xfId="1346" xr:uid="{00000000-0005-0000-0000-000042050000}"/>
    <cellStyle name="AggGreen 2 2 2 41" xfId="1347" xr:uid="{00000000-0005-0000-0000-000043050000}"/>
    <cellStyle name="AggGreen 2 2 2 42" xfId="1348" xr:uid="{00000000-0005-0000-0000-000044050000}"/>
    <cellStyle name="AggGreen 2 2 2 43" xfId="1349" xr:uid="{00000000-0005-0000-0000-000045050000}"/>
    <cellStyle name="AggGreen 2 2 2 44" xfId="1350" xr:uid="{00000000-0005-0000-0000-000046050000}"/>
    <cellStyle name="AggGreen 2 2 2 45" xfId="1351" xr:uid="{00000000-0005-0000-0000-000047050000}"/>
    <cellStyle name="AggGreen 2 2 2 46" xfId="1352" xr:uid="{00000000-0005-0000-0000-000048050000}"/>
    <cellStyle name="AggGreen 2 2 2 47" xfId="1353" xr:uid="{00000000-0005-0000-0000-000049050000}"/>
    <cellStyle name="AggGreen 2 2 2 48" xfId="1354" xr:uid="{00000000-0005-0000-0000-00004A050000}"/>
    <cellStyle name="AggGreen 2 2 2 49" xfId="1355" xr:uid="{00000000-0005-0000-0000-00004B050000}"/>
    <cellStyle name="AggGreen 2 2 2 5" xfId="1356" xr:uid="{00000000-0005-0000-0000-00004C050000}"/>
    <cellStyle name="AggGreen 2 2 2 50" xfId="1357" xr:uid="{00000000-0005-0000-0000-00004D050000}"/>
    <cellStyle name="AggGreen 2 2 2 51" xfId="1358" xr:uid="{00000000-0005-0000-0000-00004E050000}"/>
    <cellStyle name="AggGreen 2 2 2 52" xfId="1359" xr:uid="{00000000-0005-0000-0000-00004F050000}"/>
    <cellStyle name="AggGreen 2 2 2 53" xfId="1360" xr:uid="{00000000-0005-0000-0000-000050050000}"/>
    <cellStyle name="AggGreen 2 2 2 54" xfId="1361" xr:uid="{00000000-0005-0000-0000-000051050000}"/>
    <cellStyle name="AggGreen 2 2 2 55" xfId="1362" xr:uid="{00000000-0005-0000-0000-000052050000}"/>
    <cellStyle name="AggGreen 2 2 2 56" xfId="1363" xr:uid="{00000000-0005-0000-0000-000053050000}"/>
    <cellStyle name="AggGreen 2 2 2 57" xfId="1364" xr:uid="{00000000-0005-0000-0000-000054050000}"/>
    <cellStyle name="AggGreen 2 2 2 58" xfId="1365" xr:uid="{00000000-0005-0000-0000-000055050000}"/>
    <cellStyle name="AggGreen 2 2 2 59" xfId="1366" xr:uid="{00000000-0005-0000-0000-000056050000}"/>
    <cellStyle name="AggGreen 2 2 2 6" xfId="1367" xr:uid="{00000000-0005-0000-0000-000057050000}"/>
    <cellStyle name="AggGreen 2 2 2 60" xfId="1368" xr:uid="{00000000-0005-0000-0000-000058050000}"/>
    <cellStyle name="AggGreen 2 2 2 61" xfId="1369" xr:uid="{00000000-0005-0000-0000-000059050000}"/>
    <cellStyle name="AggGreen 2 2 2 62" xfId="1370" xr:uid="{00000000-0005-0000-0000-00005A050000}"/>
    <cellStyle name="AggGreen 2 2 2 63" xfId="1371" xr:uid="{00000000-0005-0000-0000-00005B050000}"/>
    <cellStyle name="AggGreen 2 2 2 64" xfId="1372" xr:uid="{00000000-0005-0000-0000-00005C050000}"/>
    <cellStyle name="AggGreen 2 2 2 65" xfId="1373" xr:uid="{00000000-0005-0000-0000-00005D050000}"/>
    <cellStyle name="AggGreen 2 2 2 66" xfId="1374" xr:uid="{00000000-0005-0000-0000-00005E050000}"/>
    <cellStyle name="AggGreen 2 2 2 7" xfId="1375" xr:uid="{00000000-0005-0000-0000-00005F050000}"/>
    <cellStyle name="AggGreen 2 2 2 8" xfId="1376" xr:uid="{00000000-0005-0000-0000-000060050000}"/>
    <cellStyle name="AggGreen 2 2 2 9" xfId="1377" xr:uid="{00000000-0005-0000-0000-000061050000}"/>
    <cellStyle name="AggGreen 2 2 3" xfId="1378" xr:uid="{00000000-0005-0000-0000-000062050000}"/>
    <cellStyle name="AggGreen 2 2 3 10" xfId="1379" xr:uid="{00000000-0005-0000-0000-000063050000}"/>
    <cellStyle name="AggGreen 2 2 3 11" xfId="1380" xr:uid="{00000000-0005-0000-0000-000064050000}"/>
    <cellStyle name="AggGreen 2 2 3 12" xfId="1381" xr:uid="{00000000-0005-0000-0000-000065050000}"/>
    <cellStyle name="AggGreen 2 2 3 13" xfId="1382" xr:uid="{00000000-0005-0000-0000-000066050000}"/>
    <cellStyle name="AggGreen 2 2 3 14" xfId="1383" xr:uid="{00000000-0005-0000-0000-000067050000}"/>
    <cellStyle name="AggGreen 2 2 3 15" xfId="1384" xr:uid="{00000000-0005-0000-0000-000068050000}"/>
    <cellStyle name="AggGreen 2 2 3 16" xfId="1385" xr:uid="{00000000-0005-0000-0000-000069050000}"/>
    <cellStyle name="AggGreen 2 2 3 17" xfId="1386" xr:uid="{00000000-0005-0000-0000-00006A050000}"/>
    <cellStyle name="AggGreen 2 2 3 18" xfId="1387" xr:uid="{00000000-0005-0000-0000-00006B050000}"/>
    <cellStyle name="AggGreen 2 2 3 19" xfId="1388" xr:uid="{00000000-0005-0000-0000-00006C050000}"/>
    <cellStyle name="AggGreen 2 2 3 2" xfId="1389" xr:uid="{00000000-0005-0000-0000-00006D050000}"/>
    <cellStyle name="AggGreen 2 2 3 20" xfId="1390" xr:uid="{00000000-0005-0000-0000-00006E050000}"/>
    <cellStyle name="AggGreen 2 2 3 21" xfId="1391" xr:uid="{00000000-0005-0000-0000-00006F050000}"/>
    <cellStyle name="AggGreen 2 2 3 22" xfId="1392" xr:uid="{00000000-0005-0000-0000-000070050000}"/>
    <cellStyle name="AggGreen 2 2 3 23" xfId="1393" xr:uid="{00000000-0005-0000-0000-000071050000}"/>
    <cellStyle name="AggGreen 2 2 3 24" xfId="1394" xr:uid="{00000000-0005-0000-0000-000072050000}"/>
    <cellStyle name="AggGreen 2 2 3 25" xfId="1395" xr:uid="{00000000-0005-0000-0000-000073050000}"/>
    <cellStyle name="AggGreen 2 2 3 26" xfId="1396" xr:uid="{00000000-0005-0000-0000-000074050000}"/>
    <cellStyle name="AggGreen 2 2 3 27" xfId="1397" xr:uid="{00000000-0005-0000-0000-000075050000}"/>
    <cellStyle name="AggGreen 2 2 3 28" xfId="1398" xr:uid="{00000000-0005-0000-0000-000076050000}"/>
    <cellStyle name="AggGreen 2 2 3 29" xfId="1399" xr:uid="{00000000-0005-0000-0000-000077050000}"/>
    <cellStyle name="AggGreen 2 2 3 3" xfId="1400" xr:uid="{00000000-0005-0000-0000-000078050000}"/>
    <cellStyle name="AggGreen 2 2 3 30" xfId="1401" xr:uid="{00000000-0005-0000-0000-000079050000}"/>
    <cellStyle name="AggGreen 2 2 3 31" xfId="1402" xr:uid="{00000000-0005-0000-0000-00007A050000}"/>
    <cellStyle name="AggGreen 2 2 3 32" xfId="1403" xr:uid="{00000000-0005-0000-0000-00007B050000}"/>
    <cellStyle name="AggGreen 2 2 3 33" xfId="1404" xr:uid="{00000000-0005-0000-0000-00007C050000}"/>
    <cellStyle name="AggGreen 2 2 3 34" xfId="1405" xr:uid="{00000000-0005-0000-0000-00007D050000}"/>
    <cellStyle name="AggGreen 2 2 3 35" xfId="1406" xr:uid="{00000000-0005-0000-0000-00007E050000}"/>
    <cellStyle name="AggGreen 2 2 3 36" xfId="1407" xr:uid="{00000000-0005-0000-0000-00007F050000}"/>
    <cellStyle name="AggGreen 2 2 3 37" xfId="1408" xr:uid="{00000000-0005-0000-0000-000080050000}"/>
    <cellStyle name="AggGreen 2 2 3 38" xfId="1409" xr:uid="{00000000-0005-0000-0000-000081050000}"/>
    <cellStyle name="AggGreen 2 2 3 39" xfId="1410" xr:uid="{00000000-0005-0000-0000-000082050000}"/>
    <cellStyle name="AggGreen 2 2 3 4" xfId="1411" xr:uid="{00000000-0005-0000-0000-000083050000}"/>
    <cellStyle name="AggGreen 2 2 3 40" xfId="1412" xr:uid="{00000000-0005-0000-0000-000084050000}"/>
    <cellStyle name="AggGreen 2 2 3 41" xfId="1413" xr:uid="{00000000-0005-0000-0000-000085050000}"/>
    <cellStyle name="AggGreen 2 2 3 42" xfId="1414" xr:uid="{00000000-0005-0000-0000-000086050000}"/>
    <cellStyle name="AggGreen 2 2 3 43" xfId="1415" xr:uid="{00000000-0005-0000-0000-000087050000}"/>
    <cellStyle name="AggGreen 2 2 3 44" xfId="1416" xr:uid="{00000000-0005-0000-0000-000088050000}"/>
    <cellStyle name="AggGreen 2 2 3 45" xfId="1417" xr:uid="{00000000-0005-0000-0000-000089050000}"/>
    <cellStyle name="AggGreen 2 2 3 46" xfId="1418" xr:uid="{00000000-0005-0000-0000-00008A050000}"/>
    <cellStyle name="AggGreen 2 2 3 47" xfId="1419" xr:uid="{00000000-0005-0000-0000-00008B050000}"/>
    <cellStyle name="AggGreen 2 2 3 48" xfId="1420" xr:uid="{00000000-0005-0000-0000-00008C050000}"/>
    <cellStyle name="AggGreen 2 2 3 49" xfId="1421" xr:uid="{00000000-0005-0000-0000-00008D050000}"/>
    <cellStyle name="AggGreen 2 2 3 5" xfId="1422" xr:uid="{00000000-0005-0000-0000-00008E050000}"/>
    <cellStyle name="AggGreen 2 2 3 50" xfId="1423" xr:uid="{00000000-0005-0000-0000-00008F050000}"/>
    <cellStyle name="AggGreen 2 2 3 51" xfId="1424" xr:uid="{00000000-0005-0000-0000-000090050000}"/>
    <cellStyle name="AggGreen 2 2 3 52" xfId="1425" xr:uid="{00000000-0005-0000-0000-000091050000}"/>
    <cellStyle name="AggGreen 2 2 3 53" xfId="1426" xr:uid="{00000000-0005-0000-0000-000092050000}"/>
    <cellStyle name="AggGreen 2 2 3 54" xfId="1427" xr:uid="{00000000-0005-0000-0000-000093050000}"/>
    <cellStyle name="AggGreen 2 2 3 55" xfId="1428" xr:uid="{00000000-0005-0000-0000-000094050000}"/>
    <cellStyle name="AggGreen 2 2 3 56" xfId="1429" xr:uid="{00000000-0005-0000-0000-000095050000}"/>
    <cellStyle name="AggGreen 2 2 3 57" xfId="1430" xr:uid="{00000000-0005-0000-0000-000096050000}"/>
    <cellStyle name="AggGreen 2 2 3 58" xfId="1431" xr:uid="{00000000-0005-0000-0000-000097050000}"/>
    <cellStyle name="AggGreen 2 2 3 59" xfId="1432" xr:uid="{00000000-0005-0000-0000-000098050000}"/>
    <cellStyle name="AggGreen 2 2 3 6" xfId="1433" xr:uid="{00000000-0005-0000-0000-000099050000}"/>
    <cellStyle name="AggGreen 2 2 3 60" xfId="1434" xr:uid="{00000000-0005-0000-0000-00009A050000}"/>
    <cellStyle name="AggGreen 2 2 3 61" xfId="1435" xr:uid="{00000000-0005-0000-0000-00009B050000}"/>
    <cellStyle name="AggGreen 2 2 3 62" xfId="1436" xr:uid="{00000000-0005-0000-0000-00009C050000}"/>
    <cellStyle name="AggGreen 2 2 3 63" xfId="1437" xr:uid="{00000000-0005-0000-0000-00009D050000}"/>
    <cellStyle name="AggGreen 2 2 3 64" xfId="1438" xr:uid="{00000000-0005-0000-0000-00009E050000}"/>
    <cellStyle name="AggGreen 2 2 3 65" xfId="1439" xr:uid="{00000000-0005-0000-0000-00009F050000}"/>
    <cellStyle name="AggGreen 2 2 3 7" xfId="1440" xr:uid="{00000000-0005-0000-0000-0000A0050000}"/>
    <cellStyle name="AggGreen 2 2 3 8" xfId="1441" xr:uid="{00000000-0005-0000-0000-0000A1050000}"/>
    <cellStyle name="AggGreen 2 2 3 9" xfId="1442" xr:uid="{00000000-0005-0000-0000-0000A2050000}"/>
    <cellStyle name="AggGreen 2 3" xfId="1443" xr:uid="{00000000-0005-0000-0000-0000A3050000}"/>
    <cellStyle name="AggGreen 2 3 10" xfId="1444" xr:uid="{00000000-0005-0000-0000-0000A4050000}"/>
    <cellStyle name="AggGreen 2 3 11" xfId="1445" xr:uid="{00000000-0005-0000-0000-0000A5050000}"/>
    <cellStyle name="AggGreen 2 3 12" xfId="1446" xr:uid="{00000000-0005-0000-0000-0000A6050000}"/>
    <cellStyle name="AggGreen 2 3 13" xfId="1447" xr:uid="{00000000-0005-0000-0000-0000A7050000}"/>
    <cellStyle name="AggGreen 2 3 14" xfId="1448" xr:uid="{00000000-0005-0000-0000-0000A8050000}"/>
    <cellStyle name="AggGreen 2 3 15" xfId="1449" xr:uid="{00000000-0005-0000-0000-0000A9050000}"/>
    <cellStyle name="AggGreen 2 3 16" xfId="1450" xr:uid="{00000000-0005-0000-0000-0000AA050000}"/>
    <cellStyle name="AggGreen 2 3 17" xfId="1451" xr:uid="{00000000-0005-0000-0000-0000AB050000}"/>
    <cellStyle name="AggGreen 2 3 18" xfId="1452" xr:uid="{00000000-0005-0000-0000-0000AC050000}"/>
    <cellStyle name="AggGreen 2 3 19" xfId="1453" xr:uid="{00000000-0005-0000-0000-0000AD050000}"/>
    <cellStyle name="AggGreen 2 3 2" xfId="1454" xr:uid="{00000000-0005-0000-0000-0000AE050000}"/>
    <cellStyle name="AggGreen 2 3 2 10" xfId="1455" xr:uid="{00000000-0005-0000-0000-0000AF050000}"/>
    <cellStyle name="AggGreen 2 3 2 11" xfId="1456" xr:uid="{00000000-0005-0000-0000-0000B0050000}"/>
    <cellStyle name="AggGreen 2 3 2 12" xfId="1457" xr:uid="{00000000-0005-0000-0000-0000B1050000}"/>
    <cellStyle name="AggGreen 2 3 2 13" xfId="1458" xr:uid="{00000000-0005-0000-0000-0000B2050000}"/>
    <cellStyle name="AggGreen 2 3 2 14" xfId="1459" xr:uid="{00000000-0005-0000-0000-0000B3050000}"/>
    <cellStyle name="AggGreen 2 3 2 15" xfId="1460" xr:uid="{00000000-0005-0000-0000-0000B4050000}"/>
    <cellStyle name="AggGreen 2 3 2 16" xfId="1461" xr:uid="{00000000-0005-0000-0000-0000B5050000}"/>
    <cellStyle name="AggGreen 2 3 2 17" xfId="1462" xr:uid="{00000000-0005-0000-0000-0000B6050000}"/>
    <cellStyle name="AggGreen 2 3 2 18" xfId="1463" xr:uid="{00000000-0005-0000-0000-0000B7050000}"/>
    <cellStyle name="AggGreen 2 3 2 19" xfId="1464" xr:uid="{00000000-0005-0000-0000-0000B8050000}"/>
    <cellStyle name="AggGreen 2 3 2 2" xfId="1465" xr:uid="{00000000-0005-0000-0000-0000B9050000}"/>
    <cellStyle name="AggGreen 2 3 2 2 10" xfId="1466" xr:uid="{00000000-0005-0000-0000-0000BA050000}"/>
    <cellStyle name="AggGreen 2 3 2 2 11" xfId="1467" xr:uid="{00000000-0005-0000-0000-0000BB050000}"/>
    <cellStyle name="AggGreen 2 3 2 2 12" xfId="1468" xr:uid="{00000000-0005-0000-0000-0000BC050000}"/>
    <cellStyle name="AggGreen 2 3 2 2 13" xfId="1469" xr:uid="{00000000-0005-0000-0000-0000BD050000}"/>
    <cellStyle name="AggGreen 2 3 2 2 14" xfId="1470" xr:uid="{00000000-0005-0000-0000-0000BE050000}"/>
    <cellStyle name="AggGreen 2 3 2 2 15" xfId="1471" xr:uid="{00000000-0005-0000-0000-0000BF050000}"/>
    <cellStyle name="AggGreen 2 3 2 2 16" xfId="1472" xr:uid="{00000000-0005-0000-0000-0000C0050000}"/>
    <cellStyle name="AggGreen 2 3 2 2 17" xfId="1473" xr:uid="{00000000-0005-0000-0000-0000C1050000}"/>
    <cellStyle name="AggGreen 2 3 2 2 18" xfId="1474" xr:uid="{00000000-0005-0000-0000-0000C2050000}"/>
    <cellStyle name="AggGreen 2 3 2 2 19" xfId="1475" xr:uid="{00000000-0005-0000-0000-0000C3050000}"/>
    <cellStyle name="AggGreen 2 3 2 2 2" xfId="1476" xr:uid="{00000000-0005-0000-0000-0000C4050000}"/>
    <cellStyle name="AggGreen 2 3 2 2 20" xfId="1477" xr:uid="{00000000-0005-0000-0000-0000C5050000}"/>
    <cellStyle name="AggGreen 2 3 2 2 21" xfId="1478" xr:uid="{00000000-0005-0000-0000-0000C6050000}"/>
    <cellStyle name="AggGreen 2 3 2 2 22" xfId="1479" xr:uid="{00000000-0005-0000-0000-0000C7050000}"/>
    <cellStyle name="AggGreen 2 3 2 2 23" xfId="1480" xr:uid="{00000000-0005-0000-0000-0000C8050000}"/>
    <cellStyle name="AggGreen 2 3 2 2 24" xfId="1481" xr:uid="{00000000-0005-0000-0000-0000C9050000}"/>
    <cellStyle name="AggGreen 2 3 2 2 25" xfId="1482" xr:uid="{00000000-0005-0000-0000-0000CA050000}"/>
    <cellStyle name="AggGreen 2 3 2 2 26" xfId="1483" xr:uid="{00000000-0005-0000-0000-0000CB050000}"/>
    <cellStyle name="AggGreen 2 3 2 2 27" xfId="1484" xr:uid="{00000000-0005-0000-0000-0000CC050000}"/>
    <cellStyle name="AggGreen 2 3 2 2 28" xfId="1485" xr:uid="{00000000-0005-0000-0000-0000CD050000}"/>
    <cellStyle name="AggGreen 2 3 2 2 29" xfId="1486" xr:uid="{00000000-0005-0000-0000-0000CE050000}"/>
    <cellStyle name="AggGreen 2 3 2 2 3" xfId="1487" xr:uid="{00000000-0005-0000-0000-0000CF050000}"/>
    <cellStyle name="AggGreen 2 3 2 2 30" xfId="1488" xr:uid="{00000000-0005-0000-0000-0000D0050000}"/>
    <cellStyle name="AggGreen 2 3 2 2 31" xfId="1489" xr:uid="{00000000-0005-0000-0000-0000D1050000}"/>
    <cellStyle name="AggGreen 2 3 2 2 32" xfId="1490" xr:uid="{00000000-0005-0000-0000-0000D2050000}"/>
    <cellStyle name="AggGreen 2 3 2 2 33" xfId="1491" xr:uid="{00000000-0005-0000-0000-0000D3050000}"/>
    <cellStyle name="AggGreen 2 3 2 2 34" xfId="1492" xr:uid="{00000000-0005-0000-0000-0000D4050000}"/>
    <cellStyle name="AggGreen 2 3 2 2 35" xfId="1493" xr:uid="{00000000-0005-0000-0000-0000D5050000}"/>
    <cellStyle name="AggGreen 2 3 2 2 36" xfId="1494" xr:uid="{00000000-0005-0000-0000-0000D6050000}"/>
    <cellStyle name="AggGreen 2 3 2 2 37" xfId="1495" xr:uid="{00000000-0005-0000-0000-0000D7050000}"/>
    <cellStyle name="AggGreen 2 3 2 2 38" xfId="1496" xr:uid="{00000000-0005-0000-0000-0000D8050000}"/>
    <cellStyle name="AggGreen 2 3 2 2 39" xfId="1497" xr:uid="{00000000-0005-0000-0000-0000D9050000}"/>
    <cellStyle name="AggGreen 2 3 2 2 4" xfId="1498" xr:uid="{00000000-0005-0000-0000-0000DA050000}"/>
    <cellStyle name="AggGreen 2 3 2 2 40" xfId="1499" xr:uid="{00000000-0005-0000-0000-0000DB050000}"/>
    <cellStyle name="AggGreen 2 3 2 2 41" xfId="1500" xr:uid="{00000000-0005-0000-0000-0000DC050000}"/>
    <cellStyle name="AggGreen 2 3 2 2 42" xfId="1501" xr:uid="{00000000-0005-0000-0000-0000DD050000}"/>
    <cellStyle name="AggGreen 2 3 2 2 43" xfId="1502" xr:uid="{00000000-0005-0000-0000-0000DE050000}"/>
    <cellStyle name="AggGreen 2 3 2 2 44" xfId="1503" xr:uid="{00000000-0005-0000-0000-0000DF050000}"/>
    <cellStyle name="AggGreen 2 3 2 2 45" xfId="1504" xr:uid="{00000000-0005-0000-0000-0000E0050000}"/>
    <cellStyle name="AggGreen 2 3 2 2 46" xfId="1505" xr:uid="{00000000-0005-0000-0000-0000E1050000}"/>
    <cellStyle name="AggGreen 2 3 2 2 47" xfId="1506" xr:uid="{00000000-0005-0000-0000-0000E2050000}"/>
    <cellStyle name="AggGreen 2 3 2 2 48" xfId="1507" xr:uid="{00000000-0005-0000-0000-0000E3050000}"/>
    <cellStyle name="AggGreen 2 3 2 2 49" xfId="1508" xr:uid="{00000000-0005-0000-0000-0000E4050000}"/>
    <cellStyle name="AggGreen 2 3 2 2 5" xfId="1509" xr:uid="{00000000-0005-0000-0000-0000E5050000}"/>
    <cellStyle name="AggGreen 2 3 2 2 50" xfId="1510" xr:uid="{00000000-0005-0000-0000-0000E6050000}"/>
    <cellStyle name="AggGreen 2 3 2 2 51" xfId="1511" xr:uid="{00000000-0005-0000-0000-0000E7050000}"/>
    <cellStyle name="AggGreen 2 3 2 2 52" xfId="1512" xr:uid="{00000000-0005-0000-0000-0000E8050000}"/>
    <cellStyle name="AggGreen 2 3 2 2 53" xfId="1513" xr:uid="{00000000-0005-0000-0000-0000E9050000}"/>
    <cellStyle name="AggGreen 2 3 2 2 54" xfId="1514" xr:uid="{00000000-0005-0000-0000-0000EA050000}"/>
    <cellStyle name="AggGreen 2 3 2 2 55" xfId="1515" xr:uid="{00000000-0005-0000-0000-0000EB050000}"/>
    <cellStyle name="AggGreen 2 3 2 2 56" xfId="1516" xr:uid="{00000000-0005-0000-0000-0000EC050000}"/>
    <cellStyle name="AggGreen 2 3 2 2 57" xfId="1517" xr:uid="{00000000-0005-0000-0000-0000ED050000}"/>
    <cellStyle name="AggGreen 2 3 2 2 58" xfId="1518" xr:uid="{00000000-0005-0000-0000-0000EE050000}"/>
    <cellStyle name="AggGreen 2 3 2 2 59" xfId="1519" xr:uid="{00000000-0005-0000-0000-0000EF050000}"/>
    <cellStyle name="AggGreen 2 3 2 2 6" xfId="1520" xr:uid="{00000000-0005-0000-0000-0000F0050000}"/>
    <cellStyle name="AggGreen 2 3 2 2 60" xfId="1521" xr:uid="{00000000-0005-0000-0000-0000F1050000}"/>
    <cellStyle name="AggGreen 2 3 2 2 61" xfId="1522" xr:uid="{00000000-0005-0000-0000-0000F2050000}"/>
    <cellStyle name="AggGreen 2 3 2 2 62" xfId="1523" xr:uid="{00000000-0005-0000-0000-0000F3050000}"/>
    <cellStyle name="AggGreen 2 3 2 2 63" xfId="1524" xr:uid="{00000000-0005-0000-0000-0000F4050000}"/>
    <cellStyle name="AggGreen 2 3 2 2 64" xfId="1525" xr:uid="{00000000-0005-0000-0000-0000F5050000}"/>
    <cellStyle name="AggGreen 2 3 2 2 65" xfId="1526" xr:uid="{00000000-0005-0000-0000-0000F6050000}"/>
    <cellStyle name="AggGreen 2 3 2 2 7" xfId="1527" xr:uid="{00000000-0005-0000-0000-0000F7050000}"/>
    <cellStyle name="AggGreen 2 3 2 2 8" xfId="1528" xr:uid="{00000000-0005-0000-0000-0000F8050000}"/>
    <cellStyle name="AggGreen 2 3 2 2 9" xfId="1529" xr:uid="{00000000-0005-0000-0000-0000F9050000}"/>
    <cellStyle name="AggGreen 2 3 2 20" xfId="1530" xr:uid="{00000000-0005-0000-0000-0000FA050000}"/>
    <cellStyle name="AggGreen 2 3 2 21" xfId="1531" xr:uid="{00000000-0005-0000-0000-0000FB050000}"/>
    <cellStyle name="AggGreen 2 3 2 22" xfId="1532" xr:uid="{00000000-0005-0000-0000-0000FC050000}"/>
    <cellStyle name="AggGreen 2 3 2 23" xfId="1533" xr:uid="{00000000-0005-0000-0000-0000FD050000}"/>
    <cellStyle name="AggGreen 2 3 2 24" xfId="1534" xr:uid="{00000000-0005-0000-0000-0000FE050000}"/>
    <cellStyle name="AggGreen 2 3 2 25" xfId="1535" xr:uid="{00000000-0005-0000-0000-0000FF050000}"/>
    <cellStyle name="AggGreen 2 3 2 26" xfId="1536" xr:uid="{00000000-0005-0000-0000-000000060000}"/>
    <cellStyle name="AggGreen 2 3 2 27" xfId="1537" xr:uid="{00000000-0005-0000-0000-000001060000}"/>
    <cellStyle name="AggGreen 2 3 2 28" xfId="1538" xr:uid="{00000000-0005-0000-0000-000002060000}"/>
    <cellStyle name="AggGreen 2 3 2 29" xfId="1539" xr:uid="{00000000-0005-0000-0000-000003060000}"/>
    <cellStyle name="AggGreen 2 3 2 3" xfId="1540" xr:uid="{00000000-0005-0000-0000-000004060000}"/>
    <cellStyle name="AggGreen 2 3 2 30" xfId="1541" xr:uid="{00000000-0005-0000-0000-000005060000}"/>
    <cellStyle name="AggGreen 2 3 2 31" xfId="1542" xr:uid="{00000000-0005-0000-0000-000006060000}"/>
    <cellStyle name="AggGreen 2 3 2 32" xfId="1543" xr:uid="{00000000-0005-0000-0000-000007060000}"/>
    <cellStyle name="AggGreen 2 3 2 33" xfId="1544" xr:uid="{00000000-0005-0000-0000-000008060000}"/>
    <cellStyle name="AggGreen 2 3 2 34" xfId="1545" xr:uid="{00000000-0005-0000-0000-000009060000}"/>
    <cellStyle name="AggGreen 2 3 2 35" xfId="1546" xr:uid="{00000000-0005-0000-0000-00000A060000}"/>
    <cellStyle name="AggGreen 2 3 2 36" xfId="1547" xr:uid="{00000000-0005-0000-0000-00000B060000}"/>
    <cellStyle name="AggGreen 2 3 2 37" xfId="1548" xr:uid="{00000000-0005-0000-0000-00000C060000}"/>
    <cellStyle name="AggGreen 2 3 2 38" xfId="1549" xr:uid="{00000000-0005-0000-0000-00000D060000}"/>
    <cellStyle name="AggGreen 2 3 2 39" xfId="1550" xr:uid="{00000000-0005-0000-0000-00000E060000}"/>
    <cellStyle name="AggGreen 2 3 2 4" xfId="1551" xr:uid="{00000000-0005-0000-0000-00000F060000}"/>
    <cellStyle name="AggGreen 2 3 2 40" xfId="1552" xr:uid="{00000000-0005-0000-0000-000010060000}"/>
    <cellStyle name="AggGreen 2 3 2 41" xfId="1553" xr:uid="{00000000-0005-0000-0000-000011060000}"/>
    <cellStyle name="AggGreen 2 3 2 42" xfId="1554" xr:uid="{00000000-0005-0000-0000-000012060000}"/>
    <cellStyle name="AggGreen 2 3 2 43" xfId="1555" xr:uid="{00000000-0005-0000-0000-000013060000}"/>
    <cellStyle name="AggGreen 2 3 2 44" xfId="1556" xr:uid="{00000000-0005-0000-0000-000014060000}"/>
    <cellStyle name="AggGreen 2 3 2 45" xfId="1557" xr:uid="{00000000-0005-0000-0000-000015060000}"/>
    <cellStyle name="AggGreen 2 3 2 46" xfId="1558" xr:uid="{00000000-0005-0000-0000-000016060000}"/>
    <cellStyle name="AggGreen 2 3 2 47" xfId="1559" xr:uid="{00000000-0005-0000-0000-000017060000}"/>
    <cellStyle name="AggGreen 2 3 2 48" xfId="1560" xr:uid="{00000000-0005-0000-0000-000018060000}"/>
    <cellStyle name="AggGreen 2 3 2 49" xfId="1561" xr:uid="{00000000-0005-0000-0000-000019060000}"/>
    <cellStyle name="AggGreen 2 3 2 5" xfId="1562" xr:uid="{00000000-0005-0000-0000-00001A060000}"/>
    <cellStyle name="AggGreen 2 3 2 50" xfId="1563" xr:uid="{00000000-0005-0000-0000-00001B060000}"/>
    <cellStyle name="AggGreen 2 3 2 51" xfId="1564" xr:uid="{00000000-0005-0000-0000-00001C060000}"/>
    <cellStyle name="AggGreen 2 3 2 52" xfId="1565" xr:uid="{00000000-0005-0000-0000-00001D060000}"/>
    <cellStyle name="AggGreen 2 3 2 53" xfId="1566" xr:uid="{00000000-0005-0000-0000-00001E060000}"/>
    <cellStyle name="AggGreen 2 3 2 54" xfId="1567" xr:uid="{00000000-0005-0000-0000-00001F060000}"/>
    <cellStyle name="AggGreen 2 3 2 55" xfId="1568" xr:uid="{00000000-0005-0000-0000-000020060000}"/>
    <cellStyle name="AggGreen 2 3 2 56" xfId="1569" xr:uid="{00000000-0005-0000-0000-000021060000}"/>
    <cellStyle name="AggGreen 2 3 2 57" xfId="1570" xr:uid="{00000000-0005-0000-0000-000022060000}"/>
    <cellStyle name="AggGreen 2 3 2 58" xfId="1571" xr:uid="{00000000-0005-0000-0000-000023060000}"/>
    <cellStyle name="AggGreen 2 3 2 59" xfId="1572" xr:uid="{00000000-0005-0000-0000-000024060000}"/>
    <cellStyle name="AggGreen 2 3 2 6" xfId="1573" xr:uid="{00000000-0005-0000-0000-000025060000}"/>
    <cellStyle name="AggGreen 2 3 2 60" xfId="1574" xr:uid="{00000000-0005-0000-0000-000026060000}"/>
    <cellStyle name="AggGreen 2 3 2 61" xfId="1575" xr:uid="{00000000-0005-0000-0000-000027060000}"/>
    <cellStyle name="AggGreen 2 3 2 62" xfId="1576" xr:uid="{00000000-0005-0000-0000-000028060000}"/>
    <cellStyle name="AggGreen 2 3 2 63" xfId="1577" xr:uid="{00000000-0005-0000-0000-000029060000}"/>
    <cellStyle name="AggGreen 2 3 2 64" xfId="1578" xr:uid="{00000000-0005-0000-0000-00002A060000}"/>
    <cellStyle name="AggGreen 2 3 2 65" xfId="1579" xr:uid="{00000000-0005-0000-0000-00002B060000}"/>
    <cellStyle name="AggGreen 2 3 2 66" xfId="1580" xr:uid="{00000000-0005-0000-0000-00002C060000}"/>
    <cellStyle name="AggGreen 2 3 2 7" xfId="1581" xr:uid="{00000000-0005-0000-0000-00002D060000}"/>
    <cellStyle name="AggGreen 2 3 2 8" xfId="1582" xr:uid="{00000000-0005-0000-0000-00002E060000}"/>
    <cellStyle name="AggGreen 2 3 2 9" xfId="1583" xr:uid="{00000000-0005-0000-0000-00002F060000}"/>
    <cellStyle name="AggGreen 2 3 20" xfId="1584" xr:uid="{00000000-0005-0000-0000-000030060000}"/>
    <cellStyle name="AggGreen 2 3 21" xfId="1585" xr:uid="{00000000-0005-0000-0000-000031060000}"/>
    <cellStyle name="AggGreen 2 3 22" xfId="1586" xr:uid="{00000000-0005-0000-0000-000032060000}"/>
    <cellStyle name="AggGreen 2 3 23" xfId="1587" xr:uid="{00000000-0005-0000-0000-000033060000}"/>
    <cellStyle name="AggGreen 2 3 24" xfId="1588" xr:uid="{00000000-0005-0000-0000-000034060000}"/>
    <cellStyle name="AggGreen 2 3 25" xfId="1589" xr:uid="{00000000-0005-0000-0000-000035060000}"/>
    <cellStyle name="AggGreen 2 3 26" xfId="1590" xr:uid="{00000000-0005-0000-0000-000036060000}"/>
    <cellStyle name="AggGreen 2 3 27" xfId="1591" xr:uid="{00000000-0005-0000-0000-000037060000}"/>
    <cellStyle name="AggGreen 2 3 28" xfId="1592" xr:uid="{00000000-0005-0000-0000-000038060000}"/>
    <cellStyle name="AggGreen 2 3 29" xfId="1593" xr:uid="{00000000-0005-0000-0000-000039060000}"/>
    <cellStyle name="AggGreen 2 3 3" xfId="1594" xr:uid="{00000000-0005-0000-0000-00003A060000}"/>
    <cellStyle name="AggGreen 2 3 3 10" xfId="1595" xr:uid="{00000000-0005-0000-0000-00003B060000}"/>
    <cellStyle name="AggGreen 2 3 3 11" xfId="1596" xr:uid="{00000000-0005-0000-0000-00003C060000}"/>
    <cellStyle name="AggGreen 2 3 3 12" xfId="1597" xr:uid="{00000000-0005-0000-0000-00003D060000}"/>
    <cellStyle name="AggGreen 2 3 3 13" xfId="1598" xr:uid="{00000000-0005-0000-0000-00003E060000}"/>
    <cellStyle name="AggGreen 2 3 3 14" xfId="1599" xr:uid="{00000000-0005-0000-0000-00003F060000}"/>
    <cellStyle name="AggGreen 2 3 3 15" xfId="1600" xr:uid="{00000000-0005-0000-0000-000040060000}"/>
    <cellStyle name="AggGreen 2 3 3 16" xfId="1601" xr:uid="{00000000-0005-0000-0000-000041060000}"/>
    <cellStyle name="AggGreen 2 3 3 17" xfId="1602" xr:uid="{00000000-0005-0000-0000-000042060000}"/>
    <cellStyle name="AggGreen 2 3 3 18" xfId="1603" xr:uid="{00000000-0005-0000-0000-000043060000}"/>
    <cellStyle name="AggGreen 2 3 3 19" xfId="1604" xr:uid="{00000000-0005-0000-0000-000044060000}"/>
    <cellStyle name="AggGreen 2 3 3 2" xfId="1605" xr:uid="{00000000-0005-0000-0000-000045060000}"/>
    <cellStyle name="AggGreen 2 3 3 2 10" xfId="1606" xr:uid="{00000000-0005-0000-0000-000046060000}"/>
    <cellStyle name="AggGreen 2 3 3 2 11" xfId="1607" xr:uid="{00000000-0005-0000-0000-000047060000}"/>
    <cellStyle name="AggGreen 2 3 3 2 12" xfId="1608" xr:uid="{00000000-0005-0000-0000-000048060000}"/>
    <cellStyle name="AggGreen 2 3 3 2 13" xfId="1609" xr:uid="{00000000-0005-0000-0000-000049060000}"/>
    <cellStyle name="AggGreen 2 3 3 2 14" xfId="1610" xr:uid="{00000000-0005-0000-0000-00004A060000}"/>
    <cellStyle name="AggGreen 2 3 3 2 15" xfId="1611" xr:uid="{00000000-0005-0000-0000-00004B060000}"/>
    <cellStyle name="AggGreen 2 3 3 2 16" xfId="1612" xr:uid="{00000000-0005-0000-0000-00004C060000}"/>
    <cellStyle name="AggGreen 2 3 3 2 17" xfId="1613" xr:uid="{00000000-0005-0000-0000-00004D060000}"/>
    <cellStyle name="AggGreen 2 3 3 2 18" xfId="1614" xr:uid="{00000000-0005-0000-0000-00004E060000}"/>
    <cellStyle name="AggGreen 2 3 3 2 19" xfId="1615" xr:uid="{00000000-0005-0000-0000-00004F060000}"/>
    <cellStyle name="AggGreen 2 3 3 2 2" xfId="1616" xr:uid="{00000000-0005-0000-0000-000050060000}"/>
    <cellStyle name="AggGreen 2 3 3 2 20" xfId="1617" xr:uid="{00000000-0005-0000-0000-000051060000}"/>
    <cellStyle name="AggGreen 2 3 3 2 21" xfId="1618" xr:uid="{00000000-0005-0000-0000-000052060000}"/>
    <cellStyle name="AggGreen 2 3 3 2 22" xfId="1619" xr:uid="{00000000-0005-0000-0000-000053060000}"/>
    <cellStyle name="AggGreen 2 3 3 2 23" xfId="1620" xr:uid="{00000000-0005-0000-0000-000054060000}"/>
    <cellStyle name="AggGreen 2 3 3 2 24" xfId="1621" xr:uid="{00000000-0005-0000-0000-000055060000}"/>
    <cellStyle name="AggGreen 2 3 3 2 25" xfId="1622" xr:uid="{00000000-0005-0000-0000-000056060000}"/>
    <cellStyle name="AggGreen 2 3 3 2 26" xfId="1623" xr:uid="{00000000-0005-0000-0000-000057060000}"/>
    <cellStyle name="AggGreen 2 3 3 2 27" xfId="1624" xr:uid="{00000000-0005-0000-0000-000058060000}"/>
    <cellStyle name="AggGreen 2 3 3 2 28" xfId="1625" xr:uid="{00000000-0005-0000-0000-000059060000}"/>
    <cellStyle name="AggGreen 2 3 3 2 29" xfId="1626" xr:uid="{00000000-0005-0000-0000-00005A060000}"/>
    <cellStyle name="AggGreen 2 3 3 2 3" xfId="1627" xr:uid="{00000000-0005-0000-0000-00005B060000}"/>
    <cellStyle name="AggGreen 2 3 3 2 30" xfId="1628" xr:uid="{00000000-0005-0000-0000-00005C060000}"/>
    <cellStyle name="AggGreen 2 3 3 2 31" xfId="1629" xr:uid="{00000000-0005-0000-0000-00005D060000}"/>
    <cellStyle name="AggGreen 2 3 3 2 32" xfId="1630" xr:uid="{00000000-0005-0000-0000-00005E060000}"/>
    <cellStyle name="AggGreen 2 3 3 2 33" xfId="1631" xr:uid="{00000000-0005-0000-0000-00005F060000}"/>
    <cellStyle name="AggGreen 2 3 3 2 34" xfId="1632" xr:uid="{00000000-0005-0000-0000-000060060000}"/>
    <cellStyle name="AggGreen 2 3 3 2 35" xfId="1633" xr:uid="{00000000-0005-0000-0000-000061060000}"/>
    <cellStyle name="AggGreen 2 3 3 2 36" xfId="1634" xr:uid="{00000000-0005-0000-0000-000062060000}"/>
    <cellStyle name="AggGreen 2 3 3 2 37" xfId="1635" xr:uid="{00000000-0005-0000-0000-000063060000}"/>
    <cellStyle name="AggGreen 2 3 3 2 38" xfId="1636" xr:uid="{00000000-0005-0000-0000-000064060000}"/>
    <cellStyle name="AggGreen 2 3 3 2 39" xfId="1637" xr:uid="{00000000-0005-0000-0000-000065060000}"/>
    <cellStyle name="AggGreen 2 3 3 2 4" xfId="1638" xr:uid="{00000000-0005-0000-0000-000066060000}"/>
    <cellStyle name="AggGreen 2 3 3 2 40" xfId="1639" xr:uid="{00000000-0005-0000-0000-000067060000}"/>
    <cellStyle name="AggGreen 2 3 3 2 41" xfId="1640" xr:uid="{00000000-0005-0000-0000-000068060000}"/>
    <cellStyle name="AggGreen 2 3 3 2 42" xfId="1641" xr:uid="{00000000-0005-0000-0000-000069060000}"/>
    <cellStyle name="AggGreen 2 3 3 2 43" xfId="1642" xr:uid="{00000000-0005-0000-0000-00006A060000}"/>
    <cellStyle name="AggGreen 2 3 3 2 44" xfId="1643" xr:uid="{00000000-0005-0000-0000-00006B060000}"/>
    <cellStyle name="AggGreen 2 3 3 2 45" xfId="1644" xr:uid="{00000000-0005-0000-0000-00006C060000}"/>
    <cellStyle name="AggGreen 2 3 3 2 46" xfId="1645" xr:uid="{00000000-0005-0000-0000-00006D060000}"/>
    <cellStyle name="AggGreen 2 3 3 2 47" xfId="1646" xr:uid="{00000000-0005-0000-0000-00006E060000}"/>
    <cellStyle name="AggGreen 2 3 3 2 48" xfId="1647" xr:uid="{00000000-0005-0000-0000-00006F060000}"/>
    <cellStyle name="AggGreen 2 3 3 2 49" xfId="1648" xr:uid="{00000000-0005-0000-0000-000070060000}"/>
    <cellStyle name="AggGreen 2 3 3 2 5" xfId="1649" xr:uid="{00000000-0005-0000-0000-000071060000}"/>
    <cellStyle name="AggGreen 2 3 3 2 50" xfId="1650" xr:uid="{00000000-0005-0000-0000-000072060000}"/>
    <cellStyle name="AggGreen 2 3 3 2 51" xfId="1651" xr:uid="{00000000-0005-0000-0000-000073060000}"/>
    <cellStyle name="AggGreen 2 3 3 2 52" xfId="1652" xr:uid="{00000000-0005-0000-0000-000074060000}"/>
    <cellStyle name="AggGreen 2 3 3 2 53" xfId="1653" xr:uid="{00000000-0005-0000-0000-000075060000}"/>
    <cellStyle name="AggGreen 2 3 3 2 54" xfId="1654" xr:uid="{00000000-0005-0000-0000-000076060000}"/>
    <cellStyle name="AggGreen 2 3 3 2 55" xfId="1655" xr:uid="{00000000-0005-0000-0000-000077060000}"/>
    <cellStyle name="AggGreen 2 3 3 2 56" xfId="1656" xr:uid="{00000000-0005-0000-0000-000078060000}"/>
    <cellStyle name="AggGreen 2 3 3 2 57" xfId="1657" xr:uid="{00000000-0005-0000-0000-000079060000}"/>
    <cellStyle name="AggGreen 2 3 3 2 58" xfId="1658" xr:uid="{00000000-0005-0000-0000-00007A060000}"/>
    <cellStyle name="AggGreen 2 3 3 2 59" xfId="1659" xr:uid="{00000000-0005-0000-0000-00007B060000}"/>
    <cellStyle name="AggGreen 2 3 3 2 6" xfId="1660" xr:uid="{00000000-0005-0000-0000-00007C060000}"/>
    <cellStyle name="AggGreen 2 3 3 2 60" xfId="1661" xr:uid="{00000000-0005-0000-0000-00007D060000}"/>
    <cellStyle name="AggGreen 2 3 3 2 61" xfId="1662" xr:uid="{00000000-0005-0000-0000-00007E060000}"/>
    <cellStyle name="AggGreen 2 3 3 2 62" xfId="1663" xr:uid="{00000000-0005-0000-0000-00007F060000}"/>
    <cellStyle name="AggGreen 2 3 3 2 63" xfId="1664" xr:uid="{00000000-0005-0000-0000-000080060000}"/>
    <cellStyle name="AggGreen 2 3 3 2 64" xfId="1665" xr:uid="{00000000-0005-0000-0000-000081060000}"/>
    <cellStyle name="AggGreen 2 3 3 2 65" xfId="1666" xr:uid="{00000000-0005-0000-0000-000082060000}"/>
    <cellStyle name="AggGreen 2 3 3 2 7" xfId="1667" xr:uid="{00000000-0005-0000-0000-000083060000}"/>
    <cellStyle name="AggGreen 2 3 3 2 8" xfId="1668" xr:uid="{00000000-0005-0000-0000-000084060000}"/>
    <cellStyle name="AggGreen 2 3 3 2 9" xfId="1669" xr:uid="{00000000-0005-0000-0000-000085060000}"/>
    <cellStyle name="AggGreen 2 3 3 20" xfId="1670" xr:uid="{00000000-0005-0000-0000-000086060000}"/>
    <cellStyle name="AggGreen 2 3 3 21" xfId="1671" xr:uid="{00000000-0005-0000-0000-000087060000}"/>
    <cellStyle name="AggGreen 2 3 3 22" xfId="1672" xr:uid="{00000000-0005-0000-0000-000088060000}"/>
    <cellStyle name="AggGreen 2 3 3 23" xfId="1673" xr:uid="{00000000-0005-0000-0000-000089060000}"/>
    <cellStyle name="AggGreen 2 3 3 24" xfId="1674" xr:uid="{00000000-0005-0000-0000-00008A060000}"/>
    <cellStyle name="AggGreen 2 3 3 25" xfId="1675" xr:uid="{00000000-0005-0000-0000-00008B060000}"/>
    <cellStyle name="AggGreen 2 3 3 26" xfId="1676" xr:uid="{00000000-0005-0000-0000-00008C060000}"/>
    <cellStyle name="AggGreen 2 3 3 27" xfId="1677" xr:uid="{00000000-0005-0000-0000-00008D060000}"/>
    <cellStyle name="AggGreen 2 3 3 28" xfId="1678" xr:uid="{00000000-0005-0000-0000-00008E060000}"/>
    <cellStyle name="AggGreen 2 3 3 29" xfId="1679" xr:uid="{00000000-0005-0000-0000-00008F060000}"/>
    <cellStyle name="AggGreen 2 3 3 3" xfId="1680" xr:uid="{00000000-0005-0000-0000-000090060000}"/>
    <cellStyle name="AggGreen 2 3 3 30" xfId="1681" xr:uid="{00000000-0005-0000-0000-000091060000}"/>
    <cellStyle name="AggGreen 2 3 3 31" xfId="1682" xr:uid="{00000000-0005-0000-0000-000092060000}"/>
    <cellStyle name="AggGreen 2 3 3 32" xfId="1683" xr:uid="{00000000-0005-0000-0000-000093060000}"/>
    <cellStyle name="AggGreen 2 3 3 33" xfId="1684" xr:uid="{00000000-0005-0000-0000-000094060000}"/>
    <cellStyle name="AggGreen 2 3 3 34" xfId="1685" xr:uid="{00000000-0005-0000-0000-000095060000}"/>
    <cellStyle name="AggGreen 2 3 3 35" xfId="1686" xr:uid="{00000000-0005-0000-0000-000096060000}"/>
    <cellStyle name="AggGreen 2 3 3 36" xfId="1687" xr:uid="{00000000-0005-0000-0000-000097060000}"/>
    <cellStyle name="AggGreen 2 3 3 37" xfId="1688" xr:uid="{00000000-0005-0000-0000-000098060000}"/>
    <cellStyle name="AggGreen 2 3 3 38" xfId="1689" xr:uid="{00000000-0005-0000-0000-000099060000}"/>
    <cellStyle name="AggGreen 2 3 3 39" xfId="1690" xr:uid="{00000000-0005-0000-0000-00009A060000}"/>
    <cellStyle name="AggGreen 2 3 3 4" xfId="1691" xr:uid="{00000000-0005-0000-0000-00009B060000}"/>
    <cellStyle name="AggGreen 2 3 3 40" xfId="1692" xr:uid="{00000000-0005-0000-0000-00009C060000}"/>
    <cellStyle name="AggGreen 2 3 3 41" xfId="1693" xr:uid="{00000000-0005-0000-0000-00009D060000}"/>
    <cellStyle name="AggGreen 2 3 3 42" xfId="1694" xr:uid="{00000000-0005-0000-0000-00009E060000}"/>
    <cellStyle name="AggGreen 2 3 3 43" xfId="1695" xr:uid="{00000000-0005-0000-0000-00009F060000}"/>
    <cellStyle name="AggGreen 2 3 3 44" xfId="1696" xr:uid="{00000000-0005-0000-0000-0000A0060000}"/>
    <cellStyle name="AggGreen 2 3 3 45" xfId="1697" xr:uid="{00000000-0005-0000-0000-0000A1060000}"/>
    <cellStyle name="AggGreen 2 3 3 46" xfId="1698" xr:uid="{00000000-0005-0000-0000-0000A2060000}"/>
    <cellStyle name="AggGreen 2 3 3 47" xfId="1699" xr:uid="{00000000-0005-0000-0000-0000A3060000}"/>
    <cellStyle name="AggGreen 2 3 3 48" xfId="1700" xr:uid="{00000000-0005-0000-0000-0000A4060000}"/>
    <cellStyle name="AggGreen 2 3 3 49" xfId="1701" xr:uid="{00000000-0005-0000-0000-0000A5060000}"/>
    <cellStyle name="AggGreen 2 3 3 5" xfId="1702" xr:uid="{00000000-0005-0000-0000-0000A6060000}"/>
    <cellStyle name="AggGreen 2 3 3 50" xfId="1703" xr:uid="{00000000-0005-0000-0000-0000A7060000}"/>
    <cellStyle name="AggGreen 2 3 3 51" xfId="1704" xr:uid="{00000000-0005-0000-0000-0000A8060000}"/>
    <cellStyle name="AggGreen 2 3 3 52" xfId="1705" xr:uid="{00000000-0005-0000-0000-0000A9060000}"/>
    <cellStyle name="AggGreen 2 3 3 53" xfId="1706" xr:uid="{00000000-0005-0000-0000-0000AA060000}"/>
    <cellStyle name="AggGreen 2 3 3 54" xfId="1707" xr:uid="{00000000-0005-0000-0000-0000AB060000}"/>
    <cellStyle name="AggGreen 2 3 3 55" xfId="1708" xr:uid="{00000000-0005-0000-0000-0000AC060000}"/>
    <cellStyle name="AggGreen 2 3 3 56" xfId="1709" xr:uid="{00000000-0005-0000-0000-0000AD060000}"/>
    <cellStyle name="AggGreen 2 3 3 57" xfId="1710" xr:uid="{00000000-0005-0000-0000-0000AE060000}"/>
    <cellStyle name="AggGreen 2 3 3 58" xfId="1711" xr:uid="{00000000-0005-0000-0000-0000AF060000}"/>
    <cellStyle name="AggGreen 2 3 3 59" xfId="1712" xr:uid="{00000000-0005-0000-0000-0000B0060000}"/>
    <cellStyle name="AggGreen 2 3 3 6" xfId="1713" xr:uid="{00000000-0005-0000-0000-0000B1060000}"/>
    <cellStyle name="AggGreen 2 3 3 60" xfId="1714" xr:uid="{00000000-0005-0000-0000-0000B2060000}"/>
    <cellStyle name="AggGreen 2 3 3 61" xfId="1715" xr:uid="{00000000-0005-0000-0000-0000B3060000}"/>
    <cellStyle name="AggGreen 2 3 3 62" xfId="1716" xr:uid="{00000000-0005-0000-0000-0000B4060000}"/>
    <cellStyle name="AggGreen 2 3 3 63" xfId="1717" xr:uid="{00000000-0005-0000-0000-0000B5060000}"/>
    <cellStyle name="AggGreen 2 3 3 64" xfId="1718" xr:uid="{00000000-0005-0000-0000-0000B6060000}"/>
    <cellStyle name="AggGreen 2 3 3 65" xfId="1719" xr:uid="{00000000-0005-0000-0000-0000B7060000}"/>
    <cellStyle name="AggGreen 2 3 3 66" xfId="1720" xr:uid="{00000000-0005-0000-0000-0000B8060000}"/>
    <cellStyle name="AggGreen 2 3 3 7" xfId="1721" xr:uid="{00000000-0005-0000-0000-0000B9060000}"/>
    <cellStyle name="AggGreen 2 3 3 8" xfId="1722" xr:uid="{00000000-0005-0000-0000-0000BA060000}"/>
    <cellStyle name="AggGreen 2 3 3 9" xfId="1723" xr:uid="{00000000-0005-0000-0000-0000BB060000}"/>
    <cellStyle name="AggGreen 2 3 30" xfId="1724" xr:uid="{00000000-0005-0000-0000-0000BC060000}"/>
    <cellStyle name="AggGreen 2 3 31" xfId="1725" xr:uid="{00000000-0005-0000-0000-0000BD060000}"/>
    <cellStyle name="AggGreen 2 3 32" xfId="1726" xr:uid="{00000000-0005-0000-0000-0000BE060000}"/>
    <cellStyle name="AggGreen 2 3 33" xfId="1727" xr:uid="{00000000-0005-0000-0000-0000BF060000}"/>
    <cellStyle name="AggGreen 2 3 34" xfId="1728" xr:uid="{00000000-0005-0000-0000-0000C0060000}"/>
    <cellStyle name="AggGreen 2 3 35" xfId="1729" xr:uid="{00000000-0005-0000-0000-0000C1060000}"/>
    <cellStyle name="AggGreen 2 3 36" xfId="1730" xr:uid="{00000000-0005-0000-0000-0000C2060000}"/>
    <cellStyle name="AggGreen 2 3 37" xfId="1731" xr:uid="{00000000-0005-0000-0000-0000C3060000}"/>
    <cellStyle name="AggGreen 2 3 38" xfId="1732" xr:uid="{00000000-0005-0000-0000-0000C4060000}"/>
    <cellStyle name="AggGreen 2 3 39" xfId="1733" xr:uid="{00000000-0005-0000-0000-0000C5060000}"/>
    <cellStyle name="AggGreen 2 3 4" xfId="1734" xr:uid="{00000000-0005-0000-0000-0000C6060000}"/>
    <cellStyle name="AggGreen 2 3 4 10" xfId="1735" xr:uid="{00000000-0005-0000-0000-0000C7060000}"/>
    <cellStyle name="AggGreen 2 3 4 11" xfId="1736" xr:uid="{00000000-0005-0000-0000-0000C8060000}"/>
    <cellStyle name="AggGreen 2 3 4 12" xfId="1737" xr:uid="{00000000-0005-0000-0000-0000C9060000}"/>
    <cellStyle name="AggGreen 2 3 4 13" xfId="1738" xr:uid="{00000000-0005-0000-0000-0000CA060000}"/>
    <cellStyle name="AggGreen 2 3 4 14" xfId="1739" xr:uid="{00000000-0005-0000-0000-0000CB060000}"/>
    <cellStyle name="AggGreen 2 3 4 15" xfId="1740" xr:uid="{00000000-0005-0000-0000-0000CC060000}"/>
    <cellStyle name="AggGreen 2 3 4 16" xfId="1741" xr:uid="{00000000-0005-0000-0000-0000CD060000}"/>
    <cellStyle name="AggGreen 2 3 4 17" xfId="1742" xr:uid="{00000000-0005-0000-0000-0000CE060000}"/>
    <cellStyle name="AggGreen 2 3 4 18" xfId="1743" xr:uid="{00000000-0005-0000-0000-0000CF060000}"/>
    <cellStyle name="AggGreen 2 3 4 19" xfId="1744" xr:uid="{00000000-0005-0000-0000-0000D0060000}"/>
    <cellStyle name="AggGreen 2 3 4 2" xfId="1745" xr:uid="{00000000-0005-0000-0000-0000D1060000}"/>
    <cellStyle name="AggGreen 2 3 4 2 10" xfId="1746" xr:uid="{00000000-0005-0000-0000-0000D2060000}"/>
    <cellStyle name="AggGreen 2 3 4 2 11" xfId="1747" xr:uid="{00000000-0005-0000-0000-0000D3060000}"/>
    <cellStyle name="AggGreen 2 3 4 2 12" xfId="1748" xr:uid="{00000000-0005-0000-0000-0000D4060000}"/>
    <cellStyle name="AggGreen 2 3 4 2 13" xfId="1749" xr:uid="{00000000-0005-0000-0000-0000D5060000}"/>
    <cellStyle name="AggGreen 2 3 4 2 14" xfId="1750" xr:uid="{00000000-0005-0000-0000-0000D6060000}"/>
    <cellStyle name="AggGreen 2 3 4 2 15" xfId="1751" xr:uid="{00000000-0005-0000-0000-0000D7060000}"/>
    <cellStyle name="AggGreen 2 3 4 2 16" xfId="1752" xr:uid="{00000000-0005-0000-0000-0000D8060000}"/>
    <cellStyle name="AggGreen 2 3 4 2 17" xfId="1753" xr:uid="{00000000-0005-0000-0000-0000D9060000}"/>
    <cellStyle name="AggGreen 2 3 4 2 18" xfId="1754" xr:uid="{00000000-0005-0000-0000-0000DA060000}"/>
    <cellStyle name="AggGreen 2 3 4 2 19" xfId="1755" xr:uid="{00000000-0005-0000-0000-0000DB060000}"/>
    <cellStyle name="AggGreen 2 3 4 2 2" xfId="1756" xr:uid="{00000000-0005-0000-0000-0000DC060000}"/>
    <cellStyle name="AggGreen 2 3 4 2 20" xfId="1757" xr:uid="{00000000-0005-0000-0000-0000DD060000}"/>
    <cellStyle name="AggGreen 2 3 4 2 21" xfId="1758" xr:uid="{00000000-0005-0000-0000-0000DE060000}"/>
    <cellStyle name="AggGreen 2 3 4 2 22" xfId="1759" xr:uid="{00000000-0005-0000-0000-0000DF060000}"/>
    <cellStyle name="AggGreen 2 3 4 2 23" xfId="1760" xr:uid="{00000000-0005-0000-0000-0000E0060000}"/>
    <cellStyle name="AggGreen 2 3 4 2 24" xfId="1761" xr:uid="{00000000-0005-0000-0000-0000E1060000}"/>
    <cellStyle name="AggGreen 2 3 4 2 25" xfId="1762" xr:uid="{00000000-0005-0000-0000-0000E2060000}"/>
    <cellStyle name="AggGreen 2 3 4 2 26" xfId="1763" xr:uid="{00000000-0005-0000-0000-0000E3060000}"/>
    <cellStyle name="AggGreen 2 3 4 2 27" xfId="1764" xr:uid="{00000000-0005-0000-0000-0000E4060000}"/>
    <cellStyle name="AggGreen 2 3 4 2 28" xfId="1765" xr:uid="{00000000-0005-0000-0000-0000E5060000}"/>
    <cellStyle name="AggGreen 2 3 4 2 29" xfId="1766" xr:uid="{00000000-0005-0000-0000-0000E6060000}"/>
    <cellStyle name="AggGreen 2 3 4 2 3" xfId="1767" xr:uid="{00000000-0005-0000-0000-0000E7060000}"/>
    <cellStyle name="AggGreen 2 3 4 2 30" xfId="1768" xr:uid="{00000000-0005-0000-0000-0000E8060000}"/>
    <cellStyle name="AggGreen 2 3 4 2 31" xfId="1769" xr:uid="{00000000-0005-0000-0000-0000E9060000}"/>
    <cellStyle name="AggGreen 2 3 4 2 32" xfId="1770" xr:uid="{00000000-0005-0000-0000-0000EA060000}"/>
    <cellStyle name="AggGreen 2 3 4 2 33" xfId="1771" xr:uid="{00000000-0005-0000-0000-0000EB060000}"/>
    <cellStyle name="AggGreen 2 3 4 2 34" xfId="1772" xr:uid="{00000000-0005-0000-0000-0000EC060000}"/>
    <cellStyle name="AggGreen 2 3 4 2 35" xfId="1773" xr:uid="{00000000-0005-0000-0000-0000ED060000}"/>
    <cellStyle name="AggGreen 2 3 4 2 36" xfId="1774" xr:uid="{00000000-0005-0000-0000-0000EE060000}"/>
    <cellStyle name="AggGreen 2 3 4 2 37" xfId="1775" xr:uid="{00000000-0005-0000-0000-0000EF060000}"/>
    <cellStyle name="AggGreen 2 3 4 2 38" xfId="1776" xr:uid="{00000000-0005-0000-0000-0000F0060000}"/>
    <cellStyle name="AggGreen 2 3 4 2 39" xfId="1777" xr:uid="{00000000-0005-0000-0000-0000F1060000}"/>
    <cellStyle name="AggGreen 2 3 4 2 4" xfId="1778" xr:uid="{00000000-0005-0000-0000-0000F2060000}"/>
    <cellStyle name="AggGreen 2 3 4 2 40" xfId="1779" xr:uid="{00000000-0005-0000-0000-0000F3060000}"/>
    <cellStyle name="AggGreen 2 3 4 2 41" xfId="1780" xr:uid="{00000000-0005-0000-0000-0000F4060000}"/>
    <cellStyle name="AggGreen 2 3 4 2 42" xfId="1781" xr:uid="{00000000-0005-0000-0000-0000F5060000}"/>
    <cellStyle name="AggGreen 2 3 4 2 43" xfId="1782" xr:uid="{00000000-0005-0000-0000-0000F6060000}"/>
    <cellStyle name="AggGreen 2 3 4 2 44" xfId="1783" xr:uid="{00000000-0005-0000-0000-0000F7060000}"/>
    <cellStyle name="AggGreen 2 3 4 2 45" xfId="1784" xr:uid="{00000000-0005-0000-0000-0000F8060000}"/>
    <cellStyle name="AggGreen 2 3 4 2 46" xfId="1785" xr:uid="{00000000-0005-0000-0000-0000F9060000}"/>
    <cellStyle name="AggGreen 2 3 4 2 47" xfId="1786" xr:uid="{00000000-0005-0000-0000-0000FA060000}"/>
    <cellStyle name="AggGreen 2 3 4 2 48" xfId="1787" xr:uid="{00000000-0005-0000-0000-0000FB060000}"/>
    <cellStyle name="AggGreen 2 3 4 2 49" xfId="1788" xr:uid="{00000000-0005-0000-0000-0000FC060000}"/>
    <cellStyle name="AggGreen 2 3 4 2 5" xfId="1789" xr:uid="{00000000-0005-0000-0000-0000FD060000}"/>
    <cellStyle name="AggGreen 2 3 4 2 50" xfId="1790" xr:uid="{00000000-0005-0000-0000-0000FE060000}"/>
    <cellStyle name="AggGreen 2 3 4 2 51" xfId="1791" xr:uid="{00000000-0005-0000-0000-0000FF060000}"/>
    <cellStyle name="AggGreen 2 3 4 2 52" xfId="1792" xr:uid="{00000000-0005-0000-0000-000000070000}"/>
    <cellStyle name="AggGreen 2 3 4 2 53" xfId="1793" xr:uid="{00000000-0005-0000-0000-000001070000}"/>
    <cellStyle name="AggGreen 2 3 4 2 54" xfId="1794" xr:uid="{00000000-0005-0000-0000-000002070000}"/>
    <cellStyle name="AggGreen 2 3 4 2 55" xfId="1795" xr:uid="{00000000-0005-0000-0000-000003070000}"/>
    <cellStyle name="AggGreen 2 3 4 2 56" xfId="1796" xr:uid="{00000000-0005-0000-0000-000004070000}"/>
    <cellStyle name="AggGreen 2 3 4 2 57" xfId="1797" xr:uid="{00000000-0005-0000-0000-000005070000}"/>
    <cellStyle name="AggGreen 2 3 4 2 58" xfId="1798" xr:uid="{00000000-0005-0000-0000-000006070000}"/>
    <cellStyle name="AggGreen 2 3 4 2 59" xfId="1799" xr:uid="{00000000-0005-0000-0000-000007070000}"/>
    <cellStyle name="AggGreen 2 3 4 2 6" xfId="1800" xr:uid="{00000000-0005-0000-0000-000008070000}"/>
    <cellStyle name="AggGreen 2 3 4 2 60" xfId="1801" xr:uid="{00000000-0005-0000-0000-000009070000}"/>
    <cellStyle name="AggGreen 2 3 4 2 61" xfId="1802" xr:uid="{00000000-0005-0000-0000-00000A070000}"/>
    <cellStyle name="AggGreen 2 3 4 2 62" xfId="1803" xr:uid="{00000000-0005-0000-0000-00000B070000}"/>
    <cellStyle name="AggGreen 2 3 4 2 63" xfId="1804" xr:uid="{00000000-0005-0000-0000-00000C070000}"/>
    <cellStyle name="AggGreen 2 3 4 2 64" xfId="1805" xr:uid="{00000000-0005-0000-0000-00000D070000}"/>
    <cellStyle name="AggGreen 2 3 4 2 65" xfId="1806" xr:uid="{00000000-0005-0000-0000-00000E070000}"/>
    <cellStyle name="AggGreen 2 3 4 2 7" xfId="1807" xr:uid="{00000000-0005-0000-0000-00000F070000}"/>
    <cellStyle name="AggGreen 2 3 4 2 8" xfId="1808" xr:uid="{00000000-0005-0000-0000-000010070000}"/>
    <cellStyle name="AggGreen 2 3 4 2 9" xfId="1809" xr:uid="{00000000-0005-0000-0000-000011070000}"/>
    <cellStyle name="AggGreen 2 3 4 20" xfId="1810" xr:uid="{00000000-0005-0000-0000-000012070000}"/>
    <cellStyle name="AggGreen 2 3 4 21" xfId="1811" xr:uid="{00000000-0005-0000-0000-000013070000}"/>
    <cellStyle name="AggGreen 2 3 4 22" xfId="1812" xr:uid="{00000000-0005-0000-0000-000014070000}"/>
    <cellStyle name="AggGreen 2 3 4 23" xfId="1813" xr:uid="{00000000-0005-0000-0000-000015070000}"/>
    <cellStyle name="AggGreen 2 3 4 24" xfId="1814" xr:uid="{00000000-0005-0000-0000-000016070000}"/>
    <cellStyle name="AggGreen 2 3 4 25" xfId="1815" xr:uid="{00000000-0005-0000-0000-000017070000}"/>
    <cellStyle name="AggGreen 2 3 4 26" xfId="1816" xr:uid="{00000000-0005-0000-0000-000018070000}"/>
    <cellStyle name="AggGreen 2 3 4 27" xfId="1817" xr:uid="{00000000-0005-0000-0000-000019070000}"/>
    <cellStyle name="AggGreen 2 3 4 28" xfId="1818" xr:uid="{00000000-0005-0000-0000-00001A070000}"/>
    <cellStyle name="AggGreen 2 3 4 29" xfId="1819" xr:uid="{00000000-0005-0000-0000-00001B070000}"/>
    <cellStyle name="AggGreen 2 3 4 3" xfId="1820" xr:uid="{00000000-0005-0000-0000-00001C070000}"/>
    <cellStyle name="AggGreen 2 3 4 30" xfId="1821" xr:uid="{00000000-0005-0000-0000-00001D070000}"/>
    <cellStyle name="AggGreen 2 3 4 31" xfId="1822" xr:uid="{00000000-0005-0000-0000-00001E070000}"/>
    <cellStyle name="AggGreen 2 3 4 32" xfId="1823" xr:uid="{00000000-0005-0000-0000-00001F070000}"/>
    <cellStyle name="AggGreen 2 3 4 33" xfId="1824" xr:uid="{00000000-0005-0000-0000-000020070000}"/>
    <cellStyle name="AggGreen 2 3 4 34" xfId="1825" xr:uid="{00000000-0005-0000-0000-000021070000}"/>
    <cellStyle name="AggGreen 2 3 4 35" xfId="1826" xr:uid="{00000000-0005-0000-0000-000022070000}"/>
    <cellStyle name="AggGreen 2 3 4 36" xfId="1827" xr:uid="{00000000-0005-0000-0000-000023070000}"/>
    <cellStyle name="AggGreen 2 3 4 37" xfId="1828" xr:uid="{00000000-0005-0000-0000-000024070000}"/>
    <cellStyle name="AggGreen 2 3 4 38" xfId="1829" xr:uid="{00000000-0005-0000-0000-000025070000}"/>
    <cellStyle name="AggGreen 2 3 4 39" xfId="1830" xr:uid="{00000000-0005-0000-0000-000026070000}"/>
    <cellStyle name="AggGreen 2 3 4 4" xfId="1831" xr:uid="{00000000-0005-0000-0000-000027070000}"/>
    <cellStyle name="AggGreen 2 3 4 40" xfId="1832" xr:uid="{00000000-0005-0000-0000-000028070000}"/>
    <cellStyle name="AggGreen 2 3 4 41" xfId="1833" xr:uid="{00000000-0005-0000-0000-000029070000}"/>
    <cellStyle name="AggGreen 2 3 4 42" xfId="1834" xr:uid="{00000000-0005-0000-0000-00002A070000}"/>
    <cellStyle name="AggGreen 2 3 4 43" xfId="1835" xr:uid="{00000000-0005-0000-0000-00002B070000}"/>
    <cellStyle name="AggGreen 2 3 4 44" xfId="1836" xr:uid="{00000000-0005-0000-0000-00002C070000}"/>
    <cellStyle name="AggGreen 2 3 4 45" xfId="1837" xr:uid="{00000000-0005-0000-0000-00002D070000}"/>
    <cellStyle name="AggGreen 2 3 4 46" xfId="1838" xr:uid="{00000000-0005-0000-0000-00002E070000}"/>
    <cellStyle name="AggGreen 2 3 4 47" xfId="1839" xr:uid="{00000000-0005-0000-0000-00002F070000}"/>
    <cellStyle name="AggGreen 2 3 4 48" xfId="1840" xr:uid="{00000000-0005-0000-0000-000030070000}"/>
    <cellStyle name="AggGreen 2 3 4 49" xfId="1841" xr:uid="{00000000-0005-0000-0000-000031070000}"/>
    <cellStyle name="AggGreen 2 3 4 5" xfId="1842" xr:uid="{00000000-0005-0000-0000-000032070000}"/>
    <cellStyle name="AggGreen 2 3 4 50" xfId="1843" xr:uid="{00000000-0005-0000-0000-000033070000}"/>
    <cellStyle name="AggGreen 2 3 4 51" xfId="1844" xr:uid="{00000000-0005-0000-0000-000034070000}"/>
    <cellStyle name="AggGreen 2 3 4 52" xfId="1845" xr:uid="{00000000-0005-0000-0000-000035070000}"/>
    <cellStyle name="AggGreen 2 3 4 53" xfId="1846" xr:uid="{00000000-0005-0000-0000-000036070000}"/>
    <cellStyle name="AggGreen 2 3 4 54" xfId="1847" xr:uid="{00000000-0005-0000-0000-000037070000}"/>
    <cellStyle name="AggGreen 2 3 4 55" xfId="1848" xr:uid="{00000000-0005-0000-0000-000038070000}"/>
    <cellStyle name="AggGreen 2 3 4 56" xfId="1849" xr:uid="{00000000-0005-0000-0000-000039070000}"/>
    <cellStyle name="AggGreen 2 3 4 57" xfId="1850" xr:uid="{00000000-0005-0000-0000-00003A070000}"/>
    <cellStyle name="AggGreen 2 3 4 58" xfId="1851" xr:uid="{00000000-0005-0000-0000-00003B070000}"/>
    <cellStyle name="AggGreen 2 3 4 59" xfId="1852" xr:uid="{00000000-0005-0000-0000-00003C070000}"/>
    <cellStyle name="AggGreen 2 3 4 6" xfId="1853" xr:uid="{00000000-0005-0000-0000-00003D070000}"/>
    <cellStyle name="AggGreen 2 3 4 60" xfId="1854" xr:uid="{00000000-0005-0000-0000-00003E070000}"/>
    <cellStyle name="AggGreen 2 3 4 61" xfId="1855" xr:uid="{00000000-0005-0000-0000-00003F070000}"/>
    <cellStyle name="AggGreen 2 3 4 62" xfId="1856" xr:uid="{00000000-0005-0000-0000-000040070000}"/>
    <cellStyle name="AggGreen 2 3 4 63" xfId="1857" xr:uid="{00000000-0005-0000-0000-000041070000}"/>
    <cellStyle name="AggGreen 2 3 4 64" xfId="1858" xr:uid="{00000000-0005-0000-0000-000042070000}"/>
    <cellStyle name="AggGreen 2 3 4 65" xfId="1859" xr:uid="{00000000-0005-0000-0000-000043070000}"/>
    <cellStyle name="AggGreen 2 3 4 66" xfId="1860" xr:uid="{00000000-0005-0000-0000-000044070000}"/>
    <cellStyle name="AggGreen 2 3 4 7" xfId="1861" xr:uid="{00000000-0005-0000-0000-000045070000}"/>
    <cellStyle name="AggGreen 2 3 4 8" xfId="1862" xr:uid="{00000000-0005-0000-0000-000046070000}"/>
    <cellStyle name="AggGreen 2 3 4 9" xfId="1863" xr:uid="{00000000-0005-0000-0000-000047070000}"/>
    <cellStyle name="AggGreen 2 3 40" xfId="1864" xr:uid="{00000000-0005-0000-0000-000048070000}"/>
    <cellStyle name="AggGreen 2 3 41" xfId="1865" xr:uid="{00000000-0005-0000-0000-000049070000}"/>
    <cellStyle name="AggGreen 2 3 42" xfId="1866" xr:uid="{00000000-0005-0000-0000-00004A070000}"/>
    <cellStyle name="AggGreen 2 3 43" xfId="1867" xr:uid="{00000000-0005-0000-0000-00004B070000}"/>
    <cellStyle name="AggGreen 2 3 44" xfId="1868" xr:uid="{00000000-0005-0000-0000-00004C070000}"/>
    <cellStyle name="AggGreen 2 3 45" xfId="1869" xr:uid="{00000000-0005-0000-0000-00004D070000}"/>
    <cellStyle name="AggGreen 2 3 46" xfId="1870" xr:uid="{00000000-0005-0000-0000-00004E070000}"/>
    <cellStyle name="AggGreen 2 3 47" xfId="1871" xr:uid="{00000000-0005-0000-0000-00004F070000}"/>
    <cellStyle name="AggGreen 2 3 48" xfId="1872" xr:uid="{00000000-0005-0000-0000-000050070000}"/>
    <cellStyle name="AggGreen 2 3 49" xfId="1873" xr:uid="{00000000-0005-0000-0000-000051070000}"/>
    <cellStyle name="AggGreen 2 3 5" xfId="1874" xr:uid="{00000000-0005-0000-0000-000052070000}"/>
    <cellStyle name="AggGreen 2 3 50" xfId="1875" xr:uid="{00000000-0005-0000-0000-000053070000}"/>
    <cellStyle name="AggGreen 2 3 51" xfId="1876" xr:uid="{00000000-0005-0000-0000-000054070000}"/>
    <cellStyle name="AggGreen 2 3 52" xfId="1877" xr:uid="{00000000-0005-0000-0000-000055070000}"/>
    <cellStyle name="AggGreen 2 3 53" xfId="1878" xr:uid="{00000000-0005-0000-0000-000056070000}"/>
    <cellStyle name="AggGreen 2 3 54" xfId="1879" xr:uid="{00000000-0005-0000-0000-000057070000}"/>
    <cellStyle name="AggGreen 2 3 55" xfId="1880" xr:uid="{00000000-0005-0000-0000-000058070000}"/>
    <cellStyle name="AggGreen 2 3 56" xfId="1881" xr:uid="{00000000-0005-0000-0000-000059070000}"/>
    <cellStyle name="AggGreen 2 3 57" xfId="1882" xr:uid="{00000000-0005-0000-0000-00005A070000}"/>
    <cellStyle name="AggGreen 2 3 58" xfId="1883" xr:uid="{00000000-0005-0000-0000-00005B070000}"/>
    <cellStyle name="AggGreen 2 3 59" xfId="1884" xr:uid="{00000000-0005-0000-0000-00005C070000}"/>
    <cellStyle name="AggGreen 2 3 6" xfId="1885" xr:uid="{00000000-0005-0000-0000-00005D070000}"/>
    <cellStyle name="AggGreen 2 3 60" xfId="1886" xr:uid="{00000000-0005-0000-0000-00005E070000}"/>
    <cellStyle name="AggGreen 2 3 61" xfId="1887" xr:uid="{00000000-0005-0000-0000-00005F070000}"/>
    <cellStyle name="AggGreen 2 3 62" xfId="1888" xr:uid="{00000000-0005-0000-0000-000060070000}"/>
    <cellStyle name="AggGreen 2 3 63" xfId="1889" xr:uid="{00000000-0005-0000-0000-000061070000}"/>
    <cellStyle name="AggGreen 2 3 64" xfId="1890" xr:uid="{00000000-0005-0000-0000-000062070000}"/>
    <cellStyle name="AggGreen 2 3 65" xfId="1891" xr:uid="{00000000-0005-0000-0000-000063070000}"/>
    <cellStyle name="AggGreen 2 3 66" xfId="1892" xr:uid="{00000000-0005-0000-0000-000064070000}"/>
    <cellStyle name="AggGreen 2 3 67" xfId="1893" xr:uid="{00000000-0005-0000-0000-000065070000}"/>
    <cellStyle name="AggGreen 2 3 68" xfId="1894" xr:uid="{00000000-0005-0000-0000-000066070000}"/>
    <cellStyle name="AggGreen 2 3 7" xfId="1895" xr:uid="{00000000-0005-0000-0000-000067070000}"/>
    <cellStyle name="AggGreen 2 3 8" xfId="1896" xr:uid="{00000000-0005-0000-0000-000068070000}"/>
    <cellStyle name="AggGreen 2 3 9" xfId="1897" xr:uid="{00000000-0005-0000-0000-000069070000}"/>
    <cellStyle name="AggGreen 3" xfId="1898" xr:uid="{00000000-0005-0000-0000-00006A070000}"/>
    <cellStyle name="AggGreen 3 2" xfId="1899" xr:uid="{00000000-0005-0000-0000-00006B070000}"/>
    <cellStyle name="AggGreen 3 2 10" xfId="1900" xr:uid="{00000000-0005-0000-0000-00006C070000}"/>
    <cellStyle name="AggGreen 3 2 11" xfId="1901" xr:uid="{00000000-0005-0000-0000-00006D070000}"/>
    <cellStyle name="AggGreen 3 2 12" xfId="1902" xr:uid="{00000000-0005-0000-0000-00006E070000}"/>
    <cellStyle name="AggGreen 3 2 13" xfId="1903" xr:uid="{00000000-0005-0000-0000-00006F070000}"/>
    <cellStyle name="AggGreen 3 2 14" xfId="1904" xr:uid="{00000000-0005-0000-0000-000070070000}"/>
    <cellStyle name="AggGreen 3 2 15" xfId="1905" xr:uid="{00000000-0005-0000-0000-000071070000}"/>
    <cellStyle name="AggGreen 3 2 16" xfId="1906" xr:uid="{00000000-0005-0000-0000-000072070000}"/>
    <cellStyle name="AggGreen 3 2 17" xfId="1907" xr:uid="{00000000-0005-0000-0000-000073070000}"/>
    <cellStyle name="AggGreen 3 2 18" xfId="1908" xr:uid="{00000000-0005-0000-0000-000074070000}"/>
    <cellStyle name="AggGreen 3 2 19" xfId="1909" xr:uid="{00000000-0005-0000-0000-000075070000}"/>
    <cellStyle name="AggGreen 3 2 2" xfId="1910" xr:uid="{00000000-0005-0000-0000-000076070000}"/>
    <cellStyle name="AggGreen 3 2 2 10" xfId="1911" xr:uid="{00000000-0005-0000-0000-000077070000}"/>
    <cellStyle name="AggGreen 3 2 2 11" xfId="1912" xr:uid="{00000000-0005-0000-0000-000078070000}"/>
    <cellStyle name="AggGreen 3 2 2 12" xfId="1913" xr:uid="{00000000-0005-0000-0000-000079070000}"/>
    <cellStyle name="AggGreen 3 2 2 13" xfId="1914" xr:uid="{00000000-0005-0000-0000-00007A070000}"/>
    <cellStyle name="AggGreen 3 2 2 14" xfId="1915" xr:uid="{00000000-0005-0000-0000-00007B070000}"/>
    <cellStyle name="AggGreen 3 2 2 15" xfId="1916" xr:uid="{00000000-0005-0000-0000-00007C070000}"/>
    <cellStyle name="AggGreen 3 2 2 16" xfId="1917" xr:uid="{00000000-0005-0000-0000-00007D070000}"/>
    <cellStyle name="AggGreen 3 2 2 17" xfId="1918" xr:uid="{00000000-0005-0000-0000-00007E070000}"/>
    <cellStyle name="AggGreen 3 2 2 18" xfId="1919" xr:uid="{00000000-0005-0000-0000-00007F070000}"/>
    <cellStyle name="AggGreen 3 2 2 19" xfId="1920" xr:uid="{00000000-0005-0000-0000-000080070000}"/>
    <cellStyle name="AggGreen 3 2 2 2" xfId="1921" xr:uid="{00000000-0005-0000-0000-000081070000}"/>
    <cellStyle name="AggGreen 3 2 2 20" xfId="1922" xr:uid="{00000000-0005-0000-0000-000082070000}"/>
    <cellStyle name="AggGreen 3 2 2 21" xfId="1923" xr:uid="{00000000-0005-0000-0000-000083070000}"/>
    <cellStyle name="AggGreen 3 2 2 22" xfId="1924" xr:uid="{00000000-0005-0000-0000-000084070000}"/>
    <cellStyle name="AggGreen 3 2 2 23" xfId="1925" xr:uid="{00000000-0005-0000-0000-000085070000}"/>
    <cellStyle name="AggGreen 3 2 2 24" xfId="1926" xr:uid="{00000000-0005-0000-0000-000086070000}"/>
    <cellStyle name="AggGreen 3 2 2 25" xfId="1927" xr:uid="{00000000-0005-0000-0000-000087070000}"/>
    <cellStyle name="AggGreen 3 2 2 26" xfId="1928" xr:uid="{00000000-0005-0000-0000-000088070000}"/>
    <cellStyle name="AggGreen 3 2 2 27" xfId="1929" xr:uid="{00000000-0005-0000-0000-000089070000}"/>
    <cellStyle name="AggGreen 3 2 2 28" xfId="1930" xr:uid="{00000000-0005-0000-0000-00008A070000}"/>
    <cellStyle name="AggGreen 3 2 2 29" xfId="1931" xr:uid="{00000000-0005-0000-0000-00008B070000}"/>
    <cellStyle name="AggGreen 3 2 2 3" xfId="1932" xr:uid="{00000000-0005-0000-0000-00008C070000}"/>
    <cellStyle name="AggGreen 3 2 2 30" xfId="1933" xr:uid="{00000000-0005-0000-0000-00008D070000}"/>
    <cellStyle name="AggGreen 3 2 2 31" xfId="1934" xr:uid="{00000000-0005-0000-0000-00008E070000}"/>
    <cellStyle name="AggGreen 3 2 2 32" xfId="1935" xr:uid="{00000000-0005-0000-0000-00008F070000}"/>
    <cellStyle name="AggGreen 3 2 2 33" xfId="1936" xr:uid="{00000000-0005-0000-0000-000090070000}"/>
    <cellStyle name="AggGreen 3 2 2 34" xfId="1937" xr:uid="{00000000-0005-0000-0000-000091070000}"/>
    <cellStyle name="AggGreen 3 2 2 35" xfId="1938" xr:uid="{00000000-0005-0000-0000-000092070000}"/>
    <cellStyle name="AggGreen 3 2 2 36" xfId="1939" xr:uid="{00000000-0005-0000-0000-000093070000}"/>
    <cellStyle name="AggGreen 3 2 2 37" xfId="1940" xr:uid="{00000000-0005-0000-0000-000094070000}"/>
    <cellStyle name="AggGreen 3 2 2 38" xfId="1941" xr:uid="{00000000-0005-0000-0000-000095070000}"/>
    <cellStyle name="AggGreen 3 2 2 39" xfId="1942" xr:uid="{00000000-0005-0000-0000-000096070000}"/>
    <cellStyle name="AggGreen 3 2 2 4" xfId="1943" xr:uid="{00000000-0005-0000-0000-000097070000}"/>
    <cellStyle name="AggGreen 3 2 2 40" xfId="1944" xr:uid="{00000000-0005-0000-0000-000098070000}"/>
    <cellStyle name="AggGreen 3 2 2 41" xfId="1945" xr:uid="{00000000-0005-0000-0000-000099070000}"/>
    <cellStyle name="AggGreen 3 2 2 42" xfId="1946" xr:uid="{00000000-0005-0000-0000-00009A070000}"/>
    <cellStyle name="AggGreen 3 2 2 43" xfId="1947" xr:uid="{00000000-0005-0000-0000-00009B070000}"/>
    <cellStyle name="AggGreen 3 2 2 44" xfId="1948" xr:uid="{00000000-0005-0000-0000-00009C070000}"/>
    <cellStyle name="AggGreen 3 2 2 45" xfId="1949" xr:uid="{00000000-0005-0000-0000-00009D070000}"/>
    <cellStyle name="AggGreen 3 2 2 46" xfId="1950" xr:uid="{00000000-0005-0000-0000-00009E070000}"/>
    <cellStyle name="AggGreen 3 2 2 47" xfId="1951" xr:uid="{00000000-0005-0000-0000-00009F070000}"/>
    <cellStyle name="AggGreen 3 2 2 48" xfId="1952" xr:uid="{00000000-0005-0000-0000-0000A0070000}"/>
    <cellStyle name="AggGreen 3 2 2 49" xfId="1953" xr:uid="{00000000-0005-0000-0000-0000A1070000}"/>
    <cellStyle name="AggGreen 3 2 2 5" xfId="1954" xr:uid="{00000000-0005-0000-0000-0000A2070000}"/>
    <cellStyle name="AggGreen 3 2 2 50" xfId="1955" xr:uid="{00000000-0005-0000-0000-0000A3070000}"/>
    <cellStyle name="AggGreen 3 2 2 51" xfId="1956" xr:uid="{00000000-0005-0000-0000-0000A4070000}"/>
    <cellStyle name="AggGreen 3 2 2 52" xfId="1957" xr:uid="{00000000-0005-0000-0000-0000A5070000}"/>
    <cellStyle name="AggGreen 3 2 2 53" xfId="1958" xr:uid="{00000000-0005-0000-0000-0000A6070000}"/>
    <cellStyle name="AggGreen 3 2 2 54" xfId="1959" xr:uid="{00000000-0005-0000-0000-0000A7070000}"/>
    <cellStyle name="AggGreen 3 2 2 55" xfId="1960" xr:uid="{00000000-0005-0000-0000-0000A8070000}"/>
    <cellStyle name="AggGreen 3 2 2 56" xfId="1961" xr:uid="{00000000-0005-0000-0000-0000A9070000}"/>
    <cellStyle name="AggGreen 3 2 2 57" xfId="1962" xr:uid="{00000000-0005-0000-0000-0000AA070000}"/>
    <cellStyle name="AggGreen 3 2 2 58" xfId="1963" xr:uid="{00000000-0005-0000-0000-0000AB070000}"/>
    <cellStyle name="AggGreen 3 2 2 59" xfId="1964" xr:uid="{00000000-0005-0000-0000-0000AC070000}"/>
    <cellStyle name="AggGreen 3 2 2 6" xfId="1965" xr:uid="{00000000-0005-0000-0000-0000AD070000}"/>
    <cellStyle name="AggGreen 3 2 2 60" xfId="1966" xr:uid="{00000000-0005-0000-0000-0000AE070000}"/>
    <cellStyle name="AggGreen 3 2 2 61" xfId="1967" xr:uid="{00000000-0005-0000-0000-0000AF070000}"/>
    <cellStyle name="AggGreen 3 2 2 62" xfId="1968" xr:uid="{00000000-0005-0000-0000-0000B0070000}"/>
    <cellStyle name="AggGreen 3 2 2 63" xfId="1969" xr:uid="{00000000-0005-0000-0000-0000B1070000}"/>
    <cellStyle name="AggGreen 3 2 2 64" xfId="1970" xr:uid="{00000000-0005-0000-0000-0000B2070000}"/>
    <cellStyle name="AggGreen 3 2 2 65" xfId="1971" xr:uid="{00000000-0005-0000-0000-0000B3070000}"/>
    <cellStyle name="AggGreen 3 2 2 7" xfId="1972" xr:uid="{00000000-0005-0000-0000-0000B4070000}"/>
    <cellStyle name="AggGreen 3 2 2 8" xfId="1973" xr:uid="{00000000-0005-0000-0000-0000B5070000}"/>
    <cellStyle name="AggGreen 3 2 2 9" xfId="1974" xr:uid="{00000000-0005-0000-0000-0000B6070000}"/>
    <cellStyle name="AggGreen 3 2 20" xfId="1975" xr:uid="{00000000-0005-0000-0000-0000B7070000}"/>
    <cellStyle name="AggGreen 3 2 21" xfId="1976" xr:uid="{00000000-0005-0000-0000-0000B8070000}"/>
    <cellStyle name="AggGreen 3 2 22" xfId="1977" xr:uid="{00000000-0005-0000-0000-0000B9070000}"/>
    <cellStyle name="AggGreen 3 2 23" xfId="1978" xr:uid="{00000000-0005-0000-0000-0000BA070000}"/>
    <cellStyle name="AggGreen 3 2 24" xfId="1979" xr:uid="{00000000-0005-0000-0000-0000BB070000}"/>
    <cellStyle name="AggGreen 3 2 25" xfId="1980" xr:uid="{00000000-0005-0000-0000-0000BC070000}"/>
    <cellStyle name="AggGreen 3 2 26" xfId="1981" xr:uid="{00000000-0005-0000-0000-0000BD070000}"/>
    <cellStyle name="AggGreen 3 2 27" xfId="1982" xr:uid="{00000000-0005-0000-0000-0000BE070000}"/>
    <cellStyle name="AggGreen 3 2 28" xfId="1983" xr:uid="{00000000-0005-0000-0000-0000BF070000}"/>
    <cellStyle name="AggGreen 3 2 29" xfId="1984" xr:uid="{00000000-0005-0000-0000-0000C0070000}"/>
    <cellStyle name="AggGreen 3 2 3" xfId="1985" xr:uid="{00000000-0005-0000-0000-0000C1070000}"/>
    <cellStyle name="AggGreen 3 2 30" xfId="1986" xr:uid="{00000000-0005-0000-0000-0000C2070000}"/>
    <cellStyle name="AggGreen 3 2 31" xfId="1987" xr:uid="{00000000-0005-0000-0000-0000C3070000}"/>
    <cellStyle name="AggGreen 3 2 32" xfId="1988" xr:uid="{00000000-0005-0000-0000-0000C4070000}"/>
    <cellStyle name="AggGreen 3 2 33" xfId="1989" xr:uid="{00000000-0005-0000-0000-0000C5070000}"/>
    <cellStyle name="AggGreen 3 2 34" xfId="1990" xr:uid="{00000000-0005-0000-0000-0000C6070000}"/>
    <cellStyle name="AggGreen 3 2 35" xfId="1991" xr:uid="{00000000-0005-0000-0000-0000C7070000}"/>
    <cellStyle name="AggGreen 3 2 36" xfId="1992" xr:uid="{00000000-0005-0000-0000-0000C8070000}"/>
    <cellStyle name="AggGreen 3 2 37" xfId="1993" xr:uid="{00000000-0005-0000-0000-0000C9070000}"/>
    <cellStyle name="AggGreen 3 2 38" xfId="1994" xr:uid="{00000000-0005-0000-0000-0000CA070000}"/>
    <cellStyle name="AggGreen 3 2 39" xfId="1995" xr:uid="{00000000-0005-0000-0000-0000CB070000}"/>
    <cellStyle name="AggGreen 3 2 4" xfId="1996" xr:uid="{00000000-0005-0000-0000-0000CC070000}"/>
    <cellStyle name="AggGreen 3 2 40" xfId="1997" xr:uid="{00000000-0005-0000-0000-0000CD070000}"/>
    <cellStyle name="AggGreen 3 2 41" xfId="1998" xr:uid="{00000000-0005-0000-0000-0000CE070000}"/>
    <cellStyle name="AggGreen 3 2 42" xfId="1999" xr:uid="{00000000-0005-0000-0000-0000CF070000}"/>
    <cellStyle name="AggGreen 3 2 43" xfId="2000" xr:uid="{00000000-0005-0000-0000-0000D0070000}"/>
    <cellStyle name="AggGreen 3 2 44" xfId="2001" xr:uid="{00000000-0005-0000-0000-0000D1070000}"/>
    <cellStyle name="AggGreen 3 2 45" xfId="2002" xr:uid="{00000000-0005-0000-0000-0000D2070000}"/>
    <cellStyle name="AggGreen 3 2 46" xfId="2003" xr:uid="{00000000-0005-0000-0000-0000D3070000}"/>
    <cellStyle name="AggGreen 3 2 47" xfId="2004" xr:uid="{00000000-0005-0000-0000-0000D4070000}"/>
    <cellStyle name="AggGreen 3 2 48" xfId="2005" xr:uid="{00000000-0005-0000-0000-0000D5070000}"/>
    <cellStyle name="AggGreen 3 2 49" xfId="2006" xr:uid="{00000000-0005-0000-0000-0000D6070000}"/>
    <cellStyle name="AggGreen 3 2 5" xfId="2007" xr:uid="{00000000-0005-0000-0000-0000D7070000}"/>
    <cellStyle name="AggGreen 3 2 50" xfId="2008" xr:uid="{00000000-0005-0000-0000-0000D8070000}"/>
    <cellStyle name="AggGreen 3 2 51" xfId="2009" xr:uid="{00000000-0005-0000-0000-0000D9070000}"/>
    <cellStyle name="AggGreen 3 2 52" xfId="2010" xr:uid="{00000000-0005-0000-0000-0000DA070000}"/>
    <cellStyle name="AggGreen 3 2 53" xfId="2011" xr:uid="{00000000-0005-0000-0000-0000DB070000}"/>
    <cellStyle name="AggGreen 3 2 54" xfId="2012" xr:uid="{00000000-0005-0000-0000-0000DC070000}"/>
    <cellStyle name="AggGreen 3 2 55" xfId="2013" xr:uid="{00000000-0005-0000-0000-0000DD070000}"/>
    <cellStyle name="AggGreen 3 2 56" xfId="2014" xr:uid="{00000000-0005-0000-0000-0000DE070000}"/>
    <cellStyle name="AggGreen 3 2 57" xfId="2015" xr:uid="{00000000-0005-0000-0000-0000DF070000}"/>
    <cellStyle name="AggGreen 3 2 58" xfId="2016" xr:uid="{00000000-0005-0000-0000-0000E0070000}"/>
    <cellStyle name="AggGreen 3 2 59" xfId="2017" xr:uid="{00000000-0005-0000-0000-0000E1070000}"/>
    <cellStyle name="AggGreen 3 2 6" xfId="2018" xr:uid="{00000000-0005-0000-0000-0000E2070000}"/>
    <cellStyle name="AggGreen 3 2 60" xfId="2019" xr:uid="{00000000-0005-0000-0000-0000E3070000}"/>
    <cellStyle name="AggGreen 3 2 61" xfId="2020" xr:uid="{00000000-0005-0000-0000-0000E4070000}"/>
    <cellStyle name="AggGreen 3 2 62" xfId="2021" xr:uid="{00000000-0005-0000-0000-0000E5070000}"/>
    <cellStyle name="AggGreen 3 2 63" xfId="2022" xr:uid="{00000000-0005-0000-0000-0000E6070000}"/>
    <cellStyle name="AggGreen 3 2 64" xfId="2023" xr:uid="{00000000-0005-0000-0000-0000E7070000}"/>
    <cellStyle name="AggGreen 3 2 65" xfId="2024" xr:uid="{00000000-0005-0000-0000-0000E8070000}"/>
    <cellStyle name="AggGreen 3 2 66" xfId="2025" xr:uid="{00000000-0005-0000-0000-0000E9070000}"/>
    <cellStyle name="AggGreen 3 2 7" xfId="2026" xr:uid="{00000000-0005-0000-0000-0000EA070000}"/>
    <cellStyle name="AggGreen 3 2 8" xfId="2027" xr:uid="{00000000-0005-0000-0000-0000EB070000}"/>
    <cellStyle name="AggGreen 3 2 9" xfId="2028" xr:uid="{00000000-0005-0000-0000-0000EC070000}"/>
    <cellStyle name="AggGreen 3 3" xfId="2029" xr:uid="{00000000-0005-0000-0000-0000ED070000}"/>
    <cellStyle name="AggGreen 3 3 10" xfId="2030" xr:uid="{00000000-0005-0000-0000-0000EE070000}"/>
    <cellStyle name="AggGreen 3 3 11" xfId="2031" xr:uid="{00000000-0005-0000-0000-0000EF070000}"/>
    <cellStyle name="AggGreen 3 3 12" xfId="2032" xr:uid="{00000000-0005-0000-0000-0000F0070000}"/>
    <cellStyle name="AggGreen 3 3 13" xfId="2033" xr:uid="{00000000-0005-0000-0000-0000F1070000}"/>
    <cellStyle name="AggGreen 3 3 14" xfId="2034" xr:uid="{00000000-0005-0000-0000-0000F2070000}"/>
    <cellStyle name="AggGreen 3 3 15" xfId="2035" xr:uid="{00000000-0005-0000-0000-0000F3070000}"/>
    <cellStyle name="AggGreen 3 3 16" xfId="2036" xr:uid="{00000000-0005-0000-0000-0000F4070000}"/>
    <cellStyle name="AggGreen 3 3 17" xfId="2037" xr:uid="{00000000-0005-0000-0000-0000F5070000}"/>
    <cellStyle name="AggGreen 3 3 18" xfId="2038" xr:uid="{00000000-0005-0000-0000-0000F6070000}"/>
    <cellStyle name="AggGreen 3 3 19" xfId="2039" xr:uid="{00000000-0005-0000-0000-0000F7070000}"/>
    <cellStyle name="AggGreen 3 3 2" xfId="2040" xr:uid="{00000000-0005-0000-0000-0000F8070000}"/>
    <cellStyle name="AggGreen 3 3 20" xfId="2041" xr:uid="{00000000-0005-0000-0000-0000F9070000}"/>
    <cellStyle name="AggGreen 3 3 21" xfId="2042" xr:uid="{00000000-0005-0000-0000-0000FA070000}"/>
    <cellStyle name="AggGreen 3 3 22" xfId="2043" xr:uid="{00000000-0005-0000-0000-0000FB070000}"/>
    <cellStyle name="AggGreen 3 3 23" xfId="2044" xr:uid="{00000000-0005-0000-0000-0000FC070000}"/>
    <cellStyle name="AggGreen 3 3 24" xfId="2045" xr:uid="{00000000-0005-0000-0000-0000FD070000}"/>
    <cellStyle name="AggGreen 3 3 25" xfId="2046" xr:uid="{00000000-0005-0000-0000-0000FE070000}"/>
    <cellStyle name="AggGreen 3 3 26" xfId="2047" xr:uid="{00000000-0005-0000-0000-0000FF070000}"/>
    <cellStyle name="AggGreen 3 3 27" xfId="2048" xr:uid="{00000000-0005-0000-0000-000000080000}"/>
    <cellStyle name="AggGreen 3 3 28" xfId="2049" xr:uid="{00000000-0005-0000-0000-000001080000}"/>
    <cellStyle name="AggGreen 3 3 29" xfId="2050" xr:uid="{00000000-0005-0000-0000-000002080000}"/>
    <cellStyle name="AggGreen 3 3 3" xfId="2051" xr:uid="{00000000-0005-0000-0000-000003080000}"/>
    <cellStyle name="AggGreen 3 3 30" xfId="2052" xr:uid="{00000000-0005-0000-0000-000004080000}"/>
    <cellStyle name="AggGreen 3 3 31" xfId="2053" xr:uid="{00000000-0005-0000-0000-000005080000}"/>
    <cellStyle name="AggGreen 3 3 32" xfId="2054" xr:uid="{00000000-0005-0000-0000-000006080000}"/>
    <cellStyle name="AggGreen 3 3 33" xfId="2055" xr:uid="{00000000-0005-0000-0000-000007080000}"/>
    <cellStyle name="AggGreen 3 3 34" xfId="2056" xr:uid="{00000000-0005-0000-0000-000008080000}"/>
    <cellStyle name="AggGreen 3 3 35" xfId="2057" xr:uid="{00000000-0005-0000-0000-000009080000}"/>
    <cellStyle name="AggGreen 3 3 36" xfId="2058" xr:uid="{00000000-0005-0000-0000-00000A080000}"/>
    <cellStyle name="AggGreen 3 3 37" xfId="2059" xr:uid="{00000000-0005-0000-0000-00000B080000}"/>
    <cellStyle name="AggGreen 3 3 38" xfId="2060" xr:uid="{00000000-0005-0000-0000-00000C080000}"/>
    <cellStyle name="AggGreen 3 3 39" xfId="2061" xr:uid="{00000000-0005-0000-0000-00000D080000}"/>
    <cellStyle name="AggGreen 3 3 4" xfId="2062" xr:uid="{00000000-0005-0000-0000-00000E080000}"/>
    <cellStyle name="AggGreen 3 3 40" xfId="2063" xr:uid="{00000000-0005-0000-0000-00000F080000}"/>
    <cellStyle name="AggGreen 3 3 41" xfId="2064" xr:uid="{00000000-0005-0000-0000-000010080000}"/>
    <cellStyle name="AggGreen 3 3 42" xfId="2065" xr:uid="{00000000-0005-0000-0000-000011080000}"/>
    <cellStyle name="AggGreen 3 3 43" xfId="2066" xr:uid="{00000000-0005-0000-0000-000012080000}"/>
    <cellStyle name="AggGreen 3 3 44" xfId="2067" xr:uid="{00000000-0005-0000-0000-000013080000}"/>
    <cellStyle name="AggGreen 3 3 45" xfId="2068" xr:uid="{00000000-0005-0000-0000-000014080000}"/>
    <cellStyle name="AggGreen 3 3 46" xfId="2069" xr:uid="{00000000-0005-0000-0000-000015080000}"/>
    <cellStyle name="AggGreen 3 3 47" xfId="2070" xr:uid="{00000000-0005-0000-0000-000016080000}"/>
    <cellStyle name="AggGreen 3 3 48" xfId="2071" xr:uid="{00000000-0005-0000-0000-000017080000}"/>
    <cellStyle name="AggGreen 3 3 49" xfId="2072" xr:uid="{00000000-0005-0000-0000-000018080000}"/>
    <cellStyle name="AggGreen 3 3 5" xfId="2073" xr:uid="{00000000-0005-0000-0000-000019080000}"/>
    <cellStyle name="AggGreen 3 3 50" xfId="2074" xr:uid="{00000000-0005-0000-0000-00001A080000}"/>
    <cellStyle name="AggGreen 3 3 51" xfId="2075" xr:uid="{00000000-0005-0000-0000-00001B080000}"/>
    <cellStyle name="AggGreen 3 3 52" xfId="2076" xr:uid="{00000000-0005-0000-0000-00001C080000}"/>
    <cellStyle name="AggGreen 3 3 53" xfId="2077" xr:uid="{00000000-0005-0000-0000-00001D080000}"/>
    <cellStyle name="AggGreen 3 3 54" xfId="2078" xr:uid="{00000000-0005-0000-0000-00001E080000}"/>
    <cellStyle name="AggGreen 3 3 55" xfId="2079" xr:uid="{00000000-0005-0000-0000-00001F080000}"/>
    <cellStyle name="AggGreen 3 3 56" xfId="2080" xr:uid="{00000000-0005-0000-0000-000020080000}"/>
    <cellStyle name="AggGreen 3 3 57" xfId="2081" xr:uid="{00000000-0005-0000-0000-000021080000}"/>
    <cellStyle name="AggGreen 3 3 58" xfId="2082" xr:uid="{00000000-0005-0000-0000-000022080000}"/>
    <cellStyle name="AggGreen 3 3 59" xfId="2083" xr:uid="{00000000-0005-0000-0000-000023080000}"/>
    <cellStyle name="AggGreen 3 3 6" xfId="2084" xr:uid="{00000000-0005-0000-0000-000024080000}"/>
    <cellStyle name="AggGreen 3 3 60" xfId="2085" xr:uid="{00000000-0005-0000-0000-000025080000}"/>
    <cellStyle name="AggGreen 3 3 61" xfId="2086" xr:uid="{00000000-0005-0000-0000-000026080000}"/>
    <cellStyle name="AggGreen 3 3 62" xfId="2087" xr:uid="{00000000-0005-0000-0000-000027080000}"/>
    <cellStyle name="AggGreen 3 3 63" xfId="2088" xr:uid="{00000000-0005-0000-0000-000028080000}"/>
    <cellStyle name="AggGreen 3 3 64" xfId="2089" xr:uid="{00000000-0005-0000-0000-000029080000}"/>
    <cellStyle name="AggGreen 3 3 65" xfId="2090" xr:uid="{00000000-0005-0000-0000-00002A080000}"/>
    <cellStyle name="AggGreen 3 3 7" xfId="2091" xr:uid="{00000000-0005-0000-0000-00002B080000}"/>
    <cellStyle name="AggGreen 3 3 8" xfId="2092" xr:uid="{00000000-0005-0000-0000-00002C080000}"/>
    <cellStyle name="AggGreen 3 3 9" xfId="2093" xr:uid="{00000000-0005-0000-0000-00002D080000}"/>
    <cellStyle name="AggGreen 4" xfId="2094" xr:uid="{00000000-0005-0000-0000-00002E080000}"/>
    <cellStyle name="AggGreen 4 10" xfId="2095" xr:uid="{00000000-0005-0000-0000-00002F080000}"/>
    <cellStyle name="AggGreen 4 11" xfId="2096" xr:uid="{00000000-0005-0000-0000-000030080000}"/>
    <cellStyle name="AggGreen 4 12" xfId="2097" xr:uid="{00000000-0005-0000-0000-000031080000}"/>
    <cellStyle name="AggGreen 4 13" xfId="2098" xr:uid="{00000000-0005-0000-0000-000032080000}"/>
    <cellStyle name="AggGreen 4 14" xfId="2099" xr:uid="{00000000-0005-0000-0000-000033080000}"/>
    <cellStyle name="AggGreen 4 15" xfId="2100" xr:uid="{00000000-0005-0000-0000-000034080000}"/>
    <cellStyle name="AggGreen 4 16" xfId="2101" xr:uid="{00000000-0005-0000-0000-000035080000}"/>
    <cellStyle name="AggGreen 4 17" xfId="2102" xr:uid="{00000000-0005-0000-0000-000036080000}"/>
    <cellStyle name="AggGreen 4 18" xfId="2103" xr:uid="{00000000-0005-0000-0000-000037080000}"/>
    <cellStyle name="AggGreen 4 19" xfId="2104" xr:uid="{00000000-0005-0000-0000-000038080000}"/>
    <cellStyle name="AggGreen 4 2" xfId="2105" xr:uid="{00000000-0005-0000-0000-000039080000}"/>
    <cellStyle name="AggGreen 4 2 10" xfId="2106" xr:uid="{00000000-0005-0000-0000-00003A080000}"/>
    <cellStyle name="AggGreen 4 2 11" xfId="2107" xr:uid="{00000000-0005-0000-0000-00003B080000}"/>
    <cellStyle name="AggGreen 4 2 12" xfId="2108" xr:uid="{00000000-0005-0000-0000-00003C080000}"/>
    <cellStyle name="AggGreen 4 2 13" xfId="2109" xr:uid="{00000000-0005-0000-0000-00003D080000}"/>
    <cellStyle name="AggGreen 4 2 14" xfId="2110" xr:uid="{00000000-0005-0000-0000-00003E080000}"/>
    <cellStyle name="AggGreen 4 2 15" xfId="2111" xr:uid="{00000000-0005-0000-0000-00003F080000}"/>
    <cellStyle name="AggGreen 4 2 16" xfId="2112" xr:uid="{00000000-0005-0000-0000-000040080000}"/>
    <cellStyle name="AggGreen 4 2 17" xfId="2113" xr:uid="{00000000-0005-0000-0000-000041080000}"/>
    <cellStyle name="AggGreen 4 2 18" xfId="2114" xr:uid="{00000000-0005-0000-0000-000042080000}"/>
    <cellStyle name="AggGreen 4 2 19" xfId="2115" xr:uid="{00000000-0005-0000-0000-000043080000}"/>
    <cellStyle name="AggGreen 4 2 2" xfId="2116" xr:uid="{00000000-0005-0000-0000-000044080000}"/>
    <cellStyle name="AggGreen 4 2 2 10" xfId="2117" xr:uid="{00000000-0005-0000-0000-000045080000}"/>
    <cellStyle name="AggGreen 4 2 2 11" xfId="2118" xr:uid="{00000000-0005-0000-0000-000046080000}"/>
    <cellStyle name="AggGreen 4 2 2 12" xfId="2119" xr:uid="{00000000-0005-0000-0000-000047080000}"/>
    <cellStyle name="AggGreen 4 2 2 13" xfId="2120" xr:uid="{00000000-0005-0000-0000-000048080000}"/>
    <cellStyle name="AggGreen 4 2 2 14" xfId="2121" xr:uid="{00000000-0005-0000-0000-000049080000}"/>
    <cellStyle name="AggGreen 4 2 2 15" xfId="2122" xr:uid="{00000000-0005-0000-0000-00004A080000}"/>
    <cellStyle name="AggGreen 4 2 2 16" xfId="2123" xr:uid="{00000000-0005-0000-0000-00004B080000}"/>
    <cellStyle name="AggGreen 4 2 2 17" xfId="2124" xr:uid="{00000000-0005-0000-0000-00004C080000}"/>
    <cellStyle name="AggGreen 4 2 2 18" xfId="2125" xr:uid="{00000000-0005-0000-0000-00004D080000}"/>
    <cellStyle name="AggGreen 4 2 2 19" xfId="2126" xr:uid="{00000000-0005-0000-0000-00004E080000}"/>
    <cellStyle name="AggGreen 4 2 2 2" xfId="2127" xr:uid="{00000000-0005-0000-0000-00004F080000}"/>
    <cellStyle name="AggGreen 4 2 2 20" xfId="2128" xr:uid="{00000000-0005-0000-0000-000050080000}"/>
    <cellStyle name="AggGreen 4 2 2 21" xfId="2129" xr:uid="{00000000-0005-0000-0000-000051080000}"/>
    <cellStyle name="AggGreen 4 2 2 22" xfId="2130" xr:uid="{00000000-0005-0000-0000-000052080000}"/>
    <cellStyle name="AggGreen 4 2 2 23" xfId="2131" xr:uid="{00000000-0005-0000-0000-000053080000}"/>
    <cellStyle name="AggGreen 4 2 2 24" xfId="2132" xr:uid="{00000000-0005-0000-0000-000054080000}"/>
    <cellStyle name="AggGreen 4 2 2 25" xfId="2133" xr:uid="{00000000-0005-0000-0000-000055080000}"/>
    <cellStyle name="AggGreen 4 2 2 26" xfId="2134" xr:uid="{00000000-0005-0000-0000-000056080000}"/>
    <cellStyle name="AggGreen 4 2 2 27" xfId="2135" xr:uid="{00000000-0005-0000-0000-000057080000}"/>
    <cellStyle name="AggGreen 4 2 2 28" xfId="2136" xr:uid="{00000000-0005-0000-0000-000058080000}"/>
    <cellStyle name="AggGreen 4 2 2 29" xfId="2137" xr:uid="{00000000-0005-0000-0000-000059080000}"/>
    <cellStyle name="AggGreen 4 2 2 3" xfId="2138" xr:uid="{00000000-0005-0000-0000-00005A080000}"/>
    <cellStyle name="AggGreen 4 2 2 30" xfId="2139" xr:uid="{00000000-0005-0000-0000-00005B080000}"/>
    <cellStyle name="AggGreen 4 2 2 31" xfId="2140" xr:uid="{00000000-0005-0000-0000-00005C080000}"/>
    <cellStyle name="AggGreen 4 2 2 32" xfId="2141" xr:uid="{00000000-0005-0000-0000-00005D080000}"/>
    <cellStyle name="AggGreen 4 2 2 33" xfId="2142" xr:uid="{00000000-0005-0000-0000-00005E080000}"/>
    <cellStyle name="AggGreen 4 2 2 34" xfId="2143" xr:uid="{00000000-0005-0000-0000-00005F080000}"/>
    <cellStyle name="AggGreen 4 2 2 35" xfId="2144" xr:uid="{00000000-0005-0000-0000-000060080000}"/>
    <cellStyle name="AggGreen 4 2 2 36" xfId="2145" xr:uid="{00000000-0005-0000-0000-000061080000}"/>
    <cellStyle name="AggGreen 4 2 2 37" xfId="2146" xr:uid="{00000000-0005-0000-0000-000062080000}"/>
    <cellStyle name="AggGreen 4 2 2 38" xfId="2147" xr:uid="{00000000-0005-0000-0000-000063080000}"/>
    <cellStyle name="AggGreen 4 2 2 39" xfId="2148" xr:uid="{00000000-0005-0000-0000-000064080000}"/>
    <cellStyle name="AggGreen 4 2 2 4" xfId="2149" xr:uid="{00000000-0005-0000-0000-000065080000}"/>
    <cellStyle name="AggGreen 4 2 2 40" xfId="2150" xr:uid="{00000000-0005-0000-0000-000066080000}"/>
    <cellStyle name="AggGreen 4 2 2 41" xfId="2151" xr:uid="{00000000-0005-0000-0000-000067080000}"/>
    <cellStyle name="AggGreen 4 2 2 42" xfId="2152" xr:uid="{00000000-0005-0000-0000-000068080000}"/>
    <cellStyle name="AggGreen 4 2 2 43" xfId="2153" xr:uid="{00000000-0005-0000-0000-000069080000}"/>
    <cellStyle name="AggGreen 4 2 2 44" xfId="2154" xr:uid="{00000000-0005-0000-0000-00006A080000}"/>
    <cellStyle name="AggGreen 4 2 2 45" xfId="2155" xr:uid="{00000000-0005-0000-0000-00006B080000}"/>
    <cellStyle name="AggGreen 4 2 2 46" xfId="2156" xr:uid="{00000000-0005-0000-0000-00006C080000}"/>
    <cellStyle name="AggGreen 4 2 2 47" xfId="2157" xr:uid="{00000000-0005-0000-0000-00006D080000}"/>
    <cellStyle name="AggGreen 4 2 2 48" xfId="2158" xr:uid="{00000000-0005-0000-0000-00006E080000}"/>
    <cellStyle name="AggGreen 4 2 2 49" xfId="2159" xr:uid="{00000000-0005-0000-0000-00006F080000}"/>
    <cellStyle name="AggGreen 4 2 2 5" xfId="2160" xr:uid="{00000000-0005-0000-0000-000070080000}"/>
    <cellStyle name="AggGreen 4 2 2 50" xfId="2161" xr:uid="{00000000-0005-0000-0000-000071080000}"/>
    <cellStyle name="AggGreen 4 2 2 51" xfId="2162" xr:uid="{00000000-0005-0000-0000-000072080000}"/>
    <cellStyle name="AggGreen 4 2 2 52" xfId="2163" xr:uid="{00000000-0005-0000-0000-000073080000}"/>
    <cellStyle name="AggGreen 4 2 2 53" xfId="2164" xr:uid="{00000000-0005-0000-0000-000074080000}"/>
    <cellStyle name="AggGreen 4 2 2 54" xfId="2165" xr:uid="{00000000-0005-0000-0000-000075080000}"/>
    <cellStyle name="AggGreen 4 2 2 55" xfId="2166" xr:uid="{00000000-0005-0000-0000-000076080000}"/>
    <cellStyle name="AggGreen 4 2 2 56" xfId="2167" xr:uid="{00000000-0005-0000-0000-000077080000}"/>
    <cellStyle name="AggGreen 4 2 2 57" xfId="2168" xr:uid="{00000000-0005-0000-0000-000078080000}"/>
    <cellStyle name="AggGreen 4 2 2 58" xfId="2169" xr:uid="{00000000-0005-0000-0000-000079080000}"/>
    <cellStyle name="AggGreen 4 2 2 59" xfId="2170" xr:uid="{00000000-0005-0000-0000-00007A080000}"/>
    <cellStyle name="AggGreen 4 2 2 6" xfId="2171" xr:uid="{00000000-0005-0000-0000-00007B080000}"/>
    <cellStyle name="AggGreen 4 2 2 60" xfId="2172" xr:uid="{00000000-0005-0000-0000-00007C080000}"/>
    <cellStyle name="AggGreen 4 2 2 61" xfId="2173" xr:uid="{00000000-0005-0000-0000-00007D080000}"/>
    <cellStyle name="AggGreen 4 2 2 62" xfId="2174" xr:uid="{00000000-0005-0000-0000-00007E080000}"/>
    <cellStyle name="AggGreen 4 2 2 63" xfId="2175" xr:uid="{00000000-0005-0000-0000-00007F080000}"/>
    <cellStyle name="AggGreen 4 2 2 64" xfId="2176" xr:uid="{00000000-0005-0000-0000-000080080000}"/>
    <cellStyle name="AggGreen 4 2 2 65" xfId="2177" xr:uid="{00000000-0005-0000-0000-000081080000}"/>
    <cellStyle name="AggGreen 4 2 2 7" xfId="2178" xr:uid="{00000000-0005-0000-0000-000082080000}"/>
    <cellStyle name="AggGreen 4 2 2 8" xfId="2179" xr:uid="{00000000-0005-0000-0000-000083080000}"/>
    <cellStyle name="AggGreen 4 2 2 9" xfId="2180" xr:uid="{00000000-0005-0000-0000-000084080000}"/>
    <cellStyle name="AggGreen 4 2 20" xfId="2181" xr:uid="{00000000-0005-0000-0000-000085080000}"/>
    <cellStyle name="AggGreen 4 2 21" xfId="2182" xr:uid="{00000000-0005-0000-0000-000086080000}"/>
    <cellStyle name="AggGreen 4 2 22" xfId="2183" xr:uid="{00000000-0005-0000-0000-000087080000}"/>
    <cellStyle name="AggGreen 4 2 23" xfId="2184" xr:uid="{00000000-0005-0000-0000-000088080000}"/>
    <cellStyle name="AggGreen 4 2 24" xfId="2185" xr:uid="{00000000-0005-0000-0000-000089080000}"/>
    <cellStyle name="AggGreen 4 2 25" xfId="2186" xr:uid="{00000000-0005-0000-0000-00008A080000}"/>
    <cellStyle name="AggGreen 4 2 26" xfId="2187" xr:uid="{00000000-0005-0000-0000-00008B080000}"/>
    <cellStyle name="AggGreen 4 2 27" xfId="2188" xr:uid="{00000000-0005-0000-0000-00008C080000}"/>
    <cellStyle name="AggGreen 4 2 28" xfId="2189" xr:uid="{00000000-0005-0000-0000-00008D080000}"/>
    <cellStyle name="AggGreen 4 2 29" xfId="2190" xr:uid="{00000000-0005-0000-0000-00008E080000}"/>
    <cellStyle name="AggGreen 4 2 3" xfId="2191" xr:uid="{00000000-0005-0000-0000-00008F080000}"/>
    <cellStyle name="AggGreen 4 2 30" xfId="2192" xr:uid="{00000000-0005-0000-0000-000090080000}"/>
    <cellStyle name="AggGreen 4 2 31" xfId="2193" xr:uid="{00000000-0005-0000-0000-000091080000}"/>
    <cellStyle name="AggGreen 4 2 32" xfId="2194" xr:uid="{00000000-0005-0000-0000-000092080000}"/>
    <cellStyle name="AggGreen 4 2 33" xfId="2195" xr:uid="{00000000-0005-0000-0000-000093080000}"/>
    <cellStyle name="AggGreen 4 2 34" xfId="2196" xr:uid="{00000000-0005-0000-0000-000094080000}"/>
    <cellStyle name="AggGreen 4 2 35" xfId="2197" xr:uid="{00000000-0005-0000-0000-000095080000}"/>
    <cellStyle name="AggGreen 4 2 36" xfId="2198" xr:uid="{00000000-0005-0000-0000-000096080000}"/>
    <cellStyle name="AggGreen 4 2 37" xfId="2199" xr:uid="{00000000-0005-0000-0000-000097080000}"/>
    <cellStyle name="AggGreen 4 2 38" xfId="2200" xr:uid="{00000000-0005-0000-0000-000098080000}"/>
    <cellStyle name="AggGreen 4 2 39" xfId="2201" xr:uid="{00000000-0005-0000-0000-000099080000}"/>
    <cellStyle name="AggGreen 4 2 4" xfId="2202" xr:uid="{00000000-0005-0000-0000-00009A080000}"/>
    <cellStyle name="AggGreen 4 2 40" xfId="2203" xr:uid="{00000000-0005-0000-0000-00009B080000}"/>
    <cellStyle name="AggGreen 4 2 41" xfId="2204" xr:uid="{00000000-0005-0000-0000-00009C080000}"/>
    <cellStyle name="AggGreen 4 2 42" xfId="2205" xr:uid="{00000000-0005-0000-0000-00009D080000}"/>
    <cellStyle name="AggGreen 4 2 43" xfId="2206" xr:uid="{00000000-0005-0000-0000-00009E080000}"/>
    <cellStyle name="AggGreen 4 2 44" xfId="2207" xr:uid="{00000000-0005-0000-0000-00009F080000}"/>
    <cellStyle name="AggGreen 4 2 45" xfId="2208" xr:uid="{00000000-0005-0000-0000-0000A0080000}"/>
    <cellStyle name="AggGreen 4 2 46" xfId="2209" xr:uid="{00000000-0005-0000-0000-0000A1080000}"/>
    <cellStyle name="AggGreen 4 2 47" xfId="2210" xr:uid="{00000000-0005-0000-0000-0000A2080000}"/>
    <cellStyle name="AggGreen 4 2 48" xfId="2211" xr:uid="{00000000-0005-0000-0000-0000A3080000}"/>
    <cellStyle name="AggGreen 4 2 49" xfId="2212" xr:uid="{00000000-0005-0000-0000-0000A4080000}"/>
    <cellStyle name="AggGreen 4 2 5" xfId="2213" xr:uid="{00000000-0005-0000-0000-0000A5080000}"/>
    <cellStyle name="AggGreen 4 2 50" xfId="2214" xr:uid="{00000000-0005-0000-0000-0000A6080000}"/>
    <cellStyle name="AggGreen 4 2 51" xfId="2215" xr:uid="{00000000-0005-0000-0000-0000A7080000}"/>
    <cellStyle name="AggGreen 4 2 52" xfId="2216" xr:uid="{00000000-0005-0000-0000-0000A8080000}"/>
    <cellStyle name="AggGreen 4 2 53" xfId="2217" xr:uid="{00000000-0005-0000-0000-0000A9080000}"/>
    <cellStyle name="AggGreen 4 2 54" xfId="2218" xr:uid="{00000000-0005-0000-0000-0000AA080000}"/>
    <cellStyle name="AggGreen 4 2 55" xfId="2219" xr:uid="{00000000-0005-0000-0000-0000AB080000}"/>
    <cellStyle name="AggGreen 4 2 56" xfId="2220" xr:uid="{00000000-0005-0000-0000-0000AC080000}"/>
    <cellStyle name="AggGreen 4 2 57" xfId="2221" xr:uid="{00000000-0005-0000-0000-0000AD080000}"/>
    <cellStyle name="AggGreen 4 2 58" xfId="2222" xr:uid="{00000000-0005-0000-0000-0000AE080000}"/>
    <cellStyle name="AggGreen 4 2 59" xfId="2223" xr:uid="{00000000-0005-0000-0000-0000AF080000}"/>
    <cellStyle name="AggGreen 4 2 6" xfId="2224" xr:uid="{00000000-0005-0000-0000-0000B0080000}"/>
    <cellStyle name="AggGreen 4 2 60" xfId="2225" xr:uid="{00000000-0005-0000-0000-0000B1080000}"/>
    <cellStyle name="AggGreen 4 2 61" xfId="2226" xr:uid="{00000000-0005-0000-0000-0000B2080000}"/>
    <cellStyle name="AggGreen 4 2 62" xfId="2227" xr:uid="{00000000-0005-0000-0000-0000B3080000}"/>
    <cellStyle name="AggGreen 4 2 63" xfId="2228" xr:uid="{00000000-0005-0000-0000-0000B4080000}"/>
    <cellStyle name="AggGreen 4 2 64" xfId="2229" xr:uid="{00000000-0005-0000-0000-0000B5080000}"/>
    <cellStyle name="AggGreen 4 2 65" xfId="2230" xr:uid="{00000000-0005-0000-0000-0000B6080000}"/>
    <cellStyle name="AggGreen 4 2 66" xfId="2231" xr:uid="{00000000-0005-0000-0000-0000B7080000}"/>
    <cellStyle name="AggGreen 4 2 7" xfId="2232" xr:uid="{00000000-0005-0000-0000-0000B8080000}"/>
    <cellStyle name="AggGreen 4 2 8" xfId="2233" xr:uid="{00000000-0005-0000-0000-0000B9080000}"/>
    <cellStyle name="AggGreen 4 2 9" xfId="2234" xr:uid="{00000000-0005-0000-0000-0000BA080000}"/>
    <cellStyle name="AggGreen 4 20" xfId="2235" xr:uid="{00000000-0005-0000-0000-0000BB080000}"/>
    <cellStyle name="AggGreen 4 21" xfId="2236" xr:uid="{00000000-0005-0000-0000-0000BC080000}"/>
    <cellStyle name="AggGreen 4 22" xfId="2237" xr:uid="{00000000-0005-0000-0000-0000BD080000}"/>
    <cellStyle name="AggGreen 4 23" xfId="2238" xr:uid="{00000000-0005-0000-0000-0000BE080000}"/>
    <cellStyle name="AggGreen 4 24" xfId="2239" xr:uid="{00000000-0005-0000-0000-0000BF080000}"/>
    <cellStyle name="AggGreen 4 25" xfId="2240" xr:uid="{00000000-0005-0000-0000-0000C0080000}"/>
    <cellStyle name="AggGreen 4 26" xfId="2241" xr:uid="{00000000-0005-0000-0000-0000C1080000}"/>
    <cellStyle name="AggGreen 4 27" xfId="2242" xr:uid="{00000000-0005-0000-0000-0000C2080000}"/>
    <cellStyle name="AggGreen 4 28" xfId="2243" xr:uid="{00000000-0005-0000-0000-0000C3080000}"/>
    <cellStyle name="AggGreen 4 29" xfId="2244" xr:uid="{00000000-0005-0000-0000-0000C4080000}"/>
    <cellStyle name="AggGreen 4 3" xfId="2245" xr:uid="{00000000-0005-0000-0000-0000C5080000}"/>
    <cellStyle name="AggGreen 4 3 10" xfId="2246" xr:uid="{00000000-0005-0000-0000-0000C6080000}"/>
    <cellStyle name="AggGreen 4 3 11" xfId="2247" xr:uid="{00000000-0005-0000-0000-0000C7080000}"/>
    <cellStyle name="AggGreen 4 3 12" xfId="2248" xr:uid="{00000000-0005-0000-0000-0000C8080000}"/>
    <cellStyle name="AggGreen 4 3 13" xfId="2249" xr:uid="{00000000-0005-0000-0000-0000C9080000}"/>
    <cellStyle name="AggGreen 4 3 14" xfId="2250" xr:uid="{00000000-0005-0000-0000-0000CA080000}"/>
    <cellStyle name="AggGreen 4 3 15" xfId="2251" xr:uid="{00000000-0005-0000-0000-0000CB080000}"/>
    <cellStyle name="AggGreen 4 3 16" xfId="2252" xr:uid="{00000000-0005-0000-0000-0000CC080000}"/>
    <cellStyle name="AggGreen 4 3 17" xfId="2253" xr:uid="{00000000-0005-0000-0000-0000CD080000}"/>
    <cellStyle name="AggGreen 4 3 18" xfId="2254" xr:uid="{00000000-0005-0000-0000-0000CE080000}"/>
    <cellStyle name="AggGreen 4 3 19" xfId="2255" xr:uid="{00000000-0005-0000-0000-0000CF080000}"/>
    <cellStyle name="AggGreen 4 3 2" xfId="2256" xr:uid="{00000000-0005-0000-0000-0000D0080000}"/>
    <cellStyle name="AggGreen 4 3 2 10" xfId="2257" xr:uid="{00000000-0005-0000-0000-0000D1080000}"/>
    <cellStyle name="AggGreen 4 3 2 11" xfId="2258" xr:uid="{00000000-0005-0000-0000-0000D2080000}"/>
    <cellStyle name="AggGreen 4 3 2 12" xfId="2259" xr:uid="{00000000-0005-0000-0000-0000D3080000}"/>
    <cellStyle name="AggGreen 4 3 2 13" xfId="2260" xr:uid="{00000000-0005-0000-0000-0000D4080000}"/>
    <cellStyle name="AggGreen 4 3 2 14" xfId="2261" xr:uid="{00000000-0005-0000-0000-0000D5080000}"/>
    <cellStyle name="AggGreen 4 3 2 15" xfId="2262" xr:uid="{00000000-0005-0000-0000-0000D6080000}"/>
    <cellStyle name="AggGreen 4 3 2 16" xfId="2263" xr:uid="{00000000-0005-0000-0000-0000D7080000}"/>
    <cellStyle name="AggGreen 4 3 2 17" xfId="2264" xr:uid="{00000000-0005-0000-0000-0000D8080000}"/>
    <cellStyle name="AggGreen 4 3 2 18" xfId="2265" xr:uid="{00000000-0005-0000-0000-0000D9080000}"/>
    <cellStyle name="AggGreen 4 3 2 19" xfId="2266" xr:uid="{00000000-0005-0000-0000-0000DA080000}"/>
    <cellStyle name="AggGreen 4 3 2 2" xfId="2267" xr:uid="{00000000-0005-0000-0000-0000DB080000}"/>
    <cellStyle name="AggGreen 4 3 2 20" xfId="2268" xr:uid="{00000000-0005-0000-0000-0000DC080000}"/>
    <cellStyle name="AggGreen 4 3 2 21" xfId="2269" xr:uid="{00000000-0005-0000-0000-0000DD080000}"/>
    <cellStyle name="AggGreen 4 3 2 22" xfId="2270" xr:uid="{00000000-0005-0000-0000-0000DE080000}"/>
    <cellStyle name="AggGreen 4 3 2 23" xfId="2271" xr:uid="{00000000-0005-0000-0000-0000DF080000}"/>
    <cellStyle name="AggGreen 4 3 2 24" xfId="2272" xr:uid="{00000000-0005-0000-0000-0000E0080000}"/>
    <cellStyle name="AggGreen 4 3 2 25" xfId="2273" xr:uid="{00000000-0005-0000-0000-0000E1080000}"/>
    <cellStyle name="AggGreen 4 3 2 26" xfId="2274" xr:uid="{00000000-0005-0000-0000-0000E2080000}"/>
    <cellStyle name="AggGreen 4 3 2 27" xfId="2275" xr:uid="{00000000-0005-0000-0000-0000E3080000}"/>
    <cellStyle name="AggGreen 4 3 2 28" xfId="2276" xr:uid="{00000000-0005-0000-0000-0000E4080000}"/>
    <cellStyle name="AggGreen 4 3 2 29" xfId="2277" xr:uid="{00000000-0005-0000-0000-0000E5080000}"/>
    <cellStyle name="AggGreen 4 3 2 3" xfId="2278" xr:uid="{00000000-0005-0000-0000-0000E6080000}"/>
    <cellStyle name="AggGreen 4 3 2 30" xfId="2279" xr:uid="{00000000-0005-0000-0000-0000E7080000}"/>
    <cellStyle name="AggGreen 4 3 2 31" xfId="2280" xr:uid="{00000000-0005-0000-0000-0000E8080000}"/>
    <cellStyle name="AggGreen 4 3 2 32" xfId="2281" xr:uid="{00000000-0005-0000-0000-0000E9080000}"/>
    <cellStyle name="AggGreen 4 3 2 33" xfId="2282" xr:uid="{00000000-0005-0000-0000-0000EA080000}"/>
    <cellStyle name="AggGreen 4 3 2 34" xfId="2283" xr:uid="{00000000-0005-0000-0000-0000EB080000}"/>
    <cellStyle name="AggGreen 4 3 2 35" xfId="2284" xr:uid="{00000000-0005-0000-0000-0000EC080000}"/>
    <cellStyle name="AggGreen 4 3 2 36" xfId="2285" xr:uid="{00000000-0005-0000-0000-0000ED080000}"/>
    <cellStyle name="AggGreen 4 3 2 37" xfId="2286" xr:uid="{00000000-0005-0000-0000-0000EE080000}"/>
    <cellStyle name="AggGreen 4 3 2 38" xfId="2287" xr:uid="{00000000-0005-0000-0000-0000EF080000}"/>
    <cellStyle name="AggGreen 4 3 2 39" xfId="2288" xr:uid="{00000000-0005-0000-0000-0000F0080000}"/>
    <cellStyle name="AggGreen 4 3 2 4" xfId="2289" xr:uid="{00000000-0005-0000-0000-0000F1080000}"/>
    <cellStyle name="AggGreen 4 3 2 40" xfId="2290" xr:uid="{00000000-0005-0000-0000-0000F2080000}"/>
    <cellStyle name="AggGreen 4 3 2 41" xfId="2291" xr:uid="{00000000-0005-0000-0000-0000F3080000}"/>
    <cellStyle name="AggGreen 4 3 2 42" xfId="2292" xr:uid="{00000000-0005-0000-0000-0000F4080000}"/>
    <cellStyle name="AggGreen 4 3 2 43" xfId="2293" xr:uid="{00000000-0005-0000-0000-0000F5080000}"/>
    <cellStyle name="AggGreen 4 3 2 44" xfId="2294" xr:uid="{00000000-0005-0000-0000-0000F6080000}"/>
    <cellStyle name="AggGreen 4 3 2 45" xfId="2295" xr:uid="{00000000-0005-0000-0000-0000F7080000}"/>
    <cellStyle name="AggGreen 4 3 2 46" xfId="2296" xr:uid="{00000000-0005-0000-0000-0000F8080000}"/>
    <cellStyle name="AggGreen 4 3 2 47" xfId="2297" xr:uid="{00000000-0005-0000-0000-0000F9080000}"/>
    <cellStyle name="AggGreen 4 3 2 48" xfId="2298" xr:uid="{00000000-0005-0000-0000-0000FA080000}"/>
    <cellStyle name="AggGreen 4 3 2 49" xfId="2299" xr:uid="{00000000-0005-0000-0000-0000FB080000}"/>
    <cellStyle name="AggGreen 4 3 2 5" xfId="2300" xr:uid="{00000000-0005-0000-0000-0000FC080000}"/>
    <cellStyle name="AggGreen 4 3 2 50" xfId="2301" xr:uid="{00000000-0005-0000-0000-0000FD080000}"/>
    <cellStyle name="AggGreen 4 3 2 51" xfId="2302" xr:uid="{00000000-0005-0000-0000-0000FE080000}"/>
    <cellStyle name="AggGreen 4 3 2 52" xfId="2303" xr:uid="{00000000-0005-0000-0000-0000FF080000}"/>
    <cellStyle name="AggGreen 4 3 2 53" xfId="2304" xr:uid="{00000000-0005-0000-0000-000000090000}"/>
    <cellStyle name="AggGreen 4 3 2 54" xfId="2305" xr:uid="{00000000-0005-0000-0000-000001090000}"/>
    <cellStyle name="AggGreen 4 3 2 55" xfId="2306" xr:uid="{00000000-0005-0000-0000-000002090000}"/>
    <cellStyle name="AggGreen 4 3 2 56" xfId="2307" xr:uid="{00000000-0005-0000-0000-000003090000}"/>
    <cellStyle name="AggGreen 4 3 2 57" xfId="2308" xr:uid="{00000000-0005-0000-0000-000004090000}"/>
    <cellStyle name="AggGreen 4 3 2 58" xfId="2309" xr:uid="{00000000-0005-0000-0000-000005090000}"/>
    <cellStyle name="AggGreen 4 3 2 59" xfId="2310" xr:uid="{00000000-0005-0000-0000-000006090000}"/>
    <cellStyle name="AggGreen 4 3 2 6" xfId="2311" xr:uid="{00000000-0005-0000-0000-000007090000}"/>
    <cellStyle name="AggGreen 4 3 2 60" xfId="2312" xr:uid="{00000000-0005-0000-0000-000008090000}"/>
    <cellStyle name="AggGreen 4 3 2 61" xfId="2313" xr:uid="{00000000-0005-0000-0000-000009090000}"/>
    <cellStyle name="AggGreen 4 3 2 62" xfId="2314" xr:uid="{00000000-0005-0000-0000-00000A090000}"/>
    <cellStyle name="AggGreen 4 3 2 63" xfId="2315" xr:uid="{00000000-0005-0000-0000-00000B090000}"/>
    <cellStyle name="AggGreen 4 3 2 64" xfId="2316" xr:uid="{00000000-0005-0000-0000-00000C090000}"/>
    <cellStyle name="AggGreen 4 3 2 65" xfId="2317" xr:uid="{00000000-0005-0000-0000-00000D090000}"/>
    <cellStyle name="AggGreen 4 3 2 7" xfId="2318" xr:uid="{00000000-0005-0000-0000-00000E090000}"/>
    <cellStyle name="AggGreen 4 3 2 8" xfId="2319" xr:uid="{00000000-0005-0000-0000-00000F090000}"/>
    <cellStyle name="AggGreen 4 3 2 9" xfId="2320" xr:uid="{00000000-0005-0000-0000-000010090000}"/>
    <cellStyle name="AggGreen 4 3 20" xfId="2321" xr:uid="{00000000-0005-0000-0000-000011090000}"/>
    <cellStyle name="AggGreen 4 3 21" xfId="2322" xr:uid="{00000000-0005-0000-0000-000012090000}"/>
    <cellStyle name="AggGreen 4 3 22" xfId="2323" xr:uid="{00000000-0005-0000-0000-000013090000}"/>
    <cellStyle name="AggGreen 4 3 23" xfId="2324" xr:uid="{00000000-0005-0000-0000-000014090000}"/>
    <cellStyle name="AggGreen 4 3 24" xfId="2325" xr:uid="{00000000-0005-0000-0000-000015090000}"/>
    <cellStyle name="AggGreen 4 3 25" xfId="2326" xr:uid="{00000000-0005-0000-0000-000016090000}"/>
    <cellStyle name="AggGreen 4 3 26" xfId="2327" xr:uid="{00000000-0005-0000-0000-000017090000}"/>
    <cellStyle name="AggGreen 4 3 27" xfId="2328" xr:uid="{00000000-0005-0000-0000-000018090000}"/>
    <cellStyle name="AggGreen 4 3 28" xfId="2329" xr:uid="{00000000-0005-0000-0000-000019090000}"/>
    <cellStyle name="AggGreen 4 3 29" xfId="2330" xr:uid="{00000000-0005-0000-0000-00001A090000}"/>
    <cellStyle name="AggGreen 4 3 3" xfId="2331" xr:uid="{00000000-0005-0000-0000-00001B090000}"/>
    <cellStyle name="AggGreen 4 3 30" xfId="2332" xr:uid="{00000000-0005-0000-0000-00001C090000}"/>
    <cellStyle name="AggGreen 4 3 31" xfId="2333" xr:uid="{00000000-0005-0000-0000-00001D090000}"/>
    <cellStyle name="AggGreen 4 3 32" xfId="2334" xr:uid="{00000000-0005-0000-0000-00001E090000}"/>
    <cellStyle name="AggGreen 4 3 33" xfId="2335" xr:uid="{00000000-0005-0000-0000-00001F090000}"/>
    <cellStyle name="AggGreen 4 3 34" xfId="2336" xr:uid="{00000000-0005-0000-0000-000020090000}"/>
    <cellStyle name="AggGreen 4 3 35" xfId="2337" xr:uid="{00000000-0005-0000-0000-000021090000}"/>
    <cellStyle name="AggGreen 4 3 36" xfId="2338" xr:uid="{00000000-0005-0000-0000-000022090000}"/>
    <cellStyle name="AggGreen 4 3 37" xfId="2339" xr:uid="{00000000-0005-0000-0000-000023090000}"/>
    <cellStyle name="AggGreen 4 3 38" xfId="2340" xr:uid="{00000000-0005-0000-0000-000024090000}"/>
    <cellStyle name="AggGreen 4 3 39" xfId="2341" xr:uid="{00000000-0005-0000-0000-000025090000}"/>
    <cellStyle name="AggGreen 4 3 4" xfId="2342" xr:uid="{00000000-0005-0000-0000-000026090000}"/>
    <cellStyle name="AggGreen 4 3 40" xfId="2343" xr:uid="{00000000-0005-0000-0000-000027090000}"/>
    <cellStyle name="AggGreen 4 3 41" xfId="2344" xr:uid="{00000000-0005-0000-0000-000028090000}"/>
    <cellStyle name="AggGreen 4 3 42" xfId="2345" xr:uid="{00000000-0005-0000-0000-000029090000}"/>
    <cellStyle name="AggGreen 4 3 43" xfId="2346" xr:uid="{00000000-0005-0000-0000-00002A090000}"/>
    <cellStyle name="AggGreen 4 3 44" xfId="2347" xr:uid="{00000000-0005-0000-0000-00002B090000}"/>
    <cellStyle name="AggGreen 4 3 45" xfId="2348" xr:uid="{00000000-0005-0000-0000-00002C090000}"/>
    <cellStyle name="AggGreen 4 3 46" xfId="2349" xr:uid="{00000000-0005-0000-0000-00002D090000}"/>
    <cellStyle name="AggGreen 4 3 47" xfId="2350" xr:uid="{00000000-0005-0000-0000-00002E090000}"/>
    <cellStyle name="AggGreen 4 3 48" xfId="2351" xr:uid="{00000000-0005-0000-0000-00002F090000}"/>
    <cellStyle name="AggGreen 4 3 49" xfId="2352" xr:uid="{00000000-0005-0000-0000-000030090000}"/>
    <cellStyle name="AggGreen 4 3 5" xfId="2353" xr:uid="{00000000-0005-0000-0000-000031090000}"/>
    <cellStyle name="AggGreen 4 3 50" xfId="2354" xr:uid="{00000000-0005-0000-0000-000032090000}"/>
    <cellStyle name="AggGreen 4 3 51" xfId="2355" xr:uid="{00000000-0005-0000-0000-000033090000}"/>
    <cellStyle name="AggGreen 4 3 52" xfId="2356" xr:uid="{00000000-0005-0000-0000-000034090000}"/>
    <cellStyle name="AggGreen 4 3 53" xfId="2357" xr:uid="{00000000-0005-0000-0000-000035090000}"/>
    <cellStyle name="AggGreen 4 3 54" xfId="2358" xr:uid="{00000000-0005-0000-0000-000036090000}"/>
    <cellStyle name="AggGreen 4 3 55" xfId="2359" xr:uid="{00000000-0005-0000-0000-000037090000}"/>
    <cellStyle name="AggGreen 4 3 56" xfId="2360" xr:uid="{00000000-0005-0000-0000-000038090000}"/>
    <cellStyle name="AggGreen 4 3 57" xfId="2361" xr:uid="{00000000-0005-0000-0000-000039090000}"/>
    <cellStyle name="AggGreen 4 3 58" xfId="2362" xr:uid="{00000000-0005-0000-0000-00003A090000}"/>
    <cellStyle name="AggGreen 4 3 59" xfId="2363" xr:uid="{00000000-0005-0000-0000-00003B090000}"/>
    <cellStyle name="AggGreen 4 3 6" xfId="2364" xr:uid="{00000000-0005-0000-0000-00003C090000}"/>
    <cellStyle name="AggGreen 4 3 60" xfId="2365" xr:uid="{00000000-0005-0000-0000-00003D090000}"/>
    <cellStyle name="AggGreen 4 3 61" xfId="2366" xr:uid="{00000000-0005-0000-0000-00003E090000}"/>
    <cellStyle name="AggGreen 4 3 62" xfId="2367" xr:uid="{00000000-0005-0000-0000-00003F090000}"/>
    <cellStyle name="AggGreen 4 3 63" xfId="2368" xr:uid="{00000000-0005-0000-0000-000040090000}"/>
    <cellStyle name="AggGreen 4 3 64" xfId="2369" xr:uid="{00000000-0005-0000-0000-000041090000}"/>
    <cellStyle name="AggGreen 4 3 65" xfId="2370" xr:uid="{00000000-0005-0000-0000-000042090000}"/>
    <cellStyle name="AggGreen 4 3 66" xfId="2371" xr:uid="{00000000-0005-0000-0000-000043090000}"/>
    <cellStyle name="AggGreen 4 3 7" xfId="2372" xr:uid="{00000000-0005-0000-0000-000044090000}"/>
    <cellStyle name="AggGreen 4 3 8" xfId="2373" xr:uid="{00000000-0005-0000-0000-000045090000}"/>
    <cellStyle name="AggGreen 4 3 9" xfId="2374" xr:uid="{00000000-0005-0000-0000-000046090000}"/>
    <cellStyle name="AggGreen 4 30" xfId="2375" xr:uid="{00000000-0005-0000-0000-000047090000}"/>
    <cellStyle name="AggGreen 4 31" xfId="2376" xr:uid="{00000000-0005-0000-0000-000048090000}"/>
    <cellStyle name="AggGreen 4 32" xfId="2377" xr:uid="{00000000-0005-0000-0000-000049090000}"/>
    <cellStyle name="AggGreen 4 33" xfId="2378" xr:uid="{00000000-0005-0000-0000-00004A090000}"/>
    <cellStyle name="AggGreen 4 34" xfId="2379" xr:uid="{00000000-0005-0000-0000-00004B090000}"/>
    <cellStyle name="AggGreen 4 35" xfId="2380" xr:uid="{00000000-0005-0000-0000-00004C090000}"/>
    <cellStyle name="AggGreen 4 36" xfId="2381" xr:uid="{00000000-0005-0000-0000-00004D090000}"/>
    <cellStyle name="AggGreen 4 37" xfId="2382" xr:uid="{00000000-0005-0000-0000-00004E090000}"/>
    <cellStyle name="AggGreen 4 38" xfId="2383" xr:uid="{00000000-0005-0000-0000-00004F090000}"/>
    <cellStyle name="AggGreen 4 39" xfId="2384" xr:uid="{00000000-0005-0000-0000-000050090000}"/>
    <cellStyle name="AggGreen 4 4" xfId="2385" xr:uid="{00000000-0005-0000-0000-000051090000}"/>
    <cellStyle name="AggGreen 4 4 10" xfId="2386" xr:uid="{00000000-0005-0000-0000-000052090000}"/>
    <cellStyle name="AggGreen 4 4 11" xfId="2387" xr:uid="{00000000-0005-0000-0000-000053090000}"/>
    <cellStyle name="AggGreen 4 4 12" xfId="2388" xr:uid="{00000000-0005-0000-0000-000054090000}"/>
    <cellStyle name="AggGreen 4 4 13" xfId="2389" xr:uid="{00000000-0005-0000-0000-000055090000}"/>
    <cellStyle name="AggGreen 4 4 14" xfId="2390" xr:uid="{00000000-0005-0000-0000-000056090000}"/>
    <cellStyle name="AggGreen 4 4 15" xfId="2391" xr:uid="{00000000-0005-0000-0000-000057090000}"/>
    <cellStyle name="AggGreen 4 4 16" xfId="2392" xr:uid="{00000000-0005-0000-0000-000058090000}"/>
    <cellStyle name="AggGreen 4 4 17" xfId="2393" xr:uid="{00000000-0005-0000-0000-000059090000}"/>
    <cellStyle name="AggGreen 4 4 18" xfId="2394" xr:uid="{00000000-0005-0000-0000-00005A090000}"/>
    <cellStyle name="AggGreen 4 4 19" xfId="2395" xr:uid="{00000000-0005-0000-0000-00005B090000}"/>
    <cellStyle name="AggGreen 4 4 2" xfId="2396" xr:uid="{00000000-0005-0000-0000-00005C090000}"/>
    <cellStyle name="AggGreen 4 4 2 10" xfId="2397" xr:uid="{00000000-0005-0000-0000-00005D090000}"/>
    <cellStyle name="AggGreen 4 4 2 11" xfId="2398" xr:uid="{00000000-0005-0000-0000-00005E090000}"/>
    <cellStyle name="AggGreen 4 4 2 12" xfId="2399" xr:uid="{00000000-0005-0000-0000-00005F090000}"/>
    <cellStyle name="AggGreen 4 4 2 13" xfId="2400" xr:uid="{00000000-0005-0000-0000-000060090000}"/>
    <cellStyle name="AggGreen 4 4 2 14" xfId="2401" xr:uid="{00000000-0005-0000-0000-000061090000}"/>
    <cellStyle name="AggGreen 4 4 2 15" xfId="2402" xr:uid="{00000000-0005-0000-0000-000062090000}"/>
    <cellStyle name="AggGreen 4 4 2 16" xfId="2403" xr:uid="{00000000-0005-0000-0000-000063090000}"/>
    <cellStyle name="AggGreen 4 4 2 17" xfId="2404" xr:uid="{00000000-0005-0000-0000-000064090000}"/>
    <cellStyle name="AggGreen 4 4 2 18" xfId="2405" xr:uid="{00000000-0005-0000-0000-000065090000}"/>
    <cellStyle name="AggGreen 4 4 2 19" xfId="2406" xr:uid="{00000000-0005-0000-0000-000066090000}"/>
    <cellStyle name="AggGreen 4 4 2 2" xfId="2407" xr:uid="{00000000-0005-0000-0000-000067090000}"/>
    <cellStyle name="AggGreen 4 4 2 20" xfId="2408" xr:uid="{00000000-0005-0000-0000-000068090000}"/>
    <cellStyle name="AggGreen 4 4 2 21" xfId="2409" xr:uid="{00000000-0005-0000-0000-000069090000}"/>
    <cellStyle name="AggGreen 4 4 2 22" xfId="2410" xr:uid="{00000000-0005-0000-0000-00006A090000}"/>
    <cellStyle name="AggGreen 4 4 2 23" xfId="2411" xr:uid="{00000000-0005-0000-0000-00006B090000}"/>
    <cellStyle name="AggGreen 4 4 2 24" xfId="2412" xr:uid="{00000000-0005-0000-0000-00006C090000}"/>
    <cellStyle name="AggGreen 4 4 2 25" xfId="2413" xr:uid="{00000000-0005-0000-0000-00006D090000}"/>
    <cellStyle name="AggGreen 4 4 2 26" xfId="2414" xr:uid="{00000000-0005-0000-0000-00006E090000}"/>
    <cellStyle name="AggGreen 4 4 2 27" xfId="2415" xr:uid="{00000000-0005-0000-0000-00006F090000}"/>
    <cellStyle name="AggGreen 4 4 2 28" xfId="2416" xr:uid="{00000000-0005-0000-0000-000070090000}"/>
    <cellStyle name="AggGreen 4 4 2 29" xfId="2417" xr:uid="{00000000-0005-0000-0000-000071090000}"/>
    <cellStyle name="AggGreen 4 4 2 3" xfId="2418" xr:uid="{00000000-0005-0000-0000-000072090000}"/>
    <cellStyle name="AggGreen 4 4 2 30" xfId="2419" xr:uid="{00000000-0005-0000-0000-000073090000}"/>
    <cellStyle name="AggGreen 4 4 2 31" xfId="2420" xr:uid="{00000000-0005-0000-0000-000074090000}"/>
    <cellStyle name="AggGreen 4 4 2 32" xfId="2421" xr:uid="{00000000-0005-0000-0000-000075090000}"/>
    <cellStyle name="AggGreen 4 4 2 33" xfId="2422" xr:uid="{00000000-0005-0000-0000-000076090000}"/>
    <cellStyle name="AggGreen 4 4 2 34" xfId="2423" xr:uid="{00000000-0005-0000-0000-000077090000}"/>
    <cellStyle name="AggGreen 4 4 2 35" xfId="2424" xr:uid="{00000000-0005-0000-0000-000078090000}"/>
    <cellStyle name="AggGreen 4 4 2 36" xfId="2425" xr:uid="{00000000-0005-0000-0000-000079090000}"/>
    <cellStyle name="AggGreen 4 4 2 37" xfId="2426" xr:uid="{00000000-0005-0000-0000-00007A090000}"/>
    <cellStyle name="AggGreen 4 4 2 38" xfId="2427" xr:uid="{00000000-0005-0000-0000-00007B090000}"/>
    <cellStyle name="AggGreen 4 4 2 39" xfId="2428" xr:uid="{00000000-0005-0000-0000-00007C090000}"/>
    <cellStyle name="AggGreen 4 4 2 4" xfId="2429" xr:uid="{00000000-0005-0000-0000-00007D090000}"/>
    <cellStyle name="AggGreen 4 4 2 40" xfId="2430" xr:uid="{00000000-0005-0000-0000-00007E090000}"/>
    <cellStyle name="AggGreen 4 4 2 41" xfId="2431" xr:uid="{00000000-0005-0000-0000-00007F090000}"/>
    <cellStyle name="AggGreen 4 4 2 42" xfId="2432" xr:uid="{00000000-0005-0000-0000-000080090000}"/>
    <cellStyle name="AggGreen 4 4 2 43" xfId="2433" xr:uid="{00000000-0005-0000-0000-000081090000}"/>
    <cellStyle name="AggGreen 4 4 2 44" xfId="2434" xr:uid="{00000000-0005-0000-0000-000082090000}"/>
    <cellStyle name="AggGreen 4 4 2 45" xfId="2435" xr:uid="{00000000-0005-0000-0000-000083090000}"/>
    <cellStyle name="AggGreen 4 4 2 46" xfId="2436" xr:uid="{00000000-0005-0000-0000-000084090000}"/>
    <cellStyle name="AggGreen 4 4 2 47" xfId="2437" xr:uid="{00000000-0005-0000-0000-000085090000}"/>
    <cellStyle name="AggGreen 4 4 2 48" xfId="2438" xr:uid="{00000000-0005-0000-0000-000086090000}"/>
    <cellStyle name="AggGreen 4 4 2 49" xfId="2439" xr:uid="{00000000-0005-0000-0000-000087090000}"/>
    <cellStyle name="AggGreen 4 4 2 5" xfId="2440" xr:uid="{00000000-0005-0000-0000-000088090000}"/>
    <cellStyle name="AggGreen 4 4 2 50" xfId="2441" xr:uid="{00000000-0005-0000-0000-000089090000}"/>
    <cellStyle name="AggGreen 4 4 2 51" xfId="2442" xr:uid="{00000000-0005-0000-0000-00008A090000}"/>
    <cellStyle name="AggGreen 4 4 2 52" xfId="2443" xr:uid="{00000000-0005-0000-0000-00008B090000}"/>
    <cellStyle name="AggGreen 4 4 2 53" xfId="2444" xr:uid="{00000000-0005-0000-0000-00008C090000}"/>
    <cellStyle name="AggGreen 4 4 2 54" xfId="2445" xr:uid="{00000000-0005-0000-0000-00008D090000}"/>
    <cellStyle name="AggGreen 4 4 2 55" xfId="2446" xr:uid="{00000000-0005-0000-0000-00008E090000}"/>
    <cellStyle name="AggGreen 4 4 2 56" xfId="2447" xr:uid="{00000000-0005-0000-0000-00008F090000}"/>
    <cellStyle name="AggGreen 4 4 2 57" xfId="2448" xr:uid="{00000000-0005-0000-0000-000090090000}"/>
    <cellStyle name="AggGreen 4 4 2 58" xfId="2449" xr:uid="{00000000-0005-0000-0000-000091090000}"/>
    <cellStyle name="AggGreen 4 4 2 59" xfId="2450" xr:uid="{00000000-0005-0000-0000-000092090000}"/>
    <cellStyle name="AggGreen 4 4 2 6" xfId="2451" xr:uid="{00000000-0005-0000-0000-000093090000}"/>
    <cellStyle name="AggGreen 4 4 2 60" xfId="2452" xr:uid="{00000000-0005-0000-0000-000094090000}"/>
    <cellStyle name="AggGreen 4 4 2 61" xfId="2453" xr:uid="{00000000-0005-0000-0000-000095090000}"/>
    <cellStyle name="AggGreen 4 4 2 62" xfId="2454" xr:uid="{00000000-0005-0000-0000-000096090000}"/>
    <cellStyle name="AggGreen 4 4 2 63" xfId="2455" xr:uid="{00000000-0005-0000-0000-000097090000}"/>
    <cellStyle name="AggGreen 4 4 2 64" xfId="2456" xr:uid="{00000000-0005-0000-0000-000098090000}"/>
    <cellStyle name="AggGreen 4 4 2 65" xfId="2457" xr:uid="{00000000-0005-0000-0000-000099090000}"/>
    <cellStyle name="AggGreen 4 4 2 7" xfId="2458" xr:uid="{00000000-0005-0000-0000-00009A090000}"/>
    <cellStyle name="AggGreen 4 4 2 8" xfId="2459" xr:uid="{00000000-0005-0000-0000-00009B090000}"/>
    <cellStyle name="AggGreen 4 4 2 9" xfId="2460" xr:uid="{00000000-0005-0000-0000-00009C090000}"/>
    <cellStyle name="AggGreen 4 4 20" xfId="2461" xr:uid="{00000000-0005-0000-0000-00009D090000}"/>
    <cellStyle name="AggGreen 4 4 21" xfId="2462" xr:uid="{00000000-0005-0000-0000-00009E090000}"/>
    <cellStyle name="AggGreen 4 4 22" xfId="2463" xr:uid="{00000000-0005-0000-0000-00009F090000}"/>
    <cellStyle name="AggGreen 4 4 23" xfId="2464" xr:uid="{00000000-0005-0000-0000-0000A0090000}"/>
    <cellStyle name="AggGreen 4 4 24" xfId="2465" xr:uid="{00000000-0005-0000-0000-0000A1090000}"/>
    <cellStyle name="AggGreen 4 4 25" xfId="2466" xr:uid="{00000000-0005-0000-0000-0000A2090000}"/>
    <cellStyle name="AggGreen 4 4 26" xfId="2467" xr:uid="{00000000-0005-0000-0000-0000A3090000}"/>
    <cellStyle name="AggGreen 4 4 27" xfId="2468" xr:uid="{00000000-0005-0000-0000-0000A4090000}"/>
    <cellStyle name="AggGreen 4 4 28" xfId="2469" xr:uid="{00000000-0005-0000-0000-0000A5090000}"/>
    <cellStyle name="AggGreen 4 4 29" xfId="2470" xr:uid="{00000000-0005-0000-0000-0000A6090000}"/>
    <cellStyle name="AggGreen 4 4 3" xfId="2471" xr:uid="{00000000-0005-0000-0000-0000A7090000}"/>
    <cellStyle name="AggGreen 4 4 30" xfId="2472" xr:uid="{00000000-0005-0000-0000-0000A8090000}"/>
    <cellStyle name="AggGreen 4 4 31" xfId="2473" xr:uid="{00000000-0005-0000-0000-0000A9090000}"/>
    <cellStyle name="AggGreen 4 4 32" xfId="2474" xr:uid="{00000000-0005-0000-0000-0000AA090000}"/>
    <cellStyle name="AggGreen 4 4 33" xfId="2475" xr:uid="{00000000-0005-0000-0000-0000AB090000}"/>
    <cellStyle name="AggGreen 4 4 34" xfId="2476" xr:uid="{00000000-0005-0000-0000-0000AC090000}"/>
    <cellStyle name="AggGreen 4 4 35" xfId="2477" xr:uid="{00000000-0005-0000-0000-0000AD090000}"/>
    <cellStyle name="AggGreen 4 4 36" xfId="2478" xr:uid="{00000000-0005-0000-0000-0000AE090000}"/>
    <cellStyle name="AggGreen 4 4 37" xfId="2479" xr:uid="{00000000-0005-0000-0000-0000AF090000}"/>
    <cellStyle name="AggGreen 4 4 38" xfId="2480" xr:uid="{00000000-0005-0000-0000-0000B0090000}"/>
    <cellStyle name="AggGreen 4 4 39" xfId="2481" xr:uid="{00000000-0005-0000-0000-0000B1090000}"/>
    <cellStyle name="AggGreen 4 4 4" xfId="2482" xr:uid="{00000000-0005-0000-0000-0000B2090000}"/>
    <cellStyle name="AggGreen 4 4 40" xfId="2483" xr:uid="{00000000-0005-0000-0000-0000B3090000}"/>
    <cellStyle name="AggGreen 4 4 41" xfId="2484" xr:uid="{00000000-0005-0000-0000-0000B4090000}"/>
    <cellStyle name="AggGreen 4 4 42" xfId="2485" xr:uid="{00000000-0005-0000-0000-0000B5090000}"/>
    <cellStyle name="AggGreen 4 4 43" xfId="2486" xr:uid="{00000000-0005-0000-0000-0000B6090000}"/>
    <cellStyle name="AggGreen 4 4 44" xfId="2487" xr:uid="{00000000-0005-0000-0000-0000B7090000}"/>
    <cellStyle name="AggGreen 4 4 45" xfId="2488" xr:uid="{00000000-0005-0000-0000-0000B8090000}"/>
    <cellStyle name="AggGreen 4 4 46" xfId="2489" xr:uid="{00000000-0005-0000-0000-0000B9090000}"/>
    <cellStyle name="AggGreen 4 4 47" xfId="2490" xr:uid="{00000000-0005-0000-0000-0000BA090000}"/>
    <cellStyle name="AggGreen 4 4 48" xfId="2491" xr:uid="{00000000-0005-0000-0000-0000BB090000}"/>
    <cellStyle name="AggGreen 4 4 49" xfId="2492" xr:uid="{00000000-0005-0000-0000-0000BC090000}"/>
    <cellStyle name="AggGreen 4 4 5" xfId="2493" xr:uid="{00000000-0005-0000-0000-0000BD090000}"/>
    <cellStyle name="AggGreen 4 4 50" xfId="2494" xr:uid="{00000000-0005-0000-0000-0000BE090000}"/>
    <cellStyle name="AggGreen 4 4 51" xfId="2495" xr:uid="{00000000-0005-0000-0000-0000BF090000}"/>
    <cellStyle name="AggGreen 4 4 52" xfId="2496" xr:uid="{00000000-0005-0000-0000-0000C0090000}"/>
    <cellStyle name="AggGreen 4 4 53" xfId="2497" xr:uid="{00000000-0005-0000-0000-0000C1090000}"/>
    <cellStyle name="AggGreen 4 4 54" xfId="2498" xr:uid="{00000000-0005-0000-0000-0000C2090000}"/>
    <cellStyle name="AggGreen 4 4 55" xfId="2499" xr:uid="{00000000-0005-0000-0000-0000C3090000}"/>
    <cellStyle name="AggGreen 4 4 56" xfId="2500" xr:uid="{00000000-0005-0000-0000-0000C4090000}"/>
    <cellStyle name="AggGreen 4 4 57" xfId="2501" xr:uid="{00000000-0005-0000-0000-0000C5090000}"/>
    <cellStyle name="AggGreen 4 4 58" xfId="2502" xr:uid="{00000000-0005-0000-0000-0000C6090000}"/>
    <cellStyle name="AggGreen 4 4 59" xfId="2503" xr:uid="{00000000-0005-0000-0000-0000C7090000}"/>
    <cellStyle name="AggGreen 4 4 6" xfId="2504" xr:uid="{00000000-0005-0000-0000-0000C8090000}"/>
    <cellStyle name="AggGreen 4 4 60" xfId="2505" xr:uid="{00000000-0005-0000-0000-0000C9090000}"/>
    <cellStyle name="AggGreen 4 4 61" xfId="2506" xr:uid="{00000000-0005-0000-0000-0000CA090000}"/>
    <cellStyle name="AggGreen 4 4 62" xfId="2507" xr:uid="{00000000-0005-0000-0000-0000CB090000}"/>
    <cellStyle name="AggGreen 4 4 63" xfId="2508" xr:uid="{00000000-0005-0000-0000-0000CC090000}"/>
    <cellStyle name="AggGreen 4 4 64" xfId="2509" xr:uid="{00000000-0005-0000-0000-0000CD090000}"/>
    <cellStyle name="AggGreen 4 4 65" xfId="2510" xr:uid="{00000000-0005-0000-0000-0000CE090000}"/>
    <cellStyle name="AggGreen 4 4 66" xfId="2511" xr:uid="{00000000-0005-0000-0000-0000CF090000}"/>
    <cellStyle name="AggGreen 4 4 7" xfId="2512" xr:uid="{00000000-0005-0000-0000-0000D0090000}"/>
    <cellStyle name="AggGreen 4 4 8" xfId="2513" xr:uid="{00000000-0005-0000-0000-0000D1090000}"/>
    <cellStyle name="AggGreen 4 4 9" xfId="2514" xr:uid="{00000000-0005-0000-0000-0000D2090000}"/>
    <cellStyle name="AggGreen 4 40" xfId="2515" xr:uid="{00000000-0005-0000-0000-0000D3090000}"/>
    <cellStyle name="AggGreen 4 41" xfId="2516" xr:uid="{00000000-0005-0000-0000-0000D4090000}"/>
    <cellStyle name="AggGreen 4 42" xfId="2517" xr:uid="{00000000-0005-0000-0000-0000D5090000}"/>
    <cellStyle name="AggGreen 4 43" xfId="2518" xr:uid="{00000000-0005-0000-0000-0000D6090000}"/>
    <cellStyle name="AggGreen 4 44" xfId="2519" xr:uid="{00000000-0005-0000-0000-0000D7090000}"/>
    <cellStyle name="AggGreen 4 45" xfId="2520" xr:uid="{00000000-0005-0000-0000-0000D8090000}"/>
    <cellStyle name="AggGreen 4 46" xfId="2521" xr:uid="{00000000-0005-0000-0000-0000D9090000}"/>
    <cellStyle name="AggGreen 4 47" xfId="2522" xr:uid="{00000000-0005-0000-0000-0000DA090000}"/>
    <cellStyle name="AggGreen 4 48" xfId="2523" xr:uid="{00000000-0005-0000-0000-0000DB090000}"/>
    <cellStyle name="AggGreen 4 49" xfId="2524" xr:uid="{00000000-0005-0000-0000-0000DC090000}"/>
    <cellStyle name="AggGreen 4 5" xfId="2525" xr:uid="{00000000-0005-0000-0000-0000DD090000}"/>
    <cellStyle name="AggGreen 4 50" xfId="2526" xr:uid="{00000000-0005-0000-0000-0000DE090000}"/>
    <cellStyle name="AggGreen 4 51" xfId="2527" xr:uid="{00000000-0005-0000-0000-0000DF090000}"/>
    <cellStyle name="AggGreen 4 52" xfId="2528" xr:uid="{00000000-0005-0000-0000-0000E0090000}"/>
    <cellStyle name="AggGreen 4 53" xfId="2529" xr:uid="{00000000-0005-0000-0000-0000E1090000}"/>
    <cellStyle name="AggGreen 4 54" xfId="2530" xr:uid="{00000000-0005-0000-0000-0000E2090000}"/>
    <cellStyle name="AggGreen 4 55" xfId="2531" xr:uid="{00000000-0005-0000-0000-0000E3090000}"/>
    <cellStyle name="AggGreen 4 56" xfId="2532" xr:uid="{00000000-0005-0000-0000-0000E4090000}"/>
    <cellStyle name="AggGreen 4 57" xfId="2533" xr:uid="{00000000-0005-0000-0000-0000E5090000}"/>
    <cellStyle name="AggGreen 4 58" xfId="2534" xr:uid="{00000000-0005-0000-0000-0000E6090000}"/>
    <cellStyle name="AggGreen 4 59" xfId="2535" xr:uid="{00000000-0005-0000-0000-0000E7090000}"/>
    <cellStyle name="AggGreen 4 6" xfId="2536" xr:uid="{00000000-0005-0000-0000-0000E8090000}"/>
    <cellStyle name="AggGreen 4 60" xfId="2537" xr:uid="{00000000-0005-0000-0000-0000E9090000}"/>
    <cellStyle name="AggGreen 4 61" xfId="2538" xr:uid="{00000000-0005-0000-0000-0000EA090000}"/>
    <cellStyle name="AggGreen 4 62" xfId="2539" xr:uid="{00000000-0005-0000-0000-0000EB090000}"/>
    <cellStyle name="AggGreen 4 63" xfId="2540" xr:uid="{00000000-0005-0000-0000-0000EC090000}"/>
    <cellStyle name="AggGreen 4 64" xfId="2541" xr:uid="{00000000-0005-0000-0000-0000ED090000}"/>
    <cellStyle name="AggGreen 4 65" xfId="2542" xr:uid="{00000000-0005-0000-0000-0000EE090000}"/>
    <cellStyle name="AggGreen 4 66" xfId="2543" xr:uid="{00000000-0005-0000-0000-0000EF090000}"/>
    <cellStyle name="AggGreen 4 67" xfId="2544" xr:uid="{00000000-0005-0000-0000-0000F0090000}"/>
    <cellStyle name="AggGreen 4 68" xfId="2545" xr:uid="{00000000-0005-0000-0000-0000F1090000}"/>
    <cellStyle name="AggGreen 4 7" xfId="2546" xr:uid="{00000000-0005-0000-0000-0000F2090000}"/>
    <cellStyle name="AggGreen 4 8" xfId="2547" xr:uid="{00000000-0005-0000-0000-0000F3090000}"/>
    <cellStyle name="AggGreen 4 9" xfId="2548" xr:uid="{00000000-0005-0000-0000-0000F4090000}"/>
    <cellStyle name="AggGreen 5" xfId="2549" xr:uid="{00000000-0005-0000-0000-0000F5090000}"/>
    <cellStyle name="AggGreen 5 10" xfId="2550" xr:uid="{00000000-0005-0000-0000-0000F6090000}"/>
    <cellStyle name="AggGreen 5 11" xfId="2551" xr:uid="{00000000-0005-0000-0000-0000F7090000}"/>
    <cellStyle name="AggGreen 5 12" xfId="2552" xr:uid="{00000000-0005-0000-0000-0000F8090000}"/>
    <cellStyle name="AggGreen 5 13" xfId="2553" xr:uid="{00000000-0005-0000-0000-0000F9090000}"/>
    <cellStyle name="AggGreen 5 14" xfId="2554" xr:uid="{00000000-0005-0000-0000-0000FA090000}"/>
    <cellStyle name="AggGreen 5 15" xfId="2555" xr:uid="{00000000-0005-0000-0000-0000FB090000}"/>
    <cellStyle name="AggGreen 5 16" xfId="2556" xr:uid="{00000000-0005-0000-0000-0000FC090000}"/>
    <cellStyle name="AggGreen 5 2" xfId="2557" xr:uid="{00000000-0005-0000-0000-0000FD090000}"/>
    <cellStyle name="AggGreen 5 3" xfId="2558" xr:uid="{00000000-0005-0000-0000-0000FE090000}"/>
    <cellStyle name="AggGreen 5 4" xfId="2559" xr:uid="{00000000-0005-0000-0000-0000FF090000}"/>
    <cellStyle name="AggGreen 5 5" xfId="2560" xr:uid="{00000000-0005-0000-0000-0000000A0000}"/>
    <cellStyle name="AggGreen 5 6" xfId="2561" xr:uid="{00000000-0005-0000-0000-0000010A0000}"/>
    <cellStyle name="AggGreen 5 7" xfId="2562" xr:uid="{00000000-0005-0000-0000-0000020A0000}"/>
    <cellStyle name="AggGreen 5 8" xfId="2563" xr:uid="{00000000-0005-0000-0000-0000030A0000}"/>
    <cellStyle name="AggGreen 5 9" xfId="2564" xr:uid="{00000000-0005-0000-0000-0000040A0000}"/>
    <cellStyle name="AggGreen_Bbdr" xfId="3885" xr:uid="{00000000-0005-0000-0000-00002D0F0000}"/>
    <cellStyle name="AggGreen12" xfId="2565" xr:uid="{00000000-0005-0000-0000-0000050A0000}"/>
    <cellStyle name="AggGreen12 2" xfId="2566" xr:uid="{00000000-0005-0000-0000-0000060A0000}"/>
    <cellStyle name="AggGreen12 2 2" xfId="2567" xr:uid="{00000000-0005-0000-0000-0000070A0000}"/>
    <cellStyle name="AggGreen12 2 2 2" xfId="2568" xr:uid="{00000000-0005-0000-0000-0000080A0000}"/>
    <cellStyle name="AggGreen12 2 2 2 10" xfId="2569" xr:uid="{00000000-0005-0000-0000-0000090A0000}"/>
    <cellStyle name="AggGreen12 2 2 2 11" xfId="2570" xr:uid="{00000000-0005-0000-0000-00000A0A0000}"/>
    <cellStyle name="AggGreen12 2 2 2 12" xfId="2571" xr:uid="{00000000-0005-0000-0000-00000B0A0000}"/>
    <cellStyle name="AggGreen12 2 2 2 13" xfId="2572" xr:uid="{00000000-0005-0000-0000-00000C0A0000}"/>
    <cellStyle name="AggGreen12 2 2 2 14" xfId="2573" xr:uid="{00000000-0005-0000-0000-00000D0A0000}"/>
    <cellStyle name="AggGreen12 2 2 2 15" xfId="2574" xr:uid="{00000000-0005-0000-0000-00000E0A0000}"/>
    <cellStyle name="AggGreen12 2 2 2 16" xfId="2575" xr:uid="{00000000-0005-0000-0000-00000F0A0000}"/>
    <cellStyle name="AggGreen12 2 2 2 17" xfId="2576" xr:uid="{00000000-0005-0000-0000-0000100A0000}"/>
    <cellStyle name="AggGreen12 2 2 2 18" xfId="2577" xr:uid="{00000000-0005-0000-0000-0000110A0000}"/>
    <cellStyle name="AggGreen12 2 2 2 19" xfId="2578" xr:uid="{00000000-0005-0000-0000-0000120A0000}"/>
    <cellStyle name="AggGreen12 2 2 2 2" xfId="2579" xr:uid="{00000000-0005-0000-0000-0000130A0000}"/>
    <cellStyle name="AggGreen12 2 2 2 2 10" xfId="2580" xr:uid="{00000000-0005-0000-0000-0000140A0000}"/>
    <cellStyle name="AggGreen12 2 2 2 2 11" xfId="2581" xr:uid="{00000000-0005-0000-0000-0000150A0000}"/>
    <cellStyle name="AggGreen12 2 2 2 2 12" xfId="2582" xr:uid="{00000000-0005-0000-0000-0000160A0000}"/>
    <cellStyle name="AggGreen12 2 2 2 2 13" xfId="2583" xr:uid="{00000000-0005-0000-0000-0000170A0000}"/>
    <cellStyle name="AggGreen12 2 2 2 2 14" xfId="2584" xr:uid="{00000000-0005-0000-0000-0000180A0000}"/>
    <cellStyle name="AggGreen12 2 2 2 2 15" xfId="2585" xr:uid="{00000000-0005-0000-0000-0000190A0000}"/>
    <cellStyle name="AggGreen12 2 2 2 2 16" xfId="2586" xr:uid="{00000000-0005-0000-0000-00001A0A0000}"/>
    <cellStyle name="AggGreen12 2 2 2 2 17" xfId="2587" xr:uid="{00000000-0005-0000-0000-00001B0A0000}"/>
    <cellStyle name="AggGreen12 2 2 2 2 18" xfId="2588" xr:uid="{00000000-0005-0000-0000-00001C0A0000}"/>
    <cellStyle name="AggGreen12 2 2 2 2 19" xfId="2589" xr:uid="{00000000-0005-0000-0000-00001D0A0000}"/>
    <cellStyle name="AggGreen12 2 2 2 2 2" xfId="2590" xr:uid="{00000000-0005-0000-0000-00001E0A0000}"/>
    <cellStyle name="AggGreen12 2 2 2 2 20" xfId="2591" xr:uid="{00000000-0005-0000-0000-00001F0A0000}"/>
    <cellStyle name="AggGreen12 2 2 2 2 21" xfId="2592" xr:uid="{00000000-0005-0000-0000-0000200A0000}"/>
    <cellStyle name="AggGreen12 2 2 2 2 22" xfId="2593" xr:uid="{00000000-0005-0000-0000-0000210A0000}"/>
    <cellStyle name="AggGreen12 2 2 2 2 23" xfId="2594" xr:uid="{00000000-0005-0000-0000-0000220A0000}"/>
    <cellStyle name="AggGreen12 2 2 2 2 24" xfId="2595" xr:uid="{00000000-0005-0000-0000-0000230A0000}"/>
    <cellStyle name="AggGreen12 2 2 2 2 25" xfId="2596" xr:uid="{00000000-0005-0000-0000-0000240A0000}"/>
    <cellStyle name="AggGreen12 2 2 2 2 26" xfId="2597" xr:uid="{00000000-0005-0000-0000-0000250A0000}"/>
    <cellStyle name="AggGreen12 2 2 2 2 27" xfId="2598" xr:uid="{00000000-0005-0000-0000-0000260A0000}"/>
    <cellStyle name="AggGreen12 2 2 2 2 28" xfId="2599" xr:uid="{00000000-0005-0000-0000-0000270A0000}"/>
    <cellStyle name="AggGreen12 2 2 2 2 29" xfId="2600" xr:uid="{00000000-0005-0000-0000-0000280A0000}"/>
    <cellStyle name="AggGreen12 2 2 2 2 3" xfId="2601" xr:uid="{00000000-0005-0000-0000-0000290A0000}"/>
    <cellStyle name="AggGreen12 2 2 2 2 30" xfId="2602" xr:uid="{00000000-0005-0000-0000-00002A0A0000}"/>
    <cellStyle name="AggGreen12 2 2 2 2 31" xfId="2603" xr:uid="{00000000-0005-0000-0000-00002B0A0000}"/>
    <cellStyle name="AggGreen12 2 2 2 2 32" xfId="2604" xr:uid="{00000000-0005-0000-0000-00002C0A0000}"/>
    <cellStyle name="AggGreen12 2 2 2 2 33" xfId="2605" xr:uid="{00000000-0005-0000-0000-00002D0A0000}"/>
    <cellStyle name="AggGreen12 2 2 2 2 34" xfId="2606" xr:uid="{00000000-0005-0000-0000-00002E0A0000}"/>
    <cellStyle name="AggGreen12 2 2 2 2 35" xfId="2607" xr:uid="{00000000-0005-0000-0000-00002F0A0000}"/>
    <cellStyle name="AggGreen12 2 2 2 2 36" xfId="2608" xr:uid="{00000000-0005-0000-0000-0000300A0000}"/>
    <cellStyle name="AggGreen12 2 2 2 2 37" xfId="2609" xr:uid="{00000000-0005-0000-0000-0000310A0000}"/>
    <cellStyle name="AggGreen12 2 2 2 2 38" xfId="2610" xr:uid="{00000000-0005-0000-0000-0000320A0000}"/>
    <cellStyle name="AggGreen12 2 2 2 2 39" xfId="2611" xr:uid="{00000000-0005-0000-0000-0000330A0000}"/>
    <cellStyle name="AggGreen12 2 2 2 2 4" xfId="2612" xr:uid="{00000000-0005-0000-0000-0000340A0000}"/>
    <cellStyle name="AggGreen12 2 2 2 2 40" xfId="2613" xr:uid="{00000000-0005-0000-0000-0000350A0000}"/>
    <cellStyle name="AggGreen12 2 2 2 2 41" xfId="2614" xr:uid="{00000000-0005-0000-0000-0000360A0000}"/>
    <cellStyle name="AggGreen12 2 2 2 2 42" xfId="2615" xr:uid="{00000000-0005-0000-0000-0000370A0000}"/>
    <cellStyle name="AggGreen12 2 2 2 2 43" xfId="2616" xr:uid="{00000000-0005-0000-0000-0000380A0000}"/>
    <cellStyle name="AggGreen12 2 2 2 2 44" xfId="2617" xr:uid="{00000000-0005-0000-0000-0000390A0000}"/>
    <cellStyle name="AggGreen12 2 2 2 2 45" xfId="2618" xr:uid="{00000000-0005-0000-0000-00003A0A0000}"/>
    <cellStyle name="AggGreen12 2 2 2 2 46" xfId="2619" xr:uid="{00000000-0005-0000-0000-00003B0A0000}"/>
    <cellStyle name="AggGreen12 2 2 2 2 47" xfId="2620" xr:uid="{00000000-0005-0000-0000-00003C0A0000}"/>
    <cellStyle name="AggGreen12 2 2 2 2 48" xfId="2621" xr:uid="{00000000-0005-0000-0000-00003D0A0000}"/>
    <cellStyle name="AggGreen12 2 2 2 2 49" xfId="2622" xr:uid="{00000000-0005-0000-0000-00003E0A0000}"/>
    <cellStyle name="AggGreen12 2 2 2 2 5" xfId="2623" xr:uid="{00000000-0005-0000-0000-00003F0A0000}"/>
    <cellStyle name="AggGreen12 2 2 2 2 50" xfId="2624" xr:uid="{00000000-0005-0000-0000-0000400A0000}"/>
    <cellStyle name="AggGreen12 2 2 2 2 51" xfId="2625" xr:uid="{00000000-0005-0000-0000-0000410A0000}"/>
    <cellStyle name="AggGreen12 2 2 2 2 52" xfId="2626" xr:uid="{00000000-0005-0000-0000-0000420A0000}"/>
    <cellStyle name="AggGreen12 2 2 2 2 53" xfId="2627" xr:uid="{00000000-0005-0000-0000-0000430A0000}"/>
    <cellStyle name="AggGreen12 2 2 2 2 54" xfId="2628" xr:uid="{00000000-0005-0000-0000-0000440A0000}"/>
    <cellStyle name="AggGreen12 2 2 2 2 55" xfId="2629" xr:uid="{00000000-0005-0000-0000-0000450A0000}"/>
    <cellStyle name="AggGreen12 2 2 2 2 56" xfId="2630" xr:uid="{00000000-0005-0000-0000-0000460A0000}"/>
    <cellStyle name="AggGreen12 2 2 2 2 57" xfId="2631" xr:uid="{00000000-0005-0000-0000-0000470A0000}"/>
    <cellStyle name="AggGreen12 2 2 2 2 58" xfId="2632" xr:uid="{00000000-0005-0000-0000-0000480A0000}"/>
    <cellStyle name="AggGreen12 2 2 2 2 59" xfId="2633" xr:uid="{00000000-0005-0000-0000-0000490A0000}"/>
    <cellStyle name="AggGreen12 2 2 2 2 6" xfId="2634" xr:uid="{00000000-0005-0000-0000-00004A0A0000}"/>
    <cellStyle name="AggGreen12 2 2 2 2 60" xfId="2635" xr:uid="{00000000-0005-0000-0000-00004B0A0000}"/>
    <cellStyle name="AggGreen12 2 2 2 2 61" xfId="2636" xr:uid="{00000000-0005-0000-0000-00004C0A0000}"/>
    <cellStyle name="AggGreen12 2 2 2 2 62" xfId="2637" xr:uid="{00000000-0005-0000-0000-00004D0A0000}"/>
    <cellStyle name="AggGreen12 2 2 2 2 63" xfId="2638" xr:uid="{00000000-0005-0000-0000-00004E0A0000}"/>
    <cellStyle name="AggGreen12 2 2 2 2 64" xfId="2639" xr:uid="{00000000-0005-0000-0000-00004F0A0000}"/>
    <cellStyle name="AggGreen12 2 2 2 2 65" xfId="2640" xr:uid="{00000000-0005-0000-0000-0000500A0000}"/>
    <cellStyle name="AggGreen12 2 2 2 2 7" xfId="2641" xr:uid="{00000000-0005-0000-0000-0000510A0000}"/>
    <cellStyle name="AggGreen12 2 2 2 2 8" xfId="2642" xr:uid="{00000000-0005-0000-0000-0000520A0000}"/>
    <cellStyle name="AggGreen12 2 2 2 2 9" xfId="2643" xr:uid="{00000000-0005-0000-0000-0000530A0000}"/>
    <cellStyle name="AggGreen12 2 2 2 20" xfId="2644" xr:uid="{00000000-0005-0000-0000-0000540A0000}"/>
    <cellStyle name="AggGreen12 2 2 2 21" xfId="2645" xr:uid="{00000000-0005-0000-0000-0000550A0000}"/>
    <cellStyle name="AggGreen12 2 2 2 22" xfId="2646" xr:uid="{00000000-0005-0000-0000-0000560A0000}"/>
    <cellStyle name="AggGreen12 2 2 2 23" xfId="2647" xr:uid="{00000000-0005-0000-0000-0000570A0000}"/>
    <cellStyle name="AggGreen12 2 2 2 24" xfId="2648" xr:uid="{00000000-0005-0000-0000-0000580A0000}"/>
    <cellStyle name="AggGreen12 2 2 2 25" xfId="2649" xr:uid="{00000000-0005-0000-0000-0000590A0000}"/>
    <cellStyle name="AggGreen12 2 2 2 26" xfId="2650" xr:uid="{00000000-0005-0000-0000-00005A0A0000}"/>
    <cellStyle name="AggGreen12 2 2 2 27" xfId="2651" xr:uid="{00000000-0005-0000-0000-00005B0A0000}"/>
    <cellStyle name="AggGreen12 2 2 2 28" xfId="2652" xr:uid="{00000000-0005-0000-0000-00005C0A0000}"/>
    <cellStyle name="AggGreen12 2 2 2 29" xfId="2653" xr:uid="{00000000-0005-0000-0000-00005D0A0000}"/>
    <cellStyle name="AggGreen12 2 2 2 3" xfId="2654" xr:uid="{00000000-0005-0000-0000-00005E0A0000}"/>
    <cellStyle name="AggGreen12 2 2 2 30" xfId="2655" xr:uid="{00000000-0005-0000-0000-00005F0A0000}"/>
    <cellStyle name="AggGreen12 2 2 2 31" xfId="2656" xr:uid="{00000000-0005-0000-0000-0000600A0000}"/>
    <cellStyle name="AggGreen12 2 2 2 32" xfId="2657" xr:uid="{00000000-0005-0000-0000-0000610A0000}"/>
    <cellStyle name="AggGreen12 2 2 2 33" xfId="2658" xr:uid="{00000000-0005-0000-0000-0000620A0000}"/>
    <cellStyle name="AggGreen12 2 2 2 34" xfId="2659" xr:uid="{00000000-0005-0000-0000-0000630A0000}"/>
    <cellStyle name="AggGreen12 2 2 2 35" xfId="2660" xr:uid="{00000000-0005-0000-0000-0000640A0000}"/>
    <cellStyle name="AggGreen12 2 2 2 36" xfId="2661" xr:uid="{00000000-0005-0000-0000-0000650A0000}"/>
    <cellStyle name="AggGreen12 2 2 2 37" xfId="2662" xr:uid="{00000000-0005-0000-0000-0000660A0000}"/>
    <cellStyle name="AggGreen12 2 2 2 38" xfId="2663" xr:uid="{00000000-0005-0000-0000-0000670A0000}"/>
    <cellStyle name="AggGreen12 2 2 2 39" xfId="2664" xr:uid="{00000000-0005-0000-0000-0000680A0000}"/>
    <cellStyle name="AggGreen12 2 2 2 4" xfId="2665" xr:uid="{00000000-0005-0000-0000-0000690A0000}"/>
    <cellStyle name="AggGreen12 2 2 2 40" xfId="2666" xr:uid="{00000000-0005-0000-0000-00006A0A0000}"/>
    <cellStyle name="AggGreen12 2 2 2 41" xfId="2667" xr:uid="{00000000-0005-0000-0000-00006B0A0000}"/>
    <cellStyle name="AggGreen12 2 2 2 42" xfId="2668" xr:uid="{00000000-0005-0000-0000-00006C0A0000}"/>
    <cellStyle name="AggGreen12 2 2 2 43" xfId="2669" xr:uid="{00000000-0005-0000-0000-00006D0A0000}"/>
    <cellStyle name="AggGreen12 2 2 2 44" xfId="2670" xr:uid="{00000000-0005-0000-0000-00006E0A0000}"/>
    <cellStyle name="AggGreen12 2 2 2 45" xfId="2671" xr:uid="{00000000-0005-0000-0000-00006F0A0000}"/>
    <cellStyle name="AggGreen12 2 2 2 46" xfId="2672" xr:uid="{00000000-0005-0000-0000-0000700A0000}"/>
    <cellStyle name="AggGreen12 2 2 2 47" xfId="2673" xr:uid="{00000000-0005-0000-0000-0000710A0000}"/>
    <cellStyle name="AggGreen12 2 2 2 48" xfId="2674" xr:uid="{00000000-0005-0000-0000-0000720A0000}"/>
    <cellStyle name="AggGreen12 2 2 2 49" xfId="2675" xr:uid="{00000000-0005-0000-0000-0000730A0000}"/>
    <cellStyle name="AggGreen12 2 2 2 5" xfId="2676" xr:uid="{00000000-0005-0000-0000-0000740A0000}"/>
    <cellStyle name="AggGreen12 2 2 2 50" xfId="2677" xr:uid="{00000000-0005-0000-0000-0000750A0000}"/>
    <cellStyle name="AggGreen12 2 2 2 51" xfId="2678" xr:uid="{00000000-0005-0000-0000-0000760A0000}"/>
    <cellStyle name="AggGreen12 2 2 2 52" xfId="2679" xr:uid="{00000000-0005-0000-0000-0000770A0000}"/>
    <cellStyle name="AggGreen12 2 2 2 53" xfId="2680" xr:uid="{00000000-0005-0000-0000-0000780A0000}"/>
    <cellStyle name="AggGreen12 2 2 2 54" xfId="2681" xr:uid="{00000000-0005-0000-0000-0000790A0000}"/>
    <cellStyle name="AggGreen12 2 2 2 55" xfId="2682" xr:uid="{00000000-0005-0000-0000-00007A0A0000}"/>
    <cellStyle name="AggGreen12 2 2 2 56" xfId="2683" xr:uid="{00000000-0005-0000-0000-00007B0A0000}"/>
    <cellStyle name="AggGreen12 2 2 2 57" xfId="2684" xr:uid="{00000000-0005-0000-0000-00007C0A0000}"/>
    <cellStyle name="AggGreen12 2 2 2 58" xfId="2685" xr:uid="{00000000-0005-0000-0000-00007D0A0000}"/>
    <cellStyle name="AggGreen12 2 2 2 59" xfId="2686" xr:uid="{00000000-0005-0000-0000-00007E0A0000}"/>
    <cellStyle name="AggGreen12 2 2 2 6" xfId="2687" xr:uid="{00000000-0005-0000-0000-00007F0A0000}"/>
    <cellStyle name="AggGreen12 2 2 2 60" xfId="2688" xr:uid="{00000000-0005-0000-0000-0000800A0000}"/>
    <cellStyle name="AggGreen12 2 2 2 61" xfId="2689" xr:uid="{00000000-0005-0000-0000-0000810A0000}"/>
    <cellStyle name="AggGreen12 2 2 2 62" xfId="2690" xr:uid="{00000000-0005-0000-0000-0000820A0000}"/>
    <cellStyle name="AggGreen12 2 2 2 63" xfId="2691" xr:uid="{00000000-0005-0000-0000-0000830A0000}"/>
    <cellStyle name="AggGreen12 2 2 2 64" xfId="2692" xr:uid="{00000000-0005-0000-0000-0000840A0000}"/>
    <cellStyle name="AggGreen12 2 2 2 65" xfId="2693" xr:uid="{00000000-0005-0000-0000-0000850A0000}"/>
    <cellStyle name="AggGreen12 2 2 2 66" xfId="2694" xr:uid="{00000000-0005-0000-0000-0000860A0000}"/>
    <cellStyle name="AggGreen12 2 2 2 7" xfId="2695" xr:uid="{00000000-0005-0000-0000-0000870A0000}"/>
    <cellStyle name="AggGreen12 2 2 2 8" xfId="2696" xr:uid="{00000000-0005-0000-0000-0000880A0000}"/>
    <cellStyle name="AggGreen12 2 2 2 9" xfId="2697" xr:uid="{00000000-0005-0000-0000-0000890A0000}"/>
    <cellStyle name="AggGreen12 2 2 3" xfId="2698" xr:uid="{00000000-0005-0000-0000-00008A0A0000}"/>
    <cellStyle name="AggGreen12 2 2 3 10" xfId="2699" xr:uid="{00000000-0005-0000-0000-00008B0A0000}"/>
    <cellStyle name="AggGreen12 2 2 3 11" xfId="2700" xr:uid="{00000000-0005-0000-0000-00008C0A0000}"/>
    <cellStyle name="AggGreen12 2 2 3 12" xfId="2701" xr:uid="{00000000-0005-0000-0000-00008D0A0000}"/>
    <cellStyle name="AggGreen12 2 2 3 13" xfId="2702" xr:uid="{00000000-0005-0000-0000-00008E0A0000}"/>
    <cellStyle name="AggGreen12 2 2 3 14" xfId="2703" xr:uid="{00000000-0005-0000-0000-00008F0A0000}"/>
    <cellStyle name="AggGreen12 2 2 3 15" xfId="2704" xr:uid="{00000000-0005-0000-0000-0000900A0000}"/>
    <cellStyle name="AggGreen12 2 2 3 16" xfId="2705" xr:uid="{00000000-0005-0000-0000-0000910A0000}"/>
    <cellStyle name="AggGreen12 2 2 3 17" xfId="2706" xr:uid="{00000000-0005-0000-0000-0000920A0000}"/>
    <cellStyle name="AggGreen12 2 2 3 18" xfId="2707" xr:uid="{00000000-0005-0000-0000-0000930A0000}"/>
    <cellStyle name="AggGreen12 2 2 3 19" xfId="2708" xr:uid="{00000000-0005-0000-0000-0000940A0000}"/>
    <cellStyle name="AggGreen12 2 2 3 2" xfId="2709" xr:uid="{00000000-0005-0000-0000-0000950A0000}"/>
    <cellStyle name="AggGreen12 2 2 3 20" xfId="2710" xr:uid="{00000000-0005-0000-0000-0000960A0000}"/>
    <cellStyle name="AggGreen12 2 2 3 21" xfId="2711" xr:uid="{00000000-0005-0000-0000-0000970A0000}"/>
    <cellStyle name="AggGreen12 2 2 3 22" xfId="2712" xr:uid="{00000000-0005-0000-0000-0000980A0000}"/>
    <cellStyle name="AggGreen12 2 2 3 23" xfId="2713" xr:uid="{00000000-0005-0000-0000-0000990A0000}"/>
    <cellStyle name="AggGreen12 2 2 3 24" xfId="2714" xr:uid="{00000000-0005-0000-0000-00009A0A0000}"/>
    <cellStyle name="AggGreen12 2 2 3 25" xfId="2715" xr:uid="{00000000-0005-0000-0000-00009B0A0000}"/>
    <cellStyle name="AggGreen12 2 2 3 26" xfId="2716" xr:uid="{00000000-0005-0000-0000-00009C0A0000}"/>
    <cellStyle name="AggGreen12 2 2 3 27" xfId="2717" xr:uid="{00000000-0005-0000-0000-00009D0A0000}"/>
    <cellStyle name="AggGreen12 2 2 3 28" xfId="2718" xr:uid="{00000000-0005-0000-0000-00009E0A0000}"/>
    <cellStyle name="AggGreen12 2 2 3 29" xfId="2719" xr:uid="{00000000-0005-0000-0000-00009F0A0000}"/>
    <cellStyle name="AggGreen12 2 2 3 3" xfId="2720" xr:uid="{00000000-0005-0000-0000-0000A00A0000}"/>
    <cellStyle name="AggGreen12 2 2 3 30" xfId="2721" xr:uid="{00000000-0005-0000-0000-0000A10A0000}"/>
    <cellStyle name="AggGreen12 2 2 3 31" xfId="2722" xr:uid="{00000000-0005-0000-0000-0000A20A0000}"/>
    <cellStyle name="AggGreen12 2 2 3 32" xfId="2723" xr:uid="{00000000-0005-0000-0000-0000A30A0000}"/>
    <cellStyle name="AggGreen12 2 2 3 33" xfId="2724" xr:uid="{00000000-0005-0000-0000-0000A40A0000}"/>
    <cellStyle name="AggGreen12 2 2 3 34" xfId="2725" xr:uid="{00000000-0005-0000-0000-0000A50A0000}"/>
    <cellStyle name="AggGreen12 2 2 3 35" xfId="2726" xr:uid="{00000000-0005-0000-0000-0000A60A0000}"/>
    <cellStyle name="AggGreen12 2 2 3 36" xfId="2727" xr:uid="{00000000-0005-0000-0000-0000A70A0000}"/>
    <cellStyle name="AggGreen12 2 2 3 37" xfId="2728" xr:uid="{00000000-0005-0000-0000-0000A80A0000}"/>
    <cellStyle name="AggGreen12 2 2 3 38" xfId="2729" xr:uid="{00000000-0005-0000-0000-0000A90A0000}"/>
    <cellStyle name="AggGreen12 2 2 3 39" xfId="2730" xr:uid="{00000000-0005-0000-0000-0000AA0A0000}"/>
    <cellStyle name="AggGreen12 2 2 3 4" xfId="2731" xr:uid="{00000000-0005-0000-0000-0000AB0A0000}"/>
    <cellStyle name="AggGreen12 2 2 3 40" xfId="2732" xr:uid="{00000000-0005-0000-0000-0000AC0A0000}"/>
    <cellStyle name="AggGreen12 2 2 3 41" xfId="2733" xr:uid="{00000000-0005-0000-0000-0000AD0A0000}"/>
    <cellStyle name="AggGreen12 2 2 3 42" xfId="2734" xr:uid="{00000000-0005-0000-0000-0000AE0A0000}"/>
    <cellStyle name="AggGreen12 2 2 3 43" xfId="2735" xr:uid="{00000000-0005-0000-0000-0000AF0A0000}"/>
    <cellStyle name="AggGreen12 2 2 3 44" xfId="2736" xr:uid="{00000000-0005-0000-0000-0000B00A0000}"/>
    <cellStyle name="AggGreen12 2 2 3 45" xfId="2737" xr:uid="{00000000-0005-0000-0000-0000B10A0000}"/>
    <cellStyle name="AggGreen12 2 2 3 46" xfId="2738" xr:uid="{00000000-0005-0000-0000-0000B20A0000}"/>
    <cellStyle name="AggGreen12 2 2 3 47" xfId="2739" xr:uid="{00000000-0005-0000-0000-0000B30A0000}"/>
    <cellStyle name="AggGreen12 2 2 3 48" xfId="2740" xr:uid="{00000000-0005-0000-0000-0000B40A0000}"/>
    <cellStyle name="AggGreen12 2 2 3 49" xfId="2741" xr:uid="{00000000-0005-0000-0000-0000B50A0000}"/>
    <cellStyle name="AggGreen12 2 2 3 5" xfId="2742" xr:uid="{00000000-0005-0000-0000-0000B60A0000}"/>
    <cellStyle name="AggGreen12 2 2 3 50" xfId="2743" xr:uid="{00000000-0005-0000-0000-0000B70A0000}"/>
    <cellStyle name="AggGreen12 2 2 3 51" xfId="2744" xr:uid="{00000000-0005-0000-0000-0000B80A0000}"/>
    <cellStyle name="AggGreen12 2 2 3 52" xfId="2745" xr:uid="{00000000-0005-0000-0000-0000B90A0000}"/>
    <cellStyle name="AggGreen12 2 2 3 53" xfId="2746" xr:uid="{00000000-0005-0000-0000-0000BA0A0000}"/>
    <cellStyle name="AggGreen12 2 2 3 54" xfId="2747" xr:uid="{00000000-0005-0000-0000-0000BB0A0000}"/>
    <cellStyle name="AggGreen12 2 2 3 55" xfId="2748" xr:uid="{00000000-0005-0000-0000-0000BC0A0000}"/>
    <cellStyle name="AggGreen12 2 2 3 56" xfId="2749" xr:uid="{00000000-0005-0000-0000-0000BD0A0000}"/>
    <cellStyle name="AggGreen12 2 2 3 57" xfId="2750" xr:uid="{00000000-0005-0000-0000-0000BE0A0000}"/>
    <cellStyle name="AggGreen12 2 2 3 58" xfId="2751" xr:uid="{00000000-0005-0000-0000-0000BF0A0000}"/>
    <cellStyle name="AggGreen12 2 2 3 59" xfId="2752" xr:uid="{00000000-0005-0000-0000-0000C00A0000}"/>
    <cellStyle name="AggGreen12 2 2 3 6" xfId="2753" xr:uid="{00000000-0005-0000-0000-0000C10A0000}"/>
    <cellStyle name="AggGreen12 2 2 3 60" xfId="2754" xr:uid="{00000000-0005-0000-0000-0000C20A0000}"/>
    <cellStyle name="AggGreen12 2 2 3 61" xfId="2755" xr:uid="{00000000-0005-0000-0000-0000C30A0000}"/>
    <cellStyle name="AggGreen12 2 2 3 62" xfId="2756" xr:uid="{00000000-0005-0000-0000-0000C40A0000}"/>
    <cellStyle name="AggGreen12 2 2 3 63" xfId="2757" xr:uid="{00000000-0005-0000-0000-0000C50A0000}"/>
    <cellStyle name="AggGreen12 2 2 3 64" xfId="2758" xr:uid="{00000000-0005-0000-0000-0000C60A0000}"/>
    <cellStyle name="AggGreen12 2 2 3 65" xfId="2759" xr:uid="{00000000-0005-0000-0000-0000C70A0000}"/>
    <cellStyle name="AggGreen12 2 2 3 7" xfId="2760" xr:uid="{00000000-0005-0000-0000-0000C80A0000}"/>
    <cellStyle name="AggGreen12 2 2 3 8" xfId="2761" xr:uid="{00000000-0005-0000-0000-0000C90A0000}"/>
    <cellStyle name="AggGreen12 2 2 3 9" xfId="2762" xr:uid="{00000000-0005-0000-0000-0000CA0A0000}"/>
    <cellStyle name="AggGreen12 2 3" xfId="2763" xr:uid="{00000000-0005-0000-0000-0000CB0A0000}"/>
    <cellStyle name="AggGreen12 2 3 10" xfId="2764" xr:uid="{00000000-0005-0000-0000-0000CC0A0000}"/>
    <cellStyle name="AggGreen12 2 3 11" xfId="2765" xr:uid="{00000000-0005-0000-0000-0000CD0A0000}"/>
    <cellStyle name="AggGreen12 2 3 12" xfId="2766" xr:uid="{00000000-0005-0000-0000-0000CE0A0000}"/>
    <cellStyle name="AggGreen12 2 3 13" xfId="2767" xr:uid="{00000000-0005-0000-0000-0000CF0A0000}"/>
    <cellStyle name="AggGreen12 2 3 14" xfId="2768" xr:uid="{00000000-0005-0000-0000-0000D00A0000}"/>
    <cellStyle name="AggGreen12 2 3 15" xfId="2769" xr:uid="{00000000-0005-0000-0000-0000D10A0000}"/>
    <cellStyle name="AggGreen12 2 3 16" xfId="2770" xr:uid="{00000000-0005-0000-0000-0000D20A0000}"/>
    <cellStyle name="AggGreen12 2 3 17" xfId="2771" xr:uid="{00000000-0005-0000-0000-0000D30A0000}"/>
    <cellStyle name="AggGreen12 2 3 18" xfId="2772" xr:uid="{00000000-0005-0000-0000-0000D40A0000}"/>
    <cellStyle name="AggGreen12 2 3 19" xfId="2773" xr:uid="{00000000-0005-0000-0000-0000D50A0000}"/>
    <cellStyle name="AggGreen12 2 3 2" xfId="2774" xr:uid="{00000000-0005-0000-0000-0000D60A0000}"/>
    <cellStyle name="AggGreen12 2 3 2 10" xfId="2775" xr:uid="{00000000-0005-0000-0000-0000D70A0000}"/>
    <cellStyle name="AggGreen12 2 3 2 11" xfId="2776" xr:uid="{00000000-0005-0000-0000-0000D80A0000}"/>
    <cellStyle name="AggGreen12 2 3 2 12" xfId="2777" xr:uid="{00000000-0005-0000-0000-0000D90A0000}"/>
    <cellStyle name="AggGreen12 2 3 2 13" xfId="2778" xr:uid="{00000000-0005-0000-0000-0000DA0A0000}"/>
    <cellStyle name="AggGreen12 2 3 2 14" xfId="2779" xr:uid="{00000000-0005-0000-0000-0000DB0A0000}"/>
    <cellStyle name="AggGreen12 2 3 2 15" xfId="2780" xr:uid="{00000000-0005-0000-0000-0000DC0A0000}"/>
    <cellStyle name="AggGreen12 2 3 2 16" xfId="2781" xr:uid="{00000000-0005-0000-0000-0000DD0A0000}"/>
    <cellStyle name="AggGreen12 2 3 2 17" xfId="2782" xr:uid="{00000000-0005-0000-0000-0000DE0A0000}"/>
    <cellStyle name="AggGreen12 2 3 2 18" xfId="2783" xr:uid="{00000000-0005-0000-0000-0000DF0A0000}"/>
    <cellStyle name="AggGreen12 2 3 2 19" xfId="2784" xr:uid="{00000000-0005-0000-0000-0000E00A0000}"/>
    <cellStyle name="AggGreen12 2 3 2 2" xfId="2785" xr:uid="{00000000-0005-0000-0000-0000E10A0000}"/>
    <cellStyle name="AggGreen12 2 3 2 2 10" xfId="2786" xr:uid="{00000000-0005-0000-0000-0000E20A0000}"/>
    <cellStyle name="AggGreen12 2 3 2 2 11" xfId="2787" xr:uid="{00000000-0005-0000-0000-0000E30A0000}"/>
    <cellStyle name="AggGreen12 2 3 2 2 12" xfId="2788" xr:uid="{00000000-0005-0000-0000-0000E40A0000}"/>
    <cellStyle name="AggGreen12 2 3 2 2 13" xfId="2789" xr:uid="{00000000-0005-0000-0000-0000E50A0000}"/>
    <cellStyle name="AggGreen12 2 3 2 2 14" xfId="2790" xr:uid="{00000000-0005-0000-0000-0000E60A0000}"/>
    <cellStyle name="AggGreen12 2 3 2 2 15" xfId="2791" xr:uid="{00000000-0005-0000-0000-0000E70A0000}"/>
    <cellStyle name="AggGreen12 2 3 2 2 16" xfId="2792" xr:uid="{00000000-0005-0000-0000-0000E80A0000}"/>
    <cellStyle name="AggGreen12 2 3 2 2 17" xfId="2793" xr:uid="{00000000-0005-0000-0000-0000E90A0000}"/>
    <cellStyle name="AggGreen12 2 3 2 2 18" xfId="2794" xr:uid="{00000000-0005-0000-0000-0000EA0A0000}"/>
    <cellStyle name="AggGreen12 2 3 2 2 19" xfId="2795" xr:uid="{00000000-0005-0000-0000-0000EB0A0000}"/>
    <cellStyle name="AggGreen12 2 3 2 2 2" xfId="2796" xr:uid="{00000000-0005-0000-0000-0000EC0A0000}"/>
    <cellStyle name="AggGreen12 2 3 2 2 20" xfId="2797" xr:uid="{00000000-0005-0000-0000-0000ED0A0000}"/>
    <cellStyle name="AggGreen12 2 3 2 2 21" xfId="2798" xr:uid="{00000000-0005-0000-0000-0000EE0A0000}"/>
    <cellStyle name="AggGreen12 2 3 2 2 22" xfId="2799" xr:uid="{00000000-0005-0000-0000-0000EF0A0000}"/>
    <cellStyle name="AggGreen12 2 3 2 2 23" xfId="2800" xr:uid="{00000000-0005-0000-0000-0000F00A0000}"/>
    <cellStyle name="AggGreen12 2 3 2 2 24" xfId="2801" xr:uid="{00000000-0005-0000-0000-0000F10A0000}"/>
    <cellStyle name="AggGreen12 2 3 2 2 25" xfId="2802" xr:uid="{00000000-0005-0000-0000-0000F20A0000}"/>
    <cellStyle name="AggGreen12 2 3 2 2 26" xfId="2803" xr:uid="{00000000-0005-0000-0000-0000F30A0000}"/>
    <cellStyle name="AggGreen12 2 3 2 2 27" xfId="2804" xr:uid="{00000000-0005-0000-0000-0000F40A0000}"/>
    <cellStyle name="AggGreen12 2 3 2 2 28" xfId="2805" xr:uid="{00000000-0005-0000-0000-0000F50A0000}"/>
    <cellStyle name="AggGreen12 2 3 2 2 29" xfId="2806" xr:uid="{00000000-0005-0000-0000-0000F60A0000}"/>
    <cellStyle name="AggGreen12 2 3 2 2 3" xfId="2807" xr:uid="{00000000-0005-0000-0000-0000F70A0000}"/>
    <cellStyle name="AggGreen12 2 3 2 2 30" xfId="2808" xr:uid="{00000000-0005-0000-0000-0000F80A0000}"/>
    <cellStyle name="AggGreen12 2 3 2 2 31" xfId="2809" xr:uid="{00000000-0005-0000-0000-0000F90A0000}"/>
    <cellStyle name="AggGreen12 2 3 2 2 32" xfId="2810" xr:uid="{00000000-0005-0000-0000-0000FA0A0000}"/>
    <cellStyle name="AggGreen12 2 3 2 2 33" xfId="2811" xr:uid="{00000000-0005-0000-0000-0000FB0A0000}"/>
    <cellStyle name="AggGreen12 2 3 2 2 34" xfId="2812" xr:uid="{00000000-0005-0000-0000-0000FC0A0000}"/>
    <cellStyle name="AggGreen12 2 3 2 2 35" xfId="2813" xr:uid="{00000000-0005-0000-0000-0000FD0A0000}"/>
    <cellStyle name="AggGreen12 2 3 2 2 36" xfId="2814" xr:uid="{00000000-0005-0000-0000-0000FE0A0000}"/>
    <cellStyle name="AggGreen12 2 3 2 2 37" xfId="2815" xr:uid="{00000000-0005-0000-0000-0000FF0A0000}"/>
    <cellStyle name="AggGreen12 2 3 2 2 38" xfId="2816" xr:uid="{00000000-0005-0000-0000-0000000B0000}"/>
    <cellStyle name="AggGreen12 2 3 2 2 39" xfId="2817" xr:uid="{00000000-0005-0000-0000-0000010B0000}"/>
    <cellStyle name="AggGreen12 2 3 2 2 4" xfId="2818" xr:uid="{00000000-0005-0000-0000-0000020B0000}"/>
    <cellStyle name="AggGreen12 2 3 2 2 40" xfId="2819" xr:uid="{00000000-0005-0000-0000-0000030B0000}"/>
    <cellStyle name="AggGreen12 2 3 2 2 41" xfId="2820" xr:uid="{00000000-0005-0000-0000-0000040B0000}"/>
    <cellStyle name="AggGreen12 2 3 2 2 42" xfId="2821" xr:uid="{00000000-0005-0000-0000-0000050B0000}"/>
    <cellStyle name="AggGreen12 2 3 2 2 43" xfId="2822" xr:uid="{00000000-0005-0000-0000-0000060B0000}"/>
    <cellStyle name="AggGreen12 2 3 2 2 44" xfId="2823" xr:uid="{00000000-0005-0000-0000-0000070B0000}"/>
    <cellStyle name="AggGreen12 2 3 2 2 45" xfId="2824" xr:uid="{00000000-0005-0000-0000-0000080B0000}"/>
    <cellStyle name="AggGreen12 2 3 2 2 46" xfId="2825" xr:uid="{00000000-0005-0000-0000-0000090B0000}"/>
    <cellStyle name="AggGreen12 2 3 2 2 47" xfId="2826" xr:uid="{00000000-0005-0000-0000-00000A0B0000}"/>
    <cellStyle name="AggGreen12 2 3 2 2 48" xfId="2827" xr:uid="{00000000-0005-0000-0000-00000B0B0000}"/>
    <cellStyle name="AggGreen12 2 3 2 2 49" xfId="2828" xr:uid="{00000000-0005-0000-0000-00000C0B0000}"/>
    <cellStyle name="AggGreen12 2 3 2 2 5" xfId="2829" xr:uid="{00000000-0005-0000-0000-00000D0B0000}"/>
    <cellStyle name="AggGreen12 2 3 2 2 50" xfId="2830" xr:uid="{00000000-0005-0000-0000-00000E0B0000}"/>
    <cellStyle name="AggGreen12 2 3 2 2 51" xfId="2831" xr:uid="{00000000-0005-0000-0000-00000F0B0000}"/>
    <cellStyle name="AggGreen12 2 3 2 2 52" xfId="2832" xr:uid="{00000000-0005-0000-0000-0000100B0000}"/>
    <cellStyle name="AggGreen12 2 3 2 2 53" xfId="2833" xr:uid="{00000000-0005-0000-0000-0000110B0000}"/>
    <cellStyle name="AggGreen12 2 3 2 2 54" xfId="2834" xr:uid="{00000000-0005-0000-0000-0000120B0000}"/>
    <cellStyle name="AggGreen12 2 3 2 2 55" xfId="2835" xr:uid="{00000000-0005-0000-0000-0000130B0000}"/>
    <cellStyle name="AggGreen12 2 3 2 2 56" xfId="2836" xr:uid="{00000000-0005-0000-0000-0000140B0000}"/>
    <cellStyle name="AggGreen12 2 3 2 2 57" xfId="2837" xr:uid="{00000000-0005-0000-0000-0000150B0000}"/>
    <cellStyle name="AggGreen12 2 3 2 2 58" xfId="2838" xr:uid="{00000000-0005-0000-0000-0000160B0000}"/>
    <cellStyle name="AggGreen12 2 3 2 2 59" xfId="2839" xr:uid="{00000000-0005-0000-0000-0000170B0000}"/>
    <cellStyle name="AggGreen12 2 3 2 2 6" xfId="2840" xr:uid="{00000000-0005-0000-0000-0000180B0000}"/>
    <cellStyle name="AggGreen12 2 3 2 2 60" xfId="2841" xr:uid="{00000000-0005-0000-0000-0000190B0000}"/>
    <cellStyle name="AggGreen12 2 3 2 2 61" xfId="2842" xr:uid="{00000000-0005-0000-0000-00001A0B0000}"/>
    <cellStyle name="AggGreen12 2 3 2 2 62" xfId="2843" xr:uid="{00000000-0005-0000-0000-00001B0B0000}"/>
    <cellStyle name="AggGreen12 2 3 2 2 63" xfId="2844" xr:uid="{00000000-0005-0000-0000-00001C0B0000}"/>
    <cellStyle name="AggGreen12 2 3 2 2 64" xfId="2845" xr:uid="{00000000-0005-0000-0000-00001D0B0000}"/>
    <cellStyle name="AggGreen12 2 3 2 2 65" xfId="2846" xr:uid="{00000000-0005-0000-0000-00001E0B0000}"/>
    <cellStyle name="AggGreen12 2 3 2 2 7" xfId="2847" xr:uid="{00000000-0005-0000-0000-00001F0B0000}"/>
    <cellStyle name="AggGreen12 2 3 2 2 8" xfId="2848" xr:uid="{00000000-0005-0000-0000-0000200B0000}"/>
    <cellStyle name="AggGreen12 2 3 2 2 9" xfId="2849" xr:uid="{00000000-0005-0000-0000-0000210B0000}"/>
    <cellStyle name="AggGreen12 2 3 2 20" xfId="2850" xr:uid="{00000000-0005-0000-0000-0000220B0000}"/>
    <cellStyle name="AggGreen12 2 3 2 21" xfId="2851" xr:uid="{00000000-0005-0000-0000-0000230B0000}"/>
    <cellStyle name="AggGreen12 2 3 2 22" xfId="2852" xr:uid="{00000000-0005-0000-0000-0000240B0000}"/>
    <cellStyle name="AggGreen12 2 3 2 23" xfId="2853" xr:uid="{00000000-0005-0000-0000-0000250B0000}"/>
    <cellStyle name="AggGreen12 2 3 2 24" xfId="2854" xr:uid="{00000000-0005-0000-0000-0000260B0000}"/>
    <cellStyle name="AggGreen12 2 3 2 25" xfId="2855" xr:uid="{00000000-0005-0000-0000-0000270B0000}"/>
    <cellStyle name="AggGreen12 2 3 2 26" xfId="2856" xr:uid="{00000000-0005-0000-0000-0000280B0000}"/>
    <cellStyle name="AggGreen12 2 3 2 27" xfId="2857" xr:uid="{00000000-0005-0000-0000-0000290B0000}"/>
    <cellStyle name="AggGreen12 2 3 2 28" xfId="2858" xr:uid="{00000000-0005-0000-0000-00002A0B0000}"/>
    <cellStyle name="AggGreen12 2 3 2 29" xfId="2859" xr:uid="{00000000-0005-0000-0000-00002B0B0000}"/>
    <cellStyle name="AggGreen12 2 3 2 3" xfId="2860" xr:uid="{00000000-0005-0000-0000-00002C0B0000}"/>
    <cellStyle name="AggGreen12 2 3 2 30" xfId="2861" xr:uid="{00000000-0005-0000-0000-00002D0B0000}"/>
    <cellStyle name="AggGreen12 2 3 2 31" xfId="2862" xr:uid="{00000000-0005-0000-0000-00002E0B0000}"/>
    <cellStyle name="AggGreen12 2 3 2 32" xfId="2863" xr:uid="{00000000-0005-0000-0000-00002F0B0000}"/>
    <cellStyle name="AggGreen12 2 3 2 33" xfId="2864" xr:uid="{00000000-0005-0000-0000-0000300B0000}"/>
    <cellStyle name="AggGreen12 2 3 2 34" xfId="2865" xr:uid="{00000000-0005-0000-0000-0000310B0000}"/>
    <cellStyle name="AggGreen12 2 3 2 35" xfId="2866" xr:uid="{00000000-0005-0000-0000-0000320B0000}"/>
    <cellStyle name="AggGreen12 2 3 2 36" xfId="2867" xr:uid="{00000000-0005-0000-0000-0000330B0000}"/>
    <cellStyle name="AggGreen12 2 3 2 37" xfId="2868" xr:uid="{00000000-0005-0000-0000-0000340B0000}"/>
    <cellStyle name="AggGreen12 2 3 2 38" xfId="2869" xr:uid="{00000000-0005-0000-0000-0000350B0000}"/>
    <cellStyle name="AggGreen12 2 3 2 39" xfId="2870" xr:uid="{00000000-0005-0000-0000-0000360B0000}"/>
    <cellStyle name="AggGreen12 2 3 2 4" xfId="2871" xr:uid="{00000000-0005-0000-0000-0000370B0000}"/>
    <cellStyle name="AggGreen12 2 3 2 40" xfId="2872" xr:uid="{00000000-0005-0000-0000-0000380B0000}"/>
    <cellStyle name="AggGreen12 2 3 2 41" xfId="2873" xr:uid="{00000000-0005-0000-0000-0000390B0000}"/>
    <cellStyle name="AggGreen12 2 3 2 42" xfId="2874" xr:uid="{00000000-0005-0000-0000-00003A0B0000}"/>
    <cellStyle name="AggGreen12 2 3 2 43" xfId="2875" xr:uid="{00000000-0005-0000-0000-00003B0B0000}"/>
    <cellStyle name="AggGreen12 2 3 2 44" xfId="2876" xr:uid="{00000000-0005-0000-0000-00003C0B0000}"/>
    <cellStyle name="AggGreen12 2 3 2 45" xfId="2877" xr:uid="{00000000-0005-0000-0000-00003D0B0000}"/>
    <cellStyle name="AggGreen12 2 3 2 46" xfId="2878" xr:uid="{00000000-0005-0000-0000-00003E0B0000}"/>
    <cellStyle name="AggGreen12 2 3 2 47" xfId="2879" xr:uid="{00000000-0005-0000-0000-00003F0B0000}"/>
    <cellStyle name="AggGreen12 2 3 2 48" xfId="2880" xr:uid="{00000000-0005-0000-0000-0000400B0000}"/>
    <cellStyle name="AggGreen12 2 3 2 49" xfId="2881" xr:uid="{00000000-0005-0000-0000-0000410B0000}"/>
    <cellStyle name="AggGreen12 2 3 2 5" xfId="2882" xr:uid="{00000000-0005-0000-0000-0000420B0000}"/>
    <cellStyle name="AggGreen12 2 3 2 50" xfId="2883" xr:uid="{00000000-0005-0000-0000-0000430B0000}"/>
    <cellStyle name="AggGreen12 2 3 2 51" xfId="2884" xr:uid="{00000000-0005-0000-0000-0000440B0000}"/>
    <cellStyle name="AggGreen12 2 3 2 52" xfId="2885" xr:uid="{00000000-0005-0000-0000-0000450B0000}"/>
    <cellStyle name="AggGreen12 2 3 2 53" xfId="2886" xr:uid="{00000000-0005-0000-0000-0000460B0000}"/>
    <cellStyle name="AggGreen12 2 3 2 54" xfId="2887" xr:uid="{00000000-0005-0000-0000-0000470B0000}"/>
    <cellStyle name="AggGreen12 2 3 2 55" xfId="2888" xr:uid="{00000000-0005-0000-0000-0000480B0000}"/>
    <cellStyle name="AggGreen12 2 3 2 56" xfId="2889" xr:uid="{00000000-0005-0000-0000-0000490B0000}"/>
    <cellStyle name="AggGreen12 2 3 2 57" xfId="2890" xr:uid="{00000000-0005-0000-0000-00004A0B0000}"/>
    <cellStyle name="AggGreen12 2 3 2 58" xfId="2891" xr:uid="{00000000-0005-0000-0000-00004B0B0000}"/>
    <cellStyle name="AggGreen12 2 3 2 59" xfId="2892" xr:uid="{00000000-0005-0000-0000-00004C0B0000}"/>
    <cellStyle name="AggGreen12 2 3 2 6" xfId="2893" xr:uid="{00000000-0005-0000-0000-00004D0B0000}"/>
    <cellStyle name="AggGreen12 2 3 2 60" xfId="2894" xr:uid="{00000000-0005-0000-0000-00004E0B0000}"/>
    <cellStyle name="AggGreen12 2 3 2 61" xfId="2895" xr:uid="{00000000-0005-0000-0000-00004F0B0000}"/>
    <cellStyle name="AggGreen12 2 3 2 62" xfId="2896" xr:uid="{00000000-0005-0000-0000-0000500B0000}"/>
    <cellStyle name="AggGreen12 2 3 2 63" xfId="2897" xr:uid="{00000000-0005-0000-0000-0000510B0000}"/>
    <cellStyle name="AggGreen12 2 3 2 64" xfId="2898" xr:uid="{00000000-0005-0000-0000-0000520B0000}"/>
    <cellStyle name="AggGreen12 2 3 2 65" xfId="2899" xr:uid="{00000000-0005-0000-0000-0000530B0000}"/>
    <cellStyle name="AggGreen12 2 3 2 66" xfId="2900" xr:uid="{00000000-0005-0000-0000-0000540B0000}"/>
    <cellStyle name="AggGreen12 2 3 2 7" xfId="2901" xr:uid="{00000000-0005-0000-0000-0000550B0000}"/>
    <cellStyle name="AggGreen12 2 3 2 8" xfId="2902" xr:uid="{00000000-0005-0000-0000-0000560B0000}"/>
    <cellStyle name="AggGreen12 2 3 2 9" xfId="2903" xr:uid="{00000000-0005-0000-0000-0000570B0000}"/>
    <cellStyle name="AggGreen12 2 3 20" xfId="2904" xr:uid="{00000000-0005-0000-0000-0000580B0000}"/>
    <cellStyle name="AggGreen12 2 3 21" xfId="2905" xr:uid="{00000000-0005-0000-0000-0000590B0000}"/>
    <cellStyle name="AggGreen12 2 3 22" xfId="2906" xr:uid="{00000000-0005-0000-0000-00005A0B0000}"/>
    <cellStyle name="AggGreen12 2 3 23" xfId="2907" xr:uid="{00000000-0005-0000-0000-00005B0B0000}"/>
    <cellStyle name="AggGreen12 2 3 24" xfId="2908" xr:uid="{00000000-0005-0000-0000-00005C0B0000}"/>
    <cellStyle name="AggGreen12 2 3 25" xfId="2909" xr:uid="{00000000-0005-0000-0000-00005D0B0000}"/>
    <cellStyle name="AggGreen12 2 3 26" xfId="2910" xr:uid="{00000000-0005-0000-0000-00005E0B0000}"/>
    <cellStyle name="AggGreen12 2 3 27" xfId="2911" xr:uid="{00000000-0005-0000-0000-00005F0B0000}"/>
    <cellStyle name="AggGreen12 2 3 28" xfId="2912" xr:uid="{00000000-0005-0000-0000-0000600B0000}"/>
    <cellStyle name="AggGreen12 2 3 29" xfId="2913" xr:uid="{00000000-0005-0000-0000-0000610B0000}"/>
    <cellStyle name="AggGreen12 2 3 3" xfId="2914" xr:uid="{00000000-0005-0000-0000-0000620B0000}"/>
    <cellStyle name="AggGreen12 2 3 3 10" xfId="2915" xr:uid="{00000000-0005-0000-0000-0000630B0000}"/>
    <cellStyle name="AggGreen12 2 3 3 11" xfId="2916" xr:uid="{00000000-0005-0000-0000-0000640B0000}"/>
    <cellStyle name="AggGreen12 2 3 3 12" xfId="2917" xr:uid="{00000000-0005-0000-0000-0000650B0000}"/>
    <cellStyle name="AggGreen12 2 3 3 13" xfId="2918" xr:uid="{00000000-0005-0000-0000-0000660B0000}"/>
    <cellStyle name="AggGreen12 2 3 3 14" xfId="2919" xr:uid="{00000000-0005-0000-0000-0000670B0000}"/>
    <cellStyle name="AggGreen12 2 3 3 15" xfId="2920" xr:uid="{00000000-0005-0000-0000-0000680B0000}"/>
    <cellStyle name="AggGreen12 2 3 3 16" xfId="2921" xr:uid="{00000000-0005-0000-0000-0000690B0000}"/>
    <cellStyle name="AggGreen12 2 3 3 17" xfId="2922" xr:uid="{00000000-0005-0000-0000-00006A0B0000}"/>
    <cellStyle name="AggGreen12 2 3 3 18" xfId="2923" xr:uid="{00000000-0005-0000-0000-00006B0B0000}"/>
    <cellStyle name="AggGreen12 2 3 3 19" xfId="2924" xr:uid="{00000000-0005-0000-0000-00006C0B0000}"/>
    <cellStyle name="AggGreen12 2 3 3 2" xfId="2925" xr:uid="{00000000-0005-0000-0000-00006D0B0000}"/>
    <cellStyle name="AggGreen12 2 3 3 2 10" xfId="2926" xr:uid="{00000000-0005-0000-0000-00006E0B0000}"/>
    <cellStyle name="AggGreen12 2 3 3 2 11" xfId="2927" xr:uid="{00000000-0005-0000-0000-00006F0B0000}"/>
    <cellStyle name="AggGreen12 2 3 3 2 12" xfId="2928" xr:uid="{00000000-0005-0000-0000-0000700B0000}"/>
    <cellStyle name="AggGreen12 2 3 3 2 13" xfId="2929" xr:uid="{00000000-0005-0000-0000-0000710B0000}"/>
    <cellStyle name="AggGreen12 2 3 3 2 14" xfId="2930" xr:uid="{00000000-0005-0000-0000-0000720B0000}"/>
    <cellStyle name="AggGreen12 2 3 3 2 15" xfId="2931" xr:uid="{00000000-0005-0000-0000-0000730B0000}"/>
    <cellStyle name="AggGreen12 2 3 3 2 16" xfId="2932" xr:uid="{00000000-0005-0000-0000-0000740B0000}"/>
    <cellStyle name="AggGreen12 2 3 3 2 17" xfId="2933" xr:uid="{00000000-0005-0000-0000-0000750B0000}"/>
    <cellStyle name="AggGreen12 2 3 3 2 18" xfId="2934" xr:uid="{00000000-0005-0000-0000-0000760B0000}"/>
    <cellStyle name="AggGreen12 2 3 3 2 19" xfId="2935" xr:uid="{00000000-0005-0000-0000-0000770B0000}"/>
    <cellStyle name="AggGreen12 2 3 3 2 2" xfId="2936" xr:uid="{00000000-0005-0000-0000-0000780B0000}"/>
    <cellStyle name="AggGreen12 2 3 3 2 20" xfId="2937" xr:uid="{00000000-0005-0000-0000-0000790B0000}"/>
    <cellStyle name="AggGreen12 2 3 3 2 21" xfId="2938" xr:uid="{00000000-0005-0000-0000-00007A0B0000}"/>
    <cellStyle name="AggGreen12 2 3 3 2 22" xfId="2939" xr:uid="{00000000-0005-0000-0000-00007B0B0000}"/>
    <cellStyle name="AggGreen12 2 3 3 2 23" xfId="2940" xr:uid="{00000000-0005-0000-0000-00007C0B0000}"/>
    <cellStyle name="AggGreen12 2 3 3 2 24" xfId="2941" xr:uid="{00000000-0005-0000-0000-00007D0B0000}"/>
    <cellStyle name="AggGreen12 2 3 3 2 25" xfId="2942" xr:uid="{00000000-0005-0000-0000-00007E0B0000}"/>
    <cellStyle name="AggGreen12 2 3 3 2 26" xfId="2943" xr:uid="{00000000-0005-0000-0000-00007F0B0000}"/>
    <cellStyle name="AggGreen12 2 3 3 2 27" xfId="2944" xr:uid="{00000000-0005-0000-0000-0000800B0000}"/>
    <cellStyle name="AggGreen12 2 3 3 2 28" xfId="2945" xr:uid="{00000000-0005-0000-0000-0000810B0000}"/>
    <cellStyle name="AggGreen12 2 3 3 2 29" xfId="2946" xr:uid="{00000000-0005-0000-0000-0000820B0000}"/>
    <cellStyle name="AggGreen12 2 3 3 2 3" xfId="2947" xr:uid="{00000000-0005-0000-0000-0000830B0000}"/>
    <cellStyle name="AggGreen12 2 3 3 2 30" xfId="2948" xr:uid="{00000000-0005-0000-0000-0000840B0000}"/>
    <cellStyle name="AggGreen12 2 3 3 2 31" xfId="2949" xr:uid="{00000000-0005-0000-0000-0000850B0000}"/>
    <cellStyle name="AggGreen12 2 3 3 2 32" xfId="2950" xr:uid="{00000000-0005-0000-0000-0000860B0000}"/>
    <cellStyle name="AggGreen12 2 3 3 2 33" xfId="2951" xr:uid="{00000000-0005-0000-0000-0000870B0000}"/>
    <cellStyle name="AggGreen12 2 3 3 2 34" xfId="2952" xr:uid="{00000000-0005-0000-0000-0000880B0000}"/>
    <cellStyle name="AggGreen12 2 3 3 2 35" xfId="2953" xr:uid="{00000000-0005-0000-0000-0000890B0000}"/>
    <cellStyle name="AggGreen12 2 3 3 2 36" xfId="2954" xr:uid="{00000000-0005-0000-0000-00008A0B0000}"/>
    <cellStyle name="AggGreen12 2 3 3 2 37" xfId="2955" xr:uid="{00000000-0005-0000-0000-00008B0B0000}"/>
    <cellStyle name="AggGreen12 2 3 3 2 38" xfId="2956" xr:uid="{00000000-0005-0000-0000-00008C0B0000}"/>
    <cellStyle name="AggGreen12 2 3 3 2 39" xfId="2957" xr:uid="{00000000-0005-0000-0000-00008D0B0000}"/>
    <cellStyle name="AggGreen12 2 3 3 2 4" xfId="2958" xr:uid="{00000000-0005-0000-0000-00008E0B0000}"/>
    <cellStyle name="AggGreen12 2 3 3 2 40" xfId="2959" xr:uid="{00000000-0005-0000-0000-00008F0B0000}"/>
    <cellStyle name="AggGreen12 2 3 3 2 41" xfId="2960" xr:uid="{00000000-0005-0000-0000-0000900B0000}"/>
    <cellStyle name="AggGreen12 2 3 3 2 42" xfId="2961" xr:uid="{00000000-0005-0000-0000-0000910B0000}"/>
    <cellStyle name="AggGreen12 2 3 3 2 43" xfId="2962" xr:uid="{00000000-0005-0000-0000-0000920B0000}"/>
    <cellStyle name="AggGreen12 2 3 3 2 44" xfId="2963" xr:uid="{00000000-0005-0000-0000-0000930B0000}"/>
    <cellStyle name="AggGreen12 2 3 3 2 45" xfId="2964" xr:uid="{00000000-0005-0000-0000-0000940B0000}"/>
    <cellStyle name="AggGreen12 2 3 3 2 46" xfId="2965" xr:uid="{00000000-0005-0000-0000-0000950B0000}"/>
    <cellStyle name="AggGreen12 2 3 3 2 47" xfId="2966" xr:uid="{00000000-0005-0000-0000-0000960B0000}"/>
    <cellStyle name="AggGreen12 2 3 3 2 48" xfId="2967" xr:uid="{00000000-0005-0000-0000-0000970B0000}"/>
    <cellStyle name="AggGreen12 2 3 3 2 49" xfId="2968" xr:uid="{00000000-0005-0000-0000-0000980B0000}"/>
    <cellStyle name="AggGreen12 2 3 3 2 5" xfId="2969" xr:uid="{00000000-0005-0000-0000-0000990B0000}"/>
    <cellStyle name="AggGreen12 2 3 3 2 50" xfId="2970" xr:uid="{00000000-0005-0000-0000-00009A0B0000}"/>
    <cellStyle name="AggGreen12 2 3 3 2 51" xfId="2971" xr:uid="{00000000-0005-0000-0000-00009B0B0000}"/>
    <cellStyle name="AggGreen12 2 3 3 2 52" xfId="2972" xr:uid="{00000000-0005-0000-0000-00009C0B0000}"/>
    <cellStyle name="AggGreen12 2 3 3 2 53" xfId="2973" xr:uid="{00000000-0005-0000-0000-00009D0B0000}"/>
    <cellStyle name="AggGreen12 2 3 3 2 54" xfId="2974" xr:uid="{00000000-0005-0000-0000-00009E0B0000}"/>
    <cellStyle name="AggGreen12 2 3 3 2 55" xfId="2975" xr:uid="{00000000-0005-0000-0000-00009F0B0000}"/>
    <cellStyle name="AggGreen12 2 3 3 2 56" xfId="2976" xr:uid="{00000000-0005-0000-0000-0000A00B0000}"/>
    <cellStyle name="AggGreen12 2 3 3 2 57" xfId="2977" xr:uid="{00000000-0005-0000-0000-0000A10B0000}"/>
    <cellStyle name="AggGreen12 2 3 3 2 58" xfId="2978" xr:uid="{00000000-0005-0000-0000-0000A20B0000}"/>
    <cellStyle name="AggGreen12 2 3 3 2 59" xfId="2979" xr:uid="{00000000-0005-0000-0000-0000A30B0000}"/>
    <cellStyle name="AggGreen12 2 3 3 2 6" xfId="2980" xr:uid="{00000000-0005-0000-0000-0000A40B0000}"/>
    <cellStyle name="AggGreen12 2 3 3 2 60" xfId="2981" xr:uid="{00000000-0005-0000-0000-0000A50B0000}"/>
    <cellStyle name="AggGreen12 2 3 3 2 61" xfId="2982" xr:uid="{00000000-0005-0000-0000-0000A60B0000}"/>
    <cellStyle name="AggGreen12 2 3 3 2 62" xfId="2983" xr:uid="{00000000-0005-0000-0000-0000A70B0000}"/>
    <cellStyle name="AggGreen12 2 3 3 2 63" xfId="2984" xr:uid="{00000000-0005-0000-0000-0000A80B0000}"/>
    <cellStyle name="AggGreen12 2 3 3 2 64" xfId="2985" xr:uid="{00000000-0005-0000-0000-0000A90B0000}"/>
    <cellStyle name="AggGreen12 2 3 3 2 65" xfId="2986" xr:uid="{00000000-0005-0000-0000-0000AA0B0000}"/>
    <cellStyle name="AggGreen12 2 3 3 2 7" xfId="2987" xr:uid="{00000000-0005-0000-0000-0000AB0B0000}"/>
    <cellStyle name="AggGreen12 2 3 3 2 8" xfId="2988" xr:uid="{00000000-0005-0000-0000-0000AC0B0000}"/>
    <cellStyle name="AggGreen12 2 3 3 2 9" xfId="2989" xr:uid="{00000000-0005-0000-0000-0000AD0B0000}"/>
    <cellStyle name="AggGreen12 2 3 3 20" xfId="2990" xr:uid="{00000000-0005-0000-0000-0000AE0B0000}"/>
    <cellStyle name="AggGreen12 2 3 3 21" xfId="2991" xr:uid="{00000000-0005-0000-0000-0000AF0B0000}"/>
    <cellStyle name="AggGreen12 2 3 3 22" xfId="2992" xr:uid="{00000000-0005-0000-0000-0000B00B0000}"/>
    <cellStyle name="AggGreen12 2 3 3 23" xfId="2993" xr:uid="{00000000-0005-0000-0000-0000B10B0000}"/>
    <cellStyle name="AggGreen12 2 3 3 24" xfId="2994" xr:uid="{00000000-0005-0000-0000-0000B20B0000}"/>
    <cellStyle name="AggGreen12 2 3 3 25" xfId="2995" xr:uid="{00000000-0005-0000-0000-0000B30B0000}"/>
    <cellStyle name="AggGreen12 2 3 3 26" xfId="2996" xr:uid="{00000000-0005-0000-0000-0000B40B0000}"/>
    <cellStyle name="AggGreen12 2 3 3 27" xfId="2997" xr:uid="{00000000-0005-0000-0000-0000B50B0000}"/>
    <cellStyle name="AggGreen12 2 3 3 28" xfId="2998" xr:uid="{00000000-0005-0000-0000-0000B60B0000}"/>
    <cellStyle name="AggGreen12 2 3 3 29" xfId="2999" xr:uid="{00000000-0005-0000-0000-0000B70B0000}"/>
    <cellStyle name="AggGreen12 2 3 3 3" xfId="3000" xr:uid="{00000000-0005-0000-0000-0000B80B0000}"/>
    <cellStyle name="AggGreen12 2 3 3 30" xfId="3001" xr:uid="{00000000-0005-0000-0000-0000B90B0000}"/>
    <cellStyle name="AggGreen12 2 3 3 31" xfId="3002" xr:uid="{00000000-0005-0000-0000-0000BA0B0000}"/>
    <cellStyle name="AggGreen12 2 3 3 32" xfId="3003" xr:uid="{00000000-0005-0000-0000-0000BB0B0000}"/>
    <cellStyle name="AggGreen12 2 3 3 33" xfId="3004" xr:uid="{00000000-0005-0000-0000-0000BC0B0000}"/>
    <cellStyle name="AggGreen12 2 3 3 34" xfId="3005" xr:uid="{00000000-0005-0000-0000-0000BD0B0000}"/>
    <cellStyle name="AggGreen12 2 3 3 35" xfId="3006" xr:uid="{00000000-0005-0000-0000-0000BE0B0000}"/>
    <cellStyle name="AggGreen12 2 3 3 36" xfId="3007" xr:uid="{00000000-0005-0000-0000-0000BF0B0000}"/>
    <cellStyle name="AggGreen12 2 3 3 37" xfId="3008" xr:uid="{00000000-0005-0000-0000-0000C00B0000}"/>
    <cellStyle name="AggGreen12 2 3 3 38" xfId="3009" xr:uid="{00000000-0005-0000-0000-0000C10B0000}"/>
    <cellStyle name="AggGreen12 2 3 3 39" xfId="3010" xr:uid="{00000000-0005-0000-0000-0000C20B0000}"/>
    <cellStyle name="AggGreen12 2 3 3 4" xfId="3011" xr:uid="{00000000-0005-0000-0000-0000C30B0000}"/>
    <cellStyle name="AggGreen12 2 3 3 40" xfId="3012" xr:uid="{00000000-0005-0000-0000-0000C40B0000}"/>
    <cellStyle name="AggGreen12 2 3 3 41" xfId="3013" xr:uid="{00000000-0005-0000-0000-0000C50B0000}"/>
    <cellStyle name="AggGreen12 2 3 3 42" xfId="3014" xr:uid="{00000000-0005-0000-0000-0000C60B0000}"/>
    <cellStyle name="AggGreen12 2 3 3 43" xfId="3015" xr:uid="{00000000-0005-0000-0000-0000C70B0000}"/>
    <cellStyle name="AggGreen12 2 3 3 44" xfId="3016" xr:uid="{00000000-0005-0000-0000-0000C80B0000}"/>
    <cellStyle name="AggGreen12 2 3 3 45" xfId="3017" xr:uid="{00000000-0005-0000-0000-0000C90B0000}"/>
    <cellStyle name="AggGreen12 2 3 3 46" xfId="3018" xr:uid="{00000000-0005-0000-0000-0000CA0B0000}"/>
    <cellStyle name="AggGreen12 2 3 3 47" xfId="3019" xr:uid="{00000000-0005-0000-0000-0000CB0B0000}"/>
    <cellStyle name="AggGreen12 2 3 3 48" xfId="3020" xr:uid="{00000000-0005-0000-0000-0000CC0B0000}"/>
    <cellStyle name="AggGreen12 2 3 3 49" xfId="3021" xr:uid="{00000000-0005-0000-0000-0000CD0B0000}"/>
    <cellStyle name="AggGreen12 2 3 3 5" xfId="3022" xr:uid="{00000000-0005-0000-0000-0000CE0B0000}"/>
    <cellStyle name="AggGreen12 2 3 3 50" xfId="3023" xr:uid="{00000000-0005-0000-0000-0000CF0B0000}"/>
    <cellStyle name="AggGreen12 2 3 3 51" xfId="3024" xr:uid="{00000000-0005-0000-0000-0000D00B0000}"/>
    <cellStyle name="AggGreen12 2 3 3 52" xfId="3025" xr:uid="{00000000-0005-0000-0000-0000D10B0000}"/>
    <cellStyle name="AggGreen12 2 3 3 53" xfId="3026" xr:uid="{00000000-0005-0000-0000-0000D20B0000}"/>
    <cellStyle name="AggGreen12 2 3 3 54" xfId="3027" xr:uid="{00000000-0005-0000-0000-0000D30B0000}"/>
    <cellStyle name="AggGreen12 2 3 3 55" xfId="3028" xr:uid="{00000000-0005-0000-0000-0000D40B0000}"/>
    <cellStyle name="AggGreen12 2 3 3 56" xfId="3029" xr:uid="{00000000-0005-0000-0000-0000D50B0000}"/>
    <cellStyle name="AggGreen12 2 3 3 57" xfId="3030" xr:uid="{00000000-0005-0000-0000-0000D60B0000}"/>
    <cellStyle name="AggGreen12 2 3 3 58" xfId="3031" xr:uid="{00000000-0005-0000-0000-0000D70B0000}"/>
    <cellStyle name="AggGreen12 2 3 3 59" xfId="3032" xr:uid="{00000000-0005-0000-0000-0000D80B0000}"/>
    <cellStyle name="AggGreen12 2 3 3 6" xfId="3033" xr:uid="{00000000-0005-0000-0000-0000D90B0000}"/>
    <cellStyle name="AggGreen12 2 3 3 60" xfId="3034" xr:uid="{00000000-0005-0000-0000-0000DA0B0000}"/>
    <cellStyle name="AggGreen12 2 3 3 61" xfId="3035" xr:uid="{00000000-0005-0000-0000-0000DB0B0000}"/>
    <cellStyle name="AggGreen12 2 3 3 62" xfId="3036" xr:uid="{00000000-0005-0000-0000-0000DC0B0000}"/>
    <cellStyle name="AggGreen12 2 3 3 63" xfId="3037" xr:uid="{00000000-0005-0000-0000-0000DD0B0000}"/>
    <cellStyle name="AggGreen12 2 3 3 64" xfId="3038" xr:uid="{00000000-0005-0000-0000-0000DE0B0000}"/>
    <cellStyle name="AggGreen12 2 3 3 65" xfId="3039" xr:uid="{00000000-0005-0000-0000-0000DF0B0000}"/>
    <cellStyle name="AggGreen12 2 3 3 66" xfId="3040" xr:uid="{00000000-0005-0000-0000-0000E00B0000}"/>
    <cellStyle name="AggGreen12 2 3 3 7" xfId="3041" xr:uid="{00000000-0005-0000-0000-0000E10B0000}"/>
    <cellStyle name="AggGreen12 2 3 3 8" xfId="3042" xr:uid="{00000000-0005-0000-0000-0000E20B0000}"/>
    <cellStyle name="AggGreen12 2 3 3 9" xfId="3043" xr:uid="{00000000-0005-0000-0000-0000E30B0000}"/>
    <cellStyle name="AggGreen12 2 3 30" xfId="3044" xr:uid="{00000000-0005-0000-0000-0000E40B0000}"/>
    <cellStyle name="AggGreen12 2 3 31" xfId="3045" xr:uid="{00000000-0005-0000-0000-0000E50B0000}"/>
    <cellStyle name="AggGreen12 2 3 32" xfId="3046" xr:uid="{00000000-0005-0000-0000-0000E60B0000}"/>
    <cellStyle name="AggGreen12 2 3 33" xfId="3047" xr:uid="{00000000-0005-0000-0000-0000E70B0000}"/>
    <cellStyle name="AggGreen12 2 3 34" xfId="3048" xr:uid="{00000000-0005-0000-0000-0000E80B0000}"/>
    <cellStyle name="AggGreen12 2 3 35" xfId="3049" xr:uid="{00000000-0005-0000-0000-0000E90B0000}"/>
    <cellStyle name="AggGreen12 2 3 36" xfId="3050" xr:uid="{00000000-0005-0000-0000-0000EA0B0000}"/>
    <cellStyle name="AggGreen12 2 3 37" xfId="3051" xr:uid="{00000000-0005-0000-0000-0000EB0B0000}"/>
    <cellStyle name="AggGreen12 2 3 38" xfId="3052" xr:uid="{00000000-0005-0000-0000-0000EC0B0000}"/>
    <cellStyle name="AggGreen12 2 3 39" xfId="3053" xr:uid="{00000000-0005-0000-0000-0000ED0B0000}"/>
    <cellStyle name="AggGreen12 2 3 4" xfId="3054" xr:uid="{00000000-0005-0000-0000-0000EE0B0000}"/>
    <cellStyle name="AggGreen12 2 3 4 10" xfId="3055" xr:uid="{00000000-0005-0000-0000-0000EF0B0000}"/>
    <cellStyle name="AggGreen12 2 3 4 11" xfId="3056" xr:uid="{00000000-0005-0000-0000-0000F00B0000}"/>
    <cellStyle name="AggGreen12 2 3 4 12" xfId="3057" xr:uid="{00000000-0005-0000-0000-0000F10B0000}"/>
    <cellStyle name="AggGreen12 2 3 4 13" xfId="3058" xr:uid="{00000000-0005-0000-0000-0000F20B0000}"/>
    <cellStyle name="AggGreen12 2 3 4 14" xfId="3059" xr:uid="{00000000-0005-0000-0000-0000F30B0000}"/>
    <cellStyle name="AggGreen12 2 3 4 15" xfId="3060" xr:uid="{00000000-0005-0000-0000-0000F40B0000}"/>
    <cellStyle name="AggGreen12 2 3 4 16" xfId="3061" xr:uid="{00000000-0005-0000-0000-0000F50B0000}"/>
    <cellStyle name="AggGreen12 2 3 4 17" xfId="3062" xr:uid="{00000000-0005-0000-0000-0000F60B0000}"/>
    <cellStyle name="AggGreen12 2 3 4 18" xfId="3063" xr:uid="{00000000-0005-0000-0000-0000F70B0000}"/>
    <cellStyle name="AggGreen12 2 3 4 19" xfId="3064" xr:uid="{00000000-0005-0000-0000-0000F80B0000}"/>
    <cellStyle name="AggGreen12 2 3 4 2" xfId="3065" xr:uid="{00000000-0005-0000-0000-0000F90B0000}"/>
    <cellStyle name="AggGreen12 2 3 4 2 10" xfId="3066" xr:uid="{00000000-0005-0000-0000-0000FA0B0000}"/>
    <cellStyle name="AggGreen12 2 3 4 2 11" xfId="3067" xr:uid="{00000000-0005-0000-0000-0000FB0B0000}"/>
    <cellStyle name="AggGreen12 2 3 4 2 12" xfId="3068" xr:uid="{00000000-0005-0000-0000-0000FC0B0000}"/>
    <cellStyle name="AggGreen12 2 3 4 2 13" xfId="3069" xr:uid="{00000000-0005-0000-0000-0000FD0B0000}"/>
    <cellStyle name="AggGreen12 2 3 4 2 14" xfId="3070" xr:uid="{00000000-0005-0000-0000-0000FE0B0000}"/>
    <cellStyle name="AggGreen12 2 3 4 2 15" xfId="3071" xr:uid="{00000000-0005-0000-0000-0000FF0B0000}"/>
    <cellStyle name="AggGreen12 2 3 4 2 16" xfId="3072" xr:uid="{00000000-0005-0000-0000-0000000C0000}"/>
    <cellStyle name="AggGreen12 2 3 4 2 17" xfId="3073" xr:uid="{00000000-0005-0000-0000-0000010C0000}"/>
    <cellStyle name="AggGreen12 2 3 4 2 18" xfId="3074" xr:uid="{00000000-0005-0000-0000-0000020C0000}"/>
    <cellStyle name="AggGreen12 2 3 4 2 19" xfId="3075" xr:uid="{00000000-0005-0000-0000-0000030C0000}"/>
    <cellStyle name="AggGreen12 2 3 4 2 2" xfId="3076" xr:uid="{00000000-0005-0000-0000-0000040C0000}"/>
    <cellStyle name="AggGreen12 2 3 4 2 20" xfId="3077" xr:uid="{00000000-0005-0000-0000-0000050C0000}"/>
    <cellStyle name="AggGreen12 2 3 4 2 21" xfId="3078" xr:uid="{00000000-0005-0000-0000-0000060C0000}"/>
    <cellStyle name="AggGreen12 2 3 4 2 22" xfId="3079" xr:uid="{00000000-0005-0000-0000-0000070C0000}"/>
    <cellStyle name="AggGreen12 2 3 4 2 23" xfId="3080" xr:uid="{00000000-0005-0000-0000-0000080C0000}"/>
    <cellStyle name="AggGreen12 2 3 4 2 24" xfId="3081" xr:uid="{00000000-0005-0000-0000-0000090C0000}"/>
    <cellStyle name="AggGreen12 2 3 4 2 25" xfId="3082" xr:uid="{00000000-0005-0000-0000-00000A0C0000}"/>
    <cellStyle name="AggGreen12 2 3 4 2 26" xfId="3083" xr:uid="{00000000-0005-0000-0000-00000B0C0000}"/>
    <cellStyle name="AggGreen12 2 3 4 2 27" xfId="3084" xr:uid="{00000000-0005-0000-0000-00000C0C0000}"/>
    <cellStyle name="AggGreen12 2 3 4 2 28" xfId="3085" xr:uid="{00000000-0005-0000-0000-00000D0C0000}"/>
    <cellStyle name="AggGreen12 2 3 4 2 29" xfId="3086" xr:uid="{00000000-0005-0000-0000-00000E0C0000}"/>
    <cellStyle name="AggGreen12 2 3 4 2 3" xfId="3087" xr:uid="{00000000-0005-0000-0000-00000F0C0000}"/>
    <cellStyle name="AggGreen12 2 3 4 2 30" xfId="3088" xr:uid="{00000000-0005-0000-0000-0000100C0000}"/>
    <cellStyle name="AggGreen12 2 3 4 2 31" xfId="3089" xr:uid="{00000000-0005-0000-0000-0000110C0000}"/>
    <cellStyle name="AggGreen12 2 3 4 2 32" xfId="3090" xr:uid="{00000000-0005-0000-0000-0000120C0000}"/>
    <cellStyle name="AggGreen12 2 3 4 2 33" xfId="3091" xr:uid="{00000000-0005-0000-0000-0000130C0000}"/>
    <cellStyle name="AggGreen12 2 3 4 2 34" xfId="3092" xr:uid="{00000000-0005-0000-0000-0000140C0000}"/>
    <cellStyle name="AggGreen12 2 3 4 2 35" xfId="3093" xr:uid="{00000000-0005-0000-0000-0000150C0000}"/>
    <cellStyle name="AggGreen12 2 3 4 2 36" xfId="3094" xr:uid="{00000000-0005-0000-0000-0000160C0000}"/>
    <cellStyle name="AggGreen12 2 3 4 2 37" xfId="3095" xr:uid="{00000000-0005-0000-0000-0000170C0000}"/>
    <cellStyle name="AggGreen12 2 3 4 2 38" xfId="3096" xr:uid="{00000000-0005-0000-0000-0000180C0000}"/>
    <cellStyle name="AggGreen12 2 3 4 2 39" xfId="3097" xr:uid="{00000000-0005-0000-0000-0000190C0000}"/>
    <cellStyle name="AggGreen12 2 3 4 2 4" xfId="3098" xr:uid="{00000000-0005-0000-0000-00001A0C0000}"/>
    <cellStyle name="AggGreen12 2 3 4 2 40" xfId="3099" xr:uid="{00000000-0005-0000-0000-00001B0C0000}"/>
    <cellStyle name="AggGreen12 2 3 4 2 41" xfId="3100" xr:uid="{00000000-0005-0000-0000-00001C0C0000}"/>
    <cellStyle name="AggGreen12 2 3 4 2 42" xfId="3101" xr:uid="{00000000-0005-0000-0000-00001D0C0000}"/>
    <cellStyle name="AggGreen12 2 3 4 2 43" xfId="3102" xr:uid="{00000000-0005-0000-0000-00001E0C0000}"/>
    <cellStyle name="AggGreen12 2 3 4 2 44" xfId="3103" xr:uid="{00000000-0005-0000-0000-00001F0C0000}"/>
    <cellStyle name="AggGreen12 2 3 4 2 45" xfId="3104" xr:uid="{00000000-0005-0000-0000-0000200C0000}"/>
    <cellStyle name="AggGreen12 2 3 4 2 46" xfId="3105" xr:uid="{00000000-0005-0000-0000-0000210C0000}"/>
    <cellStyle name="AggGreen12 2 3 4 2 47" xfId="3106" xr:uid="{00000000-0005-0000-0000-0000220C0000}"/>
    <cellStyle name="AggGreen12 2 3 4 2 48" xfId="3107" xr:uid="{00000000-0005-0000-0000-0000230C0000}"/>
    <cellStyle name="AggGreen12 2 3 4 2 49" xfId="3108" xr:uid="{00000000-0005-0000-0000-0000240C0000}"/>
    <cellStyle name="AggGreen12 2 3 4 2 5" xfId="3109" xr:uid="{00000000-0005-0000-0000-0000250C0000}"/>
    <cellStyle name="AggGreen12 2 3 4 2 50" xfId="3110" xr:uid="{00000000-0005-0000-0000-0000260C0000}"/>
    <cellStyle name="AggGreen12 2 3 4 2 51" xfId="3111" xr:uid="{00000000-0005-0000-0000-0000270C0000}"/>
    <cellStyle name="AggGreen12 2 3 4 2 52" xfId="3112" xr:uid="{00000000-0005-0000-0000-0000280C0000}"/>
    <cellStyle name="AggGreen12 2 3 4 2 53" xfId="3113" xr:uid="{00000000-0005-0000-0000-0000290C0000}"/>
    <cellStyle name="AggGreen12 2 3 4 2 54" xfId="3114" xr:uid="{00000000-0005-0000-0000-00002A0C0000}"/>
    <cellStyle name="AggGreen12 2 3 4 2 55" xfId="3115" xr:uid="{00000000-0005-0000-0000-00002B0C0000}"/>
    <cellStyle name="AggGreen12 2 3 4 2 56" xfId="3116" xr:uid="{00000000-0005-0000-0000-00002C0C0000}"/>
    <cellStyle name="AggGreen12 2 3 4 2 57" xfId="3117" xr:uid="{00000000-0005-0000-0000-00002D0C0000}"/>
    <cellStyle name="AggGreen12 2 3 4 2 58" xfId="3118" xr:uid="{00000000-0005-0000-0000-00002E0C0000}"/>
    <cellStyle name="AggGreen12 2 3 4 2 59" xfId="3119" xr:uid="{00000000-0005-0000-0000-00002F0C0000}"/>
    <cellStyle name="AggGreen12 2 3 4 2 6" xfId="3120" xr:uid="{00000000-0005-0000-0000-0000300C0000}"/>
    <cellStyle name="AggGreen12 2 3 4 2 60" xfId="3121" xr:uid="{00000000-0005-0000-0000-0000310C0000}"/>
    <cellStyle name="AggGreen12 2 3 4 2 61" xfId="3122" xr:uid="{00000000-0005-0000-0000-0000320C0000}"/>
    <cellStyle name="AggGreen12 2 3 4 2 62" xfId="3123" xr:uid="{00000000-0005-0000-0000-0000330C0000}"/>
    <cellStyle name="AggGreen12 2 3 4 2 63" xfId="3124" xr:uid="{00000000-0005-0000-0000-0000340C0000}"/>
    <cellStyle name="AggGreen12 2 3 4 2 64" xfId="3125" xr:uid="{00000000-0005-0000-0000-0000350C0000}"/>
    <cellStyle name="AggGreen12 2 3 4 2 65" xfId="3126" xr:uid="{00000000-0005-0000-0000-0000360C0000}"/>
    <cellStyle name="AggGreen12 2 3 4 2 7" xfId="3127" xr:uid="{00000000-0005-0000-0000-0000370C0000}"/>
    <cellStyle name="AggGreen12 2 3 4 2 8" xfId="3128" xr:uid="{00000000-0005-0000-0000-0000380C0000}"/>
    <cellStyle name="AggGreen12 2 3 4 2 9" xfId="3129" xr:uid="{00000000-0005-0000-0000-0000390C0000}"/>
    <cellStyle name="AggGreen12 2 3 4 20" xfId="3130" xr:uid="{00000000-0005-0000-0000-00003A0C0000}"/>
    <cellStyle name="AggGreen12 2 3 4 21" xfId="3131" xr:uid="{00000000-0005-0000-0000-00003B0C0000}"/>
    <cellStyle name="AggGreen12 2 3 4 22" xfId="3132" xr:uid="{00000000-0005-0000-0000-00003C0C0000}"/>
    <cellStyle name="AggGreen12 2 3 4 23" xfId="3133" xr:uid="{00000000-0005-0000-0000-00003D0C0000}"/>
    <cellStyle name="AggGreen12 2 3 4 24" xfId="3134" xr:uid="{00000000-0005-0000-0000-00003E0C0000}"/>
    <cellStyle name="AggGreen12 2 3 4 25" xfId="3135" xr:uid="{00000000-0005-0000-0000-00003F0C0000}"/>
    <cellStyle name="AggGreen12 2 3 4 26" xfId="3136" xr:uid="{00000000-0005-0000-0000-0000400C0000}"/>
    <cellStyle name="AggGreen12 2 3 4 27" xfId="3137" xr:uid="{00000000-0005-0000-0000-0000410C0000}"/>
    <cellStyle name="AggGreen12 2 3 4 28" xfId="3138" xr:uid="{00000000-0005-0000-0000-0000420C0000}"/>
    <cellStyle name="AggGreen12 2 3 4 29" xfId="3139" xr:uid="{00000000-0005-0000-0000-0000430C0000}"/>
    <cellStyle name="AggGreen12 2 3 4 3" xfId="3140" xr:uid="{00000000-0005-0000-0000-0000440C0000}"/>
    <cellStyle name="AggGreen12 2 3 4 30" xfId="3141" xr:uid="{00000000-0005-0000-0000-0000450C0000}"/>
    <cellStyle name="AggGreen12 2 3 4 31" xfId="3142" xr:uid="{00000000-0005-0000-0000-0000460C0000}"/>
    <cellStyle name="AggGreen12 2 3 4 32" xfId="3143" xr:uid="{00000000-0005-0000-0000-0000470C0000}"/>
    <cellStyle name="AggGreen12 2 3 4 33" xfId="3144" xr:uid="{00000000-0005-0000-0000-0000480C0000}"/>
    <cellStyle name="AggGreen12 2 3 4 34" xfId="3145" xr:uid="{00000000-0005-0000-0000-0000490C0000}"/>
    <cellStyle name="AggGreen12 2 3 4 35" xfId="3146" xr:uid="{00000000-0005-0000-0000-00004A0C0000}"/>
    <cellStyle name="AggGreen12 2 3 4 36" xfId="3147" xr:uid="{00000000-0005-0000-0000-00004B0C0000}"/>
    <cellStyle name="AggGreen12 2 3 4 37" xfId="3148" xr:uid="{00000000-0005-0000-0000-00004C0C0000}"/>
    <cellStyle name="AggGreen12 2 3 4 38" xfId="3149" xr:uid="{00000000-0005-0000-0000-00004D0C0000}"/>
    <cellStyle name="AggGreen12 2 3 4 39" xfId="3150" xr:uid="{00000000-0005-0000-0000-00004E0C0000}"/>
    <cellStyle name="AggGreen12 2 3 4 4" xfId="3151" xr:uid="{00000000-0005-0000-0000-00004F0C0000}"/>
    <cellStyle name="AggGreen12 2 3 4 40" xfId="3152" xr:uid="{00000000-0005-0000-0000-0000500C0000}"/>
    <cellStyle name="AggGreen12 2 3 4 41" xfId="3153" xr:uid="{00000000-0005-0000-0000-0000510C0000}"/>
    <cellStyle name="AggGreen12 2 3 4 42" xfId="3154" xr:uid="{00000000-0005-0000-0000-0000520C0000}"/>
    <cellStyle name="AggGreen12 2 3 4 43" xfId="3155" xr:uid="{00000000-0005-0000-0000-0000530C0000}"/>
    <cellStyle name="AggGreen12 2 3 4 44" xfId="3156" xr:uid="{00000000-0005-0000-0000-0000540C0000}"/>
    <cellStyle name="AggGreen12 2 3 4 45" xfId="3157" xr:uid="{00000000-0005-0000-0000-0000550C0000}"/>
    <cellStyle name="AggGreen12 2 3 4 46" xfId="3158" xr:uid="{00000000-0005-0000-0000-0000560C0000}"/>
    <cellStyle name="AggGreen12 2 3 4 47" xfId="3159" xr:uid="{00000000-0005-0000-0000-0000570C0000}"/>
    <cellStyle name="AggGreen12 2 3 4 48" xfId="3160" xr:uid="{00000000-0005-0000-0000-0000580C0000}"/>
    <cellStyle name="AggGreen12 2 3 4 49" xfId="3161" xr:uid="{00000000-0005-0000-0000-0000590C0000}"/>
    <cellStyle name="AggGreen12 2 3 4 5" xfId="3162" xr:uid="{00000000-0005-0000-0000-00005A0C0000}"/>
    <cellStyle name="AggGreen12 2 3 4 50" xfId="3163" xr:uid="{00000000-0005-0000-0000-00005B0C0000}"/>
    <cellStyle name="AggGreen12 2 3 4 51" xfId="3164" xr:uid="{00000000-0005-0000-0000-00005C0C0000}"/>
    <cellStyle name="AggGreen12 2 3 4 52" xfId="3165" xr:uid="{00000000-0005-0000-0000-00005D0C0000}"/>
    <cellStyle name="AggGreen12 2 3 4 53" xfId="3166" xr:uid="{00000000-0005-0000-0000-00005E0C0000}"/>
    <cellStyle name="AggGreen12 2 3 4 54" xfId="3167" xr:uid="{00000000-0005-0000-0000-00005F0C0000}"/>
    <cellStyle name="AggGreen12 2 3 4 55" xfId="3168" xr:uid="{00000000-0005-0000-0000-0000600C0000}"/>
    <cellStyle name="AggGreen12 2 3 4 56" xfId="3169" xr:uid="{00000000-0005-0000-0000-0000610C0000}"/>
    <cellStyle name="AggGreen12 2 3 4 57" xfId="3170" xr:uid="{00000000-0005-0000-0000-0000620C0000}"/>
    <cellStyle name="AggGreen12 2 3 4 58" xfId="3171" xr:uid="{00000000-0005-0000-0000-0000630C0000}"/>
    <cellStyle name="AggGreen12 2 3 4 59" xfId="3172" xr:uid="{00000000-0005-0000-0000-0000640C0000}"/>
    <cellStyle name="AggGreen12 2 3 4 6" xfId="3173" xr:uid="{00000000-0005-0000-0000-0000650C0000}"/>
    <cellStyle name="AggGreen12 2 3 4 60" xfId="3174" xr:uid="{00000000-0005-0000-0000-0000660C0000}"/>
    <cellStyle name="AggGreen12 2 3 4 61" xfId="3175" xr:uid="{00000000-0005-0000-0000-0000670C0000}"/>
    <cellStyle name="AggGreen12 2 3 4 62" xfId="3176" xr:uid="{00000000-0005-0000-0000-0000680C0000}"/>
    <cellStyle name="AggGreen12 2 3 4 63" xfId="3177" xr:uid="{00000000-0005-0000-0000-0000690C0000}"/>
    <cellStyle name="AggGreen12 2 3 4 64" xfId="3178" xr:uid="{00000000-0005-0000-0000-00006A0C0000}"/>
    <cellStyle name="AggGreen12 2 3 4 65" xfId="3179" xr:uid="{00000000-0005-0000-0000-00006B0C0000}"/>
    <cellStyle name="AggGreen12 2 3 4 66" xfId="3180" xr:uid="{00000000-0005-0000-0000-00006C0C0000}"/>
    <cellStyle name="AggGreen12 2 3 4 7" xfId="3181" xr:uid="{00000000-0005-0000-0000-00006D0C0000}"/>
    <cellStyle name="AggGreen12 2 3 4 8" xfId="3182" xr:uid="{00000000-0005-0000-0000-00006E0C0000}"/>
    <cellStyle name="AggGreen12 2 3 4 9" xfId="3183" xr:uid="{00000000-0005-0000-0000-00006F0C0000}"/>
    <cellStyle name="AggGreen12 2 3 40" xfId="3184" xr:uid="{00000000-0005-0000-0000-0000700C0000}"/>
    <cellStyle name="AggGreen12 2 3 41" xfId="3185" xr:uid="{00000000-0005-0000-0000-0000710C0000}"/>
    <cellStyle name="AggGreen12 2 3 42" xfId="3186" xr:uid="{00000000-0005-0000-0000-0000720C0000}"/>
    <cellStyle name="AggGreen12 2 3 43" xfId="3187" xr:uid="{00000000-0005-0000-0000-0000730C0000}"/>
    <cellStyle name="AggGreen12 2 3 44" xfId="3188" xr:uid="{00000000-0005-0000-0000-0000740C0000}"/>
    <cellStyle name="AggGreen12 2 3 45" xfId="3189" xr:uid="{00000000-0005-0000-0000-0000750C0000}"/>
    <cellStyle name="AggGreen12 2 3 46" xfId="3190" xr:uid="{00000000-0005-0000-0000-0000760C0000}"/>
    <cellStyle name="AggGreen12 2 3 47" xfId="3191" xr:uid="{00000000-0005-0000-0000-0000770C0000}"/>
    <cellStyle name="AggGreen12 2 3 48" xfId="3192" xr:uid="{00000000-0005-0000-0000-0000780C0000}"/>
    <cellStyle name="AggGreen12 2 3 49" xfId="3193" xr:uid="{00000000-0005-0000-0000-0000790C0000}"/>
    <cellStyle name="AggGreen12 2 3 5" xfId="3194" xr:uid="{00000000-0005-0000-0000-00007A0C0000}"/>
    <cellStyle name="AggGreen12 2 3 50" xfId="3195" xr:uid="{00000000-0005-0000-0000-00007B0C0000}"/>
    <cellStyle name="AggGreen12 2 3 51" xfId="3196" xr:uid="{00000000-0005-0000-0000-00007C0C0000}"/>
    <cellStyle name="AggGreen12 2 3 52" xfId="3197" xr:uid="{00000000-0005-0000-0000-00007D0C0000}"/>
    <cellStyle name="AggGreen12 2 3 53" xfId="3198" xr:uid="{00000000-0005-0000-0000-00007E0C0000}"/>
    <cellStyle name="AggGreen12 2 3 54" xfId="3199" xr:uid="{00000000-0005-0000-0000-00007F0C0000}"/>
    <cellStyle name="AggGreen12 2 3 55" xfId="3200" xr:uid="{00000000-0005-0000-0000-0000800C0000}"/>
    <cellStyle name="AggGreen12 2 3 56" xfId="3201" xr:uid="{00000000-0005-0000-0000-0000810C0000}"/>
    <cellStyle name="AggGreen12 2 3 57" xfId="3202" xr:uid="{00000000-0005-0000-0000-0000820C0000}"/>
    <cellStyle name="AggGreen12 2 3 58" xfId="3203" xr:uid="{00000000-0005-0000-0000-0000830C0000}"/>
    <cellStyle name="AggGreen12 2 3 59" xfId="3204" xr:uid="{00000000-0005-0000-0000-0000840C0000}"/>
    <cellStyle name="AggGreen12 2 3 6" xfId="3205" xr:uid="{00000000-0005-0000-0000-0000850C0000}"/>
    <cellStyle name="AggGreen12 2 3 60" xfId="3206" xr:uid="{00000000-0005-0000-0000-0000860C0000}"/>
    <cellStyle name="AggGreen12 2 3 61" xfId="3207" xr:uid="{00000000-0005-0000-0000-0000870C0000}"/>
    <cellStyle name="AggGreen12 2 3 62" xfId="3208" xr:uid="{00000000-0005-0000-0000-0000880C0000}"/>
    <cellStyle name="AggGreen12 2 3 63" xfId="3209" xr:uid="{00000000-0005-0000-0000-0000890C0000}"/>
    <cellStyle name="AggGreen12 2 3 64" xfId="3210" xr:uid="{00000000-0005-0000-0000-00008A0C0000}"/>
    <cellStyle name="AggGreen12 2 3 65" xfId="3211" xr:uid="{00000000-0005-0000-0000-00008B0C0000}"/>
    <cellStyle name="AggGreen12 2 3 66" xfId="3212" xr:uid="{00000000-0005-0000-0000-00008C0C0000}"/>
    <cellStyle name="AggGreen12 2 3 67" xfId="3213" xr:uid="{00000000-0005-0000-0000-00008D0C0000}"/>
    <cellStyle name="AggGreen12 2 3 68" xfId="3214" xr:uid="{00000000-0005-0000-0000-00008E0C0000}"/>
    <cellStyle name="AggGreen12 2 3 7" xfId="3215" xr:uid="{00000000-0005-0000-0000-00008F0C0000}"/>
    <cellStyle name="AggGreen12 2 3 8" xfId="3216" xr:uid="{00000000-0005-0000-0000-0000900C0000}"/>
    <cellStyle name="AggGreen12 2 3 9" xfId="3217" xr:uid="{00000000-0005-0000-0000-0000910C0000}"/>
    <cellStyle name="AggGreen12 3" xfId="3218" xr:uid="{00000000-0005-0000-0000-0000920C0000}"/>
    <cellStyle name="AggGreen12 3 2" xfId="3219" xr:uid="{00000000-0005-0000-0000-0000930C0000}"/>
    <cellStyle name="AggGreen12 3 2 10" xfId="3220" xr:uid="{00000000-0005-0000-0000-0000940C0000}"/>
    <cellStyle name="AggGreen12 3 2 11" xfId="3221" xr:uid="{00000000-0005-0000-0000-0000950C0000}"/>
    <cellStyle name="AggGreen12 3 2 12" xfId="3222" xr:uid="{00000000-0005-0000-0000-0000960C0000}"/>
    <cellStyle name="AggGreen12 3 2 13" xfId="3223" xr:uid="{00000000-0005-0000-0000-0000970C0000}"/>
    <cellStyle name="AggGreen12 3 2 14" xfId="3224" xr:uid="{00000000-0005-0000-0000-0000980C0000}"/>
    <cellStyle name="AggGreen12 3 2 15" xfId="3225" xr:uid="{00000000-0005-0000-0000-0000990C0000}"/>
    <cellStyle name="AggGreen12 3 2 16" xfId="3226" xr:uid="{00000000-0005-0000-0000-00009A0C0000}"/>
    <cellStyle name="AggGreen12 3 2 17" xfId="3227" xr:uid="{00000000-0005-0000-0000-00009B0C0000}"/>
    <cellStyle name="AggGreen12 3 2 18" xfId="3228" xr:uid="{00000000-0005-0000-0000-00009C0C0000}"/>
    <cellStyle name="AggGreen12 3 2 19" xfId="3229" xr:uid="{00000000-0005-0000-0000-00009D0C0000}"/>
    <cellStyle name="AggGreen12 3 2 2" xfId="3230" xr:uid="{00000000-0005-0000-0000-00009E0C0000}"/>
    <cellStyle name="AggGreen12 3 2 2 10" xfId="3231" xr:uid="{00000000-0005-0000-0000-00009F0C0000}"/>
    <cellStyle name="AggGreen12 3 2 2 11" xfId="3232" xr:uid="{00000000-0005-0000-0000-0000A00C0000}"/>
    <cellStyle name="AggGreen12 3 2 2 12" xfId="3233" xr:uid="{00000000-0005-0000-0000-0000A10C0000}"/>
    <cellStyle name="AggGreen12 3 2 2 13" xfId="3234" xr:uid="{00000000-0005-0000-0000-0000A20C0000}"/>
    <cellStyle name="AggGreen12 3 2 2 14" xfId="3235" xr:uid="{00000000-0005-0000-0000-0000A30C0000}"/>
    <cellStyle name="AggGreen12 3 2 2 15" xfId="3236" xr:uid="{00000000-0005-0000-0000-0000A40C0000}"/>
    <cellStyle name="AggGreen12 3 2 2 16" xfId="3237" xr:uid="{00000000-0005-0000-0000-0000A50C0000}"/>
    <cellStyle name="AggGreen12 3 2 2 17" xfId="3238" xr:uid="{00000000-0005-0000-0000-0000A60C0000}"/>
    <cellStyle name="AggGreen12 3 2 2 18" xfId="3239" xr:uid="{00000000-0005-0000-0000-0000A70C0000}"/>
    <cellStyle name="AggGreen12 3 2 2 19" xfId="3240" xr:uid="{00000000-0005-0000-0000-0000A80C0000}"/>
    <cellStyle name="AggGreen12 3 2 2 2" xfId="3241" xr:uid="{00000000-0005-0000-0000-0000A90C0000}"/>
    <cellStyle name="AggGreen12 3 2 2 20" xfId="3242" xr:uid="{00000000-0005-0000-0000-0000AA0C0000}"/>
    <cellStyle name="AggGreen12 3 2 2 21" xfId="3243" xr:uid="{00000000-0005-0000-0000-0000AB0C0000}"/>
    <cellStyle name="AggGreen12 3 2 2 22" xfId="3244" xr:uid="{00000000-0005-0000-0000-0000AC0C0000}"/>
    <cellStyle name="AggGreen12 3 2 2 23" xfId="3245" xr:uid="{00000000-0005-0000-0000-0000AD0C0000}"/>
    <cellStyle name="AggGreen12 3 2 2 24" xfId="3246" xr:uid="{00000000-0005-0000-0000-0000AE0C0000}"/>
    <cellStyle name="AggGreen12 3 2 2 25" xfId="3247" xr:uid="{00000000-0005-0000-0000-0000AF0C0000}"/>
    <cellStyle name="AggGreen12 3 2 2 26" xfId="3248" xr:uid="{00000000-0005-0000-0000-0000B00C0000}"/>
    <cellStyle name="AggGreen12 3 2 2 27" xfId="3249" xr:uid="{00000000-0005-0000-0000-0000B10C0000}"/>
    <cellStyle name="AggGreen12 3 2 2 28" xfId="3250" xr:uid="{00000000-0005-0000-0000-0000B20C0000}"/>
    <cellStyle name="AggGreen12 3 2 2 29" xfId="3251" xr:uid="{00000000-0005-0000-0000-0000B30C0000}"/>
    <cellStyle name="AggGreen12 3 2 2 3" xfId="3252" xr:uid="{00000000-0005-0000-0000-0000B40C0000}"/>
    <cellStyle name="AggGreen12 3 2 2 30" xfId="3253" xr:uid="{00000000-0005-0000-0000-0000B50C0000}"/>
    <cellStyle name="AggGreen12 3 2 2 31" xfId="3254" xr:uid="{00000000-0005-0000-0000-0000B60C0000}"/>
    <cellStyle name="AggGreen12 3 2 2 32" xfId="3255" xr:uid="{00000000-0005-0000-0000-0000B70C0000}"/>
    <cellStyle name="AggGreen12 3 2 2 33" xfId="3256" xr:uid="{00000000-0005-0000-0000-0000B80C0000}"/>
    <cellStyle name="AggGreen12 3 2 2 34" xfId="3257" xr:uid="{00000000-0005-0000-0000-0000B90C0000}"/>
    <cellStyle name="AggGreen12 3 2 2 35" xfId="3258" xr:uid="{00000000-0005-0000-0000-0000BA0C0000}"/>
    <cellStyle name="AggGreen12 3 2 2 36" xfId="3259" xr:uid="{00000000-0005-0000-0000-0000BB0C0000}"/>
    <cellStyle name="AggGreen12 3 2 2 37" xfId="3260" xr:uid="{00000000-0005-0000-0000-0000BC0C0000}"/>
    <cellStyle name="AggGreen12 3 2 2 38" xfId="3261" xr:uid="{00000000-0005-0000-0000-0000BD0C0000}"/>
    <cellStyle name="AggGreen12 3 2 2 39" xfId="3262" xr:uid="{00000000-0005-0000-0000-0000BE0C0000}"/>
    <cellStyle name="AggGreen12 3 2 2 4" xfId="3263" xr:uid="{00000000-0005-0000-0000-0000BF0C0000}"/>
    <cellStyle name="AggGreen12 3 2 2 40" xfId="3264" xr:uid="{00000000-0005-0000-0000-0000C00C0000}"/>
    <cellStyle name="AggGreen12 3 2 2 41" xfId="3265" xr:uid="{00000000-0005-0000-0000-0000C10C0000}"/>
    <cellStyle name="AggGreen12 3 2 2 42" xfId="3266" xr:uid="{00000000-0005-0000-0000-0000C20C0000}"/>
    <cellStyle name="AggGreen12 3 2 2 43" xfId="3267" xr:uid="{00000000-0005-0000-0000-0000C30C0000}"/>
    <cellStyle name="AggGreen12 3 2 2 44" xfId="3268" xr:uid="{00000000-0005-0000-0000-0000C40C0000}"/>
    <cellStyle name="AggGreen12 3 2 2 45" xfId="3269" xr:uid="{00000000-0005-0000-0000-0000C50C0000}"/>
    <cellStyle name="AggGreen12 3 2 2 46" xfId="3270" xr:uid="{00000000-0005-0000-0000-0000C60C0000}"/>
    <cellStyle name="AggGreen12 3 2 2 47" xfId="3271" xr:uid="{00000000-0005-0000-0000-0000C70C0000}"/>
    <cellStyle name="AggGreen12 3 2 2 48" xfId="3272" xr:uid="{00000000-0005-0000-0000-0000C80C0000}"/>
    <cellStyle name="AggGreen12 3 2 2 49" xfId="3273" xr:uid="{00000000-0005-0000-0000-0000C90C0000}"/>
    <cellStyle name="AggGreen12 3 2 2 5" xfId="3274" xr:uid="{00000000-0005-0000-0000-0000CA0C0000}"/>
    <cellStyle name="AggGreen12 3 2 2 50" xfId="3275" xr:uid="{00000000-0005-0000-0000-0000CB0C0000}"/>
    <cellStyle name="AggGreen12 3 2 2 51" xfId="3276" xr:uid="{00000000-0005-0000-0000-0000CC0C0000}"/>
    <cellStyle name="AggGreen12 3 2 2 52" xfId="3277" xr:uid="{00000000-0005-0000-0000-0000CD0C0000}"/>
    <cellStyle name="AggGreen12 3 2 2 53" xfId="3278" xr:uid="{00000000-0005-0000-0000-0000CE0C0000}"/>
    <cellStyle name="AggGreen12 3 2 2 54" xfId="3279" xr:uid="{00000000-0005-0000-0000-0000CF0C0000}"/>
    <cellStyle name="AggGreen12 3 2 2 55" xfId="3280" xr:uid="{00000000-0005-0000-0000-0000D00C0000}"/>
    <cellStyle name="AggGreen12 3 2 2 56" xfId="3281" xr:uid="{00000000-0005-0000-0000-0000D10C0000}"/>
    <cellStyle name="AggGreen12 3 2 2 57" xfId="3282" xr:uid="{00000000-0005-0000-0000-0000D20C0000}"/>
    <cellStyle name="AggGreen12 3 2 2 58" xfId="3283" xr:uid="{00000000-0005-0000-0000-0000D30C0000}"/>
    <cellStyle name="AggGreen12 3 2 2 59" xfId="3284" xr:uid="{00000000-0005-0000-0000-0000D40C0000}"/>
    <cellStyle name="AggGreen12 3 2 2 6" xfId="3285" xr:uid="{00000000-0005-0000-0000-0000D50C0000}"/>
    <cellStyle name="AggGreen12 3 2 2 60" xfId="3286" xr:uid="{00000000-0005-0000-0000-0000D60C0000}"/>
    <cellStyle name="AggGreen12 3 2 2 61" xfId="3287" xr:uid="{00000000-0005-0000-0000-0000D70C0000}"/>
    <cellStyle name="AggGreen12 3 2 2 62" xfId="3288" xr:uid="{00000000-0005-0000-0000-0000D80C0000}"/>
    <cellStyle name="AggGreen12 3 2 2 63" xfId="3289" xr:uid="{00000000-0005-0000-0000-0000D90C0000}"/>
    <cellStyle name="AggGreen12 3 2 2 64" xfId="3290" xr:uid="{00000000-0005-0000-0000-0000DA0C0000}"/>
    <cellStyle name="AggGreen12 3 2 2 65" xfId="3291" xr:uid="{00000000-0005-0000-0000-0000DB0C0000}"/>
    <cellStyle name="AggGreen12 3 2 2 7" xfId="3292" xr:uid="{00000000-0005-0000-0000-0000DC0C0000}"/>
    <cellStyle name="AggGreen12 3 2 2 8" xfId="3293" xr:uid="{00000000-0005-0000-0000-0000DD0C0000}"/>
    <cellStyle name="AggGreen12 3 2 2 9" xfId="3294" xr:uid="{00000000-0005-0000-0000-0000DE0C0000}"/>
    <cellStyle name="AggGreen12 3 2 20" xfId="3295" xr:uid="{00000000-0005-0000-0000-0000DF0C0000}"/>
    <cellStyle name="AggGreen12 3 2 21" xfId="3296" xr:uid="{00000000-0005-0000-0000-0000E00C0000}"/>
    <cellStyle name="AggGreen12 3 2 22" xfId="3297" xr:uid="{00000000-0005-0000-0000-0000E10C0000}"/>
    <cellStyle name="AggGreen12 3 2 23" xfId="3298" xr:uid="{00000000-0005-0000-0000-0000E20C0000}"/>
    <cellStyle name="AggGreen12 3 2 24" xfId="3299" xr:uid="{00000000-0005-0000-0000-0000E30C0000}"/>
    <cellStyle name="AggGreen12 3 2 25" xfId="3300" xr:uid="{00000000-0005-0000-0000-0000E40C0000}"/>
    <cellStyle name="AggGreen12 3 2 26" xfId="3301" xr:uid="{00000000-0005-0000-0000-0000E50C0000}"/>
    <cellStyle name="AggGreen12 3 2 27" xfId="3302" xr:uid="{00000000-0005-0000-0000-0000E60C0000}"/>
    <cellStyle name="AggGreen12 3 2 28" xfId="3303" xr:uid="{00000000-0005-0000-0000-0000E70C0000}"/>
    <cellStyle name="AggGreen12 3 2 29" xfId="3304" xr:uid="{00000000-0005-0000-0000-0000E80C0000}"/>
    <cellStyle name="AggGreen12 3 2 3" xfId="3305" xr:uid="{00000000-0005-0000-0000-0000E90C0000}"/>
    <cellStyle name="AggGreen12 3 2 30" xfId="3306" xr:uid="{00000000-0005-0000-0000-0000EA0C0000}"/>
    <cellStyle name="AggGreen12 3 2 31" xfId="3307" xr:uid="{00000000-0005-0000-0000-0000EB0C0000}"/>
    <cellStyle name="AggGreen12 3 2 32" xfId="3308" xr:uid="{00000000-0005-0000-0000-0000EC0C0000}"/>
    <cellStyle name="AggGreen12 3 2 33" xfId="3309" xr:uid="{00000000-0005-0000-0000-0000ED0C0000}"/>
    <cellStyle name="AggGreen12 3 2 34" xfId="3310" xr:uid="{00000000-0005-0000-0000-0000EE0C0000}"/>
    <cellStyle name="AggGreen12 3 2 35" xfId="3311" xr:uid="{00000000-0005-0000-0000-0000EF0C0000}"/>
    <cellStyle name="AggGreen12 3 2 36" xfId="3312" xr:uid="{00000000-0005-0000-0000-0000F00C0000}"/>
    <cellStyle name="AggGreen12 3 2 37" xfId="3313" xr:uid="{00000000-0005-0000-0000-0000F10C0000}"/>
    <cellStyle name="AggGreen12 3 2 38" xfId="3314" xr:uid="{00000000-0005-0000-0000-0000F20C0000}"/>
    <cellStyle name="AggGreen12 3 2 39" xfId="3315" xr:uid="{00000000-0005-0000-0000-0000F30C0000}"/>
    <cellStyle name="AggGreen12 3 2 4" xfId="3316" xr:uid="{00000000-0005-0000-0000-0000F40C0000}"/>
    <cellStyle name="AggGreen12 3 2 40" xfId="3317" xr:uid="{00000000-0005-0000-0000-0000F50C0000}"/>
    <cellStyle name="AggGreen12 3 2 41" xfId="3318" xr:uid="{00000000-0005-0000-0000-0000F60C0000}"/>
    <cellStyle name="AggGreen12 3 2 42" xfId="3319" xr:uid="{00000000-0005-0000-0000-0000F70C0000}"/>
    <cellStyle name="AggGreen12 3 2 43" xfId="3320" xr:uid="{00000000-0005-0000-0000-0000F80C0000}"/>
    <cellStyle name="AggGreen12 3 2 44" xfId="3321" xr:uid="{00000000-0005-0000-0000-0000F90C0000}"/>
    <cellStyle name="AggGreen12 3 2 45" xfId="3322" xr:uid="{00000000-0005-0000-0000-0000FA0C0000}"/>
    <cellStyle name="AggGreen12 3 2 46" xfId="3323" xr:uid="{00000000-0005-0000-0000-0000FB0C0000}"/>
    <cellStyle name="AggGreen12 3 2 47" xfId="3324" xr:uid="{00000000-0005-0000-0000-0000FC0C0000}"/>
    <cellStyle name="AggGreen12 3 2 48" xfId="3325" xr:uid="{00000000-0005-0000-0000-0000FD0C0000}"/>
    <cellStyle name="AggGreen12 3 2 49" xfId="3326" xr:uid="{00000000-0005-0000-0000-0000FE0C0000}"/>
    <cellStyle name="AggGreen12 3 2 5" xfId="3327" xr:uid="{00000000-0005-0000-0000-0000FF0C0000}"/>
    <cellStyle name="AggGreen12 3 2 50" xfId="3328" xr:uid="{00000000-0005-0000-0000-0000000D0000}"/>
    <cellStyle name="AggGreen12 3 2 51" xfId="3329" xr:uid="{00000000-0005-0000-0000-0000010D0000}"/>
    <cellStyle name="AggGreen12 3 2 52" xfId="3330" xr:uid="{00000000-0005-0000-0000-0000020D0000}"/>
    <cellStyle name="AggGreen12 3 2 53" xfId="3331" xr:uid="{00000000-0005-0000-0000-0000030D0000}"/>
    <cellStyle name="AggGreen12 3 2 54" xfId="3332" xr:uid="{00000000-0005-0000-0000-0000040D0000}"/>
    <cellStyle name="AggGreen12 3 2 55" xfId="3333" xr:uid="{00000000-0005-0000-0000-0000050D0000}"/>
    <cellStyle name="AggGreen12 3 2 56" xfId="3334" xr:uid="{00000000-0005-0000-0000-0000060D0000}"/>
    <cellStyle name="AggGreen12 3 2 57" xfId="3335" xr:uid="{00000000-0005-0000-0000-0000070D0000}"/>
    <cellStyle name="AggGreen12 3 2 58" xfId="3336" xr:uid="{00000000-0005-0000-0000-0000080D0000}"/>
    <cellStyle name="AggGreen12 3 2 59" xfId="3337" xr:uid="{00000000-0005-0000-0000-0000090D0000}"/>
    <cellStyle name="AggGreen12 3 2 6" xfId="3338" xr:uid="{00000000-0005-0000-0000-00000A0D0000}"/>
    <cellStyle name="AggGreen12 3 2 60" xfId="3339" xr:uid="{00000000-0005-0000-0000-00000B0D0000}"/>
    <cellStyle name="AggGreen12 3 2 61" xfId="3340" xr:uid="{00000000-0005-0000-0000-00000C0D0000}"/>
    <cellStyle name="AggGreen12 3 2 62" xfId="3341" xr:uid="{00000000-0005-0000-0000-00000D0D0000}"/>
    <cellStyle name="AggGreen12 3 2 63" xfId="3342" xr:uid="{00000000-0005-0000-0000-00000E0D0000}"/>
    <cellStyle name="AggGreen12 3 2 64" xfId="3343" xr:uid="{00000000-0005-0000-0000-00000F0D0000}"/>
    <cellStyle name="AggGreen12 3 2 65" xfId="3344" xr:uid="{00000000-0005-0000-0000-0000100D0000}"/>
    <cellStyle name="AggGreen12 3 2 66" xfId="3345" xr:uid="{00000000-0005-0000-0000-0000110D0000}"/>
    <cellStyle name="AggGreen12 3 2 7" xfId="3346" xr:uid="{00000000-0005-0000-0000-0000120D0000}"/>
    <cellStyle name="AggGreen12 3 2 8" xfId="3347" xr:uid="{00000000-0005-0000-0000-0000130D0000}"/>
    <cellStyle name="AggGreen12 3 2 9" xfId="3348" xr:uid="{00000000-0005-0000-0000-0000140D0000}"/>
    <cellStyle name="AggGreen12 3 3" xfId="3349" xr:uid="{00000000-0005-0000-0000-0000150D0000}"/>
    <cellStyle name="AggGreen12 3 3 10" xfId="3350" xr:uid="{00000000-0005-0000-0000-0000160D0000}"/>
    <cellStyle name="AggGreen12 3 3 11" xfId="3351" xr:uid="{00000000-0005-0000-0000-0000170D0000}"/>
    <cellStyle name="AggGreen12 3 3 12" xfId="3352" xr:uid="{00000000-0005-0000-0000-0000180D0000}"/>
    <cellStyle name="AggGreen12 3 3 13" xfId="3353" xr:uid="{00000000-0005-0000-0000-0000190D0000}"/>
    <cellStyle name="AggGreen12 3 3 14" xfId="3354" xr:uid="{00000000-0005-0000-0000-00001A0D0000}"/>
    <cellStyle name="AggGreen12 3 3 15" xfId="3355" xr:uid="{00000000-0005-0000-0000-00001B0D0000}"/>
    <cellStyle name="AggGreen12 3 3 16" xfId="3356" xr:uid="{00000000-0005-0000-0000-00001C0D0000}"/>
    <cellStyle name="AggGreen12 3 3 17" xfId="3357" xr:uid="{00000000-0005-0000-0000-00001D0D0000}"/>
    <cellStyle name="AggGreen12 3 3 18" xfId="3358" xr:uid="{00000000-0005-0000-0000-00001E0D0000}"/>
    <cellStyle name="AggGreen12 3 3 19" xfId="3359" xr:uid="{00000000-0005-0000-0000-00001F0D0000}"/>
    <cellStyle name="AggGreen12 3 3 2" xfId="3360" xr:uid="{00000000-0005-0000-0000-0000200D0000}"/>
    <cellStyle name="AggGreen12 3 3 20" xfId="3361" xr:uid="{00000000-0005-0000-0000-0000210D0000}"/>
    <cellStyle name="AggGreen12 3 3 21" xfId="3362" xr:uid="{00000000-0005-0000-0000-0000220D0000}"/>
    <cellStyle name="AggGreen12 3 3 22" xfId="3363" xr:uid="{00000000-0005-0000-0000-0000230D0000}"/>
    <cellStyle name="AggGreen12 3 3 23" xfId="3364" xr:uid="{00000000-0005-0000-0000-0000240D0000}"/>
    <cellStyle name="AggGreen12 3 3 24" xfId="3365" xr:uid="{00000000-0005-0000-0000-0000250D0000}"/>
    <cellStyle name="AggGreen12 3 3 25" xfId="3366" xr:uid="{00000000-0005-0000-0000-0000260D0000}"/>
    <cellStyle name="AggGreen12 3 3 26" xfId="3367" xr:uid="{00000000-0005-0000-0000-0000270D0000}"/>
    <cellStyle name="AggGreen12 3 3 27" xfId="3368" xr:uid="{00000000-0005-0000-0000-0000280D0000}"/>
    <cellStyle name="AggGreen12 3 3 28" xfId="3369" xr:uid="{00000000-0005-0000-0000-0000290D0000}"/>
    <cellStyle name="AggGreen12 3 3 29" xfId="3370" xr:uid="{00000000-0005-0000-0000-00002A0D0000}"/>
    <cellStyle name="AggGreen12 3 3 3" xfId="3371" xr:uid="{00000000-0005-0000-0000-00002B0D0000}"/>
    <cellStyle name="AggGreen12 3 3 30" xfId="3372" xr:uid="{00000000-0005-0000-0000-00002C0D0000}"/>
    <cellStyle name="AggGreen12 3 3 31" xfId="3373" xr:uid="{00000000-0005-0000-0000-00002D0D0000}"/>
    <cellStyle name="AggGreen12 3 3 32" xfId="3374" xr:uid="{00000000-0005-0000-0000-00002E0D0000}"/>
    <cellStyle name="AggGreen12 3 3 33" xfId="3375" xr:uid="{00000000-0005-0000-0000-00002F0D0000}"/>
    <cellStyle name="AggGreen12 3 3 34" xfId="3376" xr:uid="{00000000-0005-0000-0000-0000300D0000}"/>
    <cellStyle name="AggGreen12 3 3 35" xfId="3377" xr:uid="{00000000-0005-0000-0000-0000310D0000}"/>
    <cellStyle name="AggGreen12 3 3 36" xfId="3378" xr:uid="{00000000-0005-0000-0000-0000320D0000}"/>
    <cellStyle name="AggGreen12 3 3 37" xfId="3379" xr:uid="{00000000-0005-0000-0000-0000330D0000}"/>
    <cellStyle name="AggGreen12 3 3 38" xfId="3380" xr:uid="{00000000-0005-0000-0000-0000340D0000}"/>
    <cellStyle name="AggGreen12 3 3 39" xfId="3381" xr:uid="{00000000-0005-0000-0000-0000350D0000}"/>
    <cellStyle name="AggGreen12 3 3 4" xfId="3382" xr:uid="{00000000-0005-0000-0000-0000360D0000}"/>
    <cellStyle name="AggGreen12 3 3 40" xfId="3383" xr:uid="{00000000-0005-0000-0000-0000370D0000}"/>
    <cellStyle name="AggGreen12 3 3 41" xfId="3384" xr:uid="{00000000-0005-0000-0000-0000380D0000}"/>
    <cellStyle name="AggGreen12 3 3 42" xfId="3385" xr:uid="{00000000-0005-0000-0000-0000390D0000}"/>
    <cellStyle name="AggGreen12 3 3 43" xfId="3386" xr:uid="{00000000-0005-0000-0000-00003A0D0000}"/>
    <cellStyle name="AggGreen12 3 3 44" xfId="3387" xr:uid="{00000000-0005-0000-0000-00003B0D0000}"/>
    <cellStyle name="AggGreen12 3 3 45" xfId="3388" xr:uid="{00000000-0005-0000-0000-00003C0D0000}"/>
    <cellStyle name="AggGreen12 3 3 46" xfId="3389" xr:uid="{00000000-0005-0000-0000-00003D0D0000}"/>
    <cellStyle name="AggGreen12 3 3 47" xfId="3390" xr:uid="{00000000-0005-0000-0000-00003E0D0000}"/>
    <cellStyle name="AggGreen12 3 3 48" xfId="3391" xr:uid="{00000000-0005-0000-0000-00003F0D0000}"/>
    <cellStyle name="AggGreen12 3 3 49" xfId="3392" xr:uid="{00000000-0005-0000-0000-0000400D0000}"/>
    <cellStyle name="AggGreen12 3 3 5" xfId="3393" xr:uid="{00000000-0005-0000-0000-0000410D0000}"/>
    <cellStyle name="AggGreen12 3 3 50" xfId="3394" xr:uid="{00000000-0005-0000-0000-0000420D0000}"/>
    <cellStyle name="AggGreen12 3 3 51" xfId="3395" xr:uid="{00000000-0005-0000-0000-0000430D0000}"/>
    <cellStyle name="AggGreen12 3 3 52" xfId="3396" xr:uid="{00000000-0005-0000-0000-0000440D0000}"/>
    <cellStyle name="AggGreen12 3 3 53" xfId="3397" xr:uid="{00000000-0005-0000-0000-0000450D0000}"/>
    <cellStyle name="AggGreen12 3 3 54" xfId="3398" xr:uid="{00000000-0005-0000-0000-0000460D0000}"/>
    <cellStyle name="AggGreen12 3 3 55" xfId="3399" xr:uid="{00000000-0005-0000-0000-0000470D0000}"/>
    <cellStyle name="AggGreen12 3 3 56" xfId="3400" xr:uid="{00000000-0005-0000-0000-0000480D0000}"/>
    <cellStyle name="AggGreen12 3 3 57" xfId="3401" xr:uid="{00000000-0005-0000-0000-0000490D0000}"/>
    <cellStyle name="AggGreen12 3 3 58" xfId="3402" xr:uid="{00000000-0005-0000-0000-00004A0D0000}"/>
    <cellStyle name="AggGreen12 3 3 59" xfId="3403" xr:uid="{00000000-0005-0000-0000-00004B0D0000}"/>
    <cellStyle name="AggGreen12 3 3 6" xfId="3404" xr:uid="{00000000-0005-0000-0000-00004C0D0000}"/>
    <cellStyle name="AggGreen12 3 3 60" xfId="3405" xr:uid="{00000000-0005-0000-0000-00004D0D0000}"/>
    <cellStyle name="AggGreen12 3 3 61" xfId="3406" xr:uid="{00000000-0005-0000-0000-00004E0D0000}"/>
    <cellStyle name="AggGreen12 3 3 62" xfId="3407" xr:uid="{00000000-0005-0000-0000-00004F0D0000}"/>
    <cellStyle name="AggGreen12 3 3 63" xfId="3408" xr:uid="{00000000-0005-0000-0000-0000500D0000}"/>
    <cellStyle name="AggGreen12 3 3 64" xfId="3409" xr:uid="{00000000-0005-0000-0000-0000510D0000}"/>
    <cellStyle name="AggGreen12 3 3 65" xfId="3410" xr:uid="{00000000-0005-0000-0000-0000520D0000}"/>
    <cellStyle name="AggGreen12 3 3 7" xfId="3411" xr:uid="{00000000-0005-0000-0000-0000530D0000}"/>
    <cellStyle name="AggGreen12 3 3 8" xfId="3412" xr:uid="{00000000-0005-0000-0000-0000540D0000}"/>
    <cellStyle name="AggGreen12 3 3 9" xfId="3413" xr:uid="{00000000-0005-0000-0000-0000550D0000}"/>
    <cellStyle name="AggGreen12 4" xfId="3414" xr:uid="{00000000-0005-0000-0000-0000560D0000}"/>
    <cellStyle name="AggGreen12 4 10" xfId="3415" xr:uid="{00000000-0005-0000-0000-0000570D0000}"/>
    <cellStyle name="AggGreen12 4 11" xfId="3416" xr:uid="{00000000-0005-0000-0000-0000580D0000}"/>
    <cellStyle name="AggGreen12 4 12" xfId="3417" xr:uid="{00000000-0005-0000-0000-0000590D0000}"/>
    <cellStyle name="AggGreen12 4 13" xfId="3418" xr:uid="{00000000-0005-0000-0000-00005A0D0000}"/>
    <cellStyle name="AggGreen12 4 14" xfId="3419" xr:uid="{00000000-0005-0000-0000-00005B0D0000}"/>
    <cellStyle name="AggGreen12 4 15" xfId="3420" xr:uid="{00000000-0005-0000-0000-00005C0D0000}"/>
    <cellStyle name="AggGreen12 4 16" xfId="3421" xr:uid="{00000000-0005-0000-0000-00005D0D0000}"/>
    <cellStyle name="AggGreen12 4 17" xfId="3422" xr:uid="{00000000-0005-0000-0000-00005E0D0000}"/>
    <cellStyle name="AggGreen12 4 18" xfId="3423" xr:uid="{00000000-0005-0000-0000-00005F0D0000}"/>
    <cellStyle name="AggGreen12 4 19" xfId="3424" xr:uid="{00000000-0005-0000-0000-0000600D0000}"/>
    <cellStyle name="AggGreen12 4 2" xfId="3425" xr:uid="{00000000-0005-0000-0000-0000610D0000}"/>
    <cellStyle name="AggGreen12 4 2 10" xfId="3426" xr:uid="{00000000-0005-0000-0000-0000620D0000}"/>
    <cellStyle name="AggGreen12 4 2 11" xfId="3427" xr:uid="{00000000-0005-0000-0000-0000630D0000}"/>
    <cellStyle name="AggGreen12 4 2 12" xfId="3428" xr:uid="{00000000-0005-0000-0000-0000640D0000}"/>
    <cellStyle name="AggGreen12 4 2 13" xfId="3429" xr:uid="{00000000-0005-0000-0000-0000650D0000}"/>
    <cellStyle name="AggGreen12 4 2 14" xfId="3430" xr:uid="{00000000-0005-0000-0000-0000660D0000}"/>
    <cellStyle name="AggGreen12 4 2 15" xfId="3431" xr:uid="{00000000-0005-0000-0000-0000670D0000}"/>
    <cellStyle name="AggGreen12 4 2 16" xfId="3432" xr:uid="{00000000-0005-0000-0000-0000680D0000}"/>
    <cellStyle name="AggGreen12 4 2 17" xfId="3433" xr:uid="{00000000-0005-0000-0000-0000690D0000}"/>
    <cellStyle name="AggGreen12 4 2 18" xfId="3434" xr:uid="{00000000-0005-0000-0000-00006A0D0000}"/>
    <cellStyle name="AggGreen12 4 2 19" xfId="3435" xr:uid="{00000000-0005-0000-0000-00006B0D0000}"/>
    <cellStyle name="AggGreen12 4 2 2" xfId="3436" xr:uid="{00000000-0005-0000-0000-00006C0D0000}"/>
    <cellStyle name="AggGreen12 4 2 2 10" xfId="3437" xr:uid="{00000000-0005-0000-0000-00006D0D0000}"/>
    <cellStyle name="AggGreen12 4 2 2 11" xfId="3438" xr:uid="{00000000-0005-0000-0000-00006E0D0000}"/>
    <cellStyle name="AggGreen12 4 2 2 12" xfId="3439" xr:uid="{00000000-0005-0000-0000-00006F0D0000}"/>
    <cellStyle name="AggGreen12 4 2 2 13" xfId="3440" xr:uid="{00000000-0005-0000-0000-0000700D0000}"/>
    <cellStyle name="AggGreen12 4 2 2 14" xfId="3441" xr:uid="{00000000-0005-0000-0000-0000710D0000}"/>
    <cellStyle name="AggGreen12 4 2 2 15" xfId="3442" xr:uid="{00000000-0005-0000-0000-0000720D0000}"/>
    <cellStyle name="AggGreen12 4 2 2 16" xfId="3443" xr:uid="{00000000-0005-0000-0000-0000730D0000}"/>
    <cellStyle name="AggGreen12 4 2 2 17" xfId="3444" xr:uid="{00000000-0005-0000-0000-0000740D0000}"/>
    <cellStyle name="AggGreen12 4 2 2 18" xfId="3445" xr:uid="{00000000-0005-0000-0000-0000750D0000}"/>
    <cellStyle name="AggGreen12 4 2 2 19" xfId="3446" xr:uid="{00000000-0005-0000-0000-0000760D0000}"/>
    <cellStyle name="AggGreen12 4 2 2 2" xfId="3447" xr:uid="{00000000-0005-0000-0000-0000770D0000}"/>
    <cellStyle name="AggGreen12 4 2 2 20" xfId="3448" xr:uid="{00000000-0005-0000-0000-0000780D0000}"/>
    <cellStyle name="AggGreen12 4 2 2 21" xfId="3449" xr:uid="{00000000-0005-0000-0000-0000790D0000}"/>
    <cellStyle name="AggGreen12 4 2 2 22" xfId="3450" xr:uid="{00000000-0005-0000-0000-00007A0D0000}"/>
    <cellStyle name="AggGreen12 4 2 2 23" xfId="3451" xr:uid="{00000000-0005-0000-0000-00007B0D0000}"/>
    <cellStyle name="AggGreen12 4 2 2 24" xfId="3452" xr:uid="{00000000-0005-0000-0000-00007C0D0000}"/>
    <cellStyle name="AggGreen12 4 2 2 25" xfId="3453" xr:uid="{00000000-0005-0000-0000-00007D0D0000}"/>
    <cellStyle name="AggGreen12 4 2 2 26" xfId="3454" xr:uid="{00000000-0005-0000-0000-00007E0D0000}"/>
    <cellStyle name="AggGreen12 4 2 2 27" xfId="3455" xr:uid="{00000000-0005-0000-0000-00007F0D0000}"/>
    <cellStyle name="AggGreen12 4 2 2 28" xfId="3456" xr:uid="{00000000-0005-0000-0000-0000800D0000}"/>
    <cellStyle name="AggGreen12 4 2 2 29" xfId="3457" xr:uid="{00000000-0005-0000-0000-0000810D0000}"/>
    <cellStyle name="AggGreen12 4 2 2 3" xfId="3458" xr:uid="{00000000-0005-0000-0000-0000820D0000}"/>
    <cellStyle name="AggGreen12 4 2 2 30" xfId="3459" xr:uid="{00000000-0005-0000-0000-0000830D0000}"/>
    <cellStyle name="AggGreen12 4 2 2 31" xfId="3460" xr:uid="{00000000-0005-0000-0000-0000840D0000}"/>
    <cellStyle name="AggGreen12 4 2 2 32" xfId="3461" xr:uid="{00000000-0005-0000-0000-0000850D0000}"/>
    <cellStyle name="AggGreen12 4 2 2 33" xfId="3462" xr:uid="{00000000-0005-0000-0000-0000860D0000}"/>
    <cellStyle name="AggGreen12 4 2 2 34" xfId="3463" xr:uid="{00000000-0005-0000-0000-0000870D0000}"/>
    <cellStyle name="AggGreen12 4 2 2 35" xfId="3464" xr:uid="{00000000-0005-0000-0000-0000880D0000}"/>
    <cellStyle name="AggGreen12 4 2 2 36" xfId="3465" xr:uid="{00000000-0005-0000-0000-0000890D0000}"/>
    <cellStyle name="AggGreen12 4 2 2 37" xfId="3466" xr:uid="{00000000-0005-0000-0000-00008A0D0000}"/>
    <cellStyle name="AggGreen12 4 2 2 38" xfId="3467" xr:uid="{00000000-0005-0000-0000-00008B0D0000}"/>
    <cellStyle name="AggGreen12 4 2 2 39" xfId="3468" xr:uid="{00000000-0005-0000-0000-00008C0D0000}"/>
    <cellStyle name="AggGreen12 4 2 2 4" xfId="3469" xr:uid="{00000000-0005-0000-0000-00008D0D0000}"/>
    <cellStyle name="AggGreen12 4 2 2 40" xfId="3470" xr:uid="{00000000-0005-0000-0000-00008E0D0000}"/>
    <cellStyle name="AggGreen12 4 2 2 41" xfId="3471" xr:uid="{00000000-0005-0000-0000-00008F0D0000}"/>
    <cellStyle name="AggGreen12 4 2 2 42" xfId="3472" xr:uid="{00000000-0005-0000-0000-0000900D0000}"/>
    <cellStyle name="AggGreen12 4 2 2 43" xfId="3473" xr:uid="{00000000-0005-0000-0000-0000910D0000}"/>
    <cellStyle name="AggGreen12 4 2 2 44" xfId="3474" xr:uid="{00000000-0005-0000-0000-0000920D0000}"/>
    <cellStyle name="AggGreen12 4 2 2 45" xfId="3475" xr:uid="{00000000-0005-0000-0000-0000930D0000}"/>
    <cellStyle name="AggGreen12 4 2 2 46" xfId="3476" xr:uid="{00000000-0005-0000-0000-0000940D0000}"/>
    <cellStyle name="AggGreen12 4 2 2 47" xfId="3477" xr:uid="{00000000-0005-0000-0000-0000950D0000}"/>
    <cellStyle name="AggGreen12 4 2 2 48" xfId="3478" xr:uid="{00000000-0005-0000-0000-0000960D0000}"/>
    <cellStyle name="AggGreen12 4 2 2 49" xfId="3479" xr:uid="{00000000-0005-0000-0000-0000970D0000}"/>
    <cellStyle name="AggGreen12 4 2 2 5" xfId="3480" xr:uid="{00000000-0005-0000-0000-0000980D0000}"/>
    <cellStyle name="AggGreen12 4 2 2 50" xfId="3481" xr:uid="{00000000-0005-0000-0000-0000990D0000}"/>
    <cellStyle name="AggGreen12 4 2 2 51" xfId="3482" xr:uid="{00000000-0005-0000-0000-00009A0D0000}"/>
    <cellStyle name="AggGreen12 4 2 2 52" xfId="3483" xr:uid="{00000000-0005-0000-0000-00009B0D0000}"/>
    <cellStyle name="AggGreen12 4 2 2 53" xfId="3484" xr:uid="{00000000-0005-0000-0000-00009C0D0000}"/>
    <cellStyle name="AggGreen12 4 2 2 54" xfId="3485" xr:uid="{00000000-0005-0000-0000-00009D0D0000}"/>
    <cellStyle name="AggGreen12 4 2 2 55" xfId="3486" xr:uid="{00000000-0005-0000-0000-00009E0D0000}"/>
    <cellStyle name="AggGreen12 4 2 2 56" xfId="3487" xr:uid="{00000000-0005-0000-0000-00009F0D0000}"/>
    <cellStyle name="AggGreen12 4 2 2 57" xfId="3488" xr:uid="{00000000-0005-0000-0000-0000A00D0000}"/>
    <cellStyle name="AggGreen12 4 2 2 58" xfId="3489" xr:uid="{00000000-0005-0000-0000-0000A10D0000}"/>
    <cellStyle name="AggGreen12 4 2 2 59" xfId="3490" xr:uid="{00000000-0005-0000-0000-0000A20D0000}"/>
    <cellStyle name="AggGreen12 4 2 2 6" xfId="3491" xr:uid="{00000000-0005-0000-0000-0000A30D0000}"/>
    <cellStyle name="AggGreen12 4 2 2 60" xfId="3492" xr:uid="{00000000-0005-0000-0000-0000A40D0000}"/>
    <cellStyle name="AggGreen12 4 2 2 61" xfId="3493" xr:uid="{00000000-0005-0000-0000-0000A50D0000}"/>
    <cellStyle name="AggGreen12 4 2 2 62" xfId="3494" xr:uid="{00000000-0005-0000-0000-0000A60D0000}"/>
    <cellStyle name="AggGreen12 4 2 2 63" xfId="3495" xr:uid="{00000000-0005-0000-0000-0000A70D0000}"/>
    <cellStyle name="AggGreen12 4 2 2 64" xfId="3496" xr:uid="{00000000-0005-0000-0000-0000A80D0000}"/>
    <cellStyle name="AggGreen12 4 2 2 65" xfId="3497" xr:uid="{00000000-0005-0000-0000-0000A90D0000}"/>
    <cellStyle name="AggGreen12 4 2 2 7" xfId="3498" xr:uid="{00000000-0005-0000-0000-0000AA0D0000}"/>
    <cellStyle name="AggGreen12 4 2 2 8" xfId="3499" xr:uid="{00000000-0005-0000-0000-0000AB0D0000}"/>
    <cellStyle name="AggGreen12 4 2 2 9" xfId="3500" xr:uid="{00000000-0005-0000-0000-0000AC0D0000}"/>
    <cellStyle name="AggGreen12 4 2 20" xfId="3501" xr:uid="{00000000-0005-0000-0000-0000AD0D0000}"/>
    <cellStyle name="AggGreen12 4 2 21" xfId="3502" xr:uid="{00000000-0005-0000-0000-0000AE0D0000}"/>
    <cellStyle name="AggGreen12 4 2 22" xfId="3503" xr:uid="{00000000-0005-0000-0000-0000AF0D0000}"/>
    <cellStyle name="AggGreen12 4 2 23" xfId="3504" xr:uid="{00000000-0005-0000-0000-0000B00D0000}"/>
    <cellStyle name="AggGreen12 4 2 24" xfId="3505" xr:uid="{00000000-0005-0000-0000-0000B10D0000}"/>
    <cellStyle name="AggGreen12 4 2 25" xfId="3506" xr:uid="{00000000-0005-0000-0000-0000B20D0000}"/>
    <cellStyle name="AggGreen12 4 2 26" xfId="3507" xr:uid="{00000000-0005-0000-0000-0000B30D0000}"/>
    <cellStyle name="AggGreen12 4 2 27" xfId="3508" xr:uid="{00000000-0005-0000-0000-0000B40D0000}"/>
    <cellStyle name="AggGreen12 4 2 28" xfId="3509" xr:uid="{00000000-0005-0000-0000-0000B50D0000}"/>
    <cellStyle name="AggGreen12 4 2 29" xfId="3510" xr:uid="{00000000-0005-0000-0000-0000B60D0000}"/>
    <cellStyle name="AggGreen12 4 2 3" xfId="3511" xr:uid="{00000000-0005-0000-0000-0000B70D0000}"/>
    <cellStyle name="AggGreen12 4 2 30" xfId="3512" xr:uid="{00000000-0005-0000-0000-0000B80D0000}"/>
    <cellStyle name="AggGreen12 4 2 31" xfId="3513" xr:uid="{00000000-0005-0000-0000-0000B90D0000}"/>
    <cellStyle name="AggGreen12 4 2 32" xfId="3514" xr:uid="{00000000-0005-0000-0000-0000BA0D0000}"/>
    <cellStyle name="AggGreen12 4 2 33" xfId="3515" xr:uid="{00000000-0005-0000-0000-0000BB0D0000}"/>
    <cellStyle name="AggGreen12 4 2 34" xfId="3516" xr:uid="{00000000-0005-0000-0000-0000BC0D0000}"/>
    <cellStyle name="AggGreen12 4 2 35" xfId="3517" xr:uid="{00000000-0005-0000-0000-0000BD0D0000}"/>
    <cellStyle name="AggGreen12 4 2 36" xfId="3518" xr:uid="{00000000-0005-0000-0000-0000BE0D0000}"/>
    <cellStyle name="AggGreen12 4 2 37" xfId="3519" xr:uid="{00000000-0005-0000-0000-0000BF0D0000}"/>
    <cellStyle name="AggGreen12 4 2 38" xfId="3520" xr:uid="{00000000-0005-0000-0000-0000C00D0000}"/>
    <cellStyle name="AggGreen12 4 2 39" xfId="3521" xr:uid="{00000000-0005-0000-0000-0000C10D0000}"/>
    <cellStyle name="AggGreen12 4 2 4" xfId="3522" xr:uid="{00000000-0005-0000-0000-0000C20D0000}"/>
    <cellStyle name="AggGreen12 4 2 40" xfId="3523" xr:uid="{00000000-0005-0000-0000-0000C30D0000}"/>
    <cellStyle name="AggGreen12 4 2 41" xfId="3524" xr:uid="{00000000-0005-0000-0000-0000C40D0000}"/>
    <cellStyle name="AggGreen12 4 2 42" xfId="3525" xr:uid="{00000000-0005-0000-0000-0000C50D0000}"/>
    <cellStyle name="AggGreen12 4 2 43" xfId="3526" xr:uid="{00000000-0005-0000-0000-0000C60D0000}"/>
    <cellStyle name="AggGreen12 4 2 44" xfId="3527" xr:uid="{00000000-0005-0000-0000-0000C70D0000}"/>
    <cellStyle name="AggGreen12 4 2 45" xfId="3528" xr:uid="{00000000-0005-0000-0000-0000C80D0000}"/>
    <cellStyle name="AggGreen12 4 2 46" xfId="3529" xr:uid="{00000000-0005-0000-0000-0000C90D0000}"/>
    <cellStyle name="AggGreen12 4 2 47" xfId="3530" xr:uid="{00000000-0005-0000-0000-0000CA0D0000}"/>
    <cellStyle name="AggGreen12 4 2 48" xfId="3531" xr:uid="{00000000-0005-0000-0000-0000CB0D0000}"/>
    <cellStyle name="AggGreen12 4 2 49" xfId="3532" xr:uid="{00000000-0005-0000-0000-0000CC0D0000}"/>
    <cellStyle name="AggGreen12 4 2 5" xfId="3533" xr:uid="{00000000-0005-0000-0000-0000CD0D0000}"/>
    <cellStyle name="AggGreen12 4 2 50" xfId="3534" xr:uid="{00000000-0005-0000-0000-0000CE0D0000}"/>
    <cellStyle name="AggGreen12 4 2 51" xfId="3535" xr:uid="{00000000-0005-0000-0000-0000CF0D0000}"/>
    <cellStyle name="AggGreen12 4 2 52" xfId="3536" xr:uid="{00000000-0005-0000-0000-0000D00D0000}"/>
    <cellStyle name="AggGreen12 4 2 53" xfId="3537" xr:uid="{00000000-0005-0000-0000-0000D10D0000}"/>
    <cellStyle name="AggGreen12 4 2 54" xfId="3538" xr:uid="{00000000-0005-0000-0000-0000D20D0000}"/>
    <cellStyle name="AggGreen12 4 2 55" xfId="3539" xr:uid="{00000000-0005-0000-0000-0000D30D0000}"/>
    <cellStyle name="AggGreen12 4 2 56" xfId="3540" xr:uid="{00000000-0005-0000-0000-0000D40D0000}"/>
    <cellStyle name="AggGreen12 4 2 57" xfId="3541" xr:uid="{00000000-0005-0000-0000-0000D50D0000}"/>
    <cellStyle name="AggGreen12 4 2 58" xfId="3542" xr:uid="{00000000-0005-0000-0000-0000D60D0000}"/>
    <cellStyle name="AggGreen12 4 2 59" xfId="3543" xr:uid="{00000000-0005-0000-0000-0000D70D0000}"/>
    <cellStyle name="AggGreen12 4 2 6" xfId="3544" xr:uid="{00000000-0005-0000-0000-0000D80D0000}"/>
    <cellStyle name="AggGreen12 4 2 60" xfId="3545" xr:uid="{00000000-0005-0000-0000-0000D90D0000}"/>
    <cellStyle name="AggGreen12 4 2 61" xfId="3546" xr:uid="{00000000-0005-0000-0000-0000DA0D0000}"/>
    <cellStyle name="AggGreen12 4 2 62" xfId="3547" xr:uid="{00000000-0005-0000-0000-0000DB0D0000}"/>
    <cellStyle name="AggGreen12 4 2 63" xfId="3548" xr:uid="{00000000-0005-0000-0000-0000DC0D0000}"/>
    <cellStyle name="AggGreen12 4 2 64" xfId="3549" xr:uid="{00000000-0005-0000-0000-0000DD0D0000}"/>
    <cellStyle name="AggGreen12 4 2 65" xfId="3550" xr:uid="{00000000-0005-0000-0000-0000DE0D0000}"/>
    <cellStyle name="AggGreen12 4 2 66" xfId="3551" xr:uid="{00000000-0005-0000-0000-0000DF0D0000}"/>
    <cellStyle name="AggGreen12 4 2 7" xfId="3552" xr:uid="{00000000-0005-0000-0000-0000E00D0000}"/>
    <cellStyle name="AggGreen12 4 2 8" xfId="3553" xr:uid="{00000000-0005-0000-0000-0000E10D0000}"/>
    <cellStyle name="AggGreen12 4 2 9" xfId="3554" xr:uid="{00000000-0005-0000-0000-0000E20D0000}"/>
    <cellStyle name="AggGreen12 4 20" xfId="3555" xr:uid="{00000000-0005-0000-0000-0000E30D0000}"/>
    <cellStyle name="AggGreen12 4 21" xfId="3556" xr:uid="{00000000-0005-0000-0000-0000E40D0000}"/>
    <cellStyle name="AggGreen12 4 22" xfId="3557" xr:uid="{00000000-0005-0000-0000-0000E50D0000}"/>
    <cellStyle name="AggGreen12 4 23" xfId="3558" xr:uid="{00000000-0005-0000-0000-0000E60D0000}"/>
    <cellStyle name="AggGreen12 4 24" xfId="3559" xr:uid="{00000000-0005-0000-0000-0000E70D0000}"/>
    <cellStyle name="AggGreen12 4 25" xfId="3560" xr:uid="{00000000-0005-0000-0000-0000E80D0000}"/>
    <cellStyle name="AggGreen12 4 26" xfId="3561" xr:uid="{00000000-0005-0000-0000-0000E90D0000}"/>
    <cellStyle name="AggGreen12 4 27" xfId="3562" xr:uid="{00000000-0005-0000-0000-0000EA0D0000}"/>
    <cellStyle name="AggGreen12 4 28" xfId="3563" xr:uid="{00000000-0005-0000-0000-0000EB0D0000}"/>
    <cellStyle name="AggGreen12 4 29" xfId="3564" xr:uid="{00000000-0005-0000-0000-0000EC0D0000}"/>
    <cellStyle name="AggGreen12 4 3" xfId="3565" xr:uid="{00000000-0005-0000-0000-0000ED0D0000}"/>
    <cellStyle name="AggGreen12 4 3 10" xfId="3566" xr:uid="{00000000-0005-0000-0000-0000EE0D0000}"/>
    <cellStyle name="AggGreen12 4 3 11" xfId="3567" xr:uid="{00000000-0005-0000-0000-0000EF0D0000}"/>
    <cellStyle name="AggGreen12 4 3 12" xfId="3568" xr:uid="{00000000-0005-0000-0000-0000F00D0000}"/>
    <cellStyle name="AggGreen12 4 3 13" xfId="3569" xr:uid="{00000000-0005-0000-0000-0000F10D0000}"/>
    <cellStyle name="AggGreen12 4 3 14" xfId="3570" xr:uid="{00000000-0005-0000-0000-0000F20D0000}"/>
    <cellStyle name="AggGreen12 4 3 15" xfId="3571" xr:uid="{00000000-0005-0000-0000-0000F30D0000}"/>
    <cellStyle name="AggGreen12 4 3 16" xfId="3572" xr:uid="{00000000-0005-0000-0000-0000F40D0000}"/>
    <cellStyle name="AggGreen12 4 3 17" xfId="3573" xr:uid="{00000000-0005-0000-0000-0000F50D0000}"/>
    <cellStyle name="AggGreen12 4 3 18" xfId="3574" xr:uid="{00000000-0005-0000-0000-0000F60D0000}"/>
    <cellStyle name="AggGreen12 4 3 19" xfId="3575" xr:uid="{00000000-0005-0000-0000-0000F70D0000}"/>
    <cellStyle name="AggGreen12 4 3 2" xfId="3576" xr:uid="{00000000-0005-0000-0000-0000F80D0000}"/>
    <cellStyle name="AggGreen12 4 3 2 10" xfId="3577" xr:uid="{00000000-0005-0000-0000-0000F90D0000}"/>
    <cellStyle name="AggGreen12 4 3 2 11" xfId="3578" xr:uid="{00000000-0005-0000-0000-0000FA0D0000}"/>
    <cellStyle name="AggGreen12 4 3 2 12" xfId="3579" xr:uid="{00000000-0005-0000-0000-0000FB0D0000}"/>
    <cellStyle name="AggGreen12 4 3 2 13" xfId="3580" xr:uid="{00000000-0005-0000-0000-0000FC0D0000}"/>
    <cellStyle name="AggGreen12 4 3 2 14" xfId="3581" xr:uid="{00000000-0005-0000-0000-0000FD0D0000}"/>
    <cellStyle name="AggGreen12 4 3 2 15" xfId="3582" xr:uid="{00000000-0005-0000-0000-0000FE0D0000}"/>
    <cellStyle name="AggGreen12 4 3 2 16" xfId="3583" xr:uid="{00000000-0005-0000-0000-0000FF0D0000}"/>
    <cellStyle name="AggGreen12 4 3 2 17" xfId="3584" xr:uid="{00000000-0005-0000-0000-0000000E0000}"/>
    <cellStyle name="AggGreen12 4 3 2 18" xfId="3585" xr:uid="{00000000-0005-0000-0000-0000010E0000}"/>
    <cellStyle name="AggGreen12 4 3 2 19" xfId="3586" xr:uid="{00000000-0005-0000-0000-0000020E0000}"/>
    <cellStyle name="AggGreen12 4 3 2 2" xfId="3587" xr:uid="{00000000-0005-0000-0000-0000030E0000}"/>
    <cellStyle name="AggGreen12 4 3 2 20" xfId="3588" xr:uid="{00000000-0005-0000-0000-0000040E0000}"/>
    <cellStyle name="AggGreen12 4 3 2 21" xfId="3589" xr:uid="{00000000-0005-0000-0000-0000050E0000}"/>
    <cellStyle name="AggGreen12 4 3 2 22" xfId="3590" xr:uid="{00000000-0005-0000-0000-0000060E0000}"/>
    <cellStyle name="AggGreen12 4 3 2 23" xfId="3591" xr:uid="{00000000-0005-0000-0000-0000070E0000}"/>
    <cellStyle name="AggGreen12 4 3 2 24" xfId="3592" xr:uid="{00000000-0005-0000-0000-0000080E0000}"/>
    <cellStyle name="AggGreen12 4 3 2 25" xfId="3593" xr:uid="{00000000-0005-0000-0000-0000090E0000}"/>
    <cellStyle name="AggGreen12 4 3 2 26" xfId="3594" xr:uid="{00000000-0005-0000-0000-00000A0E0000}"/>
    <cellStyle name="AggGreen12 4 3 2 27" xfId="3595" xr:uid="{00000000-0005-0000-0000-00000B0E0000}"/>
    <cellStyle name="AggGreen12 4 3 2 28" xfId="3596" xr:uid="{00000000-0005-0000-0000-00000C0E0000}"/>
    <cellStyle name="AggGreen12 4 3 2 29" xfId="3597" xr:uid="{00000000-0005-0000-0000-00000D0E0000}"/>
    <cellStyle name="AggGreen12 4 3 2 3" xfId="3598" xr:uid="{00000000-0005-0000-0000-00000E0E0000}"/>
    <cellStyle name="AggGreen12 4 3 2 30" xfId="3599" xr:uid="{00000000-0005-0000-0000-00000F0E0000}"/>
    <cellStyle name="AggGreen12 4 3 2 31" xfId="3600" xr:uid="{00000000-0005-0000-0000-0000100E0000}"/>
    <cellStyle name="AggGreen12 4 3 2 32" xfId="3601" xr:uid="{00000000-0005-0000-0000-0000110E0000}"/>
    <cellStyle name="AggGreen12 4 3 2 33" xfId="3602" xr:uid="{00000000-0005-0000-0000-0000120E0000}"/>
    <cellStyle name="AggGreen12 4 3 2 34" xfId="3603" xr:uid="{00000000-0005-0000-0000-0000130E0000}"/>
    <cellStyle name="AggGreen12 4 3 2 35" xfId="3604" xr:uid="{00000000-0005-0000-0000-0000140E0000}"/>
    <cellStyle name="AggGreen12 4 3 2 36" xfId="3605" xr:uid="{00000000-0005-0000-0000-0000150E0000}"/>
    <cellStyle name="AggGreen12 4 3 2 37" xfId="3606" xr:uid="{00000000-0005-0000-0000-0000160E0000}"/>
    <cellStyle name="AggGreen12 4 3 2 38" xfId="3607" xr:uid="{00000000-0005-0000-0000-0000170E0000}"/>
    <cellStyle name="AggGreen12 4 3 2 39" xfId="3608" xr:uid="{00000000-0005-0000-0000-0000180E0000}"/>
    <cellStyle name="AggGreen12 4 3 2 4" xfId="3609" xr:uid="{00000000-0005-0000-0000-0000190E0000}"/>
    <cellStyle name="AggGreen12 4 3 2 40" xfId="3610" xr:uid="{00000000-0005-0000-0000-00001A0E0000}"/>
    <cellStyle name="AggGreen12 4 3 2 41" xfId="3611" xr:uid="{00000000-0005-0000-0000-00001B0E0000}"/>
    <cellStyle name="AggGreen12 4 3 2 42" xfId="3612" xr:uid="{00000000-0005-0000-0000-00001C0E0000}"/>
    <cellStyle name="AggGreen12 4 3 2 43" xfId="3613" xr:uid="{00000000-0005-0000-0000-00001D0E0000}"/>
    <cellStyle name="AggGreen12 4 3 2 44" xfId="3614" xr:uid="{00000000-0005-0000-0000-00001E0E0000}"/>
    <cellStyle name="AggGreen12 4 3 2 45" xfId="3615" xr:uid="{00000000-0005-0000-0000-00001F0E0000}"/>
    <cellStyle name="AggGreen12 4 3 2 46" xfId="3616" xr:uid="{00000000-0005-0000-0000-0000200E0000}"/>
    <cellStyle name="AggGreen12 4 3 2 47" xfId="3617" xr:uid="{00000000-0005-0000-0000-0000210E0000}"/>
    <cellStyle name="AggGreen12 4 3 2 48" xfId="3618" xr:uid="{00000000-0005-0000-0000-0000220E0000}"/>
    <cellStyle name="AggGreen12 4 3 2 49" xfId="3619" xr:uid="{00000000-0005-0000-0000-0000230E0000}"/>
    <cellStyle name="AggGreen12 4 3 2 5" xfId="3620" xr:uid="{00000000-0005-0000-0000-0000240E0000}"/>
    <cellStyle name="AggGreen12 4 3 2 50" xfId="3621" xr:uid="{00000000-0005-0000-0000-0000250E0000}"/>
    <cellStyle name="AggGreen12 4 3 2 51" xfId="3622" xr:uid="{00000000-0005-0000-0000-0000260E0000}"/>
    <cellStyle name="AggGreen12 4 3 2 52" xfId="3623" xr:uid="{00000000-0005-0000-0000-0000270E0000}"/>
    <cellStyle name="AggGreen12 4 3 2 53" xfId="3624" xr:uid="{00000000-0005-0000-0000-0000280E0000}"/>
    <cellStyle name="AggGreen12 4 3 2 54" xfId="3625" xr:uid="{00000000-0005-0000-0000-0000290E0000}"/>
    <cellStyle name="AggGreen12 4 3 2 55" xfId="3626" xr:uid="{00000000-0005-0000-0000-00002A0E0000}"/>
    <cellStyle name="AggGreen12 4 3 2 56" xfId="3627" xr:uid="{00000000-0005-0000-0000-00002B0E0000}"/>
    <cellStyle name="AggGreen12 4 3 2 57" xfId="3628" xr:uid="{00000000-0005-0000-0000-00002C0E0000}"/>
    <cellStyle name="AggGreen12 4 3 2 58" xfId="3629" xr:uid="{00000000-0005-0000-0000-00002D0E0000}"/>
    <cellStyle name="AggGreen12 4 3 2 59" xfId="3630" xr:uid="{00000000-0005-0000-0000-00002E0E0000}"/>
    <cellStyle name="AggGreen12 4 3 2 6" xfId="3631" xr:uid="{00000000-0005-0000-0000-00002F0E0000}"/>
    <cellStyle name="AggGreen12 4 3 2 60" xfId="3632" xr:uid="{00000000-0005-0000-0000-0000300E0000}"/>
    <cellStyle name="AggGreen12 4 3 2 61" xfId="3633" xr:uid="{00000000-0005-0000-0000-0000310E0000}"/>
    <cellStyle name="AggGreen12 4 3 2 62" xfId="3634" xr:uid="{00000000-0005-0000-0000-0000320E0000}"/>
    <cellStyle name="AggGreen12 4 3 2 63" xfId="3635" xr:uid="{00000000-0005-0000-0000-0000330E0000}"/>
    <cellStyle name="AggGreen12 4 3 2 64" xfId="3636" xr:uid="{00000000-0005-0000-0000-0000340E0000}"/>
    <cellStyle name="AggGreen12 4 3 2 65" xfId="3637" xr:uid="{00000000-0005-0000-0000-0000350E0000}"/>
    <cellStyle name="AggGreen12 4 3 2 7" xfId="3638" xr:uid="{00000000-0005-0000-0000-0000360E0000}"/>
    <cellStyle name="AggGreen12 4 3 2 8" xfId="3639" xr:uid="{00000000-0005-0000-0000-0000370E0000}"/>
    <cellStyle name="AggGreen12 4 3 2 9" xfId="3640" xr:uid="{00000000-0005-0000-0000-0000380E0000}"/>
    <cellStyle name="AggGreen12 4 3 20" xfId="3641" xr:uid="{00000000-0005-0000-0000-0000390E0000}"/>
    <cellStyle name="AggGreen12 4 3 21" xfId="3642" xr:uid="{00000000-0005-0000-0000-00003A0E0000}"/>
    <cellStyle name="AggGreen12 4 3 22" xfId="3643" xr:uid="{00000000-0005-0000-0000-00003B0E0000}"/>
    <cellStyle name="AggGreen12 4 3 23" xfId="3644" xr:uid="{00000000-0005-0000-0000-00003C0E0000}"/>
    <cellStyle name="AggGreen12 4 3 24" xfId="3645" xr:uid="{00000000-0005-0000-0000-00003D0E0000}"/>
    <cellStyle name="AggGreen12 4 3 25" xfId="3646" xr:uid="{00000000-0005-0000-0000-00003E0E0000}"/>
    <cellStyle name="AggGreen12 4 3 26" xfId="3647" xr:uid="{00000000-0005-0000-0000-00003F0E0000}"/>
    <cellStyle name="AggGreen12 4 3 27" xfId="3648" xr:uid="{00000000-0005-0000-0000-0000400E0000}"/>
    <cellStyle name="AggGreen12 4 3 28" xfId="3649" xr:uid="{00000000-0005-0000-0000-0000410E0000}"/>
    <cellStyle name="AggGreen12 4 3 29" xfId="3650" xr:uid="{00000000-0005-0000-0000-0000420E0000}"/>
    <cellStyle name="AggGreen12 4 3 3" xfId="3651" xr:uid="{00000000-0005-0000-0000-0000430E0000}"/>
    <cellStyle name="AggGreen12 4 3 30" xfId="3652" xr:uid="{00000000-0005-0000-0000-0000440E0000}"/>
    <cellStyle name="AggGreen12 4 3 31" xfId="3653" xr:uid="{00000000-0005-0000-0000-0000450E0000}"/>
    <cellStyle name="AggGreen12 4 3 32" xfId="3654" xr:uid="{00000000-0005-0000-0000-0000460E0000}"/>
    <cellStyle name="AggGreen12 4 3 33" xfId="3655" xr:uid="{00000000-0005-0000-0000-0000470E0000}"/>
    <cellStyle name="AggGreen12 4 3 34" xfId="3656" xr:uid="{00000000-0005-0000-0000-0000480E0000}"/>
    <cellStyle name="AggGreen12 4 3 35" xfId="3657" xr:uid="{00000000-0005-0000-0000-0000490E0000}"/>
    <cellStyle name="AggGreen12 4 3 36" xfId="3658" xr:uid="{00000000-0005-0000-0000-00004A0E0000}"/>
    <cellStyle name="AggGreen12 4 3 37" xfId="3659" xr:uid="{00000000-0005-0000-0000-00004B0E0000}"/>
    <cellStyle name="AggGreen12 4 3 38" xfId="3660" xr:uid="{00000000-0005-0000-0000-00004C0E0000}"/>
    <cellStyle name="AggGreen12 4 3 39" xfId="3661" xr:uid="{00000000-0005-0000-0000-00004D0E0000}"/>
    <cellStyle name="AggGreen12 4 3 4" xfId="3662" xr:uid="{00000000-0005-0000-0000-00004E0E0000}"/>
    <cellStyle name="AggGreen12 4 3 40" xfId="3663" xr:uid="{00000000-0005-0000-0000-00004F0E0000}"/>
    <cellStyle name="AggGreen12 4 3 41" xfId="3664" xr:uid="{00000000-0005-0000-0000-0000500E0000}"/>
    <cellStyle name="AggGreen12 4 3 42" xfId="3665" xr:uid="{00000000-0005-0000-0000-0000510E0000}"/>
    <cellStyle name="AggGreen12 4 3 43" xfId="3666" xr:uid="{00000000-0005-0000-0000-0000520E0000}"/>
    <cellStyle name="AggGreen12 4 3 44" xfId="3667" xr:uid="{00000000-0005-0000-0000-0000530E0000}"/>
    <cellStyle name="AggGreen12 4 3 45" xfId="3668" xr:uid="{00000000-0005-0000-0000-0000540E0000}"/>
    <cellStyle name="AggGreen12 4 3 46" xfId="3669" xr:uid="{00000000-0005-0000-0000-0000550E0000}"/>
    <cellStyle name="AggGreen12 4 3 47" xfId="3670" xr:uid="{00000000-0005-0000-0000-0000560E0000}"/>
    <cellStyle name="AggGreen12 4 3 48" xfId="3671" xr:uid="{00000000-0005-0000-0000-0000570E0000}"/>
    <cellStyle name="AggGreen12 4 3 49" xfId="3672" xr:uid="{00000000-0005-0000-0000-0000580E0000}"/>
    <cellStyle name="AggGreen12 4 3 5" xfId="3673" xr:uid="{00000000-0005-0000-0000-0000590E0000}"/>
    <cellStyle name="AggGreen12 4 3 50" xfId="3674" xr:uid="{00000000-0005-0000-0000-00005A0E0000}"/>
    <cellStyle name="AggGreen12 4 3 51" xfId="3675" xr:uid="{00000000-0005-0000-0000-00005B0E0000}"/>
    <cellStyle name="AggGreen12 4 3 52" xfId="3676" xr:uid="{00000000-0005-0000-0000-00005C0E0000}"/>
    <cellStyle name="AggGreen12 4 3 53" xfId="3677" xr:uid="{00000000-0005-0000-0000-00005D0E0000}"/>
    <cellStyle name="AggGreen12 4 3 54" xfId="3678" xr:uid="{00000000-0005-0000-0000-00005E0E0000}"/>
    <cellStyle name="AggGreen12 4 3 55" xfId="3679" xr:uid="{00000000-0005-0000-0000-00005F0E0000}"/>
    <cellStyle name="AggGreen12 4 3 56" xfId="3680" xr:uid="{00000000-0005-0000-0000-0000600E0000}"/>
    <cellStyle name="AggGreen12 4 3 57" xfId="3681" xr:uid="{00000000-0005-0000-0000-0000610E0000}"/>
    <cellStyle name="AggGreen12 4 3 58" xfId="3682" xr:uid="{00000000-0005-0000-0000-0000620E0000}"/>
    <cellStyle name="AggGreen12 4 3 59" xfId="3683" xr:uid="{00000000-0005-0000-0000-0000630E0000}"/>
    <cellStyle name="AggGreen12 4 3 6" xfId="3684" xr:uid="{00000000-0005-0000-0000-0000640E0000}"/>
    <cellStyle name="AggGreen12 4 3 60" xfId="3685" xr:uid="{00000000-0005-0000-0000-0000650E0000}"/>
    <cellStyle name="AggGreen12 4 3 61" xfId="3686" xr:uid="{00000000-0005-0000-0000-0000660E0000}"/>
    <cellStyle name="AggGreen12 4 3 62" xfId="3687" xr:uid="{00000000-0005-0000-0000-0000670E0000}"/>
    <cellStyle name="AggGreen12 4 3 63" xfId="3688" xr:uid="{00000000-0005-0000-0000-0000680E0000}"/>
    <cellStyle name="AggGreen12 4 3 64" xfId="3689" xr:uid="{00000000-0005-0000-0000-0000690E0000}"/>
    <cellStyle name="AggGreen12 4 3 65" xfId="3690" xr:uid="{00000000-0005-0000-0000-00006A0E0000}"/>
    <cellStyle name="AggGreen12 4 3 66" xfId="3691" xr:uid="{00000000-0005-0000-0000-00006B0E0000}"/>
    <cellStyle name="AggGreen12 4 3 7" xfId="3692" xr:uid="{00000000-0005-0000-0000-00006C0E0000}"/>
    <cellStyle name="AggGreen12 4 3 8" xfId="3693" xr:uid="{00000000-0005-0000-0000-00006D0E0000}"/>
    <cellStyle name="AggGreen12 4 3 9" xfId="3694" xr:uid="{00000000-0005-0000-0000-00006E0E0000}"/>
    <cellStyle name="AggGreen12 4 30" xfId="3695" xr:uid="{00000000-0005-0000-0000-00006F0E0000}"/>
    <cellStyle name="AggGreen12 4 31" xfId="3696" xr:uid="{00000000-0005-0000-0000-0000700E0000}"/>
    <cellStyle name="AggGreen12 4 32" xfId="3697" xr:uid="{00000000-0005-0000-0000-0000710E0000}"/>
    <cellStyle name="AggGreen12 4 33" xfId="3698" xr:uid="{00000000-0005-0000-0000-0000720E0000}"/>
    <cellStyle name="AggGreen12 4 34" xfId="3699" xr:uid="{00000000-0005-0000-0000-0000730E0000}"/>
    <cellStyle name="AggGreen12 4 35" xfId="3700" xr:uid="{00000000-0005-0000-0000-0000740E0000}"/>
    <cellStyle name="AggGreen12 4 36" xfId="3701" xr:uid="{00000000-0005-0000-0000-0000750E0000}"/>
    <cellStyle name="AggGreen12 4 37" xfId="3702" xr:uid="{00000000-0005-0000-0000-0000760E0000}"/>
    <cellStyle name="AggGreen12 4 38" xfId="3703" xr:uid="{00000000-0005-0000-0000-0000770E0000}"/>
    <cellStyle name="AggGreen12 4 39" xfId="3704" xr:uid="{00000000-0005-0000-0000-0000780E0000}"/>
    <cellStyle name="AggGreen12 4 4" xfId="3705" xr:uid="{00000000-0005-0000-0000-0000790E0000}"/>
    <cellStyle name="AggGreen12 4 4 10" xfId="3706" xr:uid="{00000000-0005-0000-0000-00007A0E0000}"/>
    <cellStyle name="AggGreen12 4 4 11" xfId="3707" xr:uid="{00000000-0005-0000-0000-00007B0E0000}"/>
    <cellStyle name="AggGreen12 4 4 12" xfId="3708" xr:uid="{00000000-0005-0000-0000-00007C0E0000}"/>
    <cellStyle name="AggGreen12 4 4 13" xfId="3709" xr:uid="{00000000-0005-0000-0000-00007D0E0000}"/>
    <cellStyle name="AggGreen12 4 4 14" xfId="3710" xr:uid="{00000000-0005-0000-0000-00007E0E0000}"/>
    <cellStyle name="AggGreen12 4 4 15" xfId="3711" xr:uid="{00000000-0005-0000-0000-00007F0E0000}"/>
    <cellStyle name="AggGreen12 4 4 16" xfId="3712" xr:uid="{00000000-0005-0000-0000-0000800E0000}"/>
    <cellStyle name="AggGreen12 4 4 17" xfId="3713" xr:uid="{00000000-0005-0000-0000-0000810E0000}"/>
    <cellStyle name="AggGreen12 4 4 18" xfId="3714" xr:uid="{00000000-0005-0000-0000-0000820E0000}"/>
    <cellStyle name="AggGreen12 4 4 19" xfId="3715" xr:uid="{00000000-0005-0000-0000-0000830E0000}"/>
    <cellStyle name="AggGreen12 4 4 2" xfId="3716" xr:uid="{00000000-0005-0000-0000-0000840E0000}"/>
    <cellStyle name="AggGreen12 4 4 2 10" xfId="3717" xr:uid="{00000000-0005-0000-0000-0000850E0000}"/>
    <cellStyle name="AggGreen12 4 4 2 11" xfId="3718" xr:uid="{00000000-0005-0000-0000-0000860E0000}"/>
    <cellStyle name="AggGreen12 4 4 2 12" xfId="3719" xr:uid="{00000000-0005-0000-0000-0000870E0000}"/>
    <cellStyle name="AggGreen12 4 4 2 13" xfId="3720" xr:uid="{00000000-0005-0000-0000-0000880E0000}"/>
    <cellStyle name="AggGreen12 4 4 2 14" xfId="3721" xr:uid="{00000000-0005-0000-0000-0000890E0000}"/>
    <cellStyle name="AggGreen12 4 4 2 15" xfId="3722" xr:uid="{00000000-0005-0000-0000-00008A0E0000}"/>
    <cellStyle name="AggGreen12 4 4 2 16" xfId="3723" xr:uid="{00000000-0005-0000-0000-00008B0E0000}"/>
    <cellStyle name="AggGreen12 4 4 2 17" xfId="3724" xr:uid="{00000000-0005-0000-0000-00008C0E0000}"/>
    <cellStyle name="AggGreen12 4 4 2 18" xfId="3725" xr:uid="{00000000-0005-0000-0000-00008D0E0000}"/>
    <cellStyle name="AggGreen12 4 4 2 19" xfId="3726" xr:uid="{00000000-0005-0000-0000-00008E0E0000}"/>
    <cellStyle name="AggGreen12 4 4 2 2" xfId="3727" xr:uid="{00000000-0005-0000-0000-00008F0E0000}"/>
    <cellStyle name="AggGreen12 4 4 2 20" xfId="3728" xr:uid="{00000000-0005-0000-0000-0000900E0000}"/>
    <cellStyle name="AggGreen12 4 4 2 21" xfId="3729" xr:uid="{00000000-0005-0000-0000-0000910E0000}"/>
    <cellStyle name="AggGreen12 4 4 2 22" xfId="3730" xr:uid="{00000000-0005-0000-0000-0000920E0000}"/>
    <cellStyle name="AggGreen12 4 4 2 23" xfId="3731" xr:uid="{00000000-0005-0000-0000-0000930E0000}"/>
    <cellStyle name="AggGreen12 4 4 2 24" xfId="3732" xr:uid="{00000000-0005-0000-0000-0000940E0000}"/>
    <cellStyle name="AggGreen12 4 4 2 25" xfId="3733" xr:uid="{00000000-0005-0000-0000-0000950E0000}"/>
    <cellStyle name="AggGreen12 4 4 2 26" xfId="3734" xr:uid="{00000000-0005-0000-0000-0000960E0000}"/>
    <cellStyle name="AggGreen12 4 4 2 27" xfId="3735" xr:uid="{00000000-0005-0000-0000-0000970E0000}"/>
    <cellStyle name="AggGreen12 4 4 2 28" xfId="3736" xr:uid="{00000000-0005-0000-0000-0000980E0000}"/>
    <cellStyle name="AggGreen12 4 4 2 29" xfId="3737" xr:uid="{00000000-0005-0000-0000-0000990E0000}"/>
    <cellStyle name="AggGreen12 4 4 2 3" xfId="3738" xr:uid="{00000000-0005-0000-0000-00009A0E0000}"/>
    <cellStyle name="AggGreen12 4 4 2 30" xfId="3739" xr:uid="{00000000-0005-0000-0000-00009B0E0000}"/>
    <cellStyle name="AggGreen12 4 4 2 31" xfId="3740" xr:uid="{00000000-0005-0000-0000-00009C0E0000}"/>
    <cellStyle name="AggGreen12 4 4 2 32" xfId="3741" xr:uid="{00000000-0005-0000-0000-00009D0E0000}"/>
    <cellStyle name="AggGreen12 4 4 2 33" xfId="3742" xr:uid="{00000000-0005-0000-0000-00009E0E0000}"/>
    <cellStyle name="AggGreen12 4 4 2 34" xfId="3743" xr:uid="{00000000-0005-0000-0000-00009F0E0000}"/>
    <cellStyle name="AggGreen12 4 4 2 35" xfId="3744" xr:uid="{00000000-0005-0000-0000-0000A00E0000}"/>
    <cellStyle name="AggGreen12 4 4 2 36" xfId="3745" xr:uid="{00000000-0005-0000-0000-0000A10E0000}"/>
    <cellStyle name="AggGreen12 4 4 2 37" xfId="3746" xr:uid="{00000000-0005-0000-0000-0000A20E0000}"/>
    <cellStyle name="AggGreen12 4 4 2 38" xfId="3747" xr:uid="{00000000-0005-0000-0000-0000A30E0000}"/>
    <cellStyle name="AggGreen12 4 4 2 39" xfId="3748" xr:uid="{00000000-0005-0000-0000-0000A40E0000}"/>
    <cellStyle name="AggGreen12 4 4 2 4" xfId="3749" xr:uid="{00000000-0005-0000-0000-0000A50E0000}"/>
    <cellStyle name="AggGreen12 4 4 2 40" xfId="3750" xr:uid="{00000000-0005-0000-0000-0000A60E0000}"/>
    <cellStyle name="AggGreen12 4 4 2 41" xfId="3751" xr:uid="{00000000-0005-0000-0000-0000A70E0000}"/>
    <cellStyle name="AggGreen12 4 4 2 42" xfId="3752" xr:uid="{00000000-0005-0000-0000-0000A80E0000}"/>
    <cellStyle name="AggGreen12 4 4 2 43" xfId="3753" xr:uid="{00000000-0005-0000-0000-0000A90E0000}"/>
    <cellStyle name="AggGreen12 4 4 2 44" xfId="3754" xr:uid="{00000000-0005-0000-0000-0000AA0E0000}"/>
    <cellStyle name="AggGreen12 4 4 2 45" xfId="3755" xr:uid="{00000000-0005-0000-0000-0000AB0E0000}"/>
    <cellStyle name="AggGreen12 4 4 2 46" xfId="3756" xr:uid="{00000000-0005-0000-0000-0000AC0E0000}"/>
    <cellStyle name="AggGreen12 4 4 2 47" xfId="3757" xr:uid="{00000000-0005-0000-0000-0000AD0E0000}"/>
    <cellStyle name="AggGreen12 4 4 2 48" xfId="3758" xr:uid="{00000000-0005-0000-0000-0000AE0E0000}"/>
    <cellStyle name="AggGreen12 4 4 2 49" xfId="3759" xr:uid="{00000000-0005-0000-0000-0000AF0E0000}"/>
    <cellStyle name="AggGreen12 4 4 2 5" xfId="3760" xr:uid="{00000000-0005-0000-0000-0000B00E0000}"/>
    <cellStyle name="AggGreen12 4 4 2 50" xfId="3761" xr:uid="{00000000-0005-0000-0000-0000B10E0000}"/>
    <cellStyle name="AggGreen12 4 4 2 51" xfId="3762" xr:uid="{00000000-0005-0000-0000-0000B20E0000}"/>
    <cellStyle name="AggGreen12 4 4 2 52" xfId="3763" xr:uid="{00000000-0005-0000-0000-0000B30E0000}"/>
    <cellStyle name="AggGreen12 4 4 2 53" xfId="3764" xr:uid="{00000000-0005-0000-0000-0000B40E0000}"/>
    <cellStyle name="AggGreen12 4 4 2 54" xfId="3765" xr:uid="{00000000-0005-0000-0000-0000B50E0000}"/>
    <cellStyle name="AggGreen12 4 4 2 55" xfId="3766" xr:uid="{00000000-0005-0000-0000-0000B60E0000}"/>
    <cellStyle name="AggGreen12 4 4 2 56" xfId="3767" xr:uid="{00000000-0005-0000-0000-0000B70E0000}"/>
    <cellStyle name="AggGreen12 4 4 2 57" xfId="3768" xr:uid="{00000000-0005-0000-0000-0000B80E0000}"/>
    <cellStyle name="AggGreen12 4 4 2 58" xfId="3769" xr:uid="{00000000-0005-0000-0000-0000B90E0000}"/>
    <cellStyle name="AggGreen12 4 4 2 59" xfId="3770" xr:uid="{00000000-0005-0000-0000-0000BA0E0000}"/>
    <cellStyle name="AggGreen12 4 4 2 6" xfId="3771" xr:uid="{00000000-0005-0000-0000-0000BB0E0000}"/>
    <cellStyle name="AggGreen12 4 4 2 60" xfId="3772" xr:uid="{00000000-0005-0000-0000-0000BC0E0000}"/>
    <cellStyle name="AggGreen12 4 4 2 61" xfId="3773" xr:uid="{00000000-0005-0000-0000-0000BD0E0000}"/>
    <cellStyle name="AggGreen12 4 4 2 62" xfId="3774" xr:uid="{00000000-0005-0000-0000-0000BE0E0000}"/>
    <cellStyle name="AggGreen12 4 4 2 63" xfId="3775" xr:uid="{00000000-0005-0000-0000-0000BF0E0000}"/>
    <cellStyle name="AggGreen12 4 4 2 64" xfId="3776" xr:uid="{00000000-0005-0000-0000-0000C00E0000}"/>
    <cellStyle name="AggGreen12 4 4 2 65" xfId="3777" xr:uid="{00000000-0005-0000-0000-0000C10E0000}"/>
    <cellStyle name="AggGreen12 4 4 2 7" xfId="3778" xr:uid="{00000000-0005-0000-0000-0000C20E0000}"/>
    <cellStyle name="AggGreen12 4 4 2 8" xfId="3779" xr:uid="{00000000-0005-0000-0000-0000C30E0000}"/>
    <cellStyle name="AggGreen12 4 4 2 9" xfId="3780" xr:uid="{00000000-0005-0000-0000-0000C40E0000}"/>
    <cellStyle name="AggGreen12 4 4 20" xfId="3781" xr:uid="{00000000-0005-0000-0000-0000C50E0000}"/>
    <cellStyle name="AggGreen12 4 4 21" xfId="3782" xr:uid="{00000000-0005-0000-0000-0000C60E0000}"/>
    <cellStyle name="AggGreen12 4 4 22" xfId="3783" xr:uid="{00000000-0005-0000-0000-0000C70E0000}"/>
    <cellStyle name="AggGreen12 4 4 23" xfId="3784" xr:uid="{00000000-0005-0000-0000-0000C80E0000}"/>
    <cellStyle name="AggGreen12 4 4 24" xfId="3785" xr:uid="{00000000-0005-0000-0000-0000C90E0000}"/>
    <cellStyle name="AggGreen12 4 4 25" xfId="3786" xr:uid="{00000000-0005-0000-0000-0000CA0E0000}"/>
    <cellStyle name="AggGreen12 4 4 26" xfId="3787" xr:uid="{00000000-0005-0000-0000-0000CB0E0000}"/>
    <cellStyle name="AggGreen12 4 4 27" xfId="3788" xr:uid="{00000000-0005-0000-0000-0000CC0E0000}"/>
    <cellStyle name="AggGreen12 4 4 28" xfId="3789" xr:uid="{00000000-0005-0000-0000-0000CD0E0000}"/>
    <cellStyle name="AggGreen12 4 4 29" xfId="3790" xr:uid="{00000000-0005-0000-0000-0000CE0E0000}"/>
    <cellStyle name="AggGreen12 4 4 3" xfId="3791" xr:uid="{00000000-0005-0000-0000-0000CF0E0000}"/>
    <cellStyle name="AggGreen12 4 4 30" xfId="3792" xr:uid="{00000000-0005-0000-0000-0000D00E0000}"/>
    <cellStyle name="AggGreen12 4 4 31" xfId="3793" xr:uid="{00000000-0005-0000-0000-0000D10E0000}"/>
    <cellStyle name="AggGreen12 4 4 32" xfId="3794" xr:uid="{00000000-0005-0000-0000-0000D20E0000}"/>
    <cellStyle name="AggGreen12 4 4 33" xfId="3795" xr:uid="{00000000-0005-0000-0000-0000D30E0000}"/>
    <cellStyle name="AggGreen12 4 4 34" xfId="3796" xr:uid="{00000000-0005-0000-0000-0000D40E0000}"/>
    <cellStyle name="AggGreen12 4 4 35" xfId="3797" xr:uid="{00000000-0005-0000-0000-0000D50E0000}"/>
    <cellStyle name="AggGreen12 4 4 36" xfId="3798" xr:uid="{00000000-0005-0000-0000-0000D60E0000}"/>
    <cellStyle name="AggGreen12 4 4 37" xfId="3799" xr:uid="{00000000-0005-0000-0000-0000D70E0000}"/>
    <cellStyle name="AggGreen12 4 4 38" xfId="3800" xr:uid="{00000000-0005-0000-0000-0000D80E0000}"/>
    <cellStyle name="AggGreen12 4 4 39" xfId="3801" xr:uid="{00000000-0005-0000-0000-0000D90E0000}"/>
    <cellStyle name="AggGreen12 4 4 4" xfId="3802" xr:uid="{00000000-0005-0000-0000-0000DA0E0000}"/>
    <cellStyle name="AggGreen12 4 4 40" xfId="3803" xr:uid="{00000000-0005-0000-0000-0000DB0E0000}"/>
    <cellStyle name="AggGreen12 4 4 41" xfId="3804" xr:uid="{00000000-0005-0000-0000-0000DC0E0000}"/>
    <cellStyle name="AggGreen12 4 4 42" xfId="3805" xr:uid="{00000000-0005-0000-0000-0000DD0E0000}"/>
    <cellStyle name="AggGreen12 4 4 43" xfId="3806" xr:uid="{00000000-0005-0000-0000-0000DE0E0000}"/>
    <cellStyle name="AggGreen12 4 4 44" xfId="3807" xr:uid="{00000000-0005-0000-0000-0000DF0E0000}"/>
    <cellStyle name="AggGreen12 4 4 45" xfId="3808" xr:uid="{00000000-0005-0000-0000-0000E00E0000}"/>
    <cellStyle name="AggGreen12 4 4 46" xfId="3809" xr:uid="{00000000-0005-0000-0000-0000E10E0000}"/>
    <cellStyle name="AggGreen12 4 4 47" xfId="3810" xr:uid="{00000000-0005-0000-0000-0000E20E0000}"/>
    <cellStyle name="AggGreen12 4 4 48" xfId="3811" xr:uid="{00000000-0005-0000-0000-0000E30E0000}"/>
    <cellStyle name="AggGreen12 4 4 49" xfId="3812" xr:uid="{00000000-0005-0000-0000-0000E40E0000}"/>
    <cellStyle name="AggGreen12 4 4 5" xfId="3813" xr:uid="{00000000-0005-0000-0000-0000E50E0000}"/>
    <cellStyle name="AggGreen12 4 4 50" xfId="3814" xr:uid="{00000000-0005-0000-0000-0000E60E0000}"/>
    <cellStyle name="AggGreen12 4 4 51" xfId="3815" xr:uid="{00000000-0005-0000-0000-0000E70E0000}"/>
    <cellStyle name="AggGreen12 4 4 52" xfId="3816" xr:uid="{00000000-0005-0000-0000-0000E80E0000}"/>
    <cellStyle name="AggGreen12 4 4 53" xfId="3817" xr:uid="{00000000-0005-0000-0000-0000E90E0000}"/>
    <cellStyle name="AggGreen12 4 4 54" xfId="3818" xr:uid="{00000000-0005-0000-0000-0000EA0E0000}"/>
    <cellStyle name="AggGreen12 4 4 55" xfId="3819" xr:uid="{00000000-0005-0000-0000-0000EB0E0000}"/>
    <cellStyle name="AggGreen12 4 4 56" xfId="3820" xr:uid="{00000000-0005-0000-0000-0000EC0E0000}"/>
    <cellStyle name="AggGreen12 4 4 57" xfId="3821" xr:uid="{00000000-0005-0000-0000-0000ED0E0000}"/>
    <cellStyle name="AggGreen12 4 4 58" xfId="3822" xr:uid="{00000000-0005-0000-0000-0000EE0E0000}"/>
    <cellStyle name="AggGreen12 4 4 59" xfId="3823" xr:uid="{00000000-0005-0000-0000-0000EF0E0000}"/>
    <cellStyle name="AggGreen12 4 4 6" xfId="3824" xr:uid="{00000000-0005-0000-0000-0000F00E0000}"/>
    <cellStyle name="AggGreen12 4 4 60" xfId="3825" xr:uid="{00000000-0005-0000-0000-0000F10E0000}"/>
    <cellStyle name="AggGreen12 4 4 61" xfId="3826" xr:uid="{00000000-0005-0000-0000-0000F20E0000}"/>
    <cellStyle name="AggGreen12 4 4 62" xfId="3827" xr:uid="{00000000-0005-0000-0000-0000F30E0000}"/>
    <cellStyle name="AggGreen12 4 4 63" xfId="3828" xr:uid="{00000000-0005-0000-0000-0000F40E0000}"/>
    <cellStyle name="AggGreen12 4 4 64" xfId="3829" xr:uid="{00000000-0005-0000-0000-0000F50E0000}"/>
    <cellStyle name="AggGreen12 4 4 65" xfId="3830" xr:uid="{00000000-0005-0000-0000-0000F60E0000}"/>
    <cellStyle name="AggGreen12 4 4 66" xfId="3831" xr:uid="{00000000-0005-0000-0000-0000F70E0000}"/>
    <cellStyle name="AggGreen12 4 4 7" xfId="3832" xr:uid="{00000000-0005-0000-0000-0000F80E0000}"/>
    <cellStyle name="AggGreen12 4 4 8" xfId="3833" xr:uid="{00000000-0005-0000-0000-0000F90E0000}"/>
    <cellStyle name="AggGreen12 4 4 9" xfId="3834" xr:uid="{00000000-0005-0000-0000-0000FA0E0000}"/>
    <cellStyle name="AggGreen12 4 40" xfId="3835" xr:uid="{00000000-0005-0000-0000-0000FB0E0000}"/>
    <cellStyle name="AggGreen12 4 41" xfId="3836" xr:uid="{00000000-0005-0000-0000-0000FC0E0000}"/>
    <cellStyle name="AggGreen12 4 42" xfId="3837" xr:uid="{00000000-0005-0000-0000-0000FD0E0000}"/>
    <cellStyle name="AggGreen12 4 43" xfId="3838" xr:uid="{00000000-0005-0000-0000-0000FE0E0000}"/>
    <cellStyle name="AggGreen12 4 44" xfId="3839" xr:uid="{00000000-0005-0000-0000-0000FF0E0000}"/>
    <cellStyle name="AggGreen12 4 45" xfId="3840" xr:uid="{00000000-0005-0000-0000-0000000F0000}"/>
    <cellStyle name="AggGreen12 4 46" xfId="3841" xr:uid="{00000000-0005-0000-0000-0000010F0000}"/>
    <cellStyle name="AggGreen12 4 47" xfId="3842" xr:uid="{00000000-0005-0000-0000-0000020F0000}"/>
    <cellStyle name="AggGreen12 4 48" xfId="3843" xr:uid="{00000000-0005-0000-0000-0000030F0000}"/>
    <cellStyle name="AggGreen12 4 49" xfId="3844" xr:uid="{00000000-0005-0000-0000-0000040F0000}"/>
    <cellStyle name="AggGreen12 4 5" xfId="3845" xr:uid="{00000000-0005-0000-0000-0000050F0000}"/>
    <cellStyle name="AggGreen12 4 50" xfId="3846" xr:uid="{00000000-0005-0000-0000-0000060F0000}"/>
    <cellStyle name="AggGreen12 4 51" xfId="3847" xr:uid="{00000000-0005-0000-0000-0000070F0000}"/>
    <cellStyle name="AggGreen12 4 52" xfId="3848" xr:uid="{00000000-0005-0000-0000-0000080F0000}"/>
    <cellStyle name="AggGreen12 4 53" xfId="3849" xr:uid="{00000000-0005-0000-0000-0000090F0000}"/>
    <cellStyle name="AggGreen12 4 54" xfId="3850" xr:uid="{00000000-0005-0000-0000-00000A0F0000}"/>
    <cellStyle name="AggGreen12 4 55" xfId="3851" xr:uid="{00000000-0005-0000-0000-00000B0F0000}"/>
    <cellStyle name="AggGreen12 4 56" xfId="3852" xr:uid="{00000000-0005-0000-0000-00000C0F0000}"/>
    <cellStyle name="AggGreen12 4 57" xfId="3853" xr:uid="{00000000-0005-0000-0000-00000D0F0000}"/>
    <cellStyle name="AggGreen12 4 58" xfId="3854" xr:uid="{00000000-0005-0000-0000-00000E0F0000}"/>
    <cellStyle name="AggGreen12 4 59" xfId="3855" xr:uid="{00000000-0005-0000-0000-00000F0F0000}"/>
    <cellStyle name="AggGreen12 4 6" xfId="3856" xr:uid="{00000000-0005-0000-0000-0000100F0000}"/>
    <cellStyle name="AggGreen12 4 60" xfId="3857" xr:uid="{00000000-0005-0000-0000-0000110F0000}"/>
    <cellStyle name="AggGreen12 4 61" xfId="3858" xr:uid="{00000000-0005-0000-0000-0000120F0000}"/>
    <cellStyle name="AggGreen12 4 62" xfId="3859" xr:uid="{00000000-0005-0000-0000-0000130F0000}"/>
    <cellStyle name="AggGreen12 4 63" xfId="3860" xr:uid="{00000000-0005-0000-0000-0000140F0000}"/>
    <cellStyle name="AggGreen12 4 64" xfId="3861" xr:uid="{00000000-0005-0000-0000-0000150F0000}"/>
    <cellStyle name="AggGreen12 4 65" xfId="3862" xr:uid="{00000000-0005-0000-0000-0000160F0000}"/>
    <cellStyle name="AggGreen12 4 66" xfId="3863" xr:uid="{00000000-0005-0000-0000-0000170F0000}"/>
    <cellStyle name="AggGreen12 4 67" xfId="3864" xr:uid="{00000000-0005-0000-0000-0000180F0000}"/>
    <cellStyle name="AggGreen12 4 68" xfId="3865" xr:uid="{00000000-0005-0000-0000-0000190F0000}"/>
    <cellStyle name="AggGreen12 4 7" xfId="3866" xr:uid="{00000000-0005-0000-0000-00001A0F0000}"/>
    <cellStyle name="AggGreen12 4 8" xfId="3867" xr:uid="{00000000-0005-0000-0000-00001B0F0000}"/>
    <cellStyle name="AggGreen12 4 9" xfId="3868" xr:uid="{00000000-0005-0000-0000-00001C0F0000}"/>
    <cellStyle name="AggGreen12 5" xfId="3869" xr:uid="{00000000-0005-0000-0000-00001D0F0000}"/>
    <cellStyle name="AggGreen12 5 10" xfId="3870" xr:uid="{00000000-0005-0000-0000-00001E0F0000}"/>
    <cellStyle name="AggGreen12 5 11" xfId="3871" xr:uid="{00000000-0005-0000-0000-00001F0F0000}"/>
    <cellStyle name="AggGreen12 5 12" xfId="3872" xr:uid="{00000000-0005-0000-0000-0000200F0000}"/>
    <cellStyle name="AggGreen12 5 13" xfId="3873" xr:uid="{00000000-0005-0000-0000-0000210F0000}"/>
    <cellStyle name="AggGreen12 5 14" xfId="3874" xr:uid="{00000000-0005-0000-0000-0000220F0000}"/>
    <cellStyle name="AggGreen12 5 15" xfId="3875" xr:uid="{00000000-0005-0000-0000-0000230F0000}"/>
    <cellStyle name="AggGreen12 5 16" xfId="3876" xr:uid="{00000000-0005-0000-0000-0000240F0000}"/>
    <cellStyle name="AggGreen12 5 2" xfId="3877" xr:uid="{00000000-0005-0000-0000-0000250F0000}"/>
    <cellStyle name="AggGreen12 5 3" xfId="3878" xr:uid="{00000000-0005-0000-0000-0000260F0000}"/>
    <cellStyle name="AggGreen12 5 4" xfId="3879" xr:uid="{00000000-0005-0000-0000-0000270F0000}"/>
    <cellStyle name="AggGreen12 5 5" xfId="3880" xr:uid="{00000000-0005-0000-0000-0000280F0000}"/>
    <cellStyle name="AggGreen12 5 6" xfId="3881" xr:uid="{00000000-0005-0000-0000-0000290F0000}"/>
    <cellStyle name="AggGreen12 5 7" xfId="3882" xr:uid="{00000000-0005-0000-0000-00002A0F0000}"/>
    <cellStyle name="AggGreen12 5 8" xfId="3883" xr:uid="{00000000-0005-0000-0000-00002B0F0000}"/>
    <cellStyle name="AggGreen12 5 9" xfId="3884" xr:uid="{00000000-0005-0000-0000-00002C0F0000}"/>
    <cellStyle name="AggOrange" xfId="3886" xr:uid="{00000000-0005-0000-0000-00002E0F0000}"/>
    <cellStyle name="AggOrange 2" xfId="3887" xr:uid="{00000000-0005-0000-0000-00002F0F0000}"/>
    <cellStyle name="AggOrange 2 2" xfId="3888" xr:uid="{00000000-0005-0000-0000-0000300F0000}"/>
    <cellStyle name="AggOrange 2 2 2" xfId="3889" xr:uid="{00000000-0005-0000-0000-0000310F0000}"/>
    <cellStyle name="AggOrange 2 2 2 10" xfId="3890" xr:uid="{00000000-0005-0000-0000-0000320F0000}"/>
    <cellStyle name="AggOrange 2 2 2 11" xfId="3891" xr:uid="{00000000-0005-0000-0000-0000330F0000}"/>
    <cellStyle name="AggOrange 2 2 2 12" xfId="3892" xr:uid="{00000000-0005-0000-0000-0000340F0000}"/>
    <cellStyle name="AggOrange 2 2 2 13" xfId="3893" xr:uid="{00000000-0005-0000-0000-0000350F0000}"/>
    <cellStyle name="AggOrange 2 2 2 14" xfId="3894" xr:uid="{00000000-0005-0000-0000-0000360F0000}"/>
    <cellStyle name="AggOrange 2 2 2 15" xfId="3895" xr:uid="{00000000-0005-0000-0000-0000370F0000}"/>
    <cellStyle name="AggOrange 2 2 2 16" xfId="3896" xr:uid="{00000000-0005-0000-0000-0000380F0000}"/>
    <cellStyle name="AggOrange 2 2 2 17" xfId="3897" xr:uid="{00000000-0005-0000-0000-0000390F0000}"/>
    <cellStyle name="AggOrange 2 2 2 18" xfId="3898" xr:uid="{00000000-0005-0000-0000-00003A0F0000}"/>
    <cellStyle name="AggOrange 2 2 2 19" xfId="3899" xr:uid="{00000000-0005-0000-0000-00003B0F0000}"/>
    <cellStyle name="AggOrange 2 2 2 2" xfId="3900" xr:uid="{00000000-0005-0000-0000-00003C0F0000}"/>
    <cellStyle name="AggOrange 2 2 2 2 10" xfId="3901" xr:uid="{00000000-0005-0000-0000-00003D0F0000}"/>
    <cellStyle name="AggOrange 2 2 2 2 11" xfId="3902" xr:uid="{00000000-0005-0000-0000-00003E0F0000}"/>
    <cellStyle name="AggOrange 2 2 2 2 12" xfId="3903" xr:uid="{00000000-0005-0000-0000-00003F0F0000}"/>
    <cellStyle name="AggOrange 2 2 2 2 13" xfId="3904" xr:uid="{00000000-0005-0000-0000-0000400F0000}"/>
    <cellStyle name="AggOrange 2 2 2 2 14" xfId="3905" xr:uid="{00000000-0005-0000-0000-0000410F0000}"/>
    <cellStyle name="AggOrange 2 2 2 2 15" xfId="3906" xr:uid="{00000000-0005-0000-0000-0000420F0000}"/>
    <cellStyle name="AggOrange 2 2 2 2 16" xfId="3907" xr:uid="{00000000-0005-0000-0000-0000430F0000}"/>
    <cellStyle name="AggOrange 2 2 2 2 17" xfId="3908" xr:uid="{00000000-0005-0000-0000-0000440F0000}"/>
    <cellStyle name="AggOrange 2 2 2 2 18" xfId="3909" xr:uid="{00000000-0005-0000-0000-0000450F0000}"/>
    <cellStyle name="AggOrange 2 2 2 2 19" xfId="3910" xr:uid="{00000000-0005-0000-0000-0000460F0000}"/>
    <cellStyle name="AggOrange 2 2 2 2 2" xfId="3911" xr:uid="{00000000-0005-0000-0000-0000470F0000}"/>
    <cellStyle name="AggOrange 2 2 2 2 20" xfId="3912" xr:uid="{00000000-0005-0000-0000-0000480F0000}"/>
    <cellStyle name="AggOrange 2 2 2 2 21" xfId="3913" xr:uid="{00000000-0005-0000-0000-0000490F0000}"/>
    <cellStyle name="AggOrange 2 2 2 2 22" xfId="3914" xr:uid="{00000000-0005-0000-0000-00004A0F0000}"/>
    <cellStyle name="AggOrange 2 2 2 2 23" xfId="3915" xr:uid="{00000000-0005-0000-0000-00004B0F0000}"/>
    <cellStyle name="AggOrange 2 2 2 2 24" xfId="3916" xr:uid="{00000000-0005-0000-0000-00004C0F0000}"/>
    <cellStyle name="AggOrange 2 2 2 2 25" xfId="3917" xr:uid="{00000000-0005-0000-0000-00004D0F0000}"/>
    <cellStyle name="AggOrange 2 2 2 2 26" xfId="3918" xr:uid="{00000000-0005-0000-0000-00004E0F0000}"/>
    <cellStyle name="AggOrange 2 2 2 2 27" xfId="3919" xr:uid="{00000000-0005-0000-0000-00004F0F0000}"/>
    <cellStyle name="AggOrange 2 2 2 2 28" xfId="3920" xr:uid="{00000000-0005-0000-0000-0000500F0000}"/>
    <cellStyle name="AggOrange 2 2 2 2 29" xfId="3921" xr:uid="{00000000-0005-0000-0000-0000510F0000}"/>
    <cellStyle name="AggOrange 2 2 2 2 3" xfId="3922" xr:uid="{00000000-0005-0000-0000-0000520F0000}"/>
    <cellStyle name="AggOrange 2 2 2 2 30" xfId="3923" xr:uid="{00000000-0005-0000-0000-0000530F0000}"/>
    <cellStyle name="AggOrange 2 2 2 2 31" xfId="3924" xr:uid="{00000000-0005-0000-0000-0000540F0000}"/>
    <cellStyle name="AggOrange 2 2 2 2 32" xfId="3925" xr:uid="{00000000-0005-0000-0000-0000550F0000}"/>
    <cellStyle name="AggOrange 2 2 2 2 33" xfId="3926" xr:uid="{00000000-0005-0000-0000-0000560F0000}"/>
    <cellStyle name="AggOrange 2 2 2 2 34" xfId="3927" xr:uid="{00000000-0005-0000-0000-0000570F0000}"/>
    <cellStyle name="AggOrange 2 2 2 2 35" xfId="3928" xr:uid="{00000000-0005-0000-0000-0000580F0000}"/>
    <cellStyle name="AggOrange 2 2 2 2 36" xfId="3929" xr:uid="{00000000-0005-0000-0000-0000590F0000}"/>
    <cellStyle name="AggOrange 2 2 2 2 37" xfId="3930" xr:uid="{00000000-0005-0000-0000-00005A0F0000}"/>
    <cellStyle name="AggOrange 2 2 2 2 38" xfId="3931" xr:uid="{00000000-0005-0000-0000-00005B0F0000}"/>
    <cellStyle name="AggOrange 2 2 2 2 39" xfId="3932" xr:uid="{00000000-0005-0000-0000-00005C0F0000}"/>
    <cellStyle name="AggOrange 2 2 2 2 4" xfId="3933" xr:uid="{00000000-0005-0000-0000-00005D0F0000}"/>
    <cellStyle name="AggOrange 2 2 2 2 40" xfId="3934" xr:uid="{00000000-0005-0000-0000-00005E0F0000}"/>
    <cellStyle name="AggOrange 2 2 2 2 41" xfId="3935" xr:uid="{00000000-0005-0000-0000-00005F0F0000}"/>
    <cellStyle name="AggOrange 2 2 2 2 42" xfId="3936" xr:uid="{00000000-0005-0000-0000-0000600F0000}"/>
    <cellStyle name="AggOrange 2 2 2 2 43" xfId="3937" xr:uid="{00000000-0005-0000-0000-0000610F0000}"/>
    <cellStyle name="AggOrange 2 2 2 2 44" xfId="3938" xr:uid="{00000000-0005-0000-0000-0000620F0000}"/>
    <cellStyle name="AggOrange 2 2 2 2 45" xfId="3939" xr:uid="{00000000-0005-0000-0000-0000630F0000}"/>
    <cellStyle name="AggOrange 2 2 2 2 46" xfId="3940" xr:uid="{00000000-0005-0000-0000-0000640F0000}"/>
    <cellStyle name="AggOrange 2 2 2 2 47" xfId="3941" xr:uid="{00000000-0005-0000-0000-0000650F0000}"/>
    <cellStyle name="AggOrange 2 2 2 2 48" xfId="3942" xr:uid="{00000000-0005-0000-0000-0000660F0000}"/>
    <cellStyle name="AggOrange 2 2 2 2 49" xfId="3943" xr:uid="{00000000-0005-0000-0000-0000670F0000}"/>
    <cellStyle name="AggOrange 2 2 2 2 5" xfId="3944" xr:uid="{00000000-0005-0000-0000-0000680F0000}"/>
    <cellStyle name="AggOrange 2 2 2 2 50" xfId="3945" xr:uid="{00000000-0005-0000-0000-0000690F0000}"/>
    <cellStyle name="AggOrange 2 2 2 2 51" xfId="3946" xr:uid="{00000000-0005-0000-0000-00006A0F0000}"/>
    <cellStyle name="AggOrange 2 2 2 2 52" xfId="3947" xr:uid="{00000000-0005-0000-0000-00006B0F0000}"/>
    <cellStyle name="AggOrange 2 2 2 2 53" xfId="3948" xr:uid="{00000000-0005-0000-0000-00006C0F0000}"/>
    <cellStyle name="AggOrange 2 2 2 2 54" xfId="3949" xr:uid="{00000000-0005-0000-0000-00006D0F0000}"/>
    <cellStyle name="AggOrange 2 2 2 2 55" xfId="3950" xr:uid="{00000000-0005-0000-0000-00006E0F0000}"/>
    <cellStyle name="AggOrange 2 2 2 2 56" xfId="3951" xr:uid="{00000000-0005-0000-0000-00006F0F0000}"/>
    <cellStyle name="AggOrange 2 2 2 2 57" xfId="3952" xr:uid="{00000000-0005-0000-0000-0000700F0000}"/>
    <cellStyle name="AggOrange 2 2 2 2 58" xfId="3953" xr:uid="{00000000-0005-0000-0000-0000710F0000}"/>
    <cellStyle name="AggOrange 2 2 2 2 59" xfId="3954" xr:uid="{00000000-0005-0000-0000-0000720F0000}"/>
    <cellStyle name="AggOrange 2 2 2 2 6" xfId="3955" xr:uid="{00000000-0005-0000-0000-0000730F0000}"/>
    <cellStyle name="AggOrange 2 2 2 2 60" xfId="3956" xr:uid="{00000000-0005-0000-0000-0000740F0000}"/>
    <cellStyle name="AggOrange 2 2 2 2 61" xfId="3957" xr:uid="{00000000-0005-0000-0000-0000750F0000}"/>
    <cellStyle name="AggOrange 2 2 2 2 62" xfId="3958" xr:uid="{00000000-0005-0000-0000-0000760F0000}"/>
    <cellStyle name="AggOrange 2 2 2 2 63" xfId="3959" xr:uid="{00000000-0005-0000-0000-0000770F0000}"/>
    <cellStyle name="AggOrange 2 2 2 2 64" xfId="3960" xr:uid="{00000000-0005-0000-0000-0000780F0000}"/>
    <cellStyle name="AggOrange 2 2 2 2 65" xfId="3961" xr:uid="{00000000-0005-0000-0000-0000790F0000}"/>
    <cellStyle name="AggOrange 2 2 2 2 7" xfId="3962" xr:uid="{00000000-0005-0000-0000-00007A0F0000}"/>
    <cellStyle name="AggOrange 2 2 2 2 8" xfId="3963" xr:uid="{00000000-0005-0000-0000-00007B0F0000}"/>
    <cellStyle name="AggOrange 2 2 2 2 9" xfId="3964" xr:uid="{00000000-0005-0000-0000-00007C0F0000}"/>
    <cellStyle name="AggOrange 2 2 2 20" xfId="3965" xr:uid="{00000000-0005-0000-0000-00007D0F0000}"/>
    <cellStyle name="AggOrange 2 2 2 21" xfId="3966" xr:uid="{00000000-0005-0000-0000-00007E0F0000}"/>
    <cellStyle name="AggOrange 2 2 2 22" xfId="3967" xr:uid="{00000000-0005-0000-0000-00007F0F0000}"/>
    <cellStyle name="AggOrange 2 2 2 23" xfId="3968" xr:uid="{00000000-0005-0000-0000-0000800F0000}"/>
    <cellStyle name="AggOrange 2 2 2 24" xfId="3969" xr:uid="{00000000-0005-0000-0000-0000810F0000}"/>
    <cellStyle name="AggOrange 2 2 2 25" xfId="3970" xr:uid="{00000000-0005-0000-0000-0000820F0000}"/>
    <cellStyle name="AggOrange 2 2 2 26" xfId="3971" xr:uid="{00000000-0005-0000-0000-0000830F0000}"/>
    <cellStyle name="AggOrange 2 2 2 27" xfId="3972" xr:uid="{00000000-0005-0000-0000-0000840F0000}"/>
    <cellStyle name="AggOrange 2 2 2 28" xfId="3973" xr:uid="{00000000-0005-0000-0000-0000850F0000}"/>
    <cellStyle name="AggOrange 2 2 2 29" xfId="3974" xr:uid="{00000000-0005-0000-0000-0000860F0000}"/>
    <cellStyle name="AggOrange 2 2 2 3" xfId="3975" xr:uid="{00000000-0005-0000-0000-0000870F0000}"/>
    <cellStyle name="AggOrange 2 2 2 30" xfId="3976" xr:uid="{00000000-0005-0000-0000-0000880F0000}"/>
    <cellStyle name="AggOrange 2 2 2 31" xfId="3977" xr:uid="{00000000-0005-0000-0000-0000890F0000}"/>
    <cellStyle name="AggOrange 2 2 2 32" xfId="3978" xr:uid="{00000000-0005-0000-0000-00008A0F0000}"/>
    <cellStyle name="AggOrange 2 2 2 33" xfId="3979" xr:uid="{00000000-0005-0000-0000-00008B0F0000}"/>
    <cellStyle name="AggOrange 2 2 2 34" xfId="3980" xr:uid="{00000000-0005-0000-0000-00008C0F0000}"/>
    <cellStyle name="AggOrange 2 2 2 35" xfId="3981" xr:uid="{00000000-0005-0000-0000-00008D0F0000}"/>
    <cellStyle name="AggOrange 2 2 2 36" xfId="3982" xr:uid="{00000000-0005-0000-0000-00008E0F0000}"/>
    <cellStyle name="AggOrange 2 2 2 37" xfId="3983" xr:uid="{00000000-0005-0000-0000-00008F0F0000}"/>
    <cellStyle name="AggOrange 2 2 2 38" xfId="3984" xr:uid="{00000000-0005-0000-0000-0000900F0000}"/>
    <cellStyle name="AggOrange 2 2 2 39" xfId="3985" xr:uid="{00000000-0005-0000-0000-0000910F0000}"/>
    <cellStyle name="AggOrange 2 2 2 4" xfId="3986" xr:uid="{00000000-0005-0000-0000-0000920F0000}"/>
    <cellStyle name="AggOrange 2 2 2 40" xfId="3987" xr:uid="{00000000-0005-0000-0000-0000930F0000}"/>
    <cellStyle name="AggOrange 2 2 2 41" xfId="3988" xr:uid="{00000000-0005-0000-0000-0000940F0000}"/>
    <cellStyle name="AggOrange 2 2 2 42" xfId="3989" xr:uid="{00000000-0005-0000-0000-0000950F0000}"/>
    <cellStyle name="AggOrange 2 2 2 43" xfId="3990" xr:uid="{00000000-0005-0000-0000-0000960F0000}"/>
    <cellStyle name="AggOrange 2 2 2 44" xfId="3991" xr:uid="{00000000-0005-0000-0000-0000970F0000}"/>
    <cellStyle name="AggOrange 2 2 2 45" xfId="3992" xr:uid="{00000000-0005-0000-0000-0000980F0000}"/>
    <cellStyle name="AggOrange 2 2 2 46" xfId="3993" xr:uid="{00000000-0005-0000-0000-0000990F0000}"/>
    <cellStyle name="AggOrange 2 2 2 47" xfId="3994" xr:uid="{00000000-0005-0000-0000-00009A0F0000}"/>
    <cellStyle name="AggOrange 2 2 2 48" xfId="3995" xr:uid="{00000000-0005-0000-0000-00009B0F0000}"/>
    <cellStyle name="AggOrange 2 2 2 49" xfId="3996" xr:uid="{00000000-0005-0000-0000-00009C0F0000}"/>
    <cellStyle name="AggOrange 2 2 2 5" xfId="3997" xr:uid="{00000000-0005-0000-0000-00009D0F0000}"/>
    <cellStyle name="AggOrange 2 2 2 50" xfId="3998" xr:uid="{00000000-0005-0000-0000-00009E0F0000}"/>
    <cellStyle name="AggOrange 2 2 2 51" xfId="3999" xr:uid="{00000000-0005-0000-0000-00009F0F0000}"/>
    <cellStyle name="AggOrange 2 2 2 52" xfId="4000" xr:uid="{00000000-0005-0000-0000-0000A00F0000}"/>
    <cellStyle name="AggOrange 2 2 2 53" xfId="4001" xr:uid="{00000000-0005-0000-0000-0000A10F0000}"/>
    <cellStyle name="AggOrange 2 2 2 54" xfId="4002" xr:uid="{00000000-0005-0000-0000-0000A20F0000}"/>
    <cellStyle name="AggOrange 2 2 2 55" xfId="4003" xr:uid="{00000000-0005-0000-0000-0000A30F0000}"/>
    <cellStyle name="AggOrange 2 2 2 56" xfId="4004" xr:uid="{00000000-0005-0000-0000-0000A40F0000}"/>
    <cellStyle name="AggOrange 2 2 2 57" xfId="4005" xr:uid="{00000000-0005-0000-0000-0000A50F0000}"/>
    <cellStyle name="AggOrange 2 2 2 58" xfId="4006" xr:uid="{00000000-0005-0000-0000-0000A60F0000}"/>
    <cellStyle name="AggOrange 2 2 2 59" xfId="4007" xr:uid="{00000000-0005-0000-0000-0000A70F0000}"/>
    <cellStyle name="AggOrange 2 2 2 6" xfId="4008" xr:uid="{00000000-0005-0000-0000-0000A80F0000}"/>
    <cellStyle name="AggOrange 2 2 2 60" xfId="4009" xr:uid="{00000000-0005-0000-0000-0000A90F0000}"/>
    <cellStyle name="AggOrange 2 2 2 61" xfId="4010" xr:uid="{00000000-0005-0000-0000-0000AA0F0000}"/>
    <cellStyle name="AggOrange 2 2 2 62" xfId="4011" xr:uid="{00000000-0005-0000-0000-0000AB0F0000}"/>
    <cellStyle name="AggOrange 2 2 2 63" xfId="4012" xr:uid="{00000000-0005-0000-0000-0000AC0F0000}"/>
    <cellStyle name="AggOrange 2 2 2 64" xfId="4013" xr:uid="{00000000-0005-0000-0000-0000AD0F0000}"/>
    <cellStyle name="AggOrange 2 2 2 65" xfId="4014" xr:uid="{00000000-0005-0000-0000-0000AE0F0000}"/>
    <cellStyle name="AggOrange 2 2 2 66" xfId="4015" xr:uid="{00000000-0005-0000-0000-0000AF0F0000}"/>
    <cellStyle name="AggOrange 2 2 2 7" xfId="4016" xr:uid="{00000000-0005-0000-0000-0000B00F0000}"/>
    <cellStyle name="AggOrange 2 2 2 8" xfId="4017" xr:uid="{00000000-0005-0000-0000-0000B10F0000}"/>
    <cellStyle name="AggOrange 2 2 2 9" xfId="4018" xr:uid="{00000000-0005-0000-0000-0000B20F0000}"/>
    <cellStyle name="AggOrange 2 2 3" xfId="4019" xr:uid="{00000000-0005-0000-0000-0000B30F0000}"/>
    <cellStyle name="AggOrange 2 2 3 10" xfId="4020" xr:uid="{00000000-0005-0000-0000-0000B40F0000}"/>
    <cellStyle name="AggOrange 2 2 3 11" xfId="4021" xr:uid="{00000000-0005-0000-0000-0000B50F0000}"/>
    <cellStyle name="AggOrange 2 2 3 12" xfId="4022" xr:uid="{00000000-0005-0000-0000-0000B60F0000}"/>
    <cellStyle name="AggOrange 2 2 3 13" xfId="4023" xr:uid="{00000000-0005-0000-0000-0000B70F0000}"/>
    <cellStyle name="AggOrange 2 2 3 14" xfId="4024" xr:uid="{00000000-0005-0000-0000-0000B80F0000}"/>
    <cellStyle name="AggOrange 2 2 3 15" xfId="4025" xr:uid="{00000000-0005-0000-0000-0000B90F0000}"/>
    <cellStyle name="AggOrange 2 2 3 16" xfId="4026" xr:uid="{00000000-0005-0000-0000-0000BA0F0000}"/>
    <cellStyle name="AggOrange 2 2 3 17" xfId="4027" xr:uid="{00000000-0005-0000-0000-0000BB0F0000}"/>
    <cellStyle name="AggOrange 2 2 3 18" xfId="4028" xr:uid="{00000000-0005-0000-0000-0000BC0F0000}"/>
    <cellStyle name="AggOrange 2 2 3 19" xfId="4029" xr:uid="{00000000-0005-0000-0000-0000BD0F0000}"/>
    <cellStyle name="AggOrange 2 2 3 2" xfId="4030" xr:uid="{00000000-0005-0000-0000-0000BE0F0000}"/>
    <cellStyle name="AggOrange 2 2 3 20" xfId="4031" xr:uid="{00000000-0005-0000-0000-0000BF0F0000}"/>
    <cellStyle name="AggOrange 2 2 3 21" xfId="4032" xr:uid="{00000000-0005-0000-0000-0000C00F0000}"/>
    <cellStyle name="AggOrange 2 2 3 22" xfId="4033" xr:uid="{00000000-0005-0000-0000-0000C10F0000}"/>
    <cellStyle name="AggOrange 2 2 3 23" xfId="4034" xr:uid="{00000000-0005-0000-0000-0000C20F0000}"/>
    <cellStyle name="AggOrange 2 2 3 24" xfId="4035" xr:uid="{00000000-0005-0000-0000-0000C30F0000}"/>
    <cellStyle name="AggOrange 2 2 3 25" xfId="4036" xr:uid="{00000000-0005-0000-0000-0000C40F0000}"/>
    <cellStyle name="AggOrange 2 2 3 26" xfId="4037" xr:uid="{00000000-0005-0000-0000-0000C50F0000}"/>
    <cellStyle name="AggOrange 2 2 3 27" xfId="4038" xr:uid="{00000000-0005-0000-0000-0000C60F0000}"/>
    <cellStyle name="AggOrange 2 2 3 28" xfId="4039" xr:uid="{00000000-0005-0000-0000-0000C70F0000}"/>
    <cellStyle name="AggOrange 2 2 3 29" xfId="4040" xr:uid="{00000000-0005-0000-0000-0000C80F0000}"/>
    <cellStyle name="AggOrange 2 2 3 3" xfId="4041" xr:uid="{00000000-0005-0000-0000-0000C90F0000}"/>
    <cellStyle name="AggOrange 2 2 3 30" xfId="4042" xr:uid="{00000000-0005-0000-0000-0000CA0F0000}"/>
    <cellStyle name="AggOrange 2 2 3 31" xfId="4043" xr:uid="{00000000-0005-0000-0000-0000CB0F0000}"/>
    <cellStyle name="AggOrange 2 2 3 32" xfId="4044" xr:uid="{00000000-0005-0000-0000-0000CC0F0000}"/>
    <cellStyle name="AggOrange 2 2 3 33" xfId="4045" xr:uid="{00000000-0005-0000-0000-0000CD0F0000}"/>
    <cellStyle name="AggOrange 2 2 3 34" xfId="4046" xr:uid="{00000000-0005-0000-0000-0000CE0F0000}"/>
    <cellStyle name="AggOrange 2 2 3 35" xfId="4047" xr:uid="{00000000-0005-0000-0000-0000CF0F0000}"/>
    <cellStyle name="AggOrange 2 2 3 36" xfId="4048" xr:uid="{00000000-0005-0000-0000-0000D00F0000}"/>
    <cellStyle name="AggOrange 2 2 3 37" xfId="4049" xr:uid="{00000000-0005-0000-0000-0000D10F0000}"/>
    <cellStyle name="AggOrange 2 2 3 38" xfId="4050" xr:uid="{00000000-0005-0000-0000-0000D20F0000}"/>
    <cellStyle name="AggOrange 2 2 3 39" xfId="4051" xr:uid="{00000000-0005-0000-0000-0000D30F0000}"/>
    <cellStyle name="AggOrange 2 2 3 4" xfId="4052" xr:uid="{00000000-0005-0000-0000-0000D40F0000}"/>
    <cellStyle name="AggOrange 2 2 3 40" xfId="4053" xr:uid="{00000000-0005-0000-0000-0000D50F0000}"/>
    <cellStyle name="AggOrange 2 2 3 41" xfId="4054" xr:uid="{00000000-0005-0000-0000-0000D60F0000}"/>
    <cellStyle name="AggOrange 2 2 3 42" xfId="4055" xr:uid="{00000000-0005-0000-0000-0000D70F0000}"/>
    <cellStyle name="AggOrange 2 2 3 43" xfId="4056" xr:uid="{00000000-0005-0000-0000-0000D80F0000}"/>
    <cellStyle name="AggOrange 2 2 3 44" xfId="4057" xr:uid="{00000000-0005-0000-0000-0000D90F0000}"/>
    <cellStyle name="AggOrange 2 2 3 45" xfId="4058" xr:uid="{00000000-0005-0000-0000-0000DA0F0000}"/>
    <cellStyle name="AggOrange 2 2 3 46" xfId="4059" xr:uid="{00000000-0005-0000-0000-0000DB0F0000}"/>
    <cellStyle name="AggOrange 2 2 3 47" xfId="4060" xr:uid="{00000000-0005-0000-0000-0000DC0F0000}"/>
    <cellStyle name="AggOrange 2 2 3 48" xfId="4061" xr:uid="{00000000-0005-0000-0000-0000DD0F0000}"/>
    <cellStyle name="AggOrange 2 2 3 49" xfId="4062" xr:uid="{00000000-0005-0000-0000-0000DE0F0000}"/>
    <cellStyle name="AggOrange 2 2 3 5" xfId="4063" xr:uid="{00000000-0005-0000-0000-0000DF0F0000}"/>
    <cellStyle name="AggOrange 2 2 3 50" xfId="4064" xr:uid="{00000000-0005-0000-0000-0000E00F0000}"/>
    <cellStyle name="AggOrange 2 2 3 51" xfId="4065" xr:uid="{00000000-0005-0000-0000-0000E10F0000}"/>
    <cellStyle name="AggOrange 2 2 3 52" xfId="4066" xr:uid="{00000000-0005-0000-0000-0000E20F0000}"/>
    <cellStyle name="AggOrange 2 2 3 53" xfId="4067" xr:uid="{00000000-0005-0000-0000-0000E30F0000}"/>
    <cellStyle name="AggOrange 2 2 3 54" xfId="4068" xr:uid="{00000000-0005-0000-0000-0000E40F0000}"/>
    <cellStyle name="AggOrange 2 2 3 55" xfId="4069" xr:uid="{00000000-0005-0000-0000-0000E50F0000}"/>
    <cellStyle name="AggOrange 2 2 3 56" xfId="4070" xr:uid="{00000000-0005-0000-0000-0000E60F0000}"/>
    <cellStyle name="AggOrange 2 2 3 57" xfId="4071" xr:uid="{00000000-0005-0000-0000-0000E70F0000}"/>
    <cellStyle name="AggOrange 2 2 3 58" xfId="4072" xr:uid="{00000000-0005-0000-0000-0000E80F0000}"/>
    <cellStyle name="AggOrange 2 2 3 59" xfId="4073" xr:uid="{00000000-0005-0000-0000-0000E90F0000}"/>
    <cellStyle name="AggOrange 2 2 3 6" xfId="4074" xr:uid="{00000000-0005-0000-0000-0000EA0F0000}"/>
    <cellStyle name="AggOrange 2 2 3 60" xfId="4075" xr:uid="{00000000-0005-0000-0000-0000EB0F0000}"/>
    <cellStyle name="AggOrange 2 2 3 61" xfId="4076" xr:uid="{00000000-0005-0000-0000-0000EC0F0000}"/>
    <cellStyle name="AggOrange 2 2 3 62" xfId="4077" xr:uid="{00000000-0005-0000-0000-0000ED0F0000}"/>
    <cellStyle name="AggOrange 2 2 3 63" xfId="4078" xr:uid="{00000000-0005-0000-0000-0000EE0F0000}"/>
    <cellStyle name="AggOrange 2 2 3 64" xfId="4079" xr:uid="{00000000-0005-0000-0000-0000EF0F0000}"/>
    <cellStyle name="AggOrange 2 2 3 65" xfId="4080" xr:uid="{00000000-0005-0000-0000-0000F00F0000}"/>
    <cellStyle name="AggOrange 2 2 3 7" xfId="4081" xr:uid="{00000000-0005-0000-0000-0000F10F0000}"/>
    <cellStyle name="AggOrange 2 2 3 8" xfId="4082" xr:uid="{00000000-0005-0000-0000-0000F20F0000}"/>
    <cellStyle name="AggOrange 2 2 3 9" xfId="4083" xr:uid="{00000000-0005-0000-0000-0000F30F0000}"/>
    <cellStyle name="AggOrange 2 3" xfId="4084" xr:uid="{00000000-0005-0000-0000-0000F40F0000}"/>
    <cellStyle name="AggOrange 2 3 10" xfId="4085" xr:uid="{00000000-0005-0000-0000-0000F50F0000}"/>
    <cellStyle name="AggOrange 2 3 11" xfId="4086" xr:uid="{00000000-0005-0000-0000-0000F60F0000}"/>
    <cellStyle name="AggOrange 2 3 12" xfId="4087" xr:uid="{00000000-0005-0000-0000-0000F70F0000}"/>
    <cellStyle name="AggOrange 2 3 13" xfId="4088" xr:uid="{00000000-0005-0000-0000-0000F80F0000}"/>
    <cellStyle name="AggOrange 2 3 14" xfId="4089" xr:uid="{00000000-0005-0000-0000-0000F90F0000}"/>
    <cellStyle name="AggOrange 2 3 15" xfId="4090" xr:uid="{00000000-0005-0000-0000-0000FA0F0000}"/>
    <cellStyle name="AggOrange 2 3 16" xfId="4091" xr:uid="{00000000-0005-0000-0000-0000FB0F0000}"/>
    <cellStyle name="AggOrange 2 3 17" xfId="4092" xr:uid="{00000000-0005-0000-0000-0000FC0F0000}"/>
    <cellStyle name="AggOrange 2 3 18" xfId="4093" xr:uid="{00000000-0005-0000-0000-0000FD0F0000}"/>
    <cellStyle name="AggOrange 2 3 19" xfId="4094" xr:uid="{00000000-0005-0000-0000-0000FE0F0000}"/>
    <cellStyle name="AggOrange 2 3 2" xfId="4095" xr:uid="{00000000-0005-0000-0000-0000FF0F0000}"/>
    <cellStyle name="AggOrange 2 3 2 10" xfId="4096" xr:uid="{00000000-0005-0000-0000-000000100000}"/>
    <cellStyle name="AggOrange 2 3 2 11" xfId="4097" xr:uid="{00000000-0005-0000-0000-000001100000}"/>
    <cellStyle name="AggOrange 2 3 2 12" xfId="4098" xr:uid="{00000000-0005-0000-0000-000002100000}"/>
    <cellStyle name="AggOrange 2 3 2 13" xfId="4099" xr:uid="{00000000-0005-0000-0000-000003100000}"/>
    <cellStyle name="AggOrange 2 3 2 14" xfId="4100" xr:uid="{00000000-0005-0000-0000-000004100000}"/>
    <cellStyle name="AggOrange 2 3 2 15" xfId="4101" xr:uid="{00000000-0005-0000-0000-000005100000}"/>
    <cellStyle name="AggOrange 2 3 2 16" xfId="4102" xr:uid="{00000000-0005-0000-0000-000006100000}"/>
    <cellStyle name="AggOrange 2 3 2 17" xfId="4103" xr:uid="{00000000-0005-0000-0000-000007100000}"/>
    <cellStyle name="AggOrange 2 3 2 18" xfId="4104" xr:uid="{00000000-0005-0000-0000-000008100000}"/>
    <cellStyle name="AggOrange 2 3 2 19" xfId="4105" xr:uid="{00000000-0005-0000-0000-000009100000}"/>
    <cellStyle name="AggOrange 2 3 2 2" xfId="4106" xr:uid="{00000000-0005-0000-0000-00000A100000}"/>
    <cellStyle name="AggOrange 2 3 2 2 10" xfId="4107" xr:uid="{00000000-0005-0000-0000-00000B100000}"/>
    <cellStyle name="AggOrange 2 3 2 2 11" xfId="4108" xr:uid="{00000000-0005-0000-0000-00000C100000}"/>
    <cellStyle name="AggOrange 2 3 2 2 12" xfId="4109" xr:uid="{00000000-0005-0000-0000-00000D100000}"/>
    <cellStyle name="AggOrange 2 3 2 2 13" xfId="4110" xr:uid="{00000000-0005-0000-0000-00000E100000}"/>
    <cellStyle name="AggOrange 2 3 2 2 14" xfId="4111" xr:uid="{00000000-0005-0000-0000-00000F100000}"/>
    <cellStyle name="AggOrange 2 3 2 2 15" xfId="4112" xr:uid="{00000000-0005-0000-0000-000010100000}"/>
    <cellStyle name="AggOrange 2 3 2 2 16" xfId="4113" xr:uid="{00000000-0005-0000-0000-000011100000}"/>
    <cellStyle name="AggOrange 2 3 2 2 17" xfId="4114" xr:uid="{00000000-0005-0000-0000-000012100000}"/>
    <cellStyle name="AggOrange 2 3 2 2 18" xfId="4115" xr:uid="{00000000-0005-0000-0000-000013100000}"/>
    <cellStyle name="AggOrange 2 3 2 2 19" xfId="4116" xr:uid="{00000000-0005-0000-0000-000014100000}"/>
    <cellStyle name="AggOrange 2 3 2 2 2" xfId="4117" xr:uid="{00000000-0005-0000-0000-000015100000}"/>
    <cellStyle name="AggOrange 2 3 2 2 20" xfId="4118" xr:uid="{00000000-0005-0000-0000-000016100000}"/>
    <cellStyle name="AggOrange 2 3 2 2 21" xfId="4119" xr:uid="{00000000-0005-0000-0000-000017100000}"/>
    <cellStyle name="AggOrange 2 3 2 2 22" xfId="4120" xr:uid="{00000000-0005-0000-0000-000018100000}"/>
    <cellStyle name="AggOrange 2 3 2 2 23" xfId="4121" xr:uid="{00000000-0005-0000-0000-000019100000}"/>
    <cellStyle name="AggOrange 2 3 2 2 24" xfId="4122" xr:uid="{00000000-0005-0000-0000-00001A100000}"/>
    <cellStyle name="AggOrange 2 3 2 2 25" xfId="4123" xr:uid="{00000000-0005-0000-0000-00001B100000}"/>
    <cellStyle name="AggOrange 2 3 2 2 26" xfId="4124" xr:uid="{00000000-0005-0000-0000-00001C100000}"/>
    <cellStyle name="AggOrange 2 3 2 2 27" xfId="4125" xr:uid="{00000000-0005-0000-0000-00001D100000}"/>
    <cellStyle name="AggOrange 2 3 2 2 28" xfId="4126" xr:uid="{00000000-0005-0000-0000-00001E100000}"/>
    <cellStyle name="AggOrange 2 3 2 2 29" xfId="4127" xr:uid="{00000000-0005-0000-0000-00001F100000}"/>
    <cellStyle name="AggOrange 2 3 2 2 3" xfId="4128" xr:uid="{00000000-0005-0000-0000-000020100000}"/>
    <cellStyle name="AggOrange 2 3 2 2 30" xfId="4129" xr:uid="{00000000-0005-0000-0000-000021100000}"/>
    <cellStyle name="AggOrange 2 3 2 2 31" xfId="4130" xr:uid="{00000000-0005-0000-0000-000022100000}"/>
    <cellStyle name="AggOrange 2 3 2 2 32" xfId="4131" xr:uid="{00000000-0005-0000-0000-000023100000}"/>
    <cellStyle name="AggOrange 2 3 2 2 33" xfId="4132" xr:uid="{00000000-0005-0000-0000-000024100000}"/>
    <cellStyle name="AggOrange 2 3 2 2 34" xfId="4133" xr:uid="{00000000-0005-0000-0000-000025100000}"/>
    <cellStyle name="AggOrange 2 3 2 2 35" xfId="4134" xr:uid="{00000000-0005-0000-0000-000026100000}"/>
    <cellStyle name="AggOrange 2 3 2 2 36" xfId="4135" xr:uid="{00000000-0005-0000-0000-000027100000}"/>
    <cellStyle name="AggOrange 2 3 2 2 37" xfId="4136" xr:uid="{00000000-0005-0000-0000-000028100000}"/>
    <cellStyle name="AggOrange 2 3 2 2 38" xfId="4137" xr:uid="{00000000-0005-0000-0000-000029100000}"/>
    <cellStyle name="AggOrange 2 3 2 2 39" xfId="4138" xr:uid="{00000000-0005-0000-0000-00002A100000}"/>
    <cellStyle name="AggOrange 2 3 2 2 4" xfId="4139" xr:uid="{00000000-0005-0000-0000-00002B100000}"/>
    <cellStyle name="AggOrange 2 3 2 2 40" xfId="4140" xr:uid="{00000000-0005-0000-0000-00002C100000}"/>
    <cellStyle name="AggOrange 2 3 2 2 41" xfId="4141" xr:uid="{00000000-0005-0000-0000-00002D100000}"/>
    <cellStyle name="AggOrange 2 3 2 2 42" xfId="4142" xr:uid="{00000000-0005-0000-0000-00002E100000}"/>
    <cellStyle name="AggOrange 2 3 2 2 43" xfId="4143" xr:uid="{00000000-0005-0000-0000-00002F100000}"/>
    <cellStyle name="AggOrange 2 3 2 2 44" xfId="4144" xr:uid="{00000000-0005-0000-0000-000030100000}"/>
    <cellStyle name="AggOrange 2 3 2 2 45" xfId="4145" xr:uid="{00000000-0005-0000-0000-000031100000}"/>
    <cellStyle name="AggOrange 2 3 2 2 46" xfId="4146" xr:uid="{00000000-0005-0000-0000-000032100000}"/>
    <cellStyle name="AggOrange 2 3 2 2 47" xfId="4147" xr:uid="{00000000-0005-0000-0000-000033100000}"/>
    <cellStyle name="AggOrange 2 3 2 2 48" xfId="4148" xr:uid="{00000000-0005-0000-0000-000034100000}"/>
    <cellStyle name="AggOrange 2 3 2 2 49" xfId="4149" xr:uid="{00000000-0005-0000-0000-000035100000}"/>
    <cellStyle name="AggOrange 2 3 2 2 5" xfId="4150" xr:uid="{00000000-0005-0000-0000-000036100000}"/>
    <cellStyle name="AggOrange 2 3 2 2 50" xfId="4151" xr:uid="{00000000-0005-0000-0000-000037100000}"/>
    <cellStyle name="AggOrange 2 3 2 2 51" xfId="4152" xr:uid="{00000000-0005-0000-0000-000038100000}"/>
    <cellStyle name="AggOrange 2 3 2 2 52" xfId="4153" xr:uid="{00000000-0005-0000-0000-000039100000}"/>
    <cellStyle name="AggOrange 2 3 2 2 53" xfId="4154" xr:uid="{00000000-0005-0000-0000-00003A100000}"/>
    <cellStyle name="AggOrange 2 3 2 2 54" xfId="4155" xr:uid="{00000000-0005-0000-0000-00003B100000}"/>
    <cellStyle name="AggOrange 2 3 2 2 55" xfId="4156" xr:uid="{00000000-0005-0000-0000-00003C100000}"/>
    <cellStyle name="AggOrange 2 3 2 2 56" xfId="4157" xr:uid="{00000000-0005-0000-0000-00003D100000}"/>
    <cellStyle name="AggOrange 2 3 2 2 57" xfId="4158" xr:uid="{00000000-0005-0000-0000-00003E100000}"/>
    <cellStyle name="AggOrange 2 3 2 2 58" xfId="4159" xr:uid="{00000000-0005-0000-0000-00003F100000}"/>
    <cellStyle name="AggOrange 2 3 2 2 59" xfId="4160" xr:uid="{00000000-0005-0000-0000-000040100000}"/>
    <cellStyle name="AggOrange 2 3 2 2 6" xfId="4161" xr:uid="{00000000-0005-0000-0000-000041100000}"/>
    <cellStyle name="AggOrange 2 3 2 2 60" xfId="4162" xr:uid="{00000000-0005-0000-0000-000042100000}"/>
    <cellStyle name="AggOrange 2 3 2 2 61" xfId="4163" xr:uid="{00000000-0005-0000-0000-000043100000}"/>
    <cellStyle name="AggOrange 2 3 2 2 62" xfId="4164" xr:uid="{00000000-0005-0000-0000-000044100000}"/>
    <cellStyle name="AggOrange 2 3 2 2 63" xfId="4165" xr:uid="{00000000-0005-0000-0000-000045100000}"/>
    <cellStyle name="AggOrange 2 3 2 2 64" xfId="4166" xr:uid="{00000000-0005-0000-0000-000046100000}"/>
    <cellStyle name="AggOrange 2 3 2 2 65" xfId="4167" xr:uid="{00000000-0005-0000-0000-000047100000}"/>
    <cellStyle name="AggOrange 2 3 2 2 7" xfId="4168" xr:uid="{00000000-0005-0000-0000-000048100000}"/>
    <cellStyle name="AggOrange 2 3 2 2 8" xfId="4169" xr:uid="{00000000-0005-0000-0000-000049100000}"/>
    <cellStyle name="AggOrange 2 3 2 2 9" xfId="4170" xr:uid="{00000000-0005-0000-0000-00004A100000}"/>
    <cellStyle name="AggOrange 2 3 2 20" xfId="4171" xr:uid="{00000000-0005-0000-0000-00004B100000}"/>
    <cellStyle name="AggOrange 2 3 2 21" xfId="4172" xr:uid="{00000000-0005-0000-0000-00004C100000}"/>
    <cellStyle name="AggOrange 2 3 2 22" xfId="4173" xr:uid="{00000000-0005-0000-0000-00004D100000}"/>
    <cellStyle name="AggOrange 2 3 2 23" xfId="4174" xr:uid="{00000000-0005-0000-0000-00004E100000}"/>
    <cellStyle name="AggOrange 2 3 2 24" xfId="4175" xr:uid="{00000000-0005-0000-0000-00004F100000}"/>
    <cellStyle name="AggOrange 2 3 2 25" xfId="4176" xr:uid="{00000000-0005-0000-0000-000050100000}"/>
    <cellStyle name="AggOrange 2 3 2 26" xfId="4177" xr:uid="{00000000-0005-0000-0000-000051100000}"/>
    <cellStyle name="AggOrange 2 3 2 27" xfId="4178" xr:uid="{00000000-0005-0000-0000-000052100000}"/>
    <cellStyle name="AggOrange 2 3 2 28" xfId="4179" xr:uid="{00000000-0005-0000-0000-000053100000}"/>
    <cellStyle name="AggOrange 2 3 2 29" xfId="4180" xr:uid="{00000000-0005-0000-0000-000054100000}"/>
    <cellStyle name="AggOrange 2 3 2 3" xfId="4181" xr:uid="{00000000-0005-0000-0000-000055100000}"/>
    <cellStyle name="AggOrange 2 3 2 30" xfId="4182" xr:uid="{00000000-0005-0000-0000-000056100000}"/>
    <cellStyle name="AggOrange 2 3 2 31" xfId="4183" xr:uid="{00000000-0005-0000-0000-000057100000}"/>
    <cellStyle name="AggOrange 2 3 2 32" xfId="4184" xr:uid="{00000000-0005-0000-0000-000058100000}"/>
    <cellStyle name="AggOrange 2 3 2 33" xfId="4185" xr:uid="{00000000-0005-0000-0000-000059100000}"/>
    <cellStyle name="AggOrange 2 3 2 34" xfId="4186" xr:uid="{00000000-0005-0000-0000-00005A100000}"/>
    <cellStyle name="AggOrange 2 3 2 35" xfId="4187" xr:uid="{00000000-0005-0000-0000-00005B100000}"/>
    <cellStyle name="AggOrange 2 3 2 36" xfId="4188" xr:uid="{00000000-0005-0000-0000-00005C100000}"/>
    <cellStyle name="AggOrange 2 3 2 37" xfId="4189" xr:uid="{00000000-0005-0000-0000-00005D100000}"/>
    <cellStyle name="AggOrange 2 3 2 38" xfId="4190" xr:uid="{00000000-0005-0000-0000-00005E100000}"/>
    <cellStyle name="AggOrange 2 3 2 39" xfId="4191" xr:uid="{00000000-0005-0000-0000-00005F100000}"/>
    <cellStyle name="AggOrange 2 3 2 4" xfId="4192" xr:uid="{00000000-0005-0000-0000-000060100000}"/>
    <cellStyle name="AggOrange 2 3 2 40" xfId="4193" xr:uid="{00000000-0005-0000-0000-000061100000}"/>
    <cellStyle name="AggOrange 2 3 2 41" xfId="4194" xr:uid="{00000000-0005-0000-0000-000062100000}"/>
    <cellStyle name="AggOrange 2 3 2 42" xfId="4195" xr:uid="{00000000-0005-0000-0000-000063100000}"/>
    <cellStyle name="AggOrange 2 3 2 43" xfId="4196" xr:uid="{00000000-0005-0000-0000-000064100000}"/>
    <cellStyle name="AggOrange 2 3 2 44" xfId="4197" xr:uid="{00000000-0005-0000-0000-000065100000}"/>
    <cellStyle name="AggOrange 2 3 2 45" xfId="4198" xr:uid="{00000000-0005-0000-0000-000066100000}"/>
    <cellStyle name="AggOrange 2 3 2 46" xfId="4199" xr:uid="{00000000-0005-0000-0000-000067100000}"/>
    <cellStyle name="AggOrange 2 3 2 47" xfId="4200" xr:uid="{00000000-0005-0000-0000-000068100000}"/>
    <cellStyle name="AggOrange 2 3 2 48" xfId="4201" xr:uid="{00000000-0005-0000-0000-000069100000}"/>
    <cellStyle name="AggOrange 2 3 2 49" xfId="4202" xr:uid="{00000000-0005-0000-0000-00006A100000}"/>
    <cellStyle name="AggOrange 2 3 2 5" xfId="4203" xr:uid="{00000000-0005-0000-0000-00006B100000}"/>
    <cellStyle name="AggOrange 2 3 2 50" xfId="4204" xr:uid="{00000000-0005-0000-0000-00006C100000}"/>
    <cellStyle name="AggOrange 2 3 2 51" xfId="4205" xr:uid="{00000000-0005-0000-0000-00006D100000}"/>
    <cellStyle name="AggOrange 2 3 2 52" xfId="4206" xr:uid="{00000000-0005-0000-0000-00006E100000}"/>
    <cellStyle name="AggOrange 2 3 2 53" xfId="4207" xr:uid="{00000000-0005-0000-0000-00006F100000}"/>
    <cellStyle name="AggOrange 2 3 2 54" xfId="4208" xr:uid="{00000000-0005-0000-0000-000070100000}"/>
    <cellStyle name="AggOrange 2 3 2 55" xfId="4209" xr:uid="{00000000-0005-0000-0000-000071100000}"/>
    <cellStyle name="AggOrange 2 3 2 56" xfId="4210" xr:uid="{00000000-0005-0000-0000-000072100000}"/>
    <cellStyle name="AggOrange 2 3 2 57" xfId="4211" xr:uid="{00000000-0005-0000-0000-000073100000}"/>
    <cellStyle name="AggOrange 2 3 2 58" xfId="4212" xr:uid="{00000000-0005-0000-0000-000074100000}"/>
    <cellStyle name="AggOrange 2 3 2 59" xfId="4213" xr:uid="{00000000-0005-0000-0000-000075100000}"/>
    <cellStyle name="AggOrange 2 3 2 6" xfId="4214" xr:uid="{00000000-0005-0000-0000-000076100000}"/>
    <cellStyle name="AggOrange 2 3 2 60" xfId="4215" xr:uid="{00000000-0005-0000-0000-000077100000}"/>
    <cellStyle name="AggOrange 2 3 2 61" xfId="4216" xr:uid="{00000000-0005-0000-0000-000078100000}"/>
    <cellStyle name="AggOrange 2 3 2 62" xfId="4217" xr:uid="{00000000-0005-0000-0000-000079100000}"/>
    <cellStyle name="AggOrange 2 3 2 63" xfId="4218" xr:uid="{00000000-0005-0000-0000-00007A100000}"/>
    <cellStyle name="AggOrange 2 3 2 64" xfId="4219" xr:uid="{00000000-0005-0000-0000-00007B100000}"/>
    <cellStyle name="AggOrange 2 3 2 65" xfId="4220" xr:uid="{00000000-0005-0000-0000-00007C100000}"/>
    <cellStyle name="AggOrange 2 3 2 66" xfId="4221" xr:uid="{00000000-0005-0000-0000-00007D100000}"/>
    <cellStyle name="AggOrange 2 3 2 7" xfId="4222" xr:uid="{00000000-0005-0000-0000-00007E100000}"/>
    <cellStyle name="AggOrange 2 3 2 8" xfId="4223" xr:uid="{00000000-0005-0000-0000-00007F100000}"/>
    <cellStyle name="AggOrange 2 3 2 9" xfId="4224" xr:uid="{00000000-0005-0000-0000-000080100000}"/>
    <cellStyle name="AggOrange 2 3 20" xfId="4225" xr:uid="{00000000-0005-0000-0000-000081100000}"/>
    <cellStyle name="AggOrange 2 3 21" xfId="4226" xr:uid="{00000000-0005-0000-0000-000082100000}"/>
    <cellStyle name="AggOrange 2 3 22" xfId="4227" xr:uid="{00000000-0005-0000-0000-000083100000}"/>
    <cellStyle name="AggOrange 2 3 23" xfId="4228" xr:uid="{00000000-0005-0000-0000-000084100000}"/>
    <cellStyle name="AggOrange 2 3 24" xfId="4229" xr:uid="{00000000-0005-0000-0000-000085100000}"/>
    <cellStyle name="AggOrange 2 3 25" xfId="4230" xr:uid="{00000000-0005-0000-0000-000086100000}"/>
    <cellStyle name="AggOrange 2 3 26" xfId="4231" xr:uid="{00000000-0005-0000-0000-000087100000}"/>
    <cellStyle name="AggOrange 2 3 27" xfId="4232" xr:uid="{00000000-0005-0000-0000-000088100000}"/>
    <cellStyle name="AggOrange 2 3 28" xfId="4233" xr:uid="{00000000-0005-0000-0000-000089100000}"/>
    <cellStyle name="AggOrange 2 3 29" xfId="4234" xr:uid="{00000000-0005-0000-0000-00008A100000}"/>
    <cellStyle name="AggOrange 2 3 3" xfId="4235" xr:uid="{00000000-0005-0000-0000-00008B100000}"/>
    <cellStyle name="AggOrange 2 3 3 10" xfId="4236" xr:uid="{00000000-0005-0000-0000-00008C100000}"/>
    <cellStyle name="AggOrange 2 3 3 11" xfId="4237" xr:uid="{00000000-0005-0000-0000-00008D100000}"/>
    <cellStyle name="AggOrange 2 3 3 12" xfId="4238" xr:uid="{00000000-0005-0000-0000-00008E100000}"/>
    <cellStyle name="AggOrange 2 3 3 13" xfId="4239" xr:uid="{00000000-0005-0000-0000-00008F100000}"/>
    <cellStyle name="AggOrange 2 3 3 14" xfId="4240" xr:uid="{00000000-0005-0000-0000-000090100000}"/>
    <cellStyle name="AggOrange 2 3 3 15" xfId="4241" xr:uid="{00000000-0005-0000-0000-000091100000}"/>
    <cellStyle name="AggOrange 2 3 3 16" xfId="4242" xr:uid="{00000000-0005-0000-0000-000092100000}"/>
    <cellStyle name="AggOrange 2 3 3 17" xfId="4243" xr:uid="{00000000-0005-0000-0000-000093100000}"/>
    <cellStyle name="AggOrange 2 3 3 18" xfId="4244" xr:uid="{00000000-0005-0000-0000-000094100000}"/>
    <cellStyle name="AggOrange 2 3 3 19" xfId="4245" xr:uid="{00000000-0005-0000-0000-000095100000}"/>
    <cellStyle name="AggOrange 2 3 3 2" xfId="4246" xr:uid="{00000000-0005-0000-0000-000096100000}"/>
    <cellStyle name="AggOrange 2 3 3 2 10" xfId="4247" xr:uid="{00000000-0005-0000-0000-000097100000}"/>
    <cellStyle name="AggOrange 2 3 3 2 11" xfId="4248" xr:uid="{00000000-0005-0000-0000-000098100000}"/>
    <cellStyle name="AggOrange 2 3 3 2 12" xfId="4249" xr:uid="{00000000-0005-0000-0000-000099100000}"/>
    <cellStyle name="AggOrange 2 3 3 2 13" xfId="4250" xr:uid="{00000000-0005-0000-0000-00009A100000}"/>
    <cellStyle name="AggOrange 2 3 3 2 14" xfId="4251" xr:uid="{00000000-0005-0000-0000-00009B100000}"/>
    <cellStyle name="AggOrange 2 3 3 2 15" xfId="4252" xr:uid="{00000000-0005-0000-0000-00009C100000}"/>
    <cellStyle name="AggOrange 2 3 3 2 16" xfId="4253" xr:uid="{00000000-0005-0000-0000-00009D100000}"/>
    <cellStyle name="AggOrange 2 3 3 2 17" xfId="4254" xr:uid="{00000000-0005-0000-0000-00009E100000}"/>
    <cellStyle name="AggOrange 2 3 3 2 18" xfId="4255" xr:uid="{00000000-0005-0000-0000-00009F100000}"/>
    <cellStyle name="AggOrange 2 3 3 2 19" xfId="4256" xr:uid="{00000000-0005-0000-0000-0000A0100000}"/>
    <cellStyle name="AggOrange 2 3 3 2 2" xfId="4257" xr:uid="{00000000-0005-0000-0000-0000A1100000}"/>
    <cellStyle name="AggOrange 2 3 3 2 20" xfId="4258" xr:uid="{00000000-0005-0000-0000-0000A2100000}"/>
    <cellStyle name="AggOrange 2 3 3 2 21" xfId="4259" xr:uid="{00000000-0005-0000-0000-0000A3100000}"/>
    <cellStyle name="AggOrange 2 3 3 2 22" xfId="4260" xr:uid="{00000000-0005-0000-0000-0000A4100000}"/>
    <cellStyle name="AggOrange 2 3 3 2 23" xfId="4261" xr:uid="{00000000-0005-0000-0000-0000A5100000}"/>
    <cellStyle name="AggOrange 2 3 3 2 24" xfId="4262" xr:uid="{00000000-0005-0000-0000-0000A6100000}"/>
    <cellStyle name="AggOrange 2 3 3 2 25" xfId="4263" xr:uid="{00000000-0005-0000-0000-0000A7100000}"/>
    <cellStyle name="AggOrange 2 3 3 2 26" xfId="4264" xr:uid="{00000000-0005-0000-0000-0000A8100000}"/>
    <cellStyle name="AggOrange 2 3 3 2 27" xfId="4265" xr:uid="{00000000-0005-0000-0000-0000A9100000}"/>
    <cellStyle name="AggOrange 2 3 3 2 28" xfId="4266" xr:uid="{00000000-0005-0000-0000-0000AA100000}"/>
    <cellStyle name="AggOrange 2 3 3 2 29" xfId="4267" xr:uid="{00000000-0005-0000-0000-0000AB100000}"/>
    <cellStyle name="AggOrange 2 3 3 2 3" xfId="4268" xr:uid="{00000000-0005-0000-0000-0000AC100000}"/>
    <cellStyle name="AggOrange 2 3 3 2 30" xfId="4269" xr:uid="{00000000-0005-0000-0000-0000AD100000}"/>
    <cellStyle name="AggOrange 2 3 3 2 31" xfId="4270" xr:uid="{00000000-0005-0000-0000-0000AE100000}"/>
    <cellStyle name="AggOrange 2 3 3 2 32" xfId="4271" xr:uid="{00000000-0005-0000-0000-0000AF100000}"/>
    <cellStyle name="AggOrange 2 3 3 2 33" xfId="4272" xr:uid="{00000000-0005-0000-0000-0000B0100000}"/>
    <cellStyle name="AggOrange 2 3 3 2 34" xfId="4273" xr:uid="{00000000-0005-0000-0000-0000B1100000}"/>
    <cellStyle name="AggOrange 2 3 3 2 35" xfId="4274" xr:uid="{00000000-0005-0000-0000-0000B2100000}"/>
    <cellStyle name="AggOrange 2 3 3 2 36" xfId="4275" xr:uid="{00000000-0005-0000-0000-0000B3100000}"/>
    <cellStyle name="AggOrange 2 3 3 2 37" xfId="4276" xr:uid="{00000000-0005-0000-0000-0000B4100000}"/>
    <cellStyle name="AggOrange 2 3 3 2 38" xfId="4277" xr:uid="{00000000-0005-0000-0000-0000B5100000}"/>
    <cellStyle name="AggOrange 2 3 3 2 39" xfId="4278" xr:uid="{00000000-0005-0000-0000-0000B6100000}"/>
    <cellStyle name="AggOrange 2 3 3 2 4" xfId="4279" xr:uid="{00000000-0005-0000-0000-0000B7100000}"/>
    <cellStyle name="AggOrange 2 3 3 2 40" xfId="4280" xr:uid="{00000000-0005-0000-0000-0000B8100000}"/>
    <cellStyle name="AggOrange 2 3 3 2 41" xfId="4281" xr:uid="{00000000-0005-0000-0000-0000B9100000}"/>
    <cellStyle name="AggOrange 2 3 3 2 42" xfId="4282" xr:uid="{00000000-0005-0000-0000-0000BA100000}"/>
    <cellStyle name="AggOrange 2 3 3 2 43" xfId="4283" xr:uid="{00000000-0005-0000-0000-0000BB100000}"/>
    <cellStyle name="AggOrange 2 3 3 2 44" xfId="4284" xr:uid="{00000000-0005-0000-0000-0000BC100000}"/>
    <cellStyle name="AggOrange 2 3 3 2 45" xfId="4285" xr:uid="{00000000-0005-0000-0000-0000BD100000}"/>
    <cellStyle name="AggOrange 2 3 3 2 46" xfId="4286" xr:uid="{00000000-0005-0000-0000-0000BE100000}"/>
    <cellStyle name="AggOrange 2 3 3 2 47" xfId="4287" xr:uid="{00000000-0005-0000-0000-0000BF100000}"/>
    <cellStyle name="AggOrange 2 3 3 2 48" xfId="4288" xr:uid="{00000000-0005-0000-0000-0000C0100000}"/>
    <cellStyle name="AggOrange 2 3 3 2 49" xfId="4289" xr:uid="{00000000-0005-0000-0000-0000C1100000}"/>
    <cellStyle name="AggOrange 2 3 3 2 5" xfId="4290" xr:uid="{00000000-0005-0000-0000-0000C2100000}"/>
    <cellStyle name="AggOrange 2 3 3 2 50" xfId="4291" xr:uid="{00000000-0005-0000-0000-0000C3100000}"/>
    <cellStyle name="AggOrange 2 3 3 2 51" xfId="4292" xr:uid="{00000000-0005-0000-0000-0000C4100000}"/>
    <cellStyle name="AggOrange 2 3 3 2 52" xfId="4293" xr:uid="{00000000-0005-0000-0000-0000C5100000}"/>
    <cellStyle name="AggOrange 2 3 3 2 53" xfId="4294" xr:uid="{00000000-0005-0000-0000-0000C6100000}"/>
    <cellStyle name="AggOrange 2 3 3 2 54" xfId="4295" xr:uid="{00000000-0005-0000-0000-0000C7100000}"/>
    <cellStyle name="AggOrange 2 3 3 2 55" xfId="4296" xr:uid="{00000000-0005-0000-0000-0000C8100000}"/>
    <cellStyle name="AggOrange 2 3 3 2 56" xfId="4297" xr:uid="{00000000-0005-0000-0000-0000C9100000}"/>
    <cellStyle name="AggOrange 2 3 3 2 57" xfId="4298" xr:uid="{00000000-0005-0000-0000-0000CA100000}"/>
    <cellStyle name="AggOrange 2 3 3 2 58" xfId="4299" xr:uid="{00000000-0005-0000-0000-0000CB100000}"/>
    <cellStyle name="AggOrange 2 3 3 2 59" xfId="4300" xr:uid="{00000000-0005-0000-0000-0000CC100000}"/>
    <cellStyle name="AggOrange 2 3 3 2 6" xfId="4301" xr:uid="{00000000-0005-0000-0000-0000CD100000}"/>
    <cellStyle name="AggOrange 2 3 3 2 60" xfId="4302" xr:uid="{00000000-0005-0000-0000-0000CE100000}"/>
    <cellStyle name="AggOrange 2 3 3 2 61" xfId="4303" xr:uid="{00000000-0005-0000-0000-0000CF100000}"/>
    <cellStyle name="AggOrange 2 3 3 2 62" xfId="4304" xr:uid="{00000000-0005-0000-0000-0000D0100000}"/>
    <cellStyle name="AggOrange 2 3 3 2 63" xfId="4305" xr:uid="{00000000-0005-0000-0000-0000D1100000}"/>
    <cellStyle name="AggOrange 2 3 3 2 64" xfId="4306" xr:uid="{00000000-0005-0000-0000-0000D2100000}"/>
    <cellStyle name="AggOrange 2 3 3 2 65" xfId="4307" xr:uid="{00000000-0005-0000-0000-0000D3100000}"/>
    <cellStyle name="AggOrange 2 3 3 2 7" xfId="4308" xr:uid="{00000000-0005-0000-0000-0000D4100000}"/>
    <cellStyle name="AggOrange 2 3 3 2 8" xfId="4309" xr:uid="{00000000-0005-0000-0000-0000D5100000}"/>
    <cellStyle name="AggOrange 2 3 3 2 9" xfId="4310" xr:uid="{00000000-0005-0000-0000-0000D6100000}"/>
    <cellStyle name="AggOrange 2 3 3 20" xfId="4311" xr:uid="{00000000-0005-0000-0000-0000D7100000}"/>
    <cellStyle name="AggOrange 2 3 3 21" xfId="4312" xr:uid="{00000000-0005-0000-0000-0000D8100000}"/>
    <cellStyle name="AggOrange 2 3 3 22" xfId="4313" xr:uid="{00000000-0005-0000-0000-0000D9100000}"/>
    <cellStyle name="AggOrange 2 3 3 23" xfId="4314" xr:uid="{00000000-0005-0000-0000-0000DA100000}"/>
    <cellStyle name="AggOrange 2 3 3 24" xfId="4315" xr:uid="{00000000-0005-0000-0000-0000DB100000}"/>
    <cellStyle name="AggOrange 2 3 3 25" xfId="4316" xr:uid="{00000000-0005-0000-0000-0000DC100000}"/>
    <cellStyle name="AggOrange 2 3 3 26" xfId="4317" xr:uid="{00000000-0005-0000-0000-0000DD100000}"/>
    <cellStyle name="AggOrange 2 3 3 27" xfId="4318" xr:uid="{00000000-0005-0000-0000-0000DE100000}"/>
    <cellStyle name="AggOrange 2 3 3 28" xfId="4319" xr:uid="{00000000-0005-0000-0000-0000DF100000}"/>
    <cellStyle name="AggOrange 2 3 3 29" xfId="4320" xr:uid="{00000000-0005-0000-0000-0000E0100000}"/>
    <cellStyle name="AggOrange 2 3 3 3" xfId="4321" xr:uid="{00000000-0005-0000-0000-0000E1100000}"/>
    <cellStyle name="AggOrange 2 3 3 30" xfId="4322" xr:uid="{00000000-0005-0000-0000-0000E2100000}"/>
    <cellStyle name="AggOrange 2 3 3 31" xfId="4323" xr:uid="{00000000-0005-0000-0000-0000E3100000}"/>
    <cellStyle name="AggOrange 2 3 3 32" xfId="4324" xr:uid="{00000000-0005-0000-0000-0000E4100000}"/>
    <cellStyle name="AggOrange 2 3 3 33" xfId="4325" xr:uid="{00000000-0005-0000-0000-0000E5100000}"/>
    <cellStyle name="AggOrange 2 3 3 34" xfId="4326" xr:uid="{00000000-0005-0000-0000-0000E6100000}"/>
    <cellStyle name="AggOrange 2 3 3 35" xfId="4327" xr:uid="{00000000-0005-0000-0000-0000E7100000}"/>
    <cellStyle name="AggOrange 2 3 3 36" xfId="4328" xr:uid="{00000000-0005-0000-0000-0000E8100000}"/>
    <cellStyle name="AggOrange 2 3 3 37" xfId="4329" xr:uid="{00000000-0005-0000-0000-0000E9100000}"/>
    <cellStyle name="AggOrange 2 3 3 38" xfId="4330" xr:uid="{00000000-0005-0000-0000-0000EA100000}"/>
    <cellStyle name="AggOrange 2 3 3 39" xfId="4331" xr:uid="{00000000-0005-0000-0000-0000EB100000}"/>
    <cellStyle name="AggOrange 2 3 3 4" xfId="4332" xr:uid="{00000000-0005-0000-0000-0000EC100000}"/>
    <cellStyle name="AggOrange 2 3 3 40" xfId="4333" xr:uid="{00000000-0005-0000-0000-0000ED100000}"/>
    <cellStyle name="AggOrange 2 3 3 41" xfId="4334" xr:uid="{00000000-0005-0000-0000-0000EE100000}"/>
    <cellStyle name="AggOrange 2 3 3 42" xfId="4335" xr:uid="{00000000-0005-0000-0000-0000EF100000}"/>
    <cellStyle name="AggOrange 2 3 3 43" xfId="4336" xr:uid="{00000000-0005-0000-0000-0000F0100000}"/>
    <cellStyle name="AggOrange 2 3 3 44" xfId="4337" xr:uid="{00000000-0005-0000-0000-0000F1100000}"/>
    <cellStyle name="AggOrange 2 3 3 45" xfId="4338" xr:uid="{00000000-0005-0000-0000-0000F2100000}"/>
    <cellStyle name="AggOrange 2 3 3 46" xfId="4339" xr:uid="{00000000-0005-0000-0000-0000F3100000}"/>
    <cellStyle name="AggOrange 2 3 3 47" xfId="4340" xr:uid="{00000000-0005-0000-0000-0000F4100000}"/>
    <cellStyle name="AggOrange 2 3 3 48" xfId="4341" xr:uid="{00000000-0005-0000-0000-0000F5100000}"/>
    <cellStyle name="AggOrange 2 3 3 49" xfId="4342" xr:uid="{00000000-0005-0000-0000-0000F6100000}"/>
    <cellStyle name="AggOrange 2 3 3 5" xfId="4343" xr:uid="{00000000-0005-0000-0000-0000F7100000}"/>
    <cellStyle name="AggOrange 2 3 3 50" xfId="4344" xr:uid="{00000000-0005-0000-0000-0000F8100000}"/>
    <cellStyle name="AggOrange 2 3 3 51" xfId="4345" xr:uid="{00000000-0005-0000-0000-0000F9100000}"/>
    <cellStyle name="AggOrange 2 3 3 52" xfId="4346" xr:uid="{00000000-0005-0000-0000-0000FA100000}"/>
    <cellStyle name="AggOrange 2 3 3 53" xfId="4347" xr:uid="{00000000-0005-0000-0000-0000FB100000}"/>
    <cellStyle name="AggOrange 2 3 3 54" xfId="4348" xr:uid="{00000000-0005-0000-0000-0000FC100000}"/>
    <cellStyle name="AggOrange 2 3 3 55" xfId="4349" xr:uid="{00000000-0005-0000-0000-0000FD100000}"/>
    <cellStyle name="AggOrange 2 3 3 56" xfId="4350" xr:uid="{00000000-0005-0000-0000-0000FE100000}"/>
    <cellStyle name="AggOrange 2 3 3 57" xfId="4351" xr:uid="{00000000-0005-0000-0000-0000FF100000}"/>
    <cellStyle name="AggOrange 2 3 3 58" xfId="4352" xr:uid="{00000000-0005-0000-0000-000000110000}"/>
    <cellStyle name="AggOrange 2 3 3 59" xfId="4353" xr:uid="{00000000-0005-0000-0000-000001110000}"/>
    <cellStyle name="AggOrange 2 3 3 6" xfId="4354" xr:uid="{00000000-0005-0000-0000-000002110000}"/>
    <cellStyle name="AggOrange 2 3 3 60" xfId="4355" xr:uid="{00000000-0005-0000-0000-000003110000}"/>
    <cellStyle name="AggOrange 2 3 3 61" xfId="4356" xr:uid="{00000000-0005-0000-0000-000004110000}"/>
    <cellStyle name="AggOrange 2 3 3 62" xfId="4357" xr:uid="{00000000-0005-0000-0000-000005110000}"/>
    <cellStyle name="AggOrange 2 3 3 63" xfId="4358" xr:uid="{00000000-0005-0000-0000-000006110000}"/>
    <cellStyle name="AggOrange 2 3 3 64" xfId="4359" xr:uid="{00000000-0005-0000-0000-000007110000}"/>
    <cellStyle name="AggOrange 2 3 3 65" xfId="4360" xr:uid="{00000000-0005-0000-0000-000008110000}"/>
    <cellStyle name="AggOrange 2 3 3 66" xfId="4361" xr:uid="{00000000-0005-0000-0000-000009110000}"/>
    <cellStyle name="AggOrange 2 3 3 7" xfId="4362" xr:uid="{00000000-0005-0000-0000-00000A110000}"/>
    <cellStyle name="AggOrange 2 3 3 8" xfId="4363" xr:uid="{00000000-0005-0000-0000-00000B110000}"/>
    <cellStyle name="AggOrange 2 3 3 9" xfId="4364" xr:uid="{00000000-0005-0000-0000-00000C110000}"/>
    <cellStyle name="AggOrange 2 3 30" xfId="4365" xr:uid="{00000000-0005-0000-0000-00000D110000}"/>
    <cellStyle name="AggOrange 2 3 31" xfId="4366" xr:uid="{00000000-0005-0000-0000-00000E110000}"/>
    <cellStyle name="AggOrange 2 3 32" xfId="4367" xr:uid="{00000000-0005-0000-0000-00000F110000}"/>
    <cellStyle name="AggOrange 2 3 33" xfId="4368" xr:uid="{00000000-0005-0000-0000-000010110000}"/>
    <cellStyle name="AggOrange 2 3 34" xfId="4369" xr:uid="{00000000-0005-0000-0000-000011110000}"/>
    <cellStyle name="AggOrange 2 3 35" xfId="4370" xr:uid="{00000000-0005-0000-0000-000012110000}"/>
    <cellStyle name="AggOrange 2 3 36" xfId="4371" xr:uid="{00000000-0005-0000-0000-000013110000}"/>
    <cellStyle name="AggOrange 2 3 37" xfId="4372" xr:uid="{00000000-0005-0000-0000-000014110000}"/>
    <cellStyle name="AggOrange 2 3 38" xfId="4373" xr:uid="{00000000-0005-0000-0000-000015110000}"/>
    <cellStyle name="AggOrange 2 3 39" xfId="4374" xr:uid="{00000000-0005-0000-0000-000016110000}"/>
    <cellStyle name="AggOrange 2 3 4" xfId="4375" xr:uid="{00000000-0005-0000-0000-000017110000}"/>
    <cellStyle name="AggOrange 2 3 4 10" xfId="4376" xr:uid="{00000000-0005-0000-0000-000018110000}"/>
    <cellStyle name="AggOrange 2 3 4 11" xfId="4377" xr:uid="{00000000-0005-0000-0000-000019110000}"/>
    <cellStyle name="AggOrange 2 3 4 12" xfId="4378" xr:uid="{00000000-0005-0000-0000-00001A110000}"/>
    <cellStyle name="AggOrange 2 3 4 13" xfId="4379" xr:uid="{00000000-0005-0000-0000-00001B110000}"/>
    <cellStyle name="AggOrange 2 3 4 14" xfId="4380" xr:uid="{00000000-0005-0000-0000-00001C110000}"/>
    <cellStyle name="AggOrange 2 3 4 15" xfId="4381" xr:uid="{00000000-0005-0000-0000-00001D110000}"/>
    <cellStyle name="AggOrange 2 3 4 16" xfId="4382" xr:uid="{00000000-0005-0000-0000-00001E110000}"/>
    <cellStyle name="AggOrange 2 3 4 17" xfId="4383" xr:uid="{00000000-0005-0000-0000-00001F110000}"/>
    <cellStyle name="AggOrange 2 3 4 18" xfId="4384" xr:uid="{00000000-0005-0000-0000-000020110000}"/>
    <cellStyle name="AggOrange 2 3 4 19" xfId="4385" xr:uid="{00000000-0005-0000-0000-000021110000}"/>
    <cellStyle name="AggOrange 2 3 4 2" xfId="4386" xr:uid="{00000000-0005-0000-0000-000022110000}"/>
    <cellStyle name="AggOrange 2 3 4 2 10" xfId="4387" xr:uid="{00000000-0005-0000-0000-000023110000}"/>
    <cellStyle name="AggOrange 2 3 4 2 11" xfId="4388" xr:uid="{00000000-0005-0000-0000-000024110000}"/>
    <cellStyle name="AggOrange 2 3 4 2 12" xfId="4389" xr:uid="{00000000-0005-0000-0000-000025110000}"/>
    <cellStyle name="AggOrange 2 3 4 2 13" xfId="4390" xr:uid="{00000000-0005-0000-0000-000026110000}"/>
    <cellStyle name="AggOrange 2 3 4 2 14" xfId="4391" xr:uid="{00000000-0005-0000-0000-000027110000}"/>
    <cellStyle name="AggOrange 2 3 4 2 15" xfId="4392" xr:uid="{00000000-0005-0000-0000-000028110000}"/>
    <cellStyle name="AggOrange 2 3 4 2 16" xfId="4393" xr:uid="{00000000-0005-0000-0000-000029110000}"/>
    <cellStyle name="AggOrange 2 3 4 2 17" xfId="4394" xr:uid="{00000000-0005-0000-0000-00002A110000}"/>
    <cellStyle name="AggOrange 2 3 4 2 18" xfId="4395" xr:uid="{00000000-0005-0000-0000-00002B110000}"/>
    <cellStyle name="AggOrange 2 3 4 2 19" xfId="4396" xr:uid="{00000000-0005-0000-0000-00002C110000}"/>
    <cellStyle name="AggOrange 2 3 4 2 2" xfId="4397" xr:uid="{00000000-0005-0000-0000-00002D110000}"/>
    <cellStyle name="AggOrange 2 3 4 2 20" xfId="4398" xr:uid="{00000000-0005-0000-0000-00002E110000}"/>
    <cellStyle name="AggOrange 2 3 4 2 21" xfId="4399" xr:uid="{00000000-0005-0000-0000-00002F110000}"/>
    <cellStyle name="AggOrange 2 3 4 2 22" xfId="4400" xr:uid="{00000000-0005-0000-0000-000030110000}"/>
    <cellStyle name="AggOrange 2 3 4 2 23" xfId="4401" xr:uid="{00000000-0005-0000-0000-000031110000}"/>
    <cellStyle name="AggOrange 2 3 4 2 24" xfId="4402" xr:uid="{00000000-0005-0000-0000-000032110000}"/>
    <cellStyle name="AggOrange 2 3 4 2 25" xfId="4403" xr:uid="{00000000-0005-0000-0000-000033110000}"/>
    <cellStyle name="AggOrange 2 3 4 2 26" xfId="4404" xr:uid="{00000000-0005-0000-0000-000034110000}"/>
    <cellStyle name="AggOrange 2 3 4 2 27" xfId="4405" xr:uid="{00000000-0005-0000-0000-000035110000}"/>
    <cellStyle name="AggOrange 2 3 4 2 28" xfId="4406" xr:uid="{00000000-0005-0000-0000-000036110000}"/>
    <cellStyle name="AggOrange 2 3 4 2 29" xfId="4407" xr:uid="{00000000-0005-0000-0000-000037110000}"/>
    <cellStyle name="AggOrange 2 3 4 2 3" xfId="4408" xr:uid="{00000000-0005-0000-0000-000038110000}"/>
    <cellStyle name="AggOrange 2 3 4 2 30" xfId="4409" xr:uid="{00000000-0005-0000-0000-000039110000}"/>
    <cellStyle name="AggOrange 2 3 4 2 31" xfId="4410" xr:uid="{00000000-0005-0000-0000-00003A110000}"/>
    <cellStyle name="AggOrange 2 3 4 2 32" xfId="4411" xr:uid="{00000000-0005-0000-0000-00003B110000}"/>
    <cellStyle name="AggOrange 2 3 4 2 33" xfId="4412" xr:uid="{00000000-0005-0000-0000-00003C110000}"/>
    <cellStyle name="AggOrange 2 3 4 2 34" xfId="4413" xr:uid="{00000000-0005-0000-0000-00003D110000}"/>
    <cellStyle name="AggOrange 2 3 4 2 35" xfId="4414" xr:uid="{00000000-0005-0000-0000-00003E110000}"/>
    <cellStyle name="AggOrange 2 3 4 2 36" xfId="4415" xr:uid="{00000000-0005-0000-0000-00003F110000}"/>
    <cellStyle name="AggOrange 2 3 4 2 37" xfId="4416" xr:uid="{00000000-0005-0000-0000-000040110000}"/>
    <cellStyle name="AggOrange 2 3 4 2 38" xfId="4417" xr:uid="{00000000-0005-0000-0000-000041110000}"/>
    <cellStyle name="AggOrange 2 3 4 2 39" xfId="4418" xr:uid="{00000000-0005-0000-0000-000042110000}"/>
    <cellStyle name="AggOrange 2 3 4 2 4" xfId="4419" xr:uid="{00000000-0005-0000-0000-000043110000}"/>
    <cellStyle name="AggOrange 2 3 4 2 40" xfId="4420" xr:uid="{00000000-0005-0000-0000-000044110000}"/>
    <cellStyle name="AggOrange 2 3 4 2 41" xfId="4421" xr:uid="{00000000-0005-0000-0000-000045110000}"/>
    <cellStyle name="AggOrange 2 3 4 2 42" xfId="4422" xr:uid="{00000000-0005-0000-0000-000046110000}"/>
    <cellStyle name="AggOrange 2 3 4 2 43" xfId="4423" xr:uid="{00000000-0005-0000-0000-000047110000}"/>
    <cellStyle name="AggOrange 2 3 4 2 44" xfId="4424" xr:uid="{00000000-0005-0000-0000-000048110000}"/>
    <cellStyle name="AggOrange 2 3 4 2 45" xfId="4425" xr:uid="{00000000-0005-0000-0000-000049110000}"/>
    <cellStyle name="AggOrange 2 3 4 2 46" xfId="4426" xr:uid="{00000000-0005-0000-0000-00004A110000}"/>
    <cellStyle name="AggOrange 2 3 4 2 47" xfId="4427" xr:uid="{00000000-0005-0000-0000-00004B110000}"/>
    <cellStyle name="AggOrange 2 3 4 2 48" xfId="4428" xr:uid="{00000000-0005-0000-0000-00004C110000}"/>
    <cellStyle name="AggOrange 2 3 4 2 49" xfId="4429" xr:uid="{00000000-0005-0000-0000-00004D110000}"/>
    <cellStyle name="AggOrange 2 3 4 2 5" xfId="4430" xr:uid="{00000000-0005-0000-0000-00004E110000}"/>
    <cellStyle name="AggOrange 2 3 4 2 50" xfId="4431" xr:uid="{00000000-0005-0000-0000-00004F110000}"/>
    <cellStyle name="AggOrange 2 3 4 2 51" xfId="4432" xr:uid="{00000000-0005-0000-0000-000050110000}"/>
    <cellStyle name="AggOrange 2 3 4 2 52" xfId="4433" xr:uid="{00000000-0005-0000-0000-000051110000}"/>
    <cellStyle name="AggOrange 2 3 4 2 53" xfId="4434" xr:uid="{00000000-0005-0000-0000-000052110000}"/>
    <cellStyle name="AggOrange 2 3 4 2 54" xfId="4435" xr:uid="{00000000-0005-0000-0000-000053110000}"/>
    <cellStyle name="AggOrange 2 3 4 2 55" xfId="4436" xr:uid="{00000000-0005-0000-0000-000054110000}"/>
    <cellStyle name="AggOrange 2 3 4 2 56" xfId="4437" xr:uid="{00000000-0005-0000-0000-000055110000}"/>
    <cellStyle name="AggOrange 2 3 4 2 57" xfId="4438" xr:uid="{00000000-0005-0000-0000-000056110000}"/>
    <cellStyle name="AggOrange 2 3 4 2 58" xfId="4439" xr:uid="{00000000-0005-0000-0000-000057110000}"/>
    <cellStyle name="AggOrange 2 3 4 2 59" xfId="4440" xr:uid="{00000000-0005-0000-0000-000058110000}"/>
    <cellStyle name="AggOrange 2 3 4 2 6" xfId="4441" xr:uid="{00000000-0005-0000-0000-000059110000}"/>
    <cellStyle name="AggOrange 2 3 4 2 60" xfId="4442" xr:uid="{00000000-0005-0000-0000-00005A110000}"/>
    <cellStyle name="AggOrange 2 3 4 2 61" xfId="4443" xr:uid="{00000000-0005-0000-0000-00005B110000}"/>
    <cellStyle name="AggOrange 2 3 4 2 62" xfId="4444" xr:uid="{00000000-0005-0000-0000-00005C110000}"/>
    <cellStyle name="AggOrange 2 3 4 2 63" xfId="4445" xr:uid="{00000000-0005-0000-0000-00005D110000}"/>
    <cellStyle name="AggOrange 2 3 4 2 64" xfId="4446" xr:uid="{00000000-0005-0000-0000-00005E110000}"/>
    <cellStyle name="AggOrange 2 3 4 2 65" xfId="4447" xr:uid="{00000000-0005-0000-0000-00005F110000}"/>
    <cellStyle name="AggOrange 2 3 4 2 7" xfId="4448" xr:uid="{00000000-0005-0000-0000-000060110000}"/>
    <cellStyle name="AggOrange 2 3 4 2 8" xfId="4449" xr:uid="{00000000-0005-0000-0000-000061110000}"/>
    <cellStyle name="AggOrange 2 3 4 2 9" xfId="4450" xr:uid="{00000000-0005-0000-0000-000062110000}"/>
    <cellStyle name="AggOrange 2 3 4 20" xfId="4451" xr:uid="{00000000-0005-0000-0000-000063110000}"/>
    <cellStyle name="AggOrange 2 3 4 21" xfId="4452" xr:uid="{00000000-0005-0000-0000-000064110000}"/>
    <cellStyle name="AggOrange 2 3 4 22" xfId="4453" xr:uid="{00000000-0005-0000-0000-000065110000}"/>
    <cellStyle name="AggOrange 2 3 4 23" xfId="4454" xr:uid="{00000000-0005-0000-0000-000066110000}"/>
    <cellStyle name="AggOrange 2 3 4 24" xfId="4455" xr:uid="{00000000-0005-0000-0000-000067110000}"/>
    <cellStyle name="AggOrange 2 3 4 25" xfId="4456" xr:uid="{00000000-0005-0000-0000-000068110000}"/>
    <cellStyle name="AggOrange 2 3 4 26" xfId="4457" xr:uid="{00000000-0005-0000-0000-000069110000}"/>
    <cellStyle name="AggOrange 2 3 4 27" xfId="4458" xr:uid="{00000000-0005-0000-0000-00006A110000}"/>
    <cellStyle name="AggOrange 2 3 4 28" xfId="4459" xr:uid="{00000000-0005-0000-0000-00006B110000}"/>
    <cellStyle name="AggOrange 2 3 4 29" xfId="4460" xr:uid="{00000000-0005-0000-0000-00006C110000}"/>
    <cellStyle name="AggOrange 2 3 4 3" xfId="4461" xr:uid="{00000000-0005-0000-0000-00006D110000}"/>
    <cellStyle name="AggOrange 2 3 4 30" xfId="4462" xr:uid="{00000000-0005-0000-0000-00006E110000}"/>
    <cellStyle name="AggOrange 2 3 4 31" xfId="4463" xr:uid="{00000000-0005-0000-0000-00006F110000}"/>
    <cellStyle name="AggOrange 2 3 4 32" xfId="4464" xr:uid="{00000000-0005-0000-0000-000070110000}"/>
    <cellStyle name="AggOrange 2 3 4 33" xfId="4465" xr:uid="{00000000-0005-0000-0000-000071110000}"/>
    <cellStyle name="AggOrange 2 3 4 34" xfId="4466" xr:uid="{00000000-0005-0000-0000-000072110000}"/>
    <cellStyle name="AggOrange 2 3 4 35" xfId="4467" xr:uid="{00000000-0005-0000-0000-000073110000}"/>
    <cellStyle name="AggOrange 2 3 4 36" xfId="4468" xr:uid="{00000000-0005-0000-0000-000074110000}"/>
    <cellStyle name="AggOrange 2 3 4 37" xfId="4469" xr:uid="{00000000-0005-0000-0000-000075110000}"/>
    <cellStyle name="AggOrange 2 3 4 38" xfId="4470" xr:uid="{00000000-0005-0000-0000-000076110000}"/>
    <cellStyle name="AggOrange 2 3 4 39" xfId="4471" xr:uid="{00000000-0005-0000-0000-000077110000}"/>
    <cellStyle name="AggOrange 2 3 4 4" xfId="4472" xr:uid="{00000000-0005-0000-0000-000078110000}"/>
    <cellStyle name="AggOrange 2 3 4 40" xfId="4473" xr:uid="{00000000-0005-0000-0000-000079110000}"/>
    <cellStyle name="AggOrange 2 3 4 41" xfId="4474" xr:uid="{00000000-0005-0000-0000-00007A110000}"/>
    <cellStyle name="AggOrange 2 3 4 42" xfId="4475" xr:uid="{00000000-0005-0000-0000-00007B110000}"/>
    <cellStyle name="AggOrange 2 3 4 43" xfId="4476" xr:uid="{00000000-0005-0000-0000-00007C110000}"/>
    <cellStyle name="AggOrange 2 3 4 44" xfId="4477" xr:uid="{00000000-0005-0000-0000-00007D110000}"/>
    <cellStyle name="AggOrange 2 3 4 45" xfId="4478" xr:uid="{00000000-0005-0000-0000-00007E110000}"/>
    <cellStyle name="AggOrange 2 3 4 46" xfId="4479" xr:uid="{00000000-0005-0000-0000-00007F110000}"/>
    <cellStyle name="AggOrange 2 3 4 47" xfId="4480" xr:uid="{00000000-0005-0000-0000-000080110000}"/>
    <cellStyle name="AggOrange 2 3 4 48" xfId="4481" xr:uid="{00000000-0005-0000-0000-000081110000}"/>
    <cellStyle name="AggOrange 2 3 4 49" xfId="4482" xr:uid="{00000000-0005-0000-0000-000082110000}"/>
    <cellStyle name="AggOrange 2 3 4 5" xfId="4483" xr:uid="{00000000-0005-0000-0000-000083110000}"/>
    <cellStyle name="AggOrange 2 3 4 50" xfId="4484" xr:uid="{00000000-0005-0000-0000-000084110000}"/>
    <cellStyle name="AggOrange 2 3 4 51" xfId="4485" xr:uid="{00000000-0005-0000-0000-000085110000}"/>
    <cellStyle name="AggOrange 2 3 4 52" xfId="4486" xr:uid="{00000000-0005-0000-0000-000086110000}"/>
    <cellStyle name="AggOrange 2 3 4 53" xfId="4487" xr:uid="{00000000-0005-0000-0000-000087110000}"/>
    <cellStyle name="AggOrange 2 3 4 54" xfId="4488" xr:uid="{00000000-0005-0000-0000-000088110000}"/>
    <cellStyle name="AggOrange 2 3 4 55" xfId="4489" xr:uid="{00000000-0005-0000-0000-000089110000}"/>
    <cellStyle name="AggOrange 2 3 4 56" xfId="4490" xr:uid="{00000000-0005-0000-0000-00008A110000}"/>
    <cellStyle name="AggOrange 2 3 4 57" xfId="4491" xr:uid="{00000000-0005-0000-0000-00008B110000}"/>
    <cellStyle name="AggOrange 2 3 4 58" xfId="4492" xr:uid="{00000000-0005-0000-0000-00008C110000}"/>
    <cellStyle name="AggOrange 2 3 4 59" xfId="4493" xr:uid="{00000000-0005-0000-0000-00008D110000}"/>
    <cellStyle name="AggOrange 2 3 4 6" xfId="4494" xr:uid="{00000000-0005-0000-0000-00008E110000}"/>
    <cellStyle name="AggOrange 2 3 4 60" xfId="4495" xr:uid="{00000000-0005-0000-0000-00008F110000}"/>
    <cellStyle name="AggOrange 2 3 4 61" xfId="4496" xr:uid="{00000000-0005-0000-0000-000090110000}"/>
    <cellStyle name="AggOrange 2 3 4 62" xfId="4497" xr:uid="{00000000-0005-0000-0000-000091110000}"/>
    <cellStyle name="AggOrange 2 3 4 63" xfId="4498" xr:uid="{00000000-0005-0000-0000-000092110000}"/>
    <cellStyle name="AggOrange 2 3 4 64" xfId="4499" xr:uid="{00000000-0005-0000-0000-000093110000}"/>
    <cellStyle name="AggOrange 2 3 4 65" xfId="4500" xr:uid="{00000000-0005-0000-0000-000094110000}"/>
    <cellStyle name="AggOrange 2 3 4 66" xfId="4501" xr:uid="{00000000-0005-0000-0000-000095110000}"/>
    <cellStyle name="AggOrange 2 3 4 7" xfId="4502" xr:uid="{00000000-0005-0000-0000-000096110000}"/>
    <cellStyle name="AggOrange 2 3 4 8" xfId="4503" xr:uid="{00000000-0005-0000-0000-000097110000}"/>
    <cellStyle name="AggOrange 2 3 4 9" xfId="4504" xr:uid="{00000000-0005-0000-0000-000098110000}"/>
    <cellStyle name="AggOrange 2 3 40" xfId="4505" xr:uid="{00000000-0005-0000-0000-000099110000}"/>
    <cellStyle name="AggOrange 2 3 41" xfId="4506" xr:uid="{00000000-0005-0000-0000-00009A110000}"/>
    <cellStyle name="AggOrange 2 3 42" xfId="4507" xr:uid="{00000000-0005-0000-0000-00009B110000}"/>
    <cellStyle name="AggOrange 2 3 43" xfId="4508" xr:uid="{00000000-0005-0000-0000-00009C110000}"/>
    <cellStyle name="AggOrange 2 3 44" xfId="4509" xr:uid="{00000000-0005-0000-0000-00009D110000}"/>
    <cellStyle name="AggOrange 2 3 45" xfId="4510" xr:uid="{00000000-0005-0000-0000-00009E110000}"/>
    <cellStyle name="AggOrange 2 3 46" xfId="4511" xr:uid="{00000000-0005-0000-0000-00009F110000}"/>
    <cellStyle name="AggOrange 2 3 47" xfId="4512" xr:uid="{00000000-0005-0000-0000-0000A0110000}"/>
    <cellStyle name="AggOrange 2 3 48" xfId="4513" xr:uid="{00000000-0005-0000-0000-0000A1110000}"/>
    <cellStyle name="AggOrange 2 3 49" xfId="4514" xr:uid="{00000000-0005-0000-0000-0000A2110000}"/>
    <cellStyle name="AggOrange 2 3 5" xfId="4515" xr:uid="{00000000-0005-0000-0000-0000A3110000}"/>
    <cellStyle name="AggOrange 2 3 50" xfId="4516" xr:uid="{00000000-0005-0000-0000-0000A4110000}"/>
    <cellStyle name="AggOrange 2 3 51" xfId="4517" xr:uid="{00000000-0005-0000-0000-0000A5110000}"/>
    <cellStyle name="AggOrange 2 3 52" xfId="4518" xr:uid="{00000000-0005-0000-0000-0000A6110000}"/>
    <cellStyle name="AggOrange 2 3 53" xfId="4519" xr:uid="{00000000-0005-0000-0000-0000A7110000}"/>
    <cellStyle name="AggOrange 2 3 54" xfId="4520" xr:uid="{00000000-0005-0000-0000-0000A8110000}"/>
    <cellStyle name="AggOrange 2 3 55" xfId="4521" xr:uid="{00000000-0005-0000-0000-0000A9110000}"/>
    <cellStyle name="AggOrange 2 3 56" xfId="4522" xr:uid="{00000000-0005-0000-0000-0000AA110000}"/>
    <cellStyle name="AggOrange 2 3 57" xfId="4523" xr:uid="{00000000-0005-0000-0000-0000AB110000}"/>
    <cellStyle name="AggOrange 2 3 58" xfId="4524" xr:uid="{00000000-0005-0000-0000-0000AC110000}"/>
    <cellStyle name="AggOrange 2 3 59" xfId="4525" xr:uid="{00000000-0005-0000-0000-0000AD110000}"/>
    <cellStyle name="AggOrange 2 3 6" xfId="4526" xr:uid="{00000000-0005-0000-0000-0000AE110000}"/>
    <cellStyle name="AggOrange 2 3 60" xfId="4527" xr:uid="{00000000-0005-0000-0000-0000AF110000}"/>
    <cellStyle name="AggOrange 2 3 61" xfId="4528" xr:uid="{00000000-0005-0000-0000-0000B0110000}"/>
    <cellStyle name="AggOrange 2 3 62" xfId="4529" xr:uid="{00000000-0005-0000-0000-0000B1110000}"/>
    <cellStyle name="AggOrange 2 3 63" xfId="4530" xr:uid="{00000000-0005-0000-0000-0000B2110000}"/>
    <cellStyle name="AggOrange 2 3 64" xfId="4531" xr:uid="{00000000-0005-0000-0000-0000B3110000}"/>
    <cellStyle name="AggOrange 2 3 65" xfId="4532" xr:uid="{00000000-0005-0000-0000-0000B4110000}"/>
    <cellStyle name="AggOrange 2 3 66" xfId="4533" xr:uid="{00000000-0005-0000-0000-0000B5110000}"/>
    <cellStyle name="AggOrange 2 3 67" xfId="4534" xr:uid="{00000000-0005-0000-0000-0000B6110000}"/>
    <cellStyle name="AggOrange 2 3 68" xfId="4535" xr:uid="{00000000-0005-0000-0000-0000B7110000}"/>
    <cellStyle name="AggOrange 2 3 7" xfId="4536" xr:uid="{00000000-0005-0000-0000-0000B8110000}"/>
    <cellStyle name="AggOrange 2 3 8" xfId="4537" xr:uid="{00000000-0005-0000-0000-0000B9110000}"/>
    <cellStyle name="AggOrange 2 3 9" xfId="4538" xr:uid="{00000000-0005-0000-0000-0000BA110000}"/>
    <cellStyle name="AggOrange 3" xfId="4539" xr:uid="{00000000-0005-0000-0000-0000BB110000}"/>
    <cellStyle name="AggOrange 3 2" xfId="4540" xr:uid="{00000000-0005-0000-0000-0000BC110000}"/>
    <cellStyle name="AggOrange 3 2 10" xfId="4541" xr:uid="{00000000-0005-0000-0000-0000BD110000}"/>
    <cellStyle name="AggOrange 3 2 11" xfId="4542" xr:uid="{00000000-0005-0000-0000-0000BE110000}"/>
    <cellStyle name="AggOrange 3 2 12" xfId="4543" xr:uid="{00000000-0005-0000-0000-0000BF110000}"/>
    <cellStyle name="AggOrange 3 2 13" xfId="4544" xr:uid="{00000000-0005-0000-0000-0000C0110000}"/>
    <cellStyle name="AggOrange 3 2 14" xfId="4545" xr:uid="{00000000-0005-0000-0000-0000C1110000}"/>
    <cellStyle name="AggOrange 3 2 15" xfId="4546" xr:uid="{00000000-0005-0000-0000-0000C2110000}"/>
    <cellStyle name="AggOrange 3 2 16" xfId="4547" xr:uid="{00000000-0005-0000-0000-0000C3110000}"/>
    <cellStyle name="AggOrange 3 2 17" xfId="4548" xr:uid="{00000000-0005-0000-0000-0000C4110000}"/>
    <cellStyle name="AggOrange 3 2 18" xfId="4549" xr:uid="{00000000-0005-0000-0000-0000C5110000}"/>
    <cellStyle name="AggOrange 3 2 19" xfId="4550" xr:uid="{00000000-0005-0000-0000-0000C6110000}"/>
    <cellStyle name="AggOrange 3 2 2" xfId="4551" xr:uid="{00000000-0005-0000-0000-0000C7110000}"/>
    <cellStyle name="AggOrange 3 2 2 10" xfId="4552" xr:uid="{00000000-0005-0000-0000-0000C8110000}"/>
    <cellStyle name="AggOrange 3 2 2 11" xfId="4553" xr:uid="{00000000-0005-0000-0000-0000C9110000}"/>
    <cellStyle name="AggOrange 3 2 2 12" xfId="4554" xr:uid="{00000000-0005-0000-0000-0000CA110000}"/>
    <cellStyle name="AggOrange 3 2 2 13" xfId="4555" xr:uid="{00000000-0005-0000-0000-0000CB110000}"/>
    <cellStyle name="AggOrange 3 2 2 14" xfId="4556" xr:uid="{00000000-0005-0000-0000-0000CC110000}"/>
    <cellStyle name="AggOrange 3 2 2 15" xfId="4557" xr:uid="{00000000-0005-0000-0000-0000CD110000}"/>
    <cellStyle name="AggOrange 3 2 2 16" xfId="4558" xr:uid="{00000000-0005-0000-0000-0000CE110000}"/>
    <cellStyle name="AggOrange 3 2 2 17" xfId="4559" xr:uid="{00000000-0005-0000-0000-0000CF110000}"/>
    <cellStyle name="AggOrange 3 2 2 18" xfId="4560" xr:uid="{00000000-0005-0000-0000-0000D0110000}"/>
    <cellStyle name="AggOrange 3 2 2 19" xfId="4561" xr:uid="{00000000-0005-0000-0000-0000D1110000}"/>
    <cellStyle name="AggOrange 3 2 2 2" xfId="4562" xr:uid="{00000000-0005-0000-0000-0000D2110000}"/>
    <cellStyle name="AggOrange 3 2 2 20" xfId="4563" xr:uid="{00000000-0005-0000-0000-0000D3110000}"/>
    <cellStyle name="AggOrange 3 2 2 21" xfId="4564" xr:uid="{00000000-0005-0000-0000-0000D4110000}"/>
    <cellStyle name="AggOrange 3 2 2 22" xfId="4565" xr:uid="{00000000-0005-0000-0000-0000D5110000}"/>
    <cellStyle name="AggOrange 3 2 2 23" xfId="4566" xr:uid="{00000000-0005-0000-0000-0000D6110000}"/>
    <cellStyle name="AggOrange 3 2 2 24" xfId="4567" xr:uid="{00000000-0005-0000-0000-0000D7110000}"/>
    <cellStyle name="AggOrange 3 2 2 25" xfId="4568" xr:uid="{00000000-0005-0000-0000-0000D8110000}"/>
    <cellStyle name="AggOrange 3 2 2 26" xfId="4569" xr:uid="{00000000-0005-0000-0000-0000D9110000}"/>
    <cellStyle name="AggOrange 3 2 2 27" xfId="4570" xr:uid="{00000000-0005-0000-0000-0000DA110000}"/>
    <cellStyle name="AggOrange 3 2 2 28" xfId="4571" xr:uid="{00000000-0005-0000-0000-0000DB110000}"/>
    <cellStyle name="AggOrange 3 2 2 29" xfId="4572" xr:uid="{00000000-0005-0000-0000-0000DC110000}"/>
    <cellStyle name="AggOrange 3 2 2 3" xfId="4573" xr:uid="{00000000-0005-0000-0000-0000DD110000}"/>
    <cellStyle name="AggOrange 3 2 2 30" xfId="4574" xr:uid="{00000000-0005-0000-0000-0000DE110000}"/>
    <cellStyle name="AggOrange 3 2 2 31" xfId="4575" xr:uid="{00000000-0005-0000-0000-0000DF110000}"/>
    <cellStyle name="AggOrange 3 2 2 32" xfId="4576" xr:uid="{00000000-0005-0000-0000-0000E0110000}"/>
    <cellStyle name="AggOrange 3 2 2 33" xfId="4577" xr:uid="{00000000-0005-0000-0000-0000E1110000}"/>
    <cellStyle name="AggOrange 3 2 2 34" xfId="4578" xr:uid="{00000000-0005-0000-0000-0000E2110000}"/>
    <cellStyle name="AggOrange 3 2 2 35" xfId="4579" xr:uid="{00000000-0005-0000-0000-0000E3110000}"/>
    <cellStyle name="AggOrange 3 2 2 36" xfId="4580" xr:uid="{00000000-0005-0000-0000-0000E4110000}"/>
    <cellStyle name="AggOrange 3 2 2 37" xfId="4581" xr:uid="{00000000-0005-0000-0000-0000E5110000}"/>
    <cellStyle name="AggOrange 3 2 2 38" xfId="4582" xr:uid="{00000000-0005-0000-0000-0000E6110000}"/>
    <cellStyle name="AggOrange 3 2 2 39" xfId="4583" xr:uid="{00000000-0005-0000-0000-0000E7110000}"/>
    <cellStyle name="AggOrange 3 2 2 4" xfId="4584" xr:uid="{00000000-0005-0000-0000-0000E8110000}"/>
    <cellStyle name="AggOrange 3 2 2 40" xfId="4585" xr:uid="{00000000-0005-0000-0000-0000E9110000}"/>
    <cellStyle name="AggOrange 3 2 2 41" xfId="4586" xr:uid="{00000000-0005-0000-0000-0000EA110000}"/>
    <cellStyle name="AggOrange 3 2 2 42" xfId="4587" xr:uid="{00000000-0005-0000-0000-0000EB110000}"/>
    <cellStyle name="AggOrange 3 2 2 43" xfId="4588" xr:uid="{00000000-0005-0000-0000-0000EC110000}"/>
    <cellStyle name="AggOrange 3 2 2 44" xfId="4589" xr:uid="{00000000-0005-0000-0000-0000ED110000}"/>
    <cellStyle name="AggOrange 3 2 2 45" xfId="4590" xr:uid="{00000000-0005-0000-0000-0000EE110000}"/>
    <cellStyle name="AggOrange 3 2 2 46" xfId="4591" xr:uid="{00000000-0005-0000-0000-0000EF110000}"/>
    <cellStyle name="AggOrange 3 2 2 47" xfId="4592" xr:uid="{00000000-0005-0000-0000-0000F0110000}"/>
    <cellStyle name="AggOrange 3 2 2 48" xfId="4593" xr:uid="{00000000-0005-0000-0000-0000F1110000}"/>
    <cellStyle name="AggOrange 3 2 2 49" xfId="4594" xr:uid="{00000000-0005-0000-0000-0000F2110000}"/>
    <cellStyle name="AggOrange 3 2 2 5" xfId="4595" xr:uid="{00000000-0005-0000-0000-0000F3110000}"/>
    <cellStyle name="AggOrange 3 2 2 50" xfId="4596" xr:uid="{00000000-0005-0000-0000-0000F4110000}"/>
    <cellStyle name="AggOrange 3 2 2 51" xfId="4597" xr:uid="{00000000-0005-0000-0000-0000F5110000}"/>
    <cellStyle name="AggOrange 3 2 2 52" xfId="4598" xr:uid="{00000000-0005-0000-0000-0000F6110000}"/>
    <cellStyle name="AggOrange 3 2 2 53" xfId="4599" xr:uid="{00000000-0005-0000-0000-0000F7110000}"/>
    <cellStyle name="AggOrange 3 2 2 54" xfId="4600" xr:uid="{00000000-0005-0000-0000-0000F8110000}"/>
    <cellStyle name="AggOrange 3 2 2 55" xfId="4601" xr:uid="{00000000-0005-0000-0000-0000F9110000}"/>
    <cellStyle name="AggOrange 3 2 2 56" xfId="4602" xr:uid="{00000000-0005-0000-0000-0000FA110000}"/>
    <cellStyle name="AggOrange 3 2 2 57" xfId="4603" xr:uid="{00000000-0005-0000-0000-0000FB110000}"/>
    <cellStyle name="AggOrange 3 2 2 58" xfId="4604" xr:uid="{00000000-0005-0000-0000-0000FC110000}"/>
    <cellStyle name="AggOrange 3 2 2 59" xfId="4605" xr:uid="{00000000-0005-0000-0000-0000FD110000}"/>
    <cellStyle name="AggOrange 3 2 2 6" xfId="4606" xr:uid="{00000000-0005-0000-0000-0000FE110000}"/>
    <cellStyle name="AggOrange 3 2 2 60" xfId="4607" xr:uid="{00000000-0005-0000-0000-0000FF110000}"/>
    <cellStyle name="AggOrange 3 2 2 61" xfId="4608" xr:uid="{00000000-0005-0000-0000-000000120000}"/>
    <cellStyle name="AggOrange 3 2 2 62" xfId="4609" xr:uid="{00000000-0005-0000-0000-000001120000}"/>
    <cellStyle name="AggOrange 3 2 2 63" xfId="4610" xr:uid="{00000000-0005-0000-0000-000002120000}"/>
    <cellStyle name="AggOrange 3 2 2 64" xfId="4611" xr:uid="{00000000-0005-0000-0000-000003120000}"/>
    <cellStyle name="AggOrange 3 2 2 65" xfId="4612" xr:uid="{00000000-0005-0000-0000-000004120000}"/>
    <cellStyle name="AggOrange 3 2 2 7" xfId="4613" xr:uid="{00000000-0005-0000-0000-000005120000}"/>
    <cellStyle name="AggOrange 3 2 2 8" xfId="4614" xr:uid="{00000000-0005-0000-0000-000006120000}"/>
    <cellStyle name="AggOrange 3 2 2 9" xfId="4615" xr:uid="{00000000-0005-0000-0000-000007120000}"/>
    <cellStyle name="AggOrange 3 2 20" xfId="4616" xr:uid="{00000000-0005-0000-0000-000008120000}"/>
    <cellStyle name="AggOrange 3 2 21" xfId="4617" xr:uid="{00000000-0005-0000-0000-000009120000}"/>
    <cellStyle name="AggOrange 3 2 22" xfId="4618" xr:uid="{00000000-0005-0000-0000-00000A120000}"/>
    <cellStyle name="AggOrange 3 2 23" xfId="4619" xr:uid="{00000000-0005-0000-0000-00000B120000}"/>
    <cellStyle name="AggOrange 3 2 24" xfId="4620" xr:uid="{00000000-0005-0000-0000-00000C120000}"/>
    <cellStyle name="AggOrange 3 2 25" xfId="4621" xr:uid="{00000000-0005-0000-0000-00000D120000}"/>
    <cellStyle name="AggOrange 3 2 26" xfId="4622" xr:uid="{00000000-0005-0000-0000-00000E120000}"/>
    <cellStyle name="AggOrange 3 2 27" xfId="4623" xr:uid="{00000000-0005-0000-0000-00000F120000}"/>
    <cellStyle name="AggOrange 3 2 28" xfId="4624" xr:uid="{00000000-0005-0000-0000-000010120000}"/>
    <cellStyle name="AggOrange 3 2 29" xfId="4625" xr:uid="{00000000-0005-0000-0000-000011120000}"/>
    <cellStyle name="AggOrange 3 2 3" xfId="4626" xr:uid="{00000000-0005-0000-0000-000012120000}"/>
    <cellStyle name="AggOrange 3 2 30" xfId="4627" xr:uid="{00000000-0005-0000-0000-000013120000}"/>
    <cellStyle name="AggOrange 3 2 31" xfId="4628" xr:uid="{00000000-0005-0000-0000-000014120000}"/>
    <cellStyle name="AggOrange 3 2 32" xfId="4629" xr:uid="{00000000-0005-0000-0000-000015120000}"/>
    <cellStyle name="AggOrange 3 2 33" xfId="4630" xr:uid="{00000000-0005-0000-0000-000016120000}"/>
    <cellStyle name="AggOrange 3 2 34" xfId="4631" xr:uid="{00000000-0005-0000-0000-000017120000}"/>
    <cellStyle name="AggOrange 3 2 35" xfId="4632" xr:uid="{00000000-0005-0000-0000-000018120000}"/>
    <cellStyle name="AggOrange 3 2 36" xfId="4633" xr:uid="{00000000-0005-0000-0000-000019120000}"/>
    <cellStyle name="AggOrange 3 2 37" xfId="4634" xr:uid="{00000000-0005-0000-0000-00001A120000}"/>
    <cellStyle name="AggOrange 3 2 38" xfId="4635" xr:uid="{00000000-0005-0000-0000-00001B120000}"/>
    <cellStyle name="AggOrange 3 2 39" xfId="4636" xr:uid="{00000000-0005-0000-0000-00001C120000}"/>
    <cellStyle name="AggOrange 3 2 4" xfId="4637" xr:uid="{00000000-0005-0000-0000-00001D120000}"/>
    <cellStyle name="AggOrange 3 2 40" xfId="4638" xr:uid="{00000000-0005-0000-0000-00001E120000}"/>
    <cellStyle name="AggOrange 3 2 41" xfId="4639" xr:uid="{00000000-0005-0000-0000-00001F120000}"/>
    <cellStyle name="AggOrange 3 2 42" xfId="4640" xr:uid="{00000000-0005-0000-0000-000020120000}"/>
    <cellStyle name="AggOrange 3 2 43" xfId="4641" xr:uid="{00000000-0005-0000-0000-000021120000}"/>
    <cellStyle name="AggOrange 3 2 44" xfId="4642" xr:uid="{00000000-0005-0000-0000-000022120000}"/>
    <cellStyle name="AggOrange 3 2 45" xfId="4643" xr:uid="{00000000-0005-0000-0000-000023120000}"/>
    <cellStyle name="AggOrange 3 2 46" xfId="4644" xr:uid="{00000000-0005-0000-0000-000024120000}"/>
    <cellStyle name="AggOrange 3 2 47" xfId="4645" xr:uid="{00000000-0005-0000-0000-000025120000}"/>
    <cellStyle name="AggOrange 3 2 48" xfId="4646" xr:uid="{00000000-0005-0000-0000-000026120000}"/>
    <cellStyle name="AggOrange 3 2 49" xfId="4647" xr:uid="{00000000-0005-0000-0000-000027120000}"/>
    <cellStyle name="AggOrange 3 2 5" xfId="4648" xr:uid="{00000000-0005-0000-0000-000028120000}"/>
    <cellStyle name="AggOrange 3 2 50" xfId="4649" xr:uid="{00000000-0005-0000-0000-000029120000}"/>
    <cellStyle name="AggOrange 3 2 51" xfId="4650" xr:uid="{00000000-0005-0000-0000-00002A120000}"/>
    <cellStyle name="AggOrange 3 2 52" xfId="4651" xr:uid="{00000000-0005-0000-0000-00002B120000}"/>
    <cellStyle name="AggOrange 3 2 53" xfId="4652" xr:uid="{00000000-0005-0000-0000-00002C120000}"/>
    <cellStyle name="AggOrange 3 2 54" xfId="4653" xr:uid="{00000000-0005-0000-0000-00002D120000}"/>
    <cellStyle name="AggOrange 3 2 55" xfId="4654" xr:uid="{00000000-0005-0000-0000-00002E120000}"/>
    <cellStyle name="AggOrange 3 2 56" xfId="4655" xr:uid="{00000000-0005-0000-0000-00002F120000}"/>
    <cellStyle name="AggOrange 3 2 57" xfId="4656" xr:uid="{00000000-0005-0000-0000-000030120000}"/>
    <cellStyle name="AggOrange 3 2 58" xfId="4657" xr:uid="{00000000-0005-0000-0000-000031120000}"/>
    <cellStyle name="AggOrange 3 2 59" xfId="4658" xr:uid="{00000000-0005-0000-0000-000032120000}"/>
    <cellStyle name="AggOrange 3 2 6" xfId="4659" xr:uid="{00000000-0005-0000-0000-000033120000}"/>
    <cellStyle name="AggOrange 3 2 60" xfId="4660" xr:uid="{00000000-0005-0000-0000-000034120000}"/>
    <cellStyle name="AggOrange 3 2 61" xfId="4661" xr:uid="{00000000-0005-0000-0000-000035120000}"/>
    <cellStyle name="AggOrange 3 2 62" xfId="4662" xr:uid="{00000000-0005-0000-0000-000036120000}"/>
    <cellStyle name="AggOrange 3 2 63" xfId="4663" xr:uid="{00000000-0005-0000-0000-000037120000}"/>
    <cellStyle name="AggOrange 3 2 64" xfId="4664" xr:uid="{00000000-0005-0000-0000-000038120000}"/>
    <cellStyle name="AggOrange 3 2 65" xfId="4665" xr:uid="{00000000-0005-0000-0000-000039120000}"/>
    <cellStyle name="AggOrange 3 2 66" xfId="4666" xr:uid="{00000000-0005-0000-0000-00003A120000}"/>
    <cellStyle name="AggOrange 3 2 7" xfId="4667" xr:uid="{00000000-0005-0000-0000-00003B120000}"/>
    <cellStyle name="AggOrange 3 2 8" xfId="4668" xr:uid="{00000000-0005-0000-0000-00003C120000}"/>
    <cellStyle name="AggOrange 3 2 9" xfId="4669" xr:uid="{00000000-0005-0000-0000-00003D120000}"/>
    <cellStyle name="AggOrange 3 3" xfId="4670" xr:uid="{00000000-0005-0000-0000-00003E120000}"/>
    <cellStyle name="AggOrange 3 3 10" xfId="4671" xr:uid="{00000000-0005-0000-0000-00003F120000}"/>
    <cellStyle name="AggOrange 3 3 11" xfId="4672" xr:uid="{00000000-0005-0000-0000-000040120000}"/>
    <cellStyle name="AggOrange 3 3 12" xfId="4673" xr:uid="{00000000-0005-0000-0000-000041120000}"/>
    <cellStyle name="AggOrange 3 3 13" xfId="4674" xr:uid="{00000000-0005-0000-0000-000042120000}"/>
    <cellStyle name="AggOrange 3 3 14" xfId="4675" xr:uid="{00000000-0005-0000-0000-000043120000}"/>
    <cellStyle name="AggOrange 3 3 15" xfId="4676" xr:uid="{00000000-0005-0000-0000-000044120000}"/>
    <cellStyle name="AggOrange 3 3 16" xfId="4677" xr:uid="{00000000-0005-0000-0000-000045120000}"/>
    <cellStyle name="AggOrange 3 3 17" xfId="4678" xr:uid="{00000000-0005-0000-0000-000046120000}"/>
    <cellStyle name="AggOrange 3 3 18" xfId="4679" xr:uid="{00000000-0005-0000-0000-000047120000}"/>
    <cellStyle name="AggOrange 3 3 19" xfId="4680" xr:uid="{00000000-0005-0000-0000-000048120000}"/>
    <cellStyle name="AggOrange 3 3 2" xfId="4681" xr:uid="{00000000-0005-0000-0000-000049120000}"/>
    <cellStyle name="AggOrange 3 3 20" xfId="4682" xr:uid="{00000000-0005-0000-0000-00004A120000}"/>
    <cellStyle name="AggOrange 3 3 21" xfId="4683" xr:uid="{00000000-0005-0000-0000-00004B120000}"/>
    <cellStyle name="AggOrange 3 3 22" xfId="4684" xr:uid="{00000000-0005-0000-0000-00004C120000}"/>
    <cellStyle name="AggOrange 3 3 23" xfId="4685" xr:uid="{00000000-0005-0000-0000-00004D120000}"/>
    <cellStyle name="AggOrange 3 3 24" xfId="4686" xr:uid="{00000000-0005-0000-0000-00004E120000}"/>
    <cellStyle name="AggOrange 3 3 25" xfId="4687" xr:uid="{00000000-0005-0000-0000-00004F120000}"/>
    <cellStyle name="AggOrange 3 3 26" xfId="4688" xr:uid="{00000000-0005-0000-0000-000050120000}"/>
    <cellStyle name="AggOrange 3 3 27" xfId="4689" xr:uid="{00000000-0005-0000-0000-000051120000}"/>
    <cellStyle name="AggOrange 3 3 28" xfId="4690" xr:uid="{00000000-0005-0000-0000-000052120000}"/>
    <cellStyle name="AggOrange 3 3 29" xfId="4691" xr:uid="{00000000-0005-0000-0000-000053120000}"/>
    <cellStyle name="AggOrange 3 3 3" xfId="4692" xr:uid="{00000000-0005-0000-0000-000054120000}"/>
    <cellStyle name="AggOrange 3 3 30" xfId="4693" xr:uid="{00000000-0005-0000-0000-000055120000}"/>
    <cellStyle name="AggOrange 3 3 31" xfId="4694" xr:uid="{00000000-0005-0000-0000-000056120000}"/>
    <cellStyle name="AggOrange 3 3 32" xfId="4695" xr:uid="{00000000-0005-0000-0000-000057120000}"/>
    <cellStyle name="AggOrange 3 3 33" xfId="4696" xr:uid="{00000000-0005-0000-0000-000058120000}"/>
    <cellStyle name="AggOrange 3 3 34" xfId="4697" xr:uid="{00000000-0005-0000-0000-000059120000}"/>
    <cellStyle name="AggOrange 3 3 35" xfId="4698" xr:uid="{00000000-0005-0000-0000-00005A120000}"/>
    <cellStyle name="AggOrange 3 3 36" xfId="4699" xr:uid="{00000000-0005-0000-0000-00005B120000}"/>
    <cellStyle name="AggOrange 3 3 37" xfId="4700" xr:uid="{00000000-0005-0000-0000-00005C120000}"/>
    <cellStyle name="AggOrange 3 3 38" xfId="4701" xr:uid="{00000000-0005-0000-0000-00005D120000}"/>
    <cellStyle name="AggOrange 3 3 39" xfId="4702" xr:uid="{00000000-0005-0000-0000-00005E120000}"/>
    <cellStyle name="AggOrange 3 3 4" xfId="4703" xr:uid="{00000000-0005-0000-0000-00005F120000}"/>
    <cellStyle name="AggOrange 3 3 40" xfId="4704" xr:uid="{00000000-0005-0000-0000-000060120000}"/>
    <cellStyle name="AggOrange 3 3 41" xfId="4705" xr:uid="{00000000-0005-0000-0000-000061120000}"/>
    <cellStyle name="AggOrange 3 3 42" xfId="4706" xr:uid="{00000000-0005-0000-0000-000062120000}"/>
    <cellStyle name="AggOrange 3 3 43" xfId="4707" xr:uid="{00000000-0005-0000-0000-000063120000}"/>
    <cellStyle name="AggOrange 3 3 44" xfId="4708" xr:uid="{00000000-0005-0000-0000-000064120000}"/>
    <cellStyle name="AggOrange 3 3 45" xfId="4709" xr:uid="{00000000-0005-0000-0000-000065120000}"/>
    <cellStyle name="AggOrange 3 3 46" xfId="4710" xr:uid="{00000000-0005-0000-0000-000066120000}"/>
    <cellStyle name="AggOrange 3 3 47" xfId="4711" xr:uid="{00000000-0005-0000-0000-000067120000}"/>
    <cellStyle name="AggOrange 3 3 48" xfId="4712" xr:uid="{00000000-0005-0000-0000-000068120000}"/>
    <cellStyle name="AggOrange 3 3 49" xfId="4713" xr:uid="{00000000-0005-0000-0000-000069120000}"/>
    <cellStyle name="AggOrange 3 3 5" xfId="4714" xr:uid="{00000000-0005-0000-0000-00006A120000}"/>
    <cellStyle name="AggOrange 3 3 50" xfId="4715" xr:uid="{00000000-0005-0000-0000-00006B120000}"/>
    <cellStyle name="AggOrange 3 3 51" xfId="4716" xr:uid="{00000000-0005-0000-0000-00006C120000}"/>
    <cellStyle name="AggOrange 3 3 52" xfId="4717" xr:uid="{00000000-0005-0000-0000-00006D120000}"/>
    <cellStyle name="AggOrange 3 3 53" xfId="4718" xr:uid="{00000000-0005-0000-0000-00006E120000}"/>
    <cellStyle name="AggOrange 3 3 54" xfId="4719" xr:uid="{00000000-0005-0000-0000-00006F120000}"/>
    <cellStyle name="AggOrange 3 3 55" xfId="4720" xr:uid="{00000000-0005-0000-0000-000070120000}"/>
    <cellStyle name="AggOrange 3 3 56" xfId="4721" xr:uid="{00000000-0005-0000-0000-000071120000}"/>
    <cellStyle name="AggOrange 3 3 57" xfId="4722" xr:uid="{00000000-0005-0000-0000-000072120000}"/>
    <cellStyle name="AggOrange 3 3 58" xfId="4723" xr:uid="{00000000-0005-0000-0000-000073120000}"/>
    <cellStyle name="AggOrange 3 3 59" xfId="4724" xr:uid="{00000000-0005-0000-0000-000074120000}"/>
    <cellStyle name="AggOrange 3 3 6" xfId="4725" xr:uid="{00000000-0005-0000-0000-000075120000}"/>
    <cellStyle name="AggOrange 3 3 60" xfId="4726" xr:uid="{00000000-0005-0000-0000-000076120000}"/>
    <cellStyle name="AggOrange 3 3 61" xfId="4727" xr:uid="{00000000-0005-0000-0000-000077120000}"/>
    <cellStyle name="AggOrange 3 3 62" xfId="4728" xr:uid="{00000000-0005-0000-0000-000078120000}"/>
    <cellStyle name="AggOrange 3 3 63" xfId="4729" xr:uid="{00000000-0005-0000-0000-000079120000}"/>
    <cellStyle name="AggOrange 3 3 64" xfId="4730" xr:uid="{00000000-0005-0000-0000-00007A120000}"/>
    <cellStyle name="AggOrange 3 3 65" xfId="4731" xr:uid="{00000000-0005-0000-0000-00007B120000}"/>
    <cellStyle name="AggOrange 3 3 7" xfId="4732" xr:uid="{00000000-0005-0000-0000-00007C120000}"/>
    <cellStyle name="AggOrange 3 3 8" xfId="4733" xr:uid="{00000000-0005-0000-0000-00007D120000}"/>
    <cellStyle name="AggOrange 3 3 9" xfId="4734" xr:uid="{00000000-0005-0000-0000-00007E120000}"/>
    <cellStyle name="AggOrange 4" xfId="4735" xr:uid="{00000000-0005-0000-0000-00007F120000}"/>
    <cellStyle name="AggOrange 4 10" xfId="4736" xr:uid="{00000000-0005-0000-0000-000080120000}"/>
    <cellStyle name="AggOrange 4 11" xfId="4737" xr:uid="{00000000-0005-0000-0000-000081120000}"/>
    <cellStyle name="AggOrange 4 12" xfId="4738" xr:uid="{00000000-0005-0000-0000-000082120000}"/>
    <cellStyle name="AggOrange 4 13" xfId="4739" xr:uid="{00000000-0005-0000-0000-000083120000}"/>
    <cellStyle name="AggOrange 4 14" xfId="4740" xr:uid="{00000000-0005-0000-0000-000084120000}"/>
    <cellStyle name="AggOrange 4 15" xfId="4741" xr:uid="{00000000-0005-0000-0000-000085120000}"/>
    <cellStyle name="AggOrange 4 16" xfId="4742" xr:uid="{00000000-0005-0000-0000-000086120000}"/>
    <cellStyle name="AggOrange 4 17" xfId="4743" xr:uid="{00000000-0005-0000-0000-000087120000}"/>
    <cellStyle name="AggOrange 4 18" xfId="4744" xr:uid="{00000000-0005-0000-0000-000088120000}"/>
    <cellStyle name="AggOrange 4 19" xfId="4745" xr:uid="{00000000-0005-0000-0000-000089120000}"/>
    <cellStyle name="AggOrange 4 2" xfId="4746" xr:uid="{00000000-0005-0000-0000-00008A120000}"/>
    <cellStyle name="AggOrange 4 2 10" xfId="4747" xr:uid="{00000000-0005-0000-0000-00008B120000}"/>
    <cellStyle name="AggOrange 4 2 11" xfId="4748" xr:uid="{00000000-0005-0000-0000-00008C120000}"/>
    <cellStyle name="AggOrange 4 2 12" xfId="4749" xr:uid="{00000000-0005-0000-0000-00008D120000}"/>
    <cellStyle name="AggOrange 4 2 13" xfId="4750" xr:uid="{00000000-0005-0000-0000-00008E120000}"/>
    <cellStyle name="AggOrange 4 2 14" xfId="4751" xr:uid="{00000000-0005-0000-0000-00008F120000}"/>
    <cellStyle name="AggOrange 4 2 15" xfId="4752" xr:uid="{00000000-0005-0000-0000-000090120000}"/>
    <cellStyle name="AggOrange 4 2 16" xfId="4753" xr:uid="{00000000-0005-0000-0000-000091120000}"/>
    <cellStyle name="AggOrange 4 2 17" xfId="4754" xr:uid="{00000000-0005-0000-0000-000092120000}"/>
    <cellStyle name="AggOrange 4 2 18" xfId="4755" xr:uid="{00000000-0005-0000-0000-000093120000}"/>
    <cellStyle name="AggOrange 4 2 19" xfId="4756" xr:uid="{00000000-0005-0000-0000-000094120000}"/>
    <cellStyle name="AggOrange 4 2 2" xfId="4757" xr:uid="{00000000-0005-0000-0000-000095120000}"/>
    <cellStyle name="AggOrange 4 2 2 10" xfId="4758" xr:uid="{00000000-0005-0000-0000-000096120000}"/>
    <cellStyle name="AggOrange 4 2 2 11" xfId="4759" xr:uid="{00000000-0005-0000-0000-000097120000}"/>
    <cellStyle name="AggOrange 4 2 2 12" xfId="4760" xr:uid="{00000000-0005-0000-0000-000098120000}"/>
    <cellStyle name="AggOrange 4 2 2 13" xfId="4761" xr:uid="{00000000-0005-0000-0000-000099120000}"/>
    <cellStyle name="AggOrange 4 2 2 14" xfId="4762" xr:uid="{00000000-0005-0000-0000-00009A120000}"/>
    <cellStyle name="AggOrange 4 2 2 15" xfId="4763" xr:uid="{00000000-0005-0000-0000-00009B120000}"/>
    <cellStyle name="AggOrange 4 2 2 16" xfId="4764" xr:uid="{00000000-0005-0000-0000-00009C120000}"/>
    <cellStyle name="AggOrange 4 2 2 17" xfId="4765" xr:uid="{00000000-0005-0000-0000-00009D120000}"/>
    <cellStyle name="AggOrange 4 2 2 18" xfId="4766" xr:uid="{00000000-0005-0000-0000-00009E120000}"/>
    <cellStyle name="AggOrange 4 2 2 19" xfId="4767" xr:uid="{00000000-0005-0000-0000-00009F120000}"/>
    <cellStyle name="AggOrange 4 2 2 2" xfId="4768" xr:uid="{00000000-0005-0000-0000-0000A0120000}"/>
    <cellStyle name="AggOrange 4 2 2 20" xfId="4769" xr:uid="{00000000-0005-0000-0000-0000A1120000}"/>
    <cellStyle name="AggOrange 4 2 2 21" xfId="4770" xr:uid="{00000000-0005-0000-0000-0000A2120000}"/>
    <cellStyle name="AggOrange 4 2 2 22" xfId="4771" xr:uid="{00000000-0005-0000-0000-0000A3120000}"/>
    <cellStyle name="AggOrange 4 2 2 23" xfId="4772" xr:uid="{00000000-0005-0000-0000-0000A4120000}"/>
    <cellStyle name="AggOrange 4 2 2 24" xfId="4773" xr:uid="{00000000-0005-0000-0000-0000A5120000}"/>
    <cellStyle name="AggOrange 4 2 2 25" xfId="4774" xr:uid="{00000000-0005-0000-0000-0000A6120000}"/>
    <cellStyle name="AggOrange 4 2 2 26" xfId="4775" xr:uid="{00000000-0005-0000-0000-0000A7120000}"/>
    <cellStyle name="AggOrange 4 2 2 27" xfId="4776" xr:uid="{00000000-0005-0000-0000-0000A8120000}"/>
    <cellStyle name="AggOrange 4 2 2 28" xfId="4777" xr:uid="{00000000-0005-0000-0000-0000A9120000}"/>
    <cellStyle name="AggOrange 4 2 2 29" xfId="4778" xr:uid="{00000000-0005-0000-0000-0000AA120000}"/>
    <cellStyle name="AggOrange 4 2 2 3" xfId="4779" xr:uid="{00000000-0005-0000-0000-0000AB120000}"/>
    <cellStyle name="AggOrange 4 2 2 30" xfId="4780" xr:uid="{00000000-0005-0000-0000-0000AC120000}"/>
    <cellStyle name="AggOrange 4 2 2 31" xfId="4781" xr:uid="{00000000-0005-0000-0000-0000AD120000}"/>
    <cellStyle name="AggOrange 4 2 2 32" xfId="4782" xr:uid="{00000000-0005-0000-0000-0000AE120000}"/>
    <cellStyle name="AggOrange 4 2 2 33" xfId="4783" xr:uid="{00000000-0005-0000-0000-0000AF120000}"/>
    <cellStyle name="AggOrange 4 2 2 34" xfId="4784" xr:uid="{00000000-0005-0000-0000-0000B0120000}"/>
    <cellStyle name="AggOrange 4 2 2 35" xfId="4785" xr:uid="{00000000-0005-0000-0000-0000B1120000}"/>
    <cellStyle name="AggOrange 4 2 2 36" xfId="4786" xr:uid="{00000000-0005-0000-0000-0000B2120000}"/>
    <cellStyle name="AggOrange 4 2 2 37" xfId="4787" xr:uid="{00000000-0005-0000-0000-0000B3120000}"/>
    <cellStyle name="AggOrange 4 2 2 38" xfId="4788" xr:uid="{00000000-0005-0000-0000-0000B4120000}"/>
    <cellStyle name="AggOrange 4 2 2 39" xfId="4789" xr:uid="{00000000-0005-0000-0000-0000B5120000}"/>
    <cellStyle name="AggOrange 4 2 2 4" xfId="4790" xr:uid="{00000000-0005-0000-0000-0000B6120000}"/>
    <cellStyle name="AggOrange 4 2 2 40" xfId="4791" xr:uid="{00000000-0005-0000-0000-0000B7120000}"/>
    <cellStyle name="AggOrange 4 2 2 41" xfId="4792" xr:uid="{00000000-0005-0000-0000-0000B8120000}"/>
    <cellStyle name="AggOrange 4 2 2 42" xfId="4793" xr:uid="{00000000-0005-0000-0000-0000B9120000}"/>
    <cellStyle name="AggOrange 4 2 2 43" xfId="4794" xr:uid="{00000000-0005-0000-0000-0000BA120000}"/>
    <cellStyle name="AggOrange 4 2 2 44" xfId="4795" xr:uid="{00000000-0005-0000-0000-0000BB120000}"/>
    <cellStyle name="AggOrange 4 2 2 45" xfId="4796" xr:uid="{00000000-0005-0000-0000-0000BC120000}"/>
    <cellStyle name="AggOrange 4 2 2 46" xfId="4797" xr:uid="{00000000-0005-0000-0000-0000BD120000}"/>
    <cellStyle name="AggOrange 4 2 2 47" xfId="4798" xr:uid="{00000000-0005-0000-0000-0000BE120000}"/>
    <cellStyle name="AggOrange 4 2 2 48" xfId="4799" xr:uid="{00000000-0005-0000-0000-0000BF120000}"/>
    <cellStyle name="AggOrange 4 2 2 49" xfId="4800" xr:uid="{00000000-0005-0000-0000-0000C0120000}"/>
    <cellStyle name="AggOrange 4 2 2 5" xfId="4801" xr:uid="{00000000-0005-0000-0000-0000C1120000}"/>
    <cellStyle name="AggOrange 4 2 2 50" xfId="4802" xr:uid="{00000000-0005-0000-0000-0000C2120000}"/>
    <cellStyle name="AggOrange 4 2 2 51" xfId="4803" xr:uid="{00000000-0005-0000-0000-0000C3120000}"/>
    <cellStyle name="AggOrange 4 2 2 52" xfId="4804" xr:uid="{00000000-0005-0000-0000-0000C4120000}"/>
    <cellStyle name="AggOrange 4 2 2 53" xfId="4805" xr:uid="{00000000-0005-0000-0000-0000C5120000}"/>
    <cellStyle name="AggOrange 4 2 2 54" xfId="4806" xr:uid="{00000000-0005-0000-0000-0000C6120000}"/>
    <cellStyle name="AggOrange 4 2 2 55" xfId="4807" xr:uid="{00000000-0005-0000-0000-0000C7120000}"/>
    <cellStyle name="AggOrange 4 2 2 56" xfId="4808" xr:uid="{00000000-0005-0000-0000-0000C8120000}"/>
    <cellStyle name="AggOrange 4 2 2 57" xfId="4809" xr:uid="{00000000-0005-0000-0000-0000C9120000}"/>
    <cellStyle name="AggOrange 4 2 2 58" xfId="4810" xr:uid="{00000000-0005-0000-0000-0000CA120000}"/>
    <cellStyle name="AggOrange 4 2 2 59" xfId="4811" xr:uid="{00000000-0005-0000-0000-0000CB120000}"/>
    <cellStyle name="AggOrange 4 2 2 6" xfId="4812" xr:uid="{00000000-0005-0000-0000-0000CC120000}"/>
    <cellStyle name="AggOrange 4 2 2 60" xfId="4813" xr:uid="{00000000-0005-0000-0000-0000CD120000}"/>
    <cellStyle name="AggOrange 4 2 2 61" xfId="4814" xr:uid="{00000000-0005-0000-0000-0000CE120000}"/>
    <cellStyle name="AggOrange 4 2 2 62" xfId="4815" xr:uid="{00000000-0005-0000-0000-0000CF120000}"/>
    <cellStyle name="AggOrange 4 2 2 63" xfId="4816" xr:uid="{00000000-0005-0000-0000-0000D0120000}"/>
    <cellStyle name="AggOrange 4 2 2 64" xfId="4817" xr:uid="{00000000-0005-0000-0000-0000D1120000}"/>
    <cellStyle name="AggOrange 4 2 2 65" xfId="4818" xr:uid="{00000000-0005-0000-0000-0000D2120000}"/>
    <cellStyle name="AggOrange 4 2 2 7" xfId="4819" xr:uid="{00000000-0005-0000-0000-0000D3120000}"/>
    <cellStyle name="AggOrange 4 2 2 8" xfId="4820" xr:uid="{00000000-0005-0000-0000-0000D4120000}"/>
    <cellStyle name="AggOrange 4 2 2 9" xfId="4821" xr:uid="{00000000-0005-0000-0000-0000D5120000}"/>
    <cellStyle name="AggOrange 4 2 20" xfId="4822" xr:uid="{00000000-0005-0000-0000-0000D6120000}"/>
    <cellStyle name="AggOrange 4 2 21" xfId="4823" xr:uid="{00000000-0005-0000-0000-0000D7120000}"/>
    <cellStyle name="AggOrange 4 2 22" xfId="4824" xr:uid="{00000000-0005-0000-0000-0000D8120000}"/>
    <cellStyle name="AggOrange 4 2 23" xfId="4825" xr:uid="{00000000-0005-0000-0000-0000D9120000}"/>
    <cellStyle name="AggOrange 4 2 24" xfId="4826" xr:uid="{00000000-0005-0000-0000-0000DA120000}"/>
    <cellStyle name="AggOrange 4 2 25" xfId="4827" xr:uid="{00000000-0005-0000-0000-0000DB120000}"/>
    <cellStyle name="AggOrange 4 2 26" xfId="4828" xr:uid="{00000000-0005-0000-0000-0000DC120000}"/>
    <cellStyle name="AggOrange 4 2 27" xfId="4829" xr:uid="{00000000-0005-0000-0000-0000DD120000}"/>
    <cellStyle name="AggOrange 4 2 28" xfId="4830" xr:uid="{00000000-0005-0000-0000-0000DE120000}"/>
    <cellStyle name="AggOrange 4 2 29" xfId="4831" xr:uid="{00000000-0005-0000-0000-0000DF120000}"/>
    <cellStyle name="AggOrange 4 2 3" xfId="4832" xr:uid="{00000000-0005-0000-0000-0000E0120000}"/>
    <cellStyle name="AggOrange 4 2 30" xfId="4833" xr:uid="{00000000-0005-0000-0000-0000E1120000}"/>
    <cellStyle name="AggOrange 4 2 31" xfId="4834" xr:uid="{00000000-0005-0000-0000-0000E2120000}"/>
    <cellStyle name="AggOrange 4 2 32" xfId="4835" xr:uid="{00000000-0005-0000-0000-0000E3120000}"/>
    <cellStyle name="AggOrange 4 2 33" xfId="4836" xr:uid="{00000000-0005-0000-0000-0000E4120000}"/>
    <cellStyle name="AggOrange 4 2 34" xfId="4837" xr:uid="{00000000-0005-0000-0000-0000E5120000}"/>
    <cellStyle name="AggOrange 4 2 35" xfId="4838" xr:uid="{00000000-0005-0000-0000-0000E6120000}"/>
    <cellStyle name="AggOrange 4 2 36" xfId="4839" xr:uid="{00000000-0005-0000-0000-0000E7120000}"/>
    <cellStyle name="AggOrange 4 2 37" xfId="4840" xr:uid="{00000000-0005-0000-0000-0000E8120000}"/>
    <cellStyle name="AggOrange 4 2 38" xfId="4841" xr:uid="{00000000-0005-0000-0000-0000E9120000}"/>
    <cellStyle name="AggOrange 4 2 39" xfId="4842" xr:uid="{00000000-0005-0000-0000-0000EA120000}"/>
    <cellStyle name="AggOrange 4 2 4" xfId="4843" xr:uid="{00000000-0005-0000-0000-0000EB120000}"/>
    <cellStyle name="AggOrange 4 2 40" xfId="4844" xr:uid="{00000000-0005-0000-0000-0000EC120000}"/>
    <cellStyle name="AggOrange 4 2 41" xfId="4845" xr:uid="{00000000-0005-0000-0000-0000ED120000}"/>
    <cellStyle name="AggOrange 4 2 42" xfId="4846" xr:uid="{00000000-0005-0000-0000-0000EE120000}"/>
    <cellStyle name="AggOrange 4 2 43" xfId="4847" xr:uid="{00000000-0005-0000-0000-0000EF120000}"/>
    <cellStyle name="AggOrange 4 2 44" xfId="4848" xr:uid="{00000000-0005-0000-0000-0000F0120000}"/>
    <cellStyle name="AggOrange 4 2 45" xfId="4849" xr:uid="{00000000-0005-0000-0000-0000F1120000}"/>
    <cellStyle name="AggOrange 4 2 46" xfId="4850" xr:uid="{00000000-0005-0000-0000-0000F2120000}"/>
    <cellStyle name="AggOrange 4 2 47" xfId="4851" xr:uid="{00000000-0005-0000-0000-0000F3120000}"/>
    <cellStyle name="AggOrange 4 2 48" xfId="4852" xr:uid="{00000000-0005-0000-0000-0000F4120000}"/>
    <cellStyle name="AggOrange 4 2 49" xfId="4853" xr:uid="{00000000-0005-0000-0000-0000F5120000}"/>
    <cellStyle name="AggOrange 4 2 5" xfId="4854" xr:uid="{00000000-0005-0000-0000-0000F6120000}"/>
    <cellStyle name="AggOrange 4 2 50" xfId="4855" xr:uid="{00000000-0005-0000-0000-0000F7120000}"/>
    <cellStyle name="AggOrange 4 2 51" xfId="4856" xr:uid="{00000000-0005-0000-0000-0000F8120000}"/>
    <cellStyle name="AggOrange 4 2 52" xfId="4857" xr:uid="{00000000-0005-0000-0000-0000F9120000}"/>
    <cellStyle name="AggOrange 4 2 53" xfId="4858" xr:uid="{00000000-0005-0000-0000-0000FA120000}"/>
    <cellStyle name="AggOrange 4 2 54" xfId="4859" xr:uid="{00000000-0005-0000-0000-0000FB120000}"/>
    <cellStyle name="AggOrange 4 2 55" xfId="4860" xr:uid="{00000000-0005-0000-0000-0000FC120000}"/>
    <cellStyle name="AggOrange 4 2 56" xfId="4861" xr:uid="{00000000-0005-0000-0000-0000FD120000}"/>
    <cellStyle name="AggOrange 4 2 57" xfId="4862" xr:uid="{00000000-0005-0000-0000-0000FE120000}"/>
    <cellStyle name="AggOrange 4 2 58" xfId="4863" xr:uid="{00000000-0005-0000-0000-0000FF120000}"/>
    <cellStyle name="AggOrange 4 2 59" xfId="4864" xr:uid="{00000000-0005-0000-0000-000000130000}"/>
    <cellStyle name="AggOrange 4 2 6" xfId="4865" xr:uid="{00000000-0005-0000-0000-000001130000}"/>
    <cellStyle name="AggOrange 4 2 60" xfId="4866" xr:uid="{00000000-0005-0000-0000-000002130000}"/>
    <cellStyle name="AggOrange 4 2 61" xfId="4867" xr:uid="{00000000-0005-0000-0000-000003130000}"/>
    <cellStyle name="AggOrange 4 2 62" xfId="4868" xr:uid="{00000000-0005-0000-0000-000004130000}"/>
    <cellStyle name="AggOrange 4 2 63" xfId="4869" xr:uid="{00000000-0005-0000-0000-000005130000}"/>
    <cellStyle name="AggOrange 4 2 64" xfId="4870" xr:uid="{00000000-0005-0000-0000-000006130000}"/>
    <cellStyle name="AggOrange 4 2 65" xfId="4871" xr:uid="{00000000-0005-0000-0000-000007130000}"/>
    <cellStyle name="AggOrange 4 2 66" xfId="4872" xr:uid="{00000000-0005-0000-0000-000008130000}"/>
    <cellStyle name="AggOrange 4 2 7" xfId="4873" xr:uid="{00000000-0005-0000-0000-000009130000}"/>
    <cellStyle name="AggOrange 4 2 8" xfId="4874" xr:uid="{00000000-0005-0000-0000-00000A130000}"/>
    <cellStyle name="AggOrange 4 2 9" xfId="4875" xr:uid="{00000000-0005-0000-0000-00000B130000}"/>
    <cellStyle name="AggOrange 4 20" xfId="4876" xr:uid="{00000000-0005-0000-0000-00000C130000}"/>
    <cellStyle name="AggOrange 4 21" xfId="4877" xr:uid="{00000000-0005-0000-0000-00000D130000}"/>
    <cellStyle name="AggOrange 4 22" xfId="4878" xr:uid="{00000000-0005-0000-0000-00000E130000}"/>
    <cellStyle name="AggOrange 4 23" xfId="4879" xr:uid="{00000000-0005-0000-0000-00000F130000}"/>
    <cellStyle name="AggOrange 4 24" xfId="4880" xr:uid="{00000000-0005-0000-0000-000010130000}"/>
    <cellStyle name="AggOrange 4 25" xfId="4881" xr:uid="{00000000-0005-0000-0000-000011130000}"/>
    <cellStyle name="AggOrange 4 26" xfId="4882" xr:uid="{00000000-0005-0000-0000-000012130000}"/>
    <cellStyle name="AggOrange 4 27" xfId="4883" xr:uid="{00000000-0005-0000-0000-000013130000}"/>
    <cellStyle name="AggOrange 4 28" xfId="4884" xr:uid="{00000000-0005-0000-0000-000014130000}"/>
    <cellStyle name="AggOrange 4 29" xfId="4885" xr:uid="{00000000-0005-0000-0000-000015130000}"/>
    <cellStyle name="AggOrange 4 3" xfId="4886" xr:uid="{00000000-0005-0000-0000-000016130000}"/>
    <cellStyle name="AggOrange 4 3 10" xfId="4887" xr:uid="{00000000-0005-0000-0000-000017130000}"/>
    <cellStyle name="AggOrange 4 3 11" xfId="4888" xr:uid="{00000000-0005-0000-0000-000018130000}"/>
    <cellStyle name="AggOrange 4 3 12" xfId="4889" xr:uid="{00000000-0005-0000-0000-000019130000}"/>
    <cellStyle name="AggOrange 4 3 13" xfId="4890" xr:uid="{00000000-0005-0000-0000-00001A130000}"/>
    <cellStyle name="AggOrange 4 3 14" xfId="4891" xr:uid="{00000000-0005-0000-0000-00001B130000}"/>
    <cellStyle name="AggOrange 4 3 15" xfId="4892" xr:uid="{00000000-0005-0000-0000-00001C130000}"/>
    <cellStyle name="AggOrange 4 3 16" xfId="4893" xr:uid="{00000000-0005-0000-0000-00001D130000}"/>
    <cellStyle name="AggOrange 4 3 17" xfId="4894" xr:uid="{00000000-0005-0000-0000-00001E130000}"/>
    <cellStyle name="AggOrange 4 3 18" xfId="4895" xr:uid="{00000000-0005-0000-0000-00001F130000}"/>
    <cellStyle name="AggOrange 4 3 19" xfId="4896" xr:uid="{00000000-0005-0000-0000-000020130000}"/>
    <cellStyle name="AggOrange 4 3 2" xfId="4897" xr:uid="{00000000-0005-0000-0000-000021130000}"/>
    <cellStyle name="AggOrange 4 3 2 10" xfId="4898" xr:uid="{00000000-0005-0000-0000-000022130000}"/>
    <cellStyle name="AggOrange 4 3 2 11" xfId="4899" xr:uid="{00000000-0005-0000-0000-000023130000}"/>
    <cellStyle name="AggOrange 4 3 2 12" xfId="4900" xr:uid="{00000000-0005-0000-0000-000024130000}"/>
    <cellStyle name="AggOrange 4 3 2 13" xfId="4901" xr:uid="{00000000-0005-0000-0000-000025130000}"/>
    <cellStyle name="AggOrange 4 3 2 14" xfId="4902" xr:uid="{00000000-0005-0000-0000-000026130000}"/>
    <cellStyle name="AggOrange 4 3 2 15" xfId="4903" xr:uid="{00000000-0005-0000-0000-000027130000}"/>
    <cellStyle name="AggOrange 4 3 2 16" xfId="4904" xr:uid="{00000000-0005-0000-0000-000028130000}"/>
    <cellStyle name="AggOrange 4 3 2 17" xfId="4905" xr:uid="{00000000-0005-0000-0000-000029130000}"/>
    <cellStyle name="AggOrange 4 3 2 18" xfId="4906" xr:uid="{00000000-0005-0000-0000-00002A130000}"/>
    <cellStyle name="AggOrange 4 3 2 19" xfId="4907" xr:uid="{00000000-0005-0000-0000-00002B130000}"/>
    <cellStyle name="AggOrange 4 3 2 2" xfId="4908" xr:uid="{00000000-0005-0000-0000-00002C130000}"/>
    <cellStyle name="AggOrange 4 3 2 20" xfId="4909" xr:uid="{00000000-0005-0000-0000-00002D130000}"/>
    <cellStyle name="AggOrange 4 3 2 21" xfId="4910" xr:uid="{00000000-0005-0000-0000-00002E130000}"/>
    <cellStyle name="AggOrange 4 3 2 22" xfId="4911" xr:uid="{00000000-0005-0000-0000-00002F130000}"/>
    <cellStyle name="AggOrange 4 3 2 23" xfId="4912" xr:uid="{00000000-0005-0000-0000-000030130000}"/>
    <cellStyle name="AggOrange 4 3 2 24" xfId="4913" xr:uid="{00000000-0005-0000-0000-000031130000}"/>
    <cellStyle name="AggOrange 4 3 2 25" xfId="4914" xr:uid="{00000000-0005-0000-0000-000032130000}"/>
    <cellStyle name="AggOrange 4 3 2 26" xfId="4915" xr:uid="{00000000-0005-0000-0000-000033130000}"/>
    <cellStyle name="AggOrange 4 3 2 27" xfId="4916" xr:uid="{00000000-0005-0000-0000-000034130000}"/>
    <cellStyle name="AggOrange 4 3 2 28" xfId="4917" xr:uid="{00000000-0005-0000-0000-000035130000}"/>
    <cellStyle name="AggOrange 4 3 2 29" xfId="4918" xr:uid="{00000000-0005-0000-0000-000036130000}"/>
    <cellStyle name="AggOrange 4 3 2 3" xfId="4919" xr:uid="{00000000-0005-0000-0000-000037130000}"/>
    <cellStyle name="AggOrange 4 3 2 30" xfId="4920" xr:uid="{00000000-0005-0000-0000-000038130000}"/>
    <cellStyle name="AggOrange 4 3 2 31" xfId="4921" xr:uid="{00000000-0005-0000-0000-000039130000}"/>
    <cellStyle name="AggOrange 4 3 2 32" xfId="4922" xr:uid="{00000000-0005-0000-0000-00003A130000}"/>
    <cellStyle name="AggOrange 4 3 2 33" xfId="4923" xr:uid="{00000000-0005-0000-0000-00003B130000}"/>
    <cellStyle name="AggOrange 4 3 2 34" xfId="4924" xr:uid="{00000000-0005-0000-0000-00003C130000}"/>
    <cellStyle name="AggOrange 4 3 2 35" xfId="4925" xr:uid="{00000000-0005-0000-0000-00003D130000}"/>
    <cellStyle name="AggOrange 4 3 2 36" xfId="4926" xr:uid="{00000000-0005-0000-0000-00003E130000}"/>
    <cellStyle name="AggOrange 4 3 2 37" xfId="4927" xr:uid="{00000000-0005-0000-0000-00003F130000}"/>
    <cellStyle name="AggOrange 4 3 2 38" xfId="4928" xr:uid="{00000000-0005-0000-0000-000040130000}"/>
    <cellStyle name="AggOrange 4 3 2 39" xfId="4929" xr:uid="{00000000-0005-0000-0000-000041130000}"/>
    <cellStyle name="AggOrange 4 3 2 4" xfId="4930" xr:uid="{00000000-0005-0000-0000-000042130000}"/>
    <cellStyle name="AggOrange 4 3 2 40" xfId="4931" xr:uid="{00000000-0005-0000-0000-000043130000}"/>
    <cellStyle name="AggOrange 4 3 2 41" xfId="4932" xr:uid="{00000000-0005-0000-0000-000044130000}"/>
    <cellStyle name="AggOrange 4 3 2 42" xfId="4933" xr:uid="{00000000-0005-0000-0000-000045130000}"/>
    <cellStyle name="AggOrange 4 3 2 43" xfId="4934" xr:uid="{00000000-0005-0000-0000-000046130000}"/>
    <cellStyle name="AggOrange 4 3 2 44" xfId="4935" xr:uid="{00000000-0005-0000-0000-000047130000}"/>
    <cellStyle name="AggOrange 4 3 2 45" xfId="4936" xr:uid="{00000000-0005-0000-0000-000048130000}"/>
    <cellStyle name="AggOrange 4 3 2 46" xfId="4937" xr:uid="{00000000-0005-0000-0000-000049130000}"/>
    <cellStyle name="AggOrange 4 3 2 47" xfId="4938" xr:uid="{00000000-0005-0000-0000-00004A130000}"/>
    <cellStyle name="AggOrange 4 3 2 48" xfId="4939" xr:uid="{00000000-0005-0000-0000-00004B130000}"/>
    <cellStyle name="AggOrange 4 3 2 49" xfId="4940" xr:uid="{00000000-0005-0000-0000-00004C130000}"/>
    <cellStyle name="AggOrange 4 3 2 5" xfId="4941" xr:uid="{00000000-0005-0000-0000-00004D130000}"/>
    <cellStyle name="AggOrange 4 3 2 50" xfId="4942" xr:uid="{00000000-0005-0000-0000-00004E130000}"/>
    <cellStyle name="AggOrange 4 3 2 51" xfId="4943" xr:uid="{00000000-0005-0000-0000-00004F130000}"/>
    <cellStyle name="AggOrange 4 3 2 52" xfId="4944" xr:uid="{00000000-0005-0000-0000-000050130000}"/>
    <cellStyle name="AggOrange 4 3 2 53" xfId="4945" xr:uid="{00000000-0005-0000-0000-000051130000}"/>
    <cellStyle name="AggOrange 4 3 2 54" xfId="4946" xr:uid="{00000000-0005-0000-0000-000052130000}"/>
    <cellStyle name="AggOrange 4 3 2 55" xfId="4947" xr:uid="{00000000-0005-0000-0000-000053130000}"/>
    <cellStyle name="AggOrange 4 3 2 56" xfId="4948" xr:uid="{00000000-0005-0000-0000-000054130000}"/>
    <cellStyle name="AggOrange 4 3 2 57" xfId="4949" xr:uid="{00000000-0005-0000-0000-000055130000}"/>
    <cellStyle name="AggOrange 4 3 2 58" xfId="4950" xr:uid="{00000000-0005-0000-0000-000056130000}"/>
    <cellStyle name="AggOrange 4 3 2 59" xfId="4951" xr:uid="{00000000-0005-0000-0000-000057130000}"/>
    <cellStyle name="AggOrange 4 3 2 6" xfId="4952" xr:uid="{00000000-0005-0000-0000-000058130000}"/>
    <cellStyle name="AggOrange 4 3 2 60" xfId="4953" xr:uid="{00000000-0005-0000-0000-000059130000}"/>
    <cellStyle name="AggOrange 4 3 2 61" xfId="4954" xr:uid="{00000000-0005-0000-0000-00005A130000}"/>
    <cellStyle name="AggOrange 4 3 2 62" xfId="4955" xr:uid="{00000000-0005-0000-0000-00005B130000}"/>
    <cellStyle name="AggOrange 4 3 2 63" xfId="4956" xr:uid="{00000000-0005-0000-0000-00005C130000}"/>
    <cellStyle name="AggOrange 4 3 2 64" xfId="4957" xr:uid="{00000000-0005-0000-0000-00005D130000}"/>
    <cellStyle name="AggOrange 4 3 2 65" xfId="4958" xr:uid="{00000000-0005-0000-0000-00005E130000}"/>
    <cellStyle name="AggOrange 4 3 2 7" xfId="4959" xr:uid="{00000000-0005-0000-0000-00005F130000}"/>
    <cellStyle name="AggOrange 4 3 2 8" xfId="4960" xr:uid="{00000000-0005-0000-0000-000060130000}"/>
    <cellStyle name="AggOrange 4 3 2 9" xfId="4961" xr:uid="{00000000-0005-0000-0000-000061130000}"/>
    <cellStyle name="AggOrange 4 3 20" xfId="4962" xr:uid="{00000000-0005-0000-0000-000062130000}"/>
    <cellStyle name="AggOrange 4 3 21" xfId="4963" xr:uid="{00000000-0005-0000-0000-000063130000}"/>
    <cellStyle name="AggOrange 4 3 22" xfId="4964" xr:uid="{00000000-0005-0000-0000-000064130000}"/>
    <cellStyle name="AggOrange 4 3 23" xfId="4965" xr:uid="{00000000-0005-0000-0000-000065130000}"/>
    <cellStyle name="AggOrange 4 3 24" xfId="4966" xr:uid="{00000000-0005-0000-0000-000066130000}"/>
    <cellStyle name="AggOrange 4 3 25" xfId="4967" xr:uid="{00000000-0005-0000-0000-000067130000}"/>
    <cellStyle name="AggOrange 4 3 26" xfId="4968" xr:uid="{00000000-0005-0000-0000-000068130000}"/>
    <cellStyle name="AggOrange 4 3 27" xfId="4969" xr:uid="{00000000-0005-0000-0000-000069130000}"/>
    <cellStyle name="AggOrange 4 3 28" xfId="4970" xr:uid="{00000000-0005-0000-0000-00006A130000}"/>
    <cellStyle name="AggOrange 4 3 29" xfId="4971" xr:uid="{00000000-0005-0000-0000-00006B130000}"/>
    <cellStyle name="AggOrange 4 3 3" xfId="4972" xr:uid="{00000000-0005-0000-0000-00006C130000}"/>
    <cellStyle name="AggOrange 4 3 30" xfId="4973" xr:uid="{00000000-0005-0000-0000-00006D130000}"/>
    <cellStyle name="AggOrange 4 3 31" xfId="4974" xr:uid="{00000000-0005-0000-0000-00006E130000}"/>
    <cellStyle name="AggOrange 4 3 32" xfId="4975" xr:uid="{00000000-0005-0000-0000-00006F130000}"/>
    <cellStyle name="AggOrange 4 3 33" xfId="4976" xr:uid="{00000000-0005-0000-0000-000070130000}"/>
    <cellStyle name="AggOrange 4 3 34" xfId="4977" xr:uid="{00000000-0005-0000-0000-000071130000}"/>
    <cellStyle name="AggOrange 4 3 35" xfId="4978" xr:uid="{00000000-0005-0000-0000-000072130000}"/>
    <cellStyle name="AggOrange 4 3 36" xfId="4979" xr:uid="{00000000-0005-0000-0000-000073130000}"/>
    <cellStyle name="AggOrange 4 3 37" xfId="4980" xr:uid="{00000000-0005-0000-0000-000074130000}"/>
    <cellStyle name="AggOrange 4 3 38" xfId="4981" xr:uid="{00000000-0005-0000-0000-000075130000}"/>
    <cellStyle name="AggOrange 4 3 39" xfId="4982" xr:uid="{00000000-0005-0000-0000-000076130000}"/>
    <cellStyle name="AggOrange 4 3 4" xfId="4983" xr:uid="{00000000-0005-0000-0000-000077130000}"/>
    <cellStyle name="AggOrange 4 3 40" xfId="4984" xr:uid="{00000000-0005-0000-0000-000078130000}"/>
    <cellStyle name="AggOrange 4 3 41" xfId="4985" xr:uid="{00000000-0005-0000-0000-000079130000}"/>
    <cellStyle name="AggOrange 4 3 42" xfId="4986" xr:uid="{00000000-0005-0000-0000-00007A130000}"/>
    <cellStyle name="AggOrange 4 3 43" xfId="4987" xr:uid="{00000000-0005-0000-0000-00007B130000}"/>
    <cellStyle name="AggOrange 4 3 44" xfId="4988" xr:uid="{00000000-0005-0000-0000-00007C130000}"/>
    <cellStyle name="AggOrange 4 3 45" xfId="4989" xr:uid="{00000000-0005-0000-0000-00007D130000}"/>
    <cellStyle name="AggOrange 4 3 46" xfId="4990" xr:uid="{00000000-0005-0000-0000-00007E130000}"/>
    <cellStyle name="AggOrange 4 3 47" xfId="4991" xr:uid="{00000000-0005-0000-0000-00007F130000}"/>
    <cellStyle name="AggOrange 4 3 48" xfId="4992" xr:uid="{00000000-0005-0000-0000-000080130000}"/>
    <cellStyle name="AggOrange 4 3 49" xfId="4993" xr:uid="{00000000-0005-0000-0000-000081130000}"/>
    <cellStyle name="AggOrange 4 3 5" xfId="4994" xr:uid="{00000000-0005-0000-0000-000082130000}"/>
    <cellStyle name="AggOrange 4 3 50" xfId="4995" xr:uid="{00000000-0005-0000-0000-000083130000}"/>
    <cellStyle name="AggOrange 4 3 51" xfId="4996" xr:uid="{00000000-0005-0000-0000-000084130000}"/>
    <cellStyle name="AggOrange 4 3 52" xfId="4997" xr:uid="{00000000-0005-0000-0000-000085130000}"/>
    <cellStyle name="AggOrange 4 3 53" xfId="4998" xr:uid="{00000000-0005-0000-0000-000086130000}"/>
    <cellStyle name="AggOrange 4 3 54" xfId="4999" xr:uid="{00000000-0005-0000-0000-000087130000}"/>
    <cellStyle name="AggOrange 4 3 55" xfId="5000" xr:uid="{00000000-0005-0000-0000-000088130000}"/>
    <cellStyle name="AggOrange 4 3 56" xfId="5001" xr:uid="{00000000-0005-0000-0000-000089130000}"/>
    <cellStyle name="AggOrange 4 3 57" xfId="5002" xr:uid="{00000000-0005-0000-0000-00008A130000}"/>
    <cellStyle name="AggOrange 4 3 58" xfId="5003" xr:uid="{00000000-0005-0000-0000-00008B130000}"/>
    <cellStyle name="AggOrange 4 3 59" xfId="5004" xr:uid="{00000000-0005-0000-0000-00008C130000}"/>
    <cellStyle name="AggOrange 4 3 6" xfId="5005" xr:uid="{00000000-0005-0000-0000-00008D130000}"/>
    <cellStyle name="AggOrange 4 3 60" xfId="5006" xr:uid="{00000000-0005-0000-0000-00008E130000}"/>
    <cellStyle name="AggOrange 4 3 61" xfId="5007" xr:uid="{00000000-0005-0000-0000-00008F130000}"/>
    <cellStyle name="AggOrange 4 3 62" xfId="5008" xr:uid="{00000000-0005-0000-0000-000090130000}"/>
    <cellStyle name="AggOrange 4 3 63" xfId="5009" xr:uid="{00000000-0005-0000-0000-000091130000}"/>
    <cellStyle name="AggOrange 4 3 64" xfId="5010" xr:uid="{00000000-0005-0000-0000-000092130000}"/>
    <cellStyle name="AggOrange 4 3 65" xfId="5011" xr:uid="{00000000-0005-0000-0000-000093130000}"/>
    <cellStyle name="AggOrange 4 3 66" xfId="5012" xr:uid="{00000000-0005-0000-0000-000094130000}"/>
    <cellStyle name="AggOrange 4 3 7" xfId="5013" xr:uid="{00000000-0005-0000-0000-000095130000}"/>
    <cellStyle name="AggOrange 4 3 8" xfId="5014" xr:uid="{00000000-0005-0000-0000-000096130000}"/>
    <cellStyle name="AggOrange 4 3 9" xfId="5015" xr:uid="{00000000-0005-0000-0000-000097130000}"/>
    <cellStyle name="AggOrange 4 30" xfId="5016" xr:uid="{00000000-0005-0000-0000-000098130000}"/>
    <cellStyle name="AggOrange 4 31" xfId="5017" xr:uid="{00000000-0005-0000-0000-000099130000}"/>
    <cellStyle name="AggOrange 4 32" xfId="5018" xr:uid="{00000000-0005-0000-0000-00009A130000}"/>
    <cellStyle name="AggOrange 4 33" xfId="5019" xr:uid="{00000000-0005-0000-0000-00009B130000}"/>
    <cellStyle name="AggOrange 4 34" xfId="5020" xr:uid="{00000000-0005-0000-0000-00009C130000}"/>
    <cellStyle name="AggOrange 4 35" xfId="5021" xr:uid="{00000000-0005-0000-0000-00009D130000}"/>
    <cellStyle name="AggOrange 4 36" xfId="5022" xr:uid="{00000000-0005-0000-0000-00009E130000}"/>
    <cellStyle name="AggOrange 4 37" xfId="5023" xr:uid="{00000000-0005-0000-0000-00009F130000}"/>
    <cellStyle name="AggOrange 4 38" xfId="5024" xr:uid="{00000000-0005-0000-0000-0000A0130000}"/>
    <cellStyle name="AggOrange 4 39" xfId="5025" xr:uid="{00000000-0005-0000-0000-0000A1130000}"/>
    <cellStyle name="AggOrange 4 4" xfId="5026" xr:uid="{00000000-0005-0000-0000-0000A2130000}"/>
    <cellStyle name="AggOrange 4 4 10" xfId="5027" xr:uid="{00000000-0005-0000-0000-0000A3130000}"/>
    <cellStyle name="AggOrange 4 4 11" xfId="5028" xr:uid="{00000000-0005-0000-0000-0000A4130000}"/>
    <cellStyle name="AggOrange 4 4 12" xfId="5029" xr:uid="{00000000-0005-0000-0000-0000A5130000}"/>
    <cellStyle name="AggOrange 4 4 13" xfId="5030" xr:uid="{00000000-0005-0000-0000-0000A6130000}"/>
    <cellStyle name="AggOrange 4 4 14" xfId="5031" xr:uid="{00000000-0005-0000-0000-0000A7130000}"/>
    <cellStyle name="AggOrange 4 4 15" xfId="5032" xr:uid="{00000000-0005-0000-0000-0000A8130000}"/>
    <cellStyle name="AggOrange 4 4 16" xfId="5033" xr:uid="{00000000-0005-0000-0000-0000A9130000}"/>
    <cellStyle name="AggOrange 4 4 17" xfId="5034" xr:uid="{00000000-0005-0000-0000-0000AA130000}"/>
    <cellStyle name="AggOrange 4 4 18" xfId="5035" xr:uid="{00000000-0005-0000-0000-0000AB130000}"/>
    <cellStyle name="AggOrange 4 4 19" xfId="5036" xr:uid="{00000000-0005-0000-0000-0000AC130000}"/>
    <cellStyle name="AggOrange 4 4 2" xfId="5037" xr:uid="{00000000-0005-0000-0000-0000AD130000}"/>
    <cellStyle name="AggOrange 4 4 2 10" xfId="5038" xr:uid="{00000000-0005-0000-0000-0000AE130000}"/>
    <cellStyle name="AggOrange 4 4 2 11" xfId="5039" xr:uid="{00000000-0005-0000-0000-0000AF130000}"/>
    <cellStyle name="AggOrange 4 4 2 12" xfId="5040" xr:uid="{00000000-0005-0000-0000-0000B0130000}"/>
    <cellStyle name="AggOrange 4 4 2 13" xfId="5041" xr:uid="{00000000-0005-0000-0000-0000B1130000}"/>
    <cellStyle name="AggOrange 4 4 2 14" xfId="5042" xr:uid="{00000000-0005-0000-0000-0000B2130000}"/>
    <cellStyle name="AggOrange 4 4 2 15" xfId="5043" xr:uid="{00000000-0005-0000-0000-0000B3130000}"/>
    <cellStyle name="AggOrange 4 4 2 16" xfId="5044" xr:uid="{00000000-0005-0000-0000-0000B4130000}"/>
    <cellStyle name="AggOrange 4 4 2 17" xfId="5045" xr:uid="{00000000-0005-0000-0000-0000B5130000}"/>
    <cellStyle name="AggOrange 4 4 2 18" xfId="5046" xr:uid="{00000000-0005-0000-0000-0000B6130000}"/>
    <cellStyle name="AggOrange 4 4 2 19" xfId="5047" xr:uid="{00000000-0005-0000-0000-0000B7130000}"/>
    <cellStyle name="AggOrange 4 4 2 2" xfId="5048" xr:uid="{00000000-0005-0000-0000-0000B8130000}"/>
    <cellStyle name="AggOrange 4 4 2 20" xfId="5049" xr:uid="{00000000-0005-0000-0000-0000B9130000}"/>
    <cellStyle name="AggOrange 4 4 2 21" xfId="5050" xr:uid="{00000000-0005-0000-0000-0000BA130000}"/>
    <cellStyle name="AggOrange 4 4 2 22" xfId="5051" xr:uid="{00000000-0005-0000-0000-0000BB130000}"/>
    <cellStyle name="AggOrange 4 4 2 23" xfId="5052" xr:uid="{00000000-0005-0000-0000-0000BC130000}"/>
    <cellStyle name="AggOrange 4 4 2 24" xfId="5053" xr:uid="{00000000-0005-0000-0000-0000BD130000}"/>
    <cellStyle name="AggOrange 4 4 2 25" xfId="5054" xr:uid="{00000000-0005-0000-0000-0000BE130000}"/>
    <cellStyle name="AggOrange 4 4 2 26" xfId="5055" xr:uid="{00000000-0005-0000-0000-0000BF130000}"/>
    <cellStyle name="AggOrange 4 4 2 27" xfId="5056" xr:uid="{00000000-0005-0000-0000-0000C0130000}"/>
    <cellStyle name="AggOrange 4 4 2 28" xfId="5057" xr:uid="{00000000-0005-0000-0000-0000C1130000}"/>
    <cellStyle name="AggOrange 4 4 2 29" xfId="5058" xr:uid="{00000000-0005-0000-0000-0000C2130000}"/>
    <cellStyle name="AggOrange 4 4 2 3" xfId="5059" xr:uid="{00000000-0005-0000-0000-0000C3130000}"/>
    <cellStyle name="AggOrange 4 4 2 30" xfId="5060" xr:uid="{00000000-0005-0000-0000-0000C4130000}"/>
    <cellStyle name="AggOrange 4 4 2 31" xfId="5061" xr:uid="{00000000-0005-0000-0000-0000C5130000}"/>
    <cellStyle name="AggOrange 4 4 2 32" xfId="5062" xr:uid="{00000000-0005-0000-0000-0000C6130000}"/>
    <cellStyle name="AggOrange 4 4 2 33" xfId="5063" xr:uid="{00000000-0005-0000-0000-0000C7130000}"/>
    <cellStyle name="AggOrange 4 4 2 34" xfId="5064" xr:uid="{00000000-0005-0000-0000-0000C8130000}"/>
    <cellStyle name="AggOrange 4 4 2 35" xfId="5065" xr:uid="{00000000-0005-0000-0000-0000C9130000}"/>
    <cellStyle name="AggOrange 4 4 2 36" xfId="5066" xr:uid="{00000000-0005-0000-0000-0000CA130000}"/>
    <cellStyle name="AggOrange 4 4 2 37" xfId="5067" xr:uid="{00000000-0005-0000-0000-0000CB130000}"/>
    <cellStyle name="AggOrange 4 4 2 38" xfId="5068" xr:uid="{00000000-0005-0000-0000-0000CC130000}"/>
    <cellStyle name="AggOrange 4 4 2 39" xfId="5069" xr:uid="{00000000-0005-0000-0000-0000CD130000}"/>
    <cellStyle name="AggOrange 4 4 2 4" xfId="5070" xr:uid="{00000000-0005-0000-0000-0000CE130000}"/>
    <cellStyle name="AggOrange 4 4 2 40" xfId="5071" xr:uid="{00000000-0005-0000-0000-0000CF130000}"/>
    <cellStyle name="AggOrange 4 4 2 41" xfId="5072" xr:uid="{00000000-0005-0000-0000-0000D0130000}"/>
    <cellStyle name="AggOrange 4 4 2 42" xfId="5073" xr:uid="{00000000-0005-0000-0000-0000D1130000}"/>
    <cellStyle name="AggOrange 4 4 2 43" xfId="5074" xr:uid="{00000000-0005-0000-0000-0000D2130000}"/>
    <cellStyle name="AggOrange 4 4 2 44" xfId="5075" xr:uid="{00000000-0005-0000-0000-0000D3130000}"/>
    <cellStyle name="AggOrange 4 4 2 45" xfId="5076" xr:uid="{00000000-0005-0000-0000-0000D4130000}"/>
    <cellStyle name="AggOrange 4 4 2 46" xfId="5077" xr:uid="{00000000-0005-0000-0000-0000D5130000}"/>
    <cellStyle name="AggOrange 4 4 2 47" xfId="5078" xr:uid="{00000000-0005-0000-0000-0000D6130000}"/>
    <cellStyle name="AggOrange 4 4 2 48" xfId="5079" xr:uid="{00000000-0005-0000-0000-0000D7130000}"/>
    <cellStyle name="AggOrange 4 4 2 49" xfId="5080" xr:uid="{00000000-0005-0000-0000-0000D8130000}"/>
    <cellStyle name="AggOrange 4 4 2 5" xfId="5081" xr:uid="{00000000-0005-0000-0000-0000D9130000}"/>
    <cellStyle name="AggOrange 4 4 2 50" xfId="5082" xr:uid="{00000000-0005-0000-0000-0000DA130000}"/>
    <cellStyle name="AggOrange 4 4 2 51" xfId="5083" xr:uid="{00000000-0005-0000-0000-0000DB130000}"/>
    <cellStyle name="AggOrange 4 4 2 52" xfId="5084" xr:uid="{00000000-0005-0000-0000-0000DC130000}"/>
    <cellStyle name="AggOrange 4 4 2 53" xfId="5085" xr:uid="{00000000-0005-0000-0000-0000DD130000}"/>
    <cellStyle name="AggOrange 4 4 2 54" xfId="5086" xr:uid="{00000000-0005-0000-0000-0000DE130000}"/>
    <cellStyle name="AggOrange 4 4 2 55" xfId="5087" xr:uid="{00000000-0005-0000-0000-0000DF130000}"/>
    <cellStyle name="AggOrange 4 4 2 56" xfId="5088" xr:uid="{00000000-0005-0000-0000-0000E0130000}"/>
    <cellStyle name="AggOrange 4 4 2 57" xfId="5089" xr:uid="{00000000-0005-0000-0000-0000E1130000}"/>
    <cellStyle name="AggOrange 4 4 2 58" xfId="5090" xr:uid="{00000000-0005-0000-0000-0000E2130000}"/>
    <cellStyle name="AggOrange 4 4 2 59" xfId="5091" xr:uid="{00000000-0005-0000-0000-0000E3130000}"/>
    <cellStyle name="AggOrange 4 4 2 6" xfId="5092" xr:uid="{00000000-0005-0000-0000-0000E4130000}"/>
    <cellStyle name="AggOrange 4 4 2 60" xfId="5093" xr:uid="{00000000-0005-0000-0000-0000E5130000}"/>
    <cellStyle name="AggOrange 4 4 2 61" xfId="5094" xr:uid="{00000000-0005-0000-0000-0000E6130000}"/>
    <cellStyle name="AggOrange 4 4 2 62" xfId="5095" xr:uid="{00000000-0005-0000-0000-0000E7130000}"/>
    <cellStyle name="AggOrange 4 4 2 63" xfId="5096" xr:uid="{00000000-0005-0000-0000-0000E8130000}"/>
    <cellStyle name="AggOrange 4 4 2 64" xfId="5097" xr:uid="{00000000-0005-0000-0000-0000E9130000}"/>
    <cellStyle name="AggOrange 4 4 2 65" xfId="5098" xr:uid="{00000000-0005-0000-0000-0000EA130000}"/>
    <cellStyle name="AggOrange 4 4 2 7" xfId="5099" xr:uid="{00000000-0005-0000-0000-0000EB130000}"/>
    <cellStyle name="AggOrange 4 4 2 8" xfId="5100" xr:uid="{00000000-0005-0000-0000-0000EC130000}"/>
    <cellStyle name="AggOrange 4 4 2 9" xfId="5101" xr:uid="{00000000-0005-0000-0000-0000ED130000}"/>
    <cellStyle name="AggOrange 4 4 20" xfId="5102" xr:uid="{00000000-0005-0000-0000-0000EE130000}"/>
    <cellStyle name="AggOrange 4 4 21" xfId="5103" xr:uid="{00000000-0005-0000-0000-0000EF130000}"/>
    <cellStyle name="AggOrange 4 4 22" xfId="5104" xr:uid="{00000000-0005-0000-0000-0000F0130000}"/>
    <cellStyle name="AggOrange 4 4 23" xfId="5105" xr:uid="{00000000-0005-0000-0000-0000F1130000}"/>
    <cellStyle name="AggOrange 4 4 24" xfId="5106" xr:uid="{00000000-0005-0000-0000-0000F2130000}"/>
    <cellStyle name="AggOrange 4 4 25" xfId="5107" xr:uid="{00000000-0005-0000-0000-0000F3130000}"/>
    <cellStyle name="AggOrange 4 4 26" xfId="5108" xr:uid="{00000000-0005-0000-0000-0000F4130000}"/>
    <cellStyle name="AggOrange 4 4 27" xfId="5109" xr:uid="{00000000-0005-0000-0000-0000F5130000}"/>
    <cellStyle name="AggOrange 4 4 28" xfId="5110" xr:uid="{00000000-0005-0000-0000-0000F6130000}"/>
    <cellStyle name="AggOrange 4 4 29" xfId="5111" xr:uid="{00000000-0005-0000-0000-0000F7130000}"/>
    <cellStyle name="AggOrange 4 4 3" xfId="5112" xr:uid="{00000000-0005-0000-0000-0000F8130000}"/>
    <cellStyle name="AggOrange 4 4 30" xfId="5113" xr:uid="{00000000-0005-0000-0000-0000F9130000}"/>
    <cellStyle name="AggOrange 4 4 31" xfId="5114" xr:uid="{00000000-0005-0000-0000-0000FA130000}"/>
    <cellStyle name="AggOrange 4 4 32" xfId="5115" xr:uid="{00000000-0005-0000-0000-0000FB130000}"/>
    <cellStyle name="AggOrange 4 4 33" xfId="5116" xr:uid="{00000000-0005-0000-0000-0000FC130000}"/>
    <cellStyle name="AggOrange 4 4 34" xfId="5117" xr:uid="{00000000-0005-0000-0000-0000FD130000}"/>
    <cellStyle name="AggOrange 4 4 35" xfId="5118" xr:uid="{00000000-0005-0000-0000-0000FE130000}"/>
    <cellStyle name="AggOrange 4 4 36" xfId="5119" xr:uid="{00000000-0005-0000-0000-0000FF130000}"/>
    <cellStyle name="AggOrange 4 4 37" xfId="5120" xr:uid="{00000000-0005-0000-0000-000000140000}"/>
    <cellStyle name="AggOrange 4 4 38" xfId="5121" xr:uid="{00000000-0005-0000-0000-000001140000}"/>
    <cellStyle name="AggOrange 4 4 39" xfId="5122" xr:uid="{00000000-0005-0000-0000-000002140000}"/>
    <cellStyle name="AggOrange 4 4 4" xfId="5123" xr:uid="{00000000-0005-0000-0000-000003140000}"/>
    <cellStyle name="AggOrange 4 4 40" xfId="5124" xr:uid="{00000000-0005-0000-0000-000004140000}"/>
    <cellStyle name="AggOrange 4 4 41" xfId="5125" xr:uid="{00000000-0005-0000-0000-000005140000}"/>
    <cellStyle name="AggOrange 4 4 42" xfId="5126" xr:uid="{00000000-0005-0000-0000-000006140000}"/>
    <cellStyle name="AggOrange 4 4 43" xfId="5127" xr:uid="{00000000-0005-0000-0000-000007140000}"/>
    <cellStyle name="AggOrange 4 4 44" xfId="5128" xr:uid="{00000000-0005-0000-0000-000008140000}"/>
    <cellStyle name="AggOrange 4 4 45" xfId="5129" xr:uid="{00000000-0005-0000-0000-000009140000}"/>
    <cellStyle name="AggOrange 4 4 46" xfId="5130" xr:uid="{00000000-0005-0000-0000-00000A140000}"/>
    <cellStyle name="AggOrange 4 4 47" xfId="5131" xr:uid="{00000000-0005-0000-0000-00000B140000}"/>
    <cellStyle name="AggOrange 4 4 48" xfId="5132" xr:uid="{00000000-0005-0000-0000-00000C140000}"/>
    <cellStyle name="AggOrange 4 4 49" xfId="5133" xr:uid="{00000000-0005-0000-0000-00000D140000}"/>
    <cellStyle name="AggOrange 4 4 5" xfId="5134" xr:uid="{00000000-0005-0000-0000-00000E140000}"/>
    <cellStyle name="AggOrange 4 4 50" xfId="5135" xr:uid="{00000000-0005-0000-0000-00000F140000}"/>
    <cellStyle name="AggOrange 4 4 51" xfId="5136" xr:uid="{00000000-0005-0000-0000-000010140000}"/>
    <cellStyle name="AggOrange 4 4 52" xfId="5137" xr:uid="{00000000-0005-0000-0000-000011140000}"/>
    <cellStyle name="AggOrange 4 4 53" xfId="5138" xr:uid="{00000000-0005-0000-0000-000012140000}"/>
    <cellStyle name="AggOrange 4 4 54" xfId="5139" xr:uid="{00000000-0005-0000-0000-000013140000}"/>
    <cellStyle name="AggOrange 4 4 55" xfId="5140" xr:uid="{00000000-0005-0000-0000-000014140000}"/>
    <cellStyle name="AggOrange 4 4 56" xfId="5141" xr:uid="{00000000-0005-0000-0000-000015140000}"/>
    <cellStyle name="AggOrange 4 4 57" xfId="5142" xr:uid="{00000000-0005-0000-0000-000016140000}"/>
    <cellStyle name="AggOrange 4 4 58" xfId="5143" xr:uid="{00000000-0005-0000-0000-000017140000}"/>
    <cellStyle name="AggOrange 4 4 59" xfId="5144" xr:uid="{00000000-0005-0000-0000-000018140000}"/>
    <cellStyle name="AggOrange 4 4 6" xfId="5145" xr:uid="{00000000-0005-0000-0000-000019140000}"/>
    <cellStyle name="AggOrange 4 4 60" xfId="5146" xr:uid="{00000000-0005-0000-0000-00001A140000}"/>
    <cellStyle name="AggOrange 4 4 61" xfId="5147" xr:uid="{00000000-0005-0000-0000-00001B140000}"/>
    <cellStyle name="AggOrange 4 4 62" xfId="5148" xr:uid="{00000000-0005-0000-0000-00001C140000}"/>
    <cellStyle name="AggOrange 4 4 63" xfId="5149" xr:uid="{00000000-0005-0000-0000-00001D140000}"/>
    <cellStyle name="AggOrange 4 4 64" xfId="5150" xr:uid="{00000000-0005-0000-0000-00001E140000}"/>
    <cellStyle name="AggOrange 4 4 65" xfId="5151" xr:uid="{00000000-0005-0000-0000-00001F140000}"/>
    <cellStyle name="AggOrange 4 4 66" xfId="5152" xr:uid="{00000000-0005-0000-0000-000020140000}"/>
    <cellStyle name="AggOrange 4 4 7" xfId="5153" xr:uid="{00000000-0005-0000-0000-000021140000}"/>
    <cellStyle name="AggOrange 4 4 8" xfId="5154" xr:uid="{00000000-0005-0000-0000-000022140000}"/>
    <cellStyle name="AggOrange 4 4 9" xfId="5155" xr:uid="{00000000-0005-0000-0000-000023140000}"/>
    <cellStyle name="AggOrange 4 40" xfId="5156" xr:uid="{00000000-0005-0000-0000-000024140000}"/>
    <cellStyle name="AggOrange 4 41" xfId="5157" xr:uid="{00000000-0005-0000-0000-000025140000}"/>
    <cellStyle name="AggOrange 4 42" xfId="5158" xr:uid="{00000000-0005-0000-0000-000026140000}"/>
    <cellStyle name="AggOrange 4 43" xfId="5159" xr:uid="{00000000-0005-0000-0000-000027140000}"/>
    <cellStyle name="AggOrange 4 44" xfId="5160" xr:uid="{00000000-0005-0000-0000-000028140000}"/>
    <cellStyle name="AggOrange 4 45" xfId="5161" xr:uid="{00000000-0005-0000-0000-000029140000}"/>
    <cellStyle name="AggOrange 4 46" xfId="5162" xr:uid="{00000000-0005-0000-0000-00002A140000}"/>
    <cellStyle name="AggOrange 4 47" xfId="5163" xr:uid="{00000000-0005-0000-0000-00002B140000}"/>
    <cellStyle name="AggOrange 4 48" xfId="5164" xr:uid="{00000000-0005-0000-0000-00002C140000}"/>
    <cellStyle name="AggOrange 4 49" xfId="5165" xr:uid="{00000000-0005-0000-0000-00002D140000}"/>
    <cellStyle name="AggOrange 4 5" xfId="5166" xr:uid="{00000000-0005-0000-0000-00002E140000}"/>
    <cellStyle name="AggOrange 4 50" xfId="5167" xr:uid="{00000000-0005-0000-0000-00002F140000}"/>
    <cellStyle name="AggOrange 4 51" xfId="5168" xr:uid="{00000000-0005-0000-0000-000030140000}"/>
    <cellStyle name="AggOrange 4 52" xfId="5169" xr:uid="{00000000-0005-0000-0000-000031140000}"/>
    <cellStyle name="AggOrange 4 53" xfId="5170" xr:uid="{00000000-0005-0000-0000-000032140000}"/>
    <cellStyle name="AggOrange 4 54" xfId="5171" xr:uid="{00000000-0005-0000-0000-000033140000}"/>
    <cellStyle name="AggOrange 4 55" xfId="5172" xr:uid="{00000000-0005-0000-0000-000034140000}"/>
    <cellStyle name="AggOrange 4 56" xfId="5173" xr:uid="{00000000-0005-0000-0000-000035140000}"/>
    <cellStyle name="AggOrange 4 57" xfId="5174" xr:uid="{00000000-0005-0000-0000-000036140000}"/>
    <cellStyle name="AggOrange 4 58" xfId="5175" xr:uid="{00000000-0005-0000-0000-000037140000}"/>
    <cellStyle name="AggOrange 4 59" xfId="5176" xr:uid="{00000000-0005-0000-0000-000038140000}"/>
    <cellStyle name="AggOrange 4 6" xfId="5177" xr:uid="{00000000-0005-0000-0000-000039140000}"/>
    <cellStyle name="AggOrange 4 60" xfId="5178" xr:uid="{00000000-0005-0000-0000-00003A140000}"/>
    <cellStyle name="AggOrange 4 61" xfId="5179" xr:uid="{00000000-0005-0000-0000-00003B140000}"/>
    <cellStyle name="AggOrange 4 62" xfId="5180" xr:uid="{00000000-0005-0000-0000-00003C140000}"/>
    <cellStyle name="AggOrange 4 63" xfId="5181" xr:uid="{00000000-0005-0000-0000-00003D140000}"/>
    <cellStyle name="AggOrange 4 64" xfId="5182" xr:uid="{00000000-0005-0000-0000-00003E140000}"/>
    <cellStyle name="AggOrange 4 65" xfId="5183" xr:uid="{00000000-0005-0000-0000-00003F140000}"/>
    <cellStyle name="AggOrange 4 66" xfId="5184" xr:uid="{00000000-0005-0000-0000-000040140000}"/>
    <cellStyle name="AggOrange 4 67" xfId="5185" xr:uid="{00000000-0005-0000-0000-000041140000}"/>
    <cellStyle name="AggOrange 4 68" xfId="5186" xr:uid="{00000000-0005-0000-0000-000042140000}"/>
    <cellStyle name="AggOrange 4 7" xfId="5187" xr:uid="{00000000-0005-0000-0000-000043140000}"/>
    <cellStyle name="AggOrange 4 8" xfId="5188" xr:uid="{00000000-0005-0000-0000-000044140000}"/>
    <cellStyle name="AggOrange 4 9" xfId="5189" xr:uid="{00000000-0005-0000-0000-000045140000}"/>
    <cellStyle name="AggOrange 5" xfId="5190" xr:uid="{00000000-0005-0000-0000-000046140000}"/>
    <cellStyle name="AggOrange 5 10" xfId="5191" xr:uid="{00000000-0005-0000-0000-000047140000}"/>
    <cellStyle name="AggOrange 5 11" xfId="5192" xr:uid="{00000000-0005-0000-0000-000048140000}"/>
    <cellStyle name="AggOrange 5 12" xfId="5193" xr:uid="{00000000-0005-0000-0000-000049140000}"/>
    <cellStyle name="AggOrange 5 13" xfId="5194" xr:uid="{00000000-0005-0000-0000-00004A140000}"/>
    <cellStyle name="AggOrange 5 14" xfId="5195" xr:uid="{00000000-0005-0000-0000-00004B140000}"/>
    <cellStyle name="AggOrange 5 15" xfId="5196" xr:uid="{00000000-0005-0000-0000-00004C140000}"/>
    <cellStyle name="AggOrange 5 16" xfId="5197" xr:uid="{00000000-0005-0000-0000-00004D140000}"/>
    <cellStyle name="AggOrange 5 2" xfId="5198" xr:uid="{00000000-0005-0000-0000-00004E140000}"/>
    <cellStyle name="AggOrange 5 3" xfId="5199" xr:uid="{00000000-0005-0000-0000-00004F140000}"/>
    <cellStyle name="AggOrange 5 4" xfId="5200" xr:uid="{00000000-0005-0000-0000-000050140000}"/>
    <cellStyle name="AggOrange 5 5" xfId="5201" xr:uid="{00000000-0005-0000-0000-000051140000}"/>
    <cellStyle name="AggOrange 5 6" xfId="5202" xr:uid="{00000000-0005-0000-0000-000052140000}"/>
    <cellStyle name="AggOrange 5 7" xfId="5203" xr:uid="{00000000-0005-0000-0000-000053140000}"/>
    <cellStyle name="AggOrange 5 8" xfId="5204" xr:uid="{00000000-0005-0000-0000-000054140000}"/>
    <cellStyle name="AggOrange 5 9" xfId="5205" xr:uid="{00000000-0005-0000-0000-000055140000}"/>
    <cellStyle name="AggOrange_B_border" xfId="6526" xr:uid="{00000000-0005-0000-0000-00007E190000}"/>
    <cellStyle name="AggOrange9" xfId="5206" xr:uid="{00000000-0005-0000-0000-000056140000}"/>
    <cellStyle name="AggOrange9 2" xfId="5207" xr:uid="{00000000-0005-0000-0000-000057140000}"/>
    <cellStyle name="AggOrange9 2 2" xfId="5208" xr:uid="{00000000-0005-0000-0000-000058140000}"/>
    <cellStyle name="AggOrange9 2 2 2" xfId="5209" xr:uid="{00000000-0005-0000-0000-000059140000}"/>
    <cellStyle name="AggOrange9 2 2 2 10" xfId="5210" xr:uid="{00000000-0005-0000-0000-00005A140000}"/>
    <cellStyle name="AggOrange9 2 2 2 11" xfId="5211" xr:uid="{00000000-0005-0000-0000-00005B140000}"/>
    <cellStyle name="AggOrange9 2 2 2 12" xfId="5212" xr:uid="{00000000-0005-0000-0000-00005C140000}"/>
    <cellStyle name="AggOrange9 2 2 2 13" xfId="5213" xr:uid="{00000000-0005-0000-0000-00005D140000}"/>
    <cellStyle name="AggOrange9 2 2 2 14" xfId="5214" xr:uid="{00000000-0005-0000-0000-00005E140000}"/>
    <cellStyle name="AggOrange9 2 2 2 15" xfId="5215" xr:uid="{00000000-0005-0000-0000-00005F140000}"/>
    <cellStyle name="AggOrange9 2 2 2 16" xfId="5216" xr:uid="{00000000-0005-0000-0000-000060140000}"/>
    <cellStyle name="AggOrange9 2 2 2 17" xfId="5217" xr:uid="{00000000-0005-0000-0000-000061140000}"/>
    <cellStyle name="AggOrange9 2 2 2 18" xfId="5218" xr:uid="{00000000-0005-0000-0000-000062140000}"/>
    <cellStyle name="AggOrange9 2 2 2 19" xfId="5219" xr:uid="{00000000-0005-0000-0000-000063140000}"/>
    <cellStyle name="AggOrange9 2 2 2 2" xfId="5220" xr:uid="{00000000-0005-0000-0000-000064140000}"/>
    <cellStyle name="AggOrange9 2 2 2 2 10" xfId="5221" xr:uid="{00000000-0005-0000-0000-000065140000}"/>
    <cellStyle name="AggOrange9 2 2 2 2 11" xfId="5222" xr:uid="{00000000-0005-0000-0000-000066140000}"/>
    <cellStyle name="AggOrange9 2 2 2 2 12" xfId="5223" xr:uid="{00000000-0005-0000-0000-000067140000}"/>
    <cellStyle name="AggOrange9 2 2 2 2 13" xfId="5224" xr:uid="{00000000-0005-0000-0000-000068140000}"/>
    <cellStyle name="AggOrange9 2 2 2 2 14" xfId="5225" xr:uid="{00000000-0005-0000-0000-000069140000}"/>
    <cellStyle name="AggOrange9 2 2 2 2 15" xfId="5226" xr:uid="{00000000-0005-0000-0000-00006A140000}"/>
    <cellStyle name="AggOrange9 2 2 2 2 16" xfId="5227" xr:uid="{00000000-0005-0000-0000-00006B140000}"/>
    <cellStyle name="AggOrange9 2 2 2 2 17" xfId="5228" xr:uid="{00000000-0005-0000-0000-00006C140000}"/>
    <cellStyle name="AggOrange9 2 2 2 2 18" xfId="5229" xr:uid="{00000000-0005-0000-0000-00006D140000}"/>
    <cellStyle name="AggOrange9 2 2 2 2 19" xfId="5230" xr:uid="{00000000-0005-0000-0000-00006E140000}"/>
    <cellStyle name="AggOrange9 2 2 2 2 2" xfId="5231" xr:uid="{00000000-0005-0000-0000-00006F140000}"/>
    <cellStyle name="AggOrange9 2 2 2 2 20" xfId="5232" xr:uid="{00000000-0005-0000-0000-000070140000}"/>
    <cellStyle name="AggOrange9 2 2 2 2 21" xfId="5233" xr:uid="{00000000-0005-0000-0000-000071140000}"/>
    <cellStyle name="AggOrange9 2 2 2 2 22" xfId="5234" xr:uid="{00000000-0005-0000-0000-000072140000}"/>
    <cellStyle name="AggOrange9 2 2 2 2 23" xfId="5235" xr:uid="{00000000-0005-0000-0000-000073140000}"/>
    <cellStyle name="AggOrange9 2 2 2 2 24" xfId="5236" xr:uid="{00000000-0005-0000-0000-000074140000}"/>
    <cellStyle name="AggOrange9 2 2 2 2 25" xfId="5237" xr:uid="{00000000-0005-0000-0000-000075140000}"/>
    <cellStyle name="AggOrange9 2 2 2 2 26" xfId="5238" xr:uid="{00000000-0005-0000-0000-000076140000}"/>
    <cellStyle name="AggOrange9 2 2 2 2 27" xfId="5239" xr:uid="{00000000-0005-0000-0000-000077140000}"/>
    <cellStyle name="AggOrange9 2 2 2 2 28" xfId="5240" xr:uid="{00000000-0005-0000-0000-000078140000}"/>
    <cellStyle name="AggOrange9 2 2 2 2 29" xfId="5241" xr:uid="{00000000-0005-0000-0000-000079140000}"/>
    <cellStyle name="AggOrange9 2 2 2 2 3" xfId="5242" xr:uid="{00000000-0005-0000-0000-00007A140000}"/>
    <cellStyle name="AggOrange9 2 2 2 2 30" xfId="5243" xr:uid="{00000000-0005-0000-0000-00007B140000}"/>
    <cellStyle name="AggOrange9 2 2 2 2 31" xfId="5244" xr:uid="{00000000-0005-0000-0000-00007C140000}"/>
    <cellStyle name="AggOrange9 2 2 2 2 32" xfId="5245" xr:uid="{00000000-0005-0000-0000-00007D140000}"/>
    <cellStyle name="AggOrange9 2 2 2 2 33" xfId="5246" xr:uid="{00000000-0005-0000-0000-00007E140000}"/>
    <cellStyle name="AggOrange9 2 2 2 2 34" xfId="5247" xr:uid="{00000000-0005-0000-0000-00007F140000}"/>
    <cellStyle name="AggOrange9 2 2 2 2 35" xfId="5248" xr:uid="{00000000-0005-0000-0000-000080140000}"/>
    <cellStyle name="AggOrange9 2 2 2 2 36" xfId="5249" xr:uid="{00000000-0005-0000-0000-000081140000}"/>
    <cellStyle name="AggOrange9 2 2 2 2 37" xfId="5250" xr:uid="{00000000-0005-0000-0000-000082140000}"/>
    <cellStyle name="AggOrange9 2 2 2 2 38" xfId="5251" xr:uid="{00000000-0005-0000-0000-000083140000}"/>
    <cellStyle name="AggOrange9 2 2 2 2 39" xfId="5252" xr:uid="{00000000-0005-0000-0000-000084140000}"/>
    <cellStyle name="AggOrange9 2 2 2 2 4" xfId="5253" xr:uid="{00000000-0005-0000-0000-000085140000}"/>
    <cellStyle name="AggOrange9 2 2 2 2 40" xfId="5254" xr:uid="{00000000-0005-0000-0000-000086140000}"/>
    <cellStyle name="AggOrange9 2 2 2 2 41" xfId="5255" xr:uid="{00000000-0005-0000-0000-000087140000}"/>
    <cellStyle name="AggOrange9 2 2 2 2 42" xfId="5256" xr:uid="{00000000-0005-0000-0000-000088140000}"/>
    <cellStyle name="AggOrange9 2 2 2 2 43" xfId="5257" xr:uid="{00000000-0005-0000-0000-000089140000}"/>
    <cellStyle name="AggOrange9 2 2 2 2 44" xfId="5258" xr:uid="{00000000-0005-0000-0000-00008A140000}"/>
    <cellStyle name="AggOrange9 2 2 2 2 45" xfId="5259" xr:uid="{00000000-0005-0000-0000-00008B140000}"/>
    <cellStyle name="AggOrange9 2 2 2 2 46" xfId="5260" xr:uid="{00000000-0005-0000-0000-00008C140000}"/>
    <cellStyle name="AggOrange9 2 2 2 2 47" xfId="5261" xr:uid="{00000000-0005-0000-0000-00008D140000}"/>
    <cellStyle name="AggOrange9 2 2 2 2 48" xfId="5262" xr:uid="{00000000-0005-0000-0000-00008E140000}"/>
    <cellStyle name="AggOrange9 2 2 2 2 49" xfId="5263" xr:uid="{00000000-0005-0000-0000-00008F140000}"/>
    <cellStyle name="AggOrange9 2 2 2 2 5" xfId="5264" xr:uid="{00000000-0005-0000-0000-000090140000}"/>
    <cellStyle name="AggOrange9 2 2 2 2 50" xfId="5265" xr:uid="{00000000-0005-0000-0000-000091140000}"/>
    <cellStyle name="AggOrange9 2 2 2 2 51" xfId="5266" xr:uid="{00000000-0005-0000-0000-000092140000}"/>
    <cellStyle name="AggOrange9 2 2 2 2 52" xfId="5267" xr:uid="{00000000-0005-0000-0000-000093140000}"/>
    <cellStyle name="AggOrange9 2 2 2 2 53" xfId="5268" xr:uid="{00000000-0005-0000-0000-000094140000}"/>
    <cellStyle name="AggOrange9 2 2 2 2 54" xfId="5269" xr:uid="{00000000-0005-0000-0000-000095140000}"/>
    <cellStyle name="AggOrange9 2 2 2 2 55" xfId="5270" xr:uid="{00000000-0005-0000-0000-000096140000}"/>
    <cellStyle name="AggOrange9 2 2 2 2 56" xfId="5271" xr:uid="{00000000-0005-0000-0000-000097140000}"/>
    <cellStyle name="AggOrange9 2 2 2 2 57" xfId="5272" xr:uid="{00000000-0005-0000-0000-000098140000}"/>
    <cellStyle name="AggOrange9 2 2 2 2 58" xfId="5273" xr:uid="{00000000-0005-0000-0000-000099140000}"/>
    <cellStyle name="AggOrange9 2 2 2 2 59" xfId="5274" xr:uid="{00000000-0005-0000-0000-00009A140000}"/>
    <cellStyle name="AggOrange9 2 2 2 2 6" xfId="5275" xr:uid="{00000000-0005-0000-0000-00009B140000}"/>
    <cellStyle name="AggOrange9 2 2 2 2 60" xfId="5276" xr:uid="{00000000-0005-0000-0000-00009C140000}"/>
    <cellStyle name="AggOrange9 2 2 2 2 61" xfId="5277" xr:uid="{00000000-0005-0000-0000-00009D140000}"/>
    <cellStyle name="AggOrange9 2 2 2 2 62" xfId="5278" xr:uid="{00000000-0005-0000-0000-00009E140000}"/>
    <cellStyle name="AggOrange9 2 2 2 2 63" xfId="5279" xr:uid="{00000000-0005-0000-0000-00009F140000}"/>
    <cellStyle name="AggOrange9 2 2 2 2 64" xfId="5280" xr:uid="{00000000-0005-0000-0000-0000A0140000}"/>
    <cellStyle name="AggOrange9 2 2 2 2 65" xfId="5281" xr:uid="{00000000-0005-0000-0000-0000A1140000}"/>
    <cellStyle name="AggOrange9 2 2 2 2 7" xfId="5282" xr:uid="{00000000-0005-0000-0000-0000A2140000}"/>
    <cellStyle name="AggOrange9 2 2 2 2 8" xfId="5283" xr:uid="{00000000-0005-0000-0000-0000A3140000}"/>
    <cellStyle name="AggOrange9 2 2 2 2 9" xfId="5284" xr:uid="{00000000-0005-0000-0000-0000A4140000}"/>
    <cellStyle name="AggOrange9 2 2 2 20" xfId="5285" xr:uid="{00000000-0005-0000-0000-0000A5140000}"/>
    <cellStyle name="AggOrange9 2 2 2 21" xfId="5286" xr:uid="{00000000-0005-0000-0000-0000A6140000}"/>
    <cellStyle name="AggOrange9 2 2 2 22" xfId="5287" xr:uid="{00000000-0005-0000-0000-0000A7140000}"/>
    <cellStyle name="AggOrange9 2 2 2 23" xfId="5288" xr:uid="{00000000-0005-0000-0000-0000A8140000}"/>
    <cellStyle name="AggOrange9 2 2 2 24" xfId="5289" xr:uid="{00000000-0005-0000-0000-0000A9140000}"/>
    <cellStyle name="AggOrange9 2 2 2 25" xfId="5290" xr:uid="{00000000-0005-0000-0000-0000AA140000}"/>
    <cellStyle name="AggOrange9 2 2 2 26" xfId="5291" xr:uid="{00000000-0005-0000-0000-0000AB140000}"/>
    <cellStyle name="AggOrange9 2 2 2 27" xfId="5292" xr:uid="{00000000-0005-0000-0000-0000AC140000}"/>
    <cellStyle name="AggOrange9 2 2 2 28" xfId="5293" xr:uid="{00000000-0005-0000-0000-0000AD140000}"/>
    <cellStyle name="AggOrange9 2 2 2 29" xfId="5294" xr:uid="{00000000-0005-0000-0000-0000AE140000}"/>
    <cellStyle name="AggOrange9 2 2 2 3" xfId="5295" xr:uid="{00000000-0005-0000-0000-0000AF140000}"/>
    <cellStyle name="AggOrange9 2 2 2 30" xfId="5296" xr:uid="{00000000-0005-0000-0000-0000B0140000}"/>
    <cellStyle name="AggOrange9 2 2 2 31" xfId="5297" xr:uid="{00000000-0005-0000-0000-0000B1140000}"/>
    <cellStyle name="AggOrange9 2 2 2 32" xfId="5298" xr:uid="{00000000-0005-0000-0000-0000B2140000}"/>
    <cellStyle name="AggOrange9 2 2 2 33" xfId="5299" xr:uid="{00000000-0005-0000-0000-0000B3140000}"/>
    <cellStyle name="AggOrange9 2 2 2 34" xfId="5300" xr:uid="{00000000-0005-0000-0000-0000B4140000}"/>
    <cellStyle name="AggOrange9 2 2 2 35" xfId="5301" xr:uid="{00000000-0005-0000-0000-0000B5140000}"/>
    <cellStyle name="AggOrange9 2 2 2 36" xfId="5302" xr:uid="{00000000-0005-0000-0000-0000B6140000}"/>
    <cellStyle name="AggOrange9 2 2 2 37" xfId="5303" xr:uid="{00000000-0005-0000-0000-0000B7140000}"/>
    <cellStyle name="AggOrange9 2 2 2 38" xfId="5304" xr:uid="{00000000-0005-0000-0000-0000B8140000}"/>
    <cellStyle name="AggOrange9 2 2 2 39" xfId="5305" xr:uid="{00000000-0005-0000-0000-0000B9140000}"/>
    <cellStyle name="AggOrange9 2 2 2 4" xfId="5306" xr:uid="{00000000-0005-0000-0000-0000BA140000}"/>
    <cellStyle name="AggOrange9 2 2 2 40" xfId="5307" xr:uid="{00000000-0005-0000-0000-0000BB140000}"/>
    <cellStyle name="AggOrange9 2 2 2 41" xfId="5308" xr:uid="{00000000-0005-0000-0000-0000BC140000}"/>
    <cellStyle name="AggOrange9 2 2 2 42" xfId="5309" xr:uid="{00000000-0005-0000-0000-0000BD140000}"/>
    <cellStyle name="AggOrange9 2 2 2 43" xfId="5310" xr:uid="{00000000-0005-0000-0000-0000BE140000}"/>
    <cellStyle name="AggOrange9 2 2 2 44" xfId="5311" xr:uid="{00000000-0005-0000-0000-0000BF140000}"/>
    <cellStyle name="AggOrange9 2 2 2 45" xfId="5312" xr:uid="{00000000-0005-0000-0000-0000C0140000}"/>
    <cellStyle name="AggOrange9 2 2 2 46" xfId="5313" xr:uid="{00000000-0005-0000-0000-0000C1140000}"/>
    <cellStyle name="AggOrange9 2 2 2 47" xfId="5314" xr:uid="{00000000-0005-0000-0000-0000C2140000}"/>
    <cellStyle name="AggOrange9 2 2 2 48" xfId="5315" xr:uid="{00000000-0005-0000-0000-0000C3140000}"/>
    <cellStyle name="AggOrange9 2 2 2 49" xfId="5316" xr:uid="{00000000-0005-0000-0000-0000C4140000}"/>
    <cellStyle name="AggOrange9 2 2 2 5" xfId="5317" xr:uid="{00000000-0005-0000-0000-0000C5140000}"/>
    <cellStyle name="AggOrange9 2 2 2 50" xfId="5318" xr:uid="{00000000-0005-0000-0000-0000C6140000}"/>
    <cellStyle name="AggOrange9 2 2 2 51" xfId="5319" xr:uid="{00000000-0005-0000-0000-0000C7140000}"/>
    <cellStyle name="AggOrange9 2 2 2 52" xfId="5320" xr:uid="{00000000-0005-0000-0000-0000C8140000}"/>
    <cellStyle name="AggOrange9 2 2 2 53" xfId="5321" xr:uid="{00000000-0005-0000-0000-0000C9140000}"/>
    <cellStyle name="AggOrange9 2 2 2 54" xfId="5322" xr:uid="{00000000-0005-0000-0000-0000CA140000}"/>
    <cellStyle name="AggOrange9 2 2 2 55" xfId="5323" xr:uid="{00000000-0005-0000-0000-0000CB140000}"/>
    <cellStyle name="AggOrange9 2 2 2 56" xfId="5324" xr:uid="{00000000-0005-0000-0000-0000CC140000}"/>
    <cellStyle name="AggOrange9 2 2 2 57" xfId="5325" xr:uid="{00000000-0005-0000-0000-0000CD140000}"/>
    <cellStyle name="AggOrange9 2 2 2 58" xfId="5326" xr:uid="{00000000-0005-0000-0000-0000CE140000}"/>
    <cellStyle name="AggOrange9 2 2 2 59" xfId="5327" xr:uid="{00000000-0005-0000-0000-0000CF140000}"/>
    <cellStyle name="AggOrange9 2 2 2 6" xfId="5328" xr:uid="{00000000-0005-0000-0000-0000D0140000}"/>
    <cellStyle name="AggOrange9 2 2 2 60" xfId="5329" xr:uid="{00000000-0005-0000-0000-0000D1140000}"/>
    <cellStyle name="AggOrange9 2 2 2 61" xfId="5330" xr:uid="{00000000-0005-0000-0000-0000D2140000}"/>
    <cellStyle name="AggOrange9 2 2 2 62" xfId="5331" xr:uid="{00000000-0005-0000-0000-0000D3140000}"/>
    <cellStyle name="AggOrange9 2 2 2 63" xfId="5332" xr:uid="{00000000-0005-0000-0000-0000D4140000}"/>
    <cellStyle name="AggOrange9 2 2 2 64" xfId="5333" xr:uid="{00000000-0005-0000-0000-0000D5140000}"/>
    <cellStyle name="AggOrange9 2 2 2 65" xfId="5334" xr:uid="{00000000-0005-0000-0000-0000D6140000}"/>
    <cellStyle name="AggOrange9 2 2 2 66" xfId="5335" xr:uid="{00000000-0005-0000-0000-0000D7140000}"/>
    <cellStyle name="AggOrange9 2 2 2 7" xfId="5336" xr:uid="{00000000-0005-0000-0000-0000D8140000}"/>
    <cellStyle name="AggOrange9 2 2 2 8" xfId="5337" xr:uid="{00000000-0005-0000-0000-0000D9140000}"/>
    <cellStyle name="AggOrange9 2 2 2 9" xfId="5338" xr:uid="{00000000-0005-0000-0000-0000DA140000}"/>
    <cellStyle name="AggOrange9 2 2 3" xfId="5339" xr:uid="{00000000-0005-0000-0000-0000DB140000}"/>
    <cellStyle name="AggOrange9 2 2 3 10" xfId="5340" xr:uid="{00000000-0005-0000-0000-0000DC140000}"/>
    <cellStyle name="AggOrange9 2 2 3 11" xfId="5341" xr:uid="{00000000-0005-0000-0000-0000DD140000}"/>
    <cellStyle name="AggOrange9 2 2 3 12" xfId="5342" xr:uid="{00000000-0005-0000-0000-0000DE140000}"/>
    <cellStyle name="AggOrange9 2 2 3 13" xfId="5343" xr:uid="{00000000-0005-0000-0000-0000DF140000}"/>
    <cellStyle name="AggOrange9 2 2 3 14" xfId="5344" xr:uid="{00000000-0005-0000-0000-0000E0140000}"/>
    <cellStyle name="AggOrange9 2 2 3 15" xfId="5345" xr:uid="{00000000-0005-0000-0000-0000E1140000}"/>
    <cellStyle name="AggOrange9 2 2 3 16" xfId="5346" xr:uid="{00000000-0005-0000-0000-0000E2140000}"/>
    <cellStyle name="AggOrange9 2 2 3 17" xfId="5347" xr:uid="{00000000-0005-0000-0000-0000E3140000}"/>
    <cellStyle name="AggOrange9 2 2 3 18" xfId="5348" xr:uid="{00000000-0005-0000-0000-0000E4140000}"/>
    <cellStyle name="AggOrange9 2 2 3 19" xfId="5349" xr:uid="{00000000-0005-0000-0000-0000E5140000}"/>
    <cellStyle name="AggOrange9 2 2 3 2" xfId="5350" xr:uid="{00000000-0005-0000-0000-0000E6140000}"/>
    <cellStyle name="AggOrange9 2 2 3 20" xfId="5351" xr:uid="{00000000-0005-0000-0000-0000E7140000}"/>
    <cellStyle name="AggOrange9 2 2 3 21" xfId="5352" xr:uid="{00000000-0005-0000-0000-0000E8140000}"/>
    <cellStyle name="AggOrange9 2 2 3 22" xfId="5353" xr:uid="{00000000-0005-0000-0000-0000E9140000}"/>
    <cellStyle name="AggOrange9 2 2 3 23" xfId="5354" xr:uid="{00000000-0005-0000-0000-0000EA140000}"/>
    <cellStyle name="AggOrange9 2 2 3 24" xfId="5355" xr:uid="{00000000-0005-0000-0000-0000EB140000}"/>
    <cellStyle name="AggOrange9 2 2 3 25" xfId="5356" xr:uid="{00000000-0005-0000-0000-0000EC140000}"/>
    <cellStyle name="AggOrange9 2 2 3 26" xfId="5357" xr:uid="{00000000-0005-0000-0000-0000ED140000}"/>
    <cellStyle name="AggOrange9 2 2 3 27" xfId="5358" xr:uid="{00000000-0005-0000-0000-0000EE140000}"/>
    <cellStyle name="AggOrange9 2 2 3 28" xfId="5359" xr:uid="{00000000-0005-0000-0000-0000EF140000}"/>
    <cellStyle name="AggOrange9 2 2 3 29" xfId="5360" xr:uid="{00000000-0005-0000-0000-0000F0140000}"/>
    <cellStyle name="AggOrange9 2 2 3 3" xfId="5361" xr:uid="{00000000-0005-0000-0000-0000F1140000}"/>
    <cellStyle name="AggOrange9 2 2 3 30" xfId="5362" xr:uid="{00000000-0005-0000-0000-0000F2140000}"/>
    <cellStyle name="AggOrange9 2 2 3 31" xfId="5363" xr:uid="{00000000-0005-0000-0000-0000F3140000}"/>
    <cellStyle name="AggOrange9 2 2 3 32" xfId="5364" xr:uid="{00000000-0005-0000-0000-0000F4140000}"/>
    <cellStyle name="AggOrange9 2 2 3 33" xfId="5365" xr:uid="{00000000-0005-0000-0000-0000F5140000}"/>
    <cellStyle name="AggOrange9 2 2 3 34" xfId="5366" xr:uid="{00000000-0005-0000-0000-0000F6140000}"/>
    <cellStyle name="AggOrange9 2 2 3 35" xfId="5367" xr:uid="{00000000-0005-0000-0000-0000F7140000}"/>
    <cellStyle name="AggOrange9 2 2 3 36" xfId="5368" xr:uid="{00000000-0005-0000-0000-0000F8140000}"/>
    <cellStyle name="AggOrange9 2 2 3 37" xfId="5369" xr:uid="{00000000-0005-0000-0000-0000F9140000}"/>
    <cellStyle name="AggOrange9 2 2 3 38" xfId="5370" xr:uid="{00000000-0005-0000-0000-0000FA140000}"/>
    <cellStyle name="AggOrange9 2 2 3 39" xfId="5371" xr:uid="{00000000-0005-0000-0000-0000FB140000}"/>
    <cellStyle name="AggOrange9 2 2 3 4" xfId="5372" xr:uid="{00000000-0005-0000-0000-0000FC140000}"/>
    <cellStyle name="AggOrange9 2 2 3 40" xfId="5373" xr:uid="{00000000-0005-0000-0000-0000FD140000}"/>
    <cellStyle name="AggOrange9 2 2 3 41" xfId="5374" xr:uid="{00000000-0005-0000-0000-0000FE140000}"/>
    <cellStyle name="AggOrange9 2 2 3 42" xfId="5375" xr:uid="{00000000-0005-0000-0000-0000FF140000}"/>
    <cellStyle name="AggOrange9 2 2 3 43" xfId="5376" xr:uid="{00000000-0005-0000-0000-000000150000}"/>
    <cellStyle name="AggOrange9 2 2 3 44" xfId="5377" xr:uid="{00000000-0005-0000-0000-000001150000}"/>
    <cellStyle name="AggOrange9 2 2 3 45" xfId="5378" xr:uid="{00000000-0005-0000-0000-000002150000}"/>
    <cellStyle name="AggOrange9 2 2 3 46" xfId="5379" xr:uid="{00000000-0005-0000-0000-000003150000}"/>
    <cellStyle name="AggOrange9 2 2 3 47" xfId="5380" xr:uid="{00000000-0005-0000-0000-000004150000}"/>
    <cellStyle name="AggOrange9 2 2 3 48" xfId="5381" xr:uid="{00000000-0005-0000-0000-000005150000}"/>
    <cellStyle name="AggOrange9 2 2 3 49" xfId="5382" xr:uid="{00000000-0005-0000-0000-000006150000}"/>
    <cellStyle name="AggOrange9 2 2 3 5" xfId="5383" xr:uid="{00000000-0005-0000-0000-000007150000}"/>
    <cellStyle name="AggOrange9 2 2 3 50" xfId="5384" xr:uid="{00000000-0005-0000-0000-000008150000}"/>
    <cellStyle name="AggOrange9 2 2 3 51" xfId="5385" xr:uid="{00000000-0005-0000-0000-000009150000}"/>
    <cellStyle name="AggOrange9 2 2 3 52" xfId="5386" xr:uid="{00000000-0005-0000-0000-00000A150000}"/>
    <cellStyle name="AggOrange9 2 2 3 53" xfId="5387" xr:uid="{00000000-0005-0000-0000-00000B150000}"/>
    <cellStyle name="AggOrange9 2 2 3 54" xfId="5388" xr:uid="{00000000-0005-0000-0000-00000C150000}"/>
    <cellStyle name="AggOrange9 2 2 3 55" xfId="5389" xr:uid="{00000000-0005-0000-0000-00000D150000}"/>
    <cellStyle name="AggOrange9 2 2 3 56" xfId="5390" xr:uid="{00000000-0005-0000-0000-00000E150000}"/>
    <cellStyle name="AggOrange9 2 2 3 57" xfId="5391" xr:uid="{00000000-0005-0000-0000-00000F150000}"/>
    <cellStyle name="AggOrange9 2 2 3 58" xfId="5392" xr:uid="{00000000-0005-0000-0000-000010150000}"/>
    <cellStyle name="AggOrange9 2 2 3 59" xfId="5393" xr:uid="{00000000-0005-0000-0000-000011150000}"/>
    <cellStyle name="AggOrange9 2 2 3 6" xfId="5394" xr:uid="{00000000-0005-0000-0000-000012150000}"/>
    <cellStyle name="AggOrange9 2 2 3 60" xfId="5395" xr:uid="{00000000-0005-0000-0000-000013150000}"/>
    <cellStyle name="AggOrange9 2 2 3 61" xfId="5396" xr:uid="{00000000-0005-0000-0000-000014150000}"/>
    <cellStyle name="AggOrange9 2 2 3 62" xfId="5397" xr:uid="{00000000-0005-0000-0000-000015150000}"/>
    <cellStyle name="AggOrange9 2 2 3 63" xfId="5398" xr:uid="{00000000-0005-0000-0000-000016150000}"/>
    <cellStyle name="AggOrange9 2 2 3 64" xfId="5399" xr:uid="{00000000-0005-0000-0000-000017150000}"/>
    <cellStyle name="AggOrange9 2 2 3 65" xfId="5400" xr:uid="{00000000-0005-0000-0000-000018150000}"/>
    <cellStyle name="AggOrange9 2 2 3 7" xfId="5401" xr:uid="{00000000-0005-0000-0000-000019150000}"/>
    <cellStyle name="AggOrange9 2 2 3 8" xfId="5402" xr:uid="{00000000-0005-0000-0000-00001A150000}"/>
    <cellStyle name="AggOrange9 2 2 3 9" xfId="5403" xr:uid="{00000000-0005-0000-0000-00001B150000}"/>
    <cellStyle name="AggOrange9 2 3" xfId="5404" xr:uid="{00000000-0005-0000-0000-00001C150000}"/>
    <cellStyle name="AggOrange9 2 3 10" xfId="5405" xr:uid="{00000000-0005-0000-0000-00001D150000}"/>
    <cellStyle name="AggOrange9 2 3 11" xfId="5406" xr:uid="{00000000-0005-0000-0000-00001E150000}"/>
    <cellStyle name="AggOrange9 2 3 12" xfId="5407" xr:uid="{00000000-0005-0000-0000-00001F150000}"/>
    <cellStyle name="AggOrange9 2 3 13" xfId="5408" xr:uid="{00000000-0005-0000-0000-000020150000}"/>
    <cellStyle name="AggOrange9 2 3 14" xfId="5409" xr:uid="{00000000-0005-0000-0000-000021150000}"/>
    <cellStyle name="AggOrange9 2 3 15" xfId="5410" xr:uid="{00000000-0005-0000-0000-000022150000}"/>
    <cellStyle name="AggOrange9 2 3 16" xfId="5411" xr:uid="{00000000-0005-0000-0000-000023150000}"/>
    <cellStyle name="AggOrange9 2 3 17" xfId="5412" xr:uid="{00000000-0005-0000-0000-000024150000}"/>
    <cellStyle name="AggOrange9 2 3 18" xfId="5413" xr:uid="{00000000-0005-0000-0000-000025150000}"/>
    <cellStyle name="AggOrange9 2 3 19" xfId="5414" xr:uid="{00000000-0005-0000-0000-000026150000}"/>
    <cellStyle name="AggOrange9 2 3 2" xfId="5415" xr:uid="{00000000-0005-0000-0000-000027150000}"/>
    <cellStyle name="AggOrange9 2 3 2 10" xfId="5416" xr:uid="{00000000-0005-0000-0000-000028150000}"/>
    <cellStyle name="AggOrange9 2 3 2 11" xfId="5417" xr:uid="{00000000-0005-0000-0000-000029150000}"/>
    <cellStyle name="AggOrange9 2 3 2 12" xfId="5418" xr:uid="{00000000-0005-0000-0000-00002A150000}"/>
    <cellStyle name="AggOrange9 2 3 2 13" xfId="5419" xr:uid="{00000000-0005-0000-0000-00002B150000}"/>
    <cellStyle name="AggOrange9 2 3 2 14" xfId="5420" xr:uid="{00000000-0005-0000-0000-00002C150000}"/>
    <cellStyle name="AggOrange9 2 3 2 15" xfId="5421" xr:uid="{00000000-0005-0000-0000-00002D150000}"/>
    <cellStyle name="AggOrange9 2 3 2 16" xfId="5422" xr:uid="{00000000-0005-0000-0000-00002E150000}"/>
    <cellStyle name="AggOrange9 2 3 2 17" xfId="5423" xr:uid="{00000000-0005-0000-0000-00002F150000}"/>
    <cellStyle name="AggOrange9 2 3 2 18" xfId="5424" xr:uid="{00000000-0005-0000-0000-000030150000}"/>
    <cellStyle name="AggOrange9 2 3 2 19" xfId="5425" xr:uid="{00000000-0005-0000-0000-000031150000}"/>
    <cellStyle name="AggOrange9 2 3 2 2" xfId="5426" xr:uid="{00000000-0005-0000-0000-000032150000}"/>
    <cellStyle name="AggOrange9 2 3 2 2 10" xfId="5427" xr:uid="{00000000-0005-0000-0000-000033150000}"/>
    <cellStyle name="AggOrange9 2 3 2 2 11" xfId="5428" xr:uid="{00000000-0005-0000-0000-000034150000}"/>
    <cellStyle name="AggOrange9 2 3 2 2 12" xfId="5429" xr:uid="{00000000-0005-0000-0000-000035150000}"/>
    <cellStyle name="AggOrange9 2 3 2 2 13" xfId="5430" xr:uid="{00000000-0005-0000-0000-000036150000}"/>
    <cellStyle name="AggOrange9 2 3 2 2 14" xfId="5431" xr:uid="{00000000-0005-0000-0000-000037150000}"/>
    <cellStyle name="AggOrange9 2 3 2 2 15" xfId="5432" xr:uid="{00000000-0005-0000-0000-000038150000}"/>
    <cellStyle name="AggOrange9 2 3 2 2 16" xfId="5433" xr:uid="{00000000-0005-0000-0000-000039150000}"/>
    <cellStyle name="AggOrange9 2 3 2 2 17" xfId="5434" xr:uid="{00000000-0005-0000-0000-00003A150000}"/>
    <cellStyle name="AggOrange9 2 3 2 2 18" xfId="5435" xr:uid="{00000000-0005-0000-0000-00003B150000}"/>
    <cellStyle name="AggOrange9 2 3 2 2 19" xfId="5436" xr:uid="{00000000-0005-0000-0000-00003C150000}"/>
    <cellStyle name="AggOrange9 2 3 2 2 2" xfId="5437" xr:uid="{00000000-0005-0000-0000-00003D150000}"/>
    <cellStyle name="AggOrange9 2 3 2 2 20" xfId="5438" xr:uid="{00000000-0005-0000-0000-00003E150000}"/>
    <cellStyle name="AggOrange9 2 3 2 2 21" xfId="5439" xr:uid="{00000000-0005-0000-0000-00003F150000}"/>
    <cellStyle name="AggOrange9 2 3 2 2 22" xfId="5440" xr:uid="{00000000-0005-0000-0000-000040150000}"/>
    <cellStyle name="AggOrange9 2 3 2 2 23" xfId="5441" xr:uid="{00000000-0005-0000-0000-000041150000}"/>
    <cellStyle name="AggOrange9 2 3 2 2 24" xfId="5442" xr:uid="{00000000-0005-0000-0000-000042150000}"/>
    <cellStyle name="AggOrange9 2 3 2 2 25" xfId="5443" xr:uid="{00000000-0005-0000-0000-000043150000}"/>
    <cellStyle name="AggOrange9 2 3 2 2 26" xfId="5444" xr:uid="{00000000-0005-0000-0000-000044150000}"/>
    <cellStyle name="AggOrange9 2 3 2 2 27" xfId="5445" xr:uid="{00000000-0005-0000-0000-000045150000}"/>
    <cellStyle name="AggOrange9 2 3 2 2 28" xfId="5446" xr:uid="{00000000-0005-0000-0000-000046150000}"/>
    <cellStyle name="AggOrange9 2 3 2 2 29" xfId="5447" xr:uid="{00000000-0005-0000-0000-000047150000}"/>
    <cellStyle name="AggOrange9 2 3 2 2 3" xfId="5448" xr:uid="{00000000-0005-0000-0000-000048150000}"/>
    <cellStyle name="AggOrange9 2 3 2 2 30" xfId="5449" xr:uid="{00000000-0005-0000-0000-000049150000}"/>
    <cellStyle name="AggOrange9 2 3 2 2 31" xfId="5450" xr:uid="{00000000-0005-0000-0000-00004A150000}"/>
    <cellStyle name="AggOrange9 2 3 2 2 32" xfId="5451" xr:uid="{00000000-0005-0000-0000-00004B150000}"/>
    <cellStyle name="AggOrange9 2 3 2 2 33" xfId="5452" xr:uid="{00000000-0005-0000-0000-00004C150000}"/>
    <cellStyle name="AggOrange9 2 3 2 2 34" xfId="5453" xr:uid="{00000000-0005-0000-0000-00004D150000}"/>
    <cellStyle name="AggOrange9 2 3 2 2 35" xfId="5454" xr:uid="{00000000-0005-0000-0000-00004E150000}"/>
    <cellStyle name="AggOrange9 2 3 2 2 36" xfId="5455" xr:uid="{00000000-0005-0000-0000-00004F150000}"/>
    <cellStyle name="AggOrange9 2 3 2 2 37" xfId="5456" xr:uid="{00000000-0005-0000-0000-000050150000}"/>
    <cellStyle name="AggOrange9 2 3 2 2 38" xfId="5457" xr:uid="{00000000-0005-0000-0000-000051150000}"/>
    <cellStyle name="AggOrange9 2 3 2 2 39" xfId="5458" xr:uid="{00000000-0005-0000-0000-000052150000}"/>
    <cellStyle name="AggOrange9 2 3 2 2 4" xfId="5459" xr:uid="{00000000-0005-0000-0000-000053150000}"/>
    <cellStyle name="AggOrange9 2 3 2 2 40" xfId="5460" xr:uid="{00000000-0005-0000-0000-000054150000}"/>
    <cellStyle name="AggOrange9 2 3 2 2 41" xfId="5461" xr:uid="{00000000-0005-0000-0000-000055150000}"/>
    <cellStyle name="AggOrange9 2 3 2 2 42" xfId="5462" xr:uid="{00000000-0005-0000-0000-000056150000}"/>
    <cellStyle name="AggOrange9 2 3 2 2 43" xfId="5463" xr:uid="{00000000-0005-0000-0000-000057150000}"/>
    <cellStyle name="AggOrange9 2 3 2 2 44" xfId="5464" xr:uid="{00000000-0005-0000-0000-000058150000}"/>
    <cellStyle name="AggOrange9 2 3 2 2 45" xfId="5465" xr:uid="{00000000-0005-0000-0000-000059150000}"/>
    <cellStyle name="AggOrange9 2 3 2 2 46" xfId="5466" xr:uid="{00000000-0005-0000-0000-00005A150000}"/>
    <cellStyle name="AggOrange9 2 3 2 2 47" xfId="5467" xr:uid="{00000000-0005-0000-0000-00005B150000}"/>
    <cellStyle name="AggOrange9 2 3 2 2 48" xfId="5468" xr:uid="{00000000-0005-0000-0000-00005C150000}"/>
    <cellStyle name="AggOrange9 2 3 2 2 49" xfId="5469" xr:uid="{00000000-0005-0000-0000-00005D150000}"/>
    <cellStyle name="AggOrange9 2 3 2 2 5" xfId="5470" xr:uid="{00000000-0005-0000-0000-00005E150000}"/>
    <cellStyle name="AggOrange9 2 3 2 2 50" xfId="5471" xr:uid="{00000000-0005-0000-0000-00005F150000}"/>
    <cellStyle name="AggOrange9 2 3 2 2 51" xfId="5472" xr:uid="{00000000-0005-0000-0000-000060150000}"/>
    <cellStyle name="AggOrange9 2 3 2 2 52" xfId="5473" xr:uid="{00000000-0005-0000-0000-000061150000}"/>
    <cellStyle name="AggOrange9 2 3 2 2 53" xfId="5474" xr:uid="{00000000-0005-0000-0000-000062150000}"/>
    <cellStyle name="AggOrange9 2 3 2 2 54" xfId="5475" xr:uid="{00000000-0005-0000-0000-000063150000}"/>
    <cellStyle name="AggOrange9 2 3 2 2 55" xfId="5476" xr:uid="{00000000-0005-0000-0000-000064150000}"/>
    <cellStyle name="AggOrange9 2 3 2 2 56" xfId="5477" xr:uid="{00000000-0005-0000-0000-000065150000}"/>
    <cellStyle name="AggOrange9 2 3 2 2 57" xfId="5478" xr:uid="{00000000-0005-0000-0000-000066150000}"/>
    <cellStyle name="AggOrange9 2 3 2 2 58" xfId="5479" xr:uid="{00000000-0005-0000-0000-000067150000}"/>
    <cellStyle name="AggOrange9 2 3 2 2 59" xfId="5480" xr:uid="{00000000-0005-0000-0000-000068150000}"/>
    <cellStyle name="AggOrange9 2 3 2 2 6" xfId="5481" xr:uid="{00000000-0005-0000-0000-000069150000}"/>
    <cellStyle name="AggOrange9 2 3 2 2 60" xfId="5482" xr:uid="{00000000-0005-0000-0000-00006A150000}"/>
    <cellStyle name="AggOrange9 2 3 2 2 61" xfId="5483" xr:uid="{00000000-0005-0000-0000-00006B150000}"/>
    <cellStyle name="AggOrange9 2 3 2 2 62" xfId="5484" xr:uid="{00000000-0005-0000-0000-00006C150000}"/>
    <cellStyle name="AggOrange9 2 3 2 2 63" xfId="5485" xr:uid="{00000000-0005-0000-0000-00006D150000}"/>
    <cellStyle name="AggOrange9 2 3 2 2 64" xfId="5486" xr:uid="{00000000-0005-0000-0000-00006E150000}"/>
    <cellStyle name="AggOrange9 2 3 2 2 65" xfId="5487" xr:uid="{00000000-0005-0000-0000-00006F150000}"/>
    <cellStyle name="AggOrange9 2 3 2 2 7" xfId="5488" xr:uid="{00000000-0005-0000-0000-000070150000}"/>
    <cellStyle name="AggOrange9 2 3 2 2 8" xfId="5489" xr:uid="{00000000-0005-0000-0000-000071150000}"/>
    <cellStyle name="AggOrange9 2 3 2 2 9" xfId="5490" xr:uid="{00000000-0005-0000-0000-000072150000}"/>
    <cellStyle name="AggOrange9 2 3 2 20" xfId="5491" xr:uid="{00000000-0005-0000-0000-000073150000}"/>
    <cellStyle name="AggOrange9 2 3 2 21" xfId="5492" xr:uid="{00000000-0005-0000-0000-000074150000}"/>
    <cellStyle name="AggOrange9 2 3 2 22" xfId="5493" xr:uid="{00000000-0005-0000-0000-000075150000}"/>
    <cellStyle name="AggOrange9 2 3 2 23" xfId="5494" xr:uid="{00000000-0005-0000-0000-000076150000}"/>
    <cellStyle name="AggOrange9 2 3 2 24" xfId="5495" xr:uid="{00000000-0005-0000-0000-000077150000}"/>
    <cellStyle name="AggOrange9 2 3 2 25" xfId="5496" xr:uid="{00000000-0005-0000-0000-000078150000}"/>
    <cellStyle name="AggOrange9 2 3 2 26" xfId="5497" xr:uid="{00000000-0005-0000-0000-000079150000}"/>
    <cellStyle name="AggOrange9 2 3 2 27" xfId="5498" xr:uid="{00000000-0005-0000-0000-00007A150000}"/>
    <cellStyle name="AggOrange9 2 3 2 28" xfId="5499" xr:uid="{00000000-0005-0000-0000-00007B150000}"/>
    <cellStyle name="AggOrange9 2 3 2 29" xfId="5500" xr:uid="{00000000-0005-0000-0000-00007C150000}"/>
    <cellStyle name="AggOrange9 2 3 2 3" xfId="5501" xr:uid="{00000000-0005-0000-0000-00007D150000}"/>
    <cellStyle name="AggOrange9 2 3 2 30" xfId="5502" xr:uid="{00000000-0005-0000-0000-00007E150000}"/>
    <cellStyle name="AggOrange9 2 3 2 31" xfId="5503" xr:uid="{00000000-0005-0000-0000-00007F150000}"/>
    <cellStyle name="AggOrange9 2 3 2 32" xfId="5504" xr:uid="{00000000-0005-0000-0000-000080150000}"/>
    <cellStyle name="AggOrange9 2 3 2 33" xfId="5505" xr:uid="{00000000-0005-0000-0000-000081150000}"/>
    <cellStyle name="AggOrange9 2 3 2 34" xfId="5506" xr:uid="{00000000-0005-0000-0000-000082150000}"/>
    <cellStyle name="AggOrange9 2 3 2 35" xfId="5507" xr:uid="{00000000-0005-0000-0000-000083150000}"/>
    <cellStyle name="AggOrange9 2 3 2 36" xfId="5508" xr:uid="{00000000-0005-0000-0000-000084150000}"/>
    <cellStyle name="AggOrange9 2 3 2 37" xfId="5509" xr:uid="{00000000-0005-0000-0000-000085150000}"/>
    <cellStyle name="AggOrange9 2 3 2 38" xfId="5510" xr:uid="{00000000-0005-0000-0000-000086150000}"/>
    <cellStyle name="AggOrange9 2 3 2 39" xfId="5511" xr:uid="{00000000-0005-0000-0000-000087150000}"/>
    <cellStyle name="AggOrange9 2 3 2 4" xfId="5512" xr:uid="{00000000-0005-0000-0000-000088150000}"/>
    <cellStyle name="AggOrange9 2 3 2 40" xfId="5513" xr:uid="{00000000-0005-0000-0000-000089150000}"/>
    <cellStyle name="AggOrange9 2 3 2 41" xfId="5514" xr:uid="{00000000-0005-0000-0000-00008A150000}"/>
    <cellStyle name="AggOrange9 2 3 2 42" xfId="5515" xr:uid="{00000000-0005-0000-0000-00008B150000}"/>
    <cellStyle name="AggOrange9 2 3 2 43" xfId="5516" xr:uid="{00000000-0005-0000-0000-00008C150000}"/>
    <cellStyle name="AggOrange9 2 3 2 44" xfId="5517" xr:uid="{00000000-0005-0000-0000-00008D150000}"/>
    <cellStyle name="AggOrange9 2 3 2 45" xfId="5518" xr:uid="{00000000-0005-0000-0000-00008E150000}"/>
    <cellStyle name="AggOrange9 2 3 2 46" xfId="5519" xr:uid="{00000000-0005-0000-0000-00008F150000}"/>
    <cellStyle name="AggOrange9 2 3 2 47" xfId="5520" xr:uid="{00000000-0005-0000-0000-000090150000}"/>
    <cellStyle name="AggOrange9 2 3 2 48" xfId="5521" xr:uid="{00000000-0005-0000-0000-000091150000}"/>
    <cellStyle name="AggOrange9 2 3 2 49" xfId="5522" xr:uid="{00000000-0005-0000-0000-000092150000}"/>
    <cellStyle name="AggOrange9 2 3 2 5" xfId="5523" xr:uid="{00000000-0005-0000-0000-000093150000}"/>
    <cellStyle name="AggOrange9 2 3 2 50" xfId="5524" xr:uid="{00000000-0005-0000-0000-000094150000}"/>
    <cellStyle name="AggOrange9 2 3 2 51" xfId="5525" xr:uid="{00000000-0005-0000-0000-000095150000}"/>
    <cellStyle name="AggOrange9 2 3 2 52" xfId="5526" xr:uid="{00000000-0005-0000-0000-000096150000}"/>
    <cellStyle name="AggOrange9 2 3 2 53" xfId="5527" xr:uid="{00000000-0005-0000-0000-000097150000}"/>
    <cellStyle name="AggOrange9 2 3 2 54" xfId="5528" xr:uid="{00000000-0005-0000-0000-000098150000}"/>
    <cellStyle name="AggOrange9 2 3 2 55" xfId="5529" xr:uid="{00000000-0005-0000-0000-000099150000}"/>
    <cellStyle name="AggOrange9 2 3 2 56" xfId="5530" xr:uid="{00000000-0005-0000-0000-00009A150000}"/>
    <cellStyle name="AggOrange9 2 3 2 57" xfId="5531" xr:uid="{00000000-0005-0000-0000-00009B150000}"/>
    <cellStyle name="AggOrange9 2 3 2 58" xfId="5532" xr:uid="{00000000-0005-0000-0000-00009C150000}"/>
    <cellStyle name="AggOrange9 2 3 2 59" xfId="5533" xr:uid="{00000000-0005-0000-0000-00009D150000}"/>
    <cellStyle name="AggOrange9 2 3 2 6" xfId="5534" xr:uid="{00000000-0005-0000-0000-00009E150000}"/>
    <cellStyle name="AggOrange9 2 3 2 60" xfId="5535" xr:uid="{00000000-0005-0000-0000-00009F150000}"/>
    <cellStyle name="AggOrange9 2 3 2 61" xfId="5536" xr:uid="{00000000-0005-0000-0000-0000A0150000}"/>
    <cellStyle name="AggOrange9 2 3 2 62" xfId="5537" xr:uid="{00000000-0005-0000-0000-0000A1150000}"/>
    <cellStyle name="AggOrange9 2 3 2 63" xfId="5538" xr:uid="{00000000-0005-0000-0000-0000A2150000}"/>
    <cellStyle name="AggOrange9 2 3 2 64" xfId="5539" xr:uid="{00000000-0005-0000-0000-0000A3150000}"/>
    <cellStyle name="AggOrange9 2 3 2 65" xfId="5540" xr:uid="{00000000-0005-0000-0000-0000A4150000}"/>
    <cellStyle name="AggOrange9 2 3 2 66" xfId="5541" xr:uid="{00000000-0005-0000-0000-0000A5150000}"/>
    <cellStyle name="AggOrange9 2 3 2 7" xfId="5542" xr:uid="{00000000-0005-0000-0000-0000A6150000}"/>
    <cellStyle name="AggOrange9 2 3 2 8" xfId="5543" xr:uid="{00000000-0005-0000-0000-0000A7150000}"/>
    <cellStyle name="AggOrange9 2 3 2 9" xfId="5544" xr:uid="{00000000-0005-0000-0000-0000A8150000}"/>
    <cellStyle name="AggOrange9 2 3 20" xfId="5545" xr:uid="{00000000-0005-0000-0000-0000A9150000}"/>
    <cellStyle name="AggOrange9 2 3 21" xfId="5546" xr:uid="{00000000-0005-0000-0000-0000AA150000}"/>
    <cellStyle name="AggOrange9 2 3 22" xfId="5547" xr:uid="{00000000-0005-0000-0000-0000AB150000}"/>
    <cellStyle name="AggOrange9 2 3 23" xfId="5548" xr:uid="{00000000-0005-0000-0000-0000AC150000}"/>
    <cellStyle name="AggOrange9 2 3 24" xfId="5549" xr:uid="{00000000-0005-0000-0000-0000AD150000}"/>
    <cellStyle name="AggOrange9 2 3 25" xfId="5550" xr:uid="{00000000-0005-0000-0000-0000AE150000}"/>
    <cellStyle name="AggOrange9 2 3 26" xfId="5551" xr:uid="{00000000-0005-0000-0000-0000AF150000}"/>
    <cellStyle name="AggOrange9 2 3 27" xfId="5552" xr:uid="{00000000-0005-0000-0000-0000B0150000}"/>
    <cellStyle name="AggOrange9 2 3 28" xfId="5553" xr:uid="{00000000-0005-0000-0000-0000B1150000}"/>
    <cellStyle name="AggOrange9 2 3 29" xfId="5554" xr:uid="{00000000-0005-0000-0000-0000B2150000}"/>
    <cellStyle name="AggOrange9 2 3 3" xfId="5555" xr:uid="{00000000-0005-0000-0000-0000B3150000}"/>
    <cellStyle name="AggOrange9 2 3 3 10" xfId="5556" xr:uid="{00000000-0005-0000-0000-0000B4150000}"/>
    <cellStyle name="AggOrange9 2 3 3 11" xfId="5557" xr:uid="{00000000-0005-0000-0000-0000B5150000}"/>
    <cellStyle name="AggOrange9 2 3 3 12" xfId="5558" xr:uid="{00000000-0005-0000-0000-0000B6150000}"/>
    <cellStyle name="AggOrange9 2 3 3 13" xfId="5559" xr:uid="{00000000-0005-0000-0000-0000B7150000}"/>
    <cellStyle name="AggOrange9 2 3 3 14" xfId="5560" xr:uid="{00000000-0005-0000-0000-0000B8150000}"/>
    <cellStyle name="AggOrange9 2 3 3 15" xfId="5561" xr:uid="{00000000-0005-0000-0000-0000B9150000}"/>
    <cellStyle name="AggOrange9 2 3 3 16" xfId="5562" xr:uid="{00000000-0005-0000-0000-0000BA150000}"/>
    <cellStyle name="AggOrange9 2 3 3 17" xfId="5563" xr:uid="{00000000-0005-0000-0000-0000BB150000}"/>
    <cellStyle name="AggOrange9 2 3 3 18" xfId="5564" xr:uid="{00000000-0005-0000-0000-0000BC150000}"/>
    <cellStyle name="AggOrange9 2 3 3 19" xfId="5565" xr:uid="{00000000-0005-0000-0000-0000BD150000}"/>
    <cellStyle name="AggOrange9 2 3 3 2" xfId="5566" xr:uid="{00000000-0005-0000-0000-0000BE150000}"/>
    <cellStyle name="AggOrange9 2 3 3 2 10" xfId="5567" xr:uid="{00000000-0005-0000-0000-0000BF150000}"/>
    <cellStyle name="AggOrange9 2 3 3 2 11" xfId="5568" xr:uid="{00000000-0005-0000-0000-0000C0150000}"/>
    <cellStyle name="AggOrange9 2 3 3 2 12" xfId="5569" xr:uid="{00000000-0005-0000-0000-0000C1150000}"/>
    <cellStyle name="AggOrange9 2 3 3 2 13" xfId="5570" xr:uid="{00000000-0005-0000-0000-0000C2150000}"/>
    <cellStyle name="AggOrange9 2 3 3 2 14" xfId="5571" xr:uid="{00000000-0005-0000-0000-0000C3150000}"/>
    <cellStyle name="AggOrange9 2 3 3 2 15" xfId="5572" xr:uid="{00000000-0005-0000-0000-0000C4150000}"/>
    <cellStyle name="AggOrange9 2 3 3 2 16" xfId="5573" xr:uid="{00000000-0005-0000-0000-0000C5150000}"/>
    <cellStyle name="AggOrange9 2 3 3 2 17" xfId="5574" xr:uid="{00000000-0005-0000-0000-0000C6150000}"/>
    <cellStyle name="AggOrange9 2 3 3 2 18" xfId="5575" xr:uid="{00000000-0005-0000-0000-0000C7150000}"/>
    <cellStyle name="AggOrange9 2 3 3 2 19" xfId="5576" xr:uid="{00000000-0005-0000-0000-0000C8150000}"/>
    <cellStyle name="AggOrange9 2 3 3 2 2" xfId="5577" xr:uid="{00000000-0005-0000-0000-0000C9150000}"/>
    <cellStyle name="AggOrange9 2 3 3 2 20" xfId="5578" xr:uid="{00000000-0005-0000-0000-0000CA150000}"/>
    <cellStyle name="AggOrange9 2 3 3 2 21" xfId="5579" xr:uid="{00000000-0005-0000-0000-0000CB150000}"/>
    <cellStyle name="AggOrange9 2 3 3 2 22" xfId="5580" xr:uid="{00000000-0005-0000-0000-0000CC150000}"/>
    <cellStyle name="AggOrange9 2 3 3 2 23" xfId="5581" xr:uid="{00000000-0005-0000-0000-0000CD150000}"/>
    <cellStyle name="AggOrange9 2 3 3 2 24" xfId="5582" xr:uid="{00000000-0005-0000-0000-0000CE150000}"/>
    <cellStyle name="AggOrange9 2 3 3 2 25" xfId="5583" xr:uid="{00000000-0005-0000-0000-0000CF150000}"/>
    <cellStyle name="AggOrange9 2 3 3 2 26" xfId="5584" xr:uid="{00000000-0005-0000-0000-0000D0150000}"/>
    <cellStyle name="AggOrange9 2 3 3 2 27" xfId="5585" xr:uid="{00000000-0005-0000-0000-0000D1150000}"/>
    <cellStyle name="AggOrange9 2 3 3 2 28" xfId="5586" xr:uid="{00000000-0005-0000-0000-0000D2150000}"/>
    <cellStyle name="AggOrange9 2 3 3 2 29" xfId="5587" xr:uid="{00000000-0005-0000-0000-0000D3150000}"/>
    <cellStyle name="AggOrange9 2 3 3 2 3" xfId="5588" xr:uid="{00000000-0005-0000-0000-0000D4150000}"/>
    <cellStyle name="AggOrange9 2 3 3 2 30" xfId="5589" xr:uid="{00000000-0005-0000-0000-0000D5150000}"/>
    <cellStyle name="AggOrange9 2 3 3 2 31" xfId="5590" xr:uid="{00000000-0005-0000-0000-0000D6150000}"/>
    <cellStyle name="AggOrange9 2 3 3 2 32" xfId="5591" xr:uid="{00000000-0005-0000-0000-0000D7150000}"/>
    <cellStyle name="AggOrange9 2 3 3 2 33" xfId="5592" xr:uid="{00000000-0005-0000-0000-0000D8150000}"/>
    <cellStyle name="AggOrange9 2 3 3 2 34" xfId="5593" xr:uid="{00000000-0005-0000-0000-0000D9150000}"/>
    <cellStyle name="AggOrange9 2 3 3 2 35" xfId="5594" xr:uid="{00000000-0005-0000-0000-0000DA150000}"/>
    <cellStyle name="AggOrange9 2 3 3 2 36" xfId="5595" xr:uid="{00000000-0005-0000-0000-0000DB150000}"/>
    <cellStyle name="AggOrange9 2 3 3 2 37" xfId="5596" xr:uid="{00000000-0005-0000-0000-0000DC150000}"/>
    <cellStyle name="AggOrange9 2 3 3 2 38" xfId="5597" xr:uid="{00000000-0005-0000-0000-0000DD150000}"/>
    <cellStyle name="AggOrange9 2 3 3 2 39" xfId="5598" xr:uid="{00000000-0005-0000-0000-0000DE150000}"/>
    <cellStyle name="AggOrange9 2 3 3 2 4" xfId="5599" xr:uid="{00000000-0005-0000-0000-0000DF150000}"/>
    <cellStyle name="AggOrange9 2 3 3 2 40" xfId="5600" xr:uid="{00000000-0005-0000-0000-0000E0150000}"/>
    <cellStyle name="AggOrange9 2 3 3 2 41" xfId="5601" xr:uid="{00000000-0005-0000-0000-0000E1150000}"/>
    <cellStyle name="AggOrange9 2 3 3 2 42" xfId="5602" xr:uid="{00000000-0005-0000-0000-0000E2150000}"/>
    <cellStyle name="AggOrange9 2 3 3 2 43" xfId="5603" xr:uid="{00000000-0005-0000-0000-0000E3150000}"/>
    <cellStyle name="AggOrange9 2 3 3 2 44" xfId="5604" xr:uid="{00000000-0005-0000-0000-0000E4150000}"/>
    <cellStyle name="AggOrange9 2 3 3 2 45" xfId="5605" xr:uid="{00000000-0005-0000-0000-0000E5150000}"/>
    <cellStyle name="AggOrange9 2 3 3 2 46" xfId="5606" xr:uid="{00000000-0005-0000-0000-0000E6150000}"/>
    <cellStyle name="AggOrange9 2 3 3 2 47" xfId="5607" xr:uid="{00000000-0005-0000-0000-0000E7150000}"/>
    <cellStyle name="AggOrange9 2 3 3 2 48" xfId="5608" xr:uid="{00000000-0005-0000-0000-0000E8150000}"/>
    <cellStyle name="AggOrange9 2 3 3 2 49" xfId="5609" xr:uid="{00000000-0005-0000-0000-0000E9150000}"/>
    <cellStyle name="AggOrange9 2 3 3 2 5" xfId="5610" xr:uid="{00000000-0005-0000-0000-0000EA150000}"/>
    <cellStyle name="AggOrange9 2 3 3 2 50" xfId="5611" xr:uid="{00000000-0005-0000-0000-0000EB150000}"/>
    <cellStyle name="AggOrange9 2 3 3 2 51" xfId="5612" xr:uid="{00000000-0005-0000-0000-0000EC150000}"/>
    <cellStyle name="AggOrange9 2 3 3 2 52" xfId="5613" xr:uid="{00000000-0005-0000-0000-0000ED150000}"/>
    <cellStyle name="AggOrange9 2 3 3 2 53" xfId="5614" xr:uid="{00000000-0005-0000-0000-0000EE150000}"/>
    <cellStyle name="AggOrange9 2 3 3 2 54" xfId="5615" xr:uid="{00000000-0005-0000-0000-0000EF150000}"/>
    <cellStyle name="AggOrange9 2 3 3 2 55" xfId="5616" xr:uid="{00000000-0005-0000-0000-0000F0150000}"/>
    <cellStyle name="AggOrange9 2 3 3 2 56" xfId="5617" xr:uid="{00000000-0005-0000-0000-0000F1150000}"/>
    <cellStyle name="AggOrange9 2 3 3 2 57" xfId="5618" xr:uid="{00000000-0005-0000-0000-0000F2150000}"/>
    <cellStyle name="AggOrange9 2 3 3 2 58" xfId="5619" xr:uid="{00000000-0005-0000-0000-0000F3150000}"/>
    <cellStyle name="AggOrange9 2 3 3 2 59" xfId="5620" xr:uid="{00000000-0005-0000-0000-0000F4150000}"/>
    <cellStyle name="AggOrange9 2 3 3 2 6" xfId="5621" xr:uid="{00000000-0005-0000-0000-0000F5150000}"/>
    <cellStyle name="AggOrange9 2 3 3 2 60" xfId="5622" xr:uid="{00000000-0005-0000-0000-0000F6150000}"/>
    <cellStyle name="AggOrange9 2 3 3 2 61" xfId="5623" xr:uid="{00000000-0005-0000-0000-0000F7150000}"/>
    <cellStyle name="AggOrange9 2 3 3 2 62" xfId="5624" xr:uid="{00000000-0005-0000-0000-0000F8150000}"/>
    <cellStyle name="AggOrange9 2 3 3 2 63" xfId="5625" xr:uid="{00000000-0005-0000-0000-0000F9150000}"/>
    <cellStyle name="AggOrange9 2 3 3 2 64" xfId="5626" xr:uid="{00000000-0005-0000-0000-0000FA150000}"/>
    <cellStyle name="AggOrange9 2 3 3 2 65" xfId="5627" xr:uid="{00000000-0005-0000-0000-0000FB150000}"/>
    <cellStyle name="AggOrange9 2 3 3 2 7" xfId="5628" xr:uid="{00000000-0005-0000-0000-0000FC150000}"/>
    <cellStyle name="AggOrange9 2 3 3 2 8" xfId="5629" xr:uid="{00000000-0005-0000-0000-0000FD150000}"/>
    <cellStyle name="AggOrange9 2 3 3 2 9" xfId="5630" xr:uid="{00000000-0005-0000-0000-0000FE150000}"/>
    <cellStyle name="AggOrange9 2 3 3 20" xfId="5631" xr:uid="{00000000-0005-0000-0000-0000FF150000}"/>
    <cellStyle name="AggOrange9 2 3 3 21" xfId="5632" xr:uid="{00000000-0005-0000-0000-000000160000}"/>
    <cellStyle name="AggOrange9 2 3 3 22" xfId="5633" xr:uid="{00000000-0005-0000-0000-000001160000}"/>
    <cellStyle name="AggOrange9 2 3 3 23" xfId="5634" xr:uid="{00000000-0005-0000-0000-000002160000}"/>
    <cellStyle name="AggOrange9 2 3 3 24" xfId="5635" xr:uid="{00000000-0005-0000-0000-000003160000}"/>
    <cellStyle name="AggOrange9 2 3 3 25" xfId="5636" xr:uid="{00000000-0005-0000-0000-000004160000}"/>
    <cellStyle name="AggOrange9 2 3 3 26" xfId="5637" xr:uid="{00000000-0005-0000-0000-000005160000}"/>
    <cellStyle name="AggOrange9 2 3 3 27" xfId="5638" xr:uid="{00000000-0005-0000-0000-000006160000}"/>
    <cellStyle name="AggOrange9 2 3 3 28" xfId="5639" xr:uid="{00000000-0005-0000-0000-000007160000}"/>
    <cellStyle name="AggOrange9 2 3 3 29" xfId="5640" xr:uid="{00000000-0005-0000-0000-000008160000}"/>
    <cellStyle name="AggOrange9 2 3 3 3" xfId="5641" xr:uid="{00000000-0005-0000-0000-000009160000}"/>
    <cellStyle name="AggOrange9 2 3 3 30" xfId="5642" xr:uid="{00000000-0005-0000-0000-00000A160000}"/>
    <cellStyle name="AggOrange9 2 3 3 31" xfId="5643" xr:uid="{00000000-0005-0000-0000-00000B160000}"/>
    <cellStyle name="AggOrange9 2 3 3 32" xfId="5644" xr:uid="{00000000-0005-0000-0000-00000C160000}"/>
    <cellStyle name="AggOrange9 2 3 3 33" xfId="5645" xr:uid="{00000000-0005-0000-0000-00000D160000}"/>
    <cellStyle name="AggOrange9 2 3 3 34" xfId="5646" xr:uid="{00000000-0005-0000-0000-00000E160000}"/>
    <cellStyle name="AggOrange9 2 3 3 35" xfId="5647" xr:uid="{00000000-0005-0000-0000-00000F160000}"/>
    <cellStyle name="AggOrange9 2 3 3 36" xfId="5648" xr:uid="{00000000-0005-0000-0000-000010160000}"/>
    <cellStyle name="AggOrange9 2 3 3 37" xfId="5649" xr:uid="{00000000-0005-0000-0000-000011160000}"/>
    <cellStyle name="AggOrange9 2 3 3 38" xfId="5650" xr:uid="{00000000-0005-0000-0000-000012160000}"/>
    <cellStyle name="AggOrange9 2 3 3 39" xfId="5651" xr:uid="{00000000-0005-0000-0000-000013160000}"/>
    <cellStyle name="AggOrange9 2 3 3 4" xfId="5652" xr:uid="{00000000-0005-0000-0000-000014160000}"/>
    <cellStyle name="AggOrange9 2 3 3 40" xfId="5653" xr:uid="{00000000-0005-0000-0000-000015160000}"/>
    <cellStyle name="AggOrange9 2 3 3 41" xfId="5654" xr:uid="{00000000-0005-0000-0000-000016160000}"/>
    <cellStyle name="AggOrange9 2 3 3 42" xfId="5655" xr:uid="{00000000-0005-0000-0000-000017160000}"/>
    <cellStyle name="AggOrange9 2 3 3 43" xfId="5656" xr:uid="{00000000-0005-0000-0000-000018160000}"/>
    <cellStyle name="AggOrange9 2 3 3 44" xfId="5657" xr:uid="{00000000-0005-0000-0000-000019160000}"/>
    <cellStyle name="AggOrange9 2 3 3 45" xfId="5658" xr:uid="{00000000-0005-0000-0000-00001A160000}"/>
    <cellStyle name="AggOrange9 2 3 3 46" xfId="5659" xr:uid="{00000000-0005-0000-0000-00001B160000}"/>
    <cellStyle name="AggOrange9 2 3 3 47" xfId="5660" xr:uid="{00000000-0005-0000-0000-00001C160000}"/>
    <cellStyle name="AggOrange9 2 3 3 48" xfId="5661" xr:uid="{00000000-0005-0000-0000-00001D160000}"/>
    <cellStyle name="AggOrange9 2 3 3 49" xfId="5662" xr:uid="{00000000-0005-0000-0000-00001E160000}"/>
    <cellStyle name="AggOrange9 2 3 3 5" xfId="5663" xr:uid="{00000000-0005-0000-0000-00001F160000}"/>
    <cellStyle name="AggOrange9 2 3 3 50" xfId="5664" xr:uid="{00000000-0005-0000-0000-000020160000}"/>
    <cellStyle name="AggOrange9 2 3 3 51" xfId="5665" xr:uid="{00000000-0005-0000-0000-000021160000}"/>
    <cellStyle name="AggOrange9 2 3 3 52" xfId="5666" xr:uid="{00000000-0005-0000-0000-000022160000}"/>
    <cellStyle name="AggOrange9 2 3 3 53" xfId="5667" xr:uid="{00000000-0005-0000-0000-000023160000}"/>
    <cellStyle name="AggOrange9 2 3 3 54" xfId="5668" xr:uid="{00000000-0005-0000-0000-000024160000}"/>
    <cellStyle name="AggOrange9 2 3 3 55" xfId="5669" xr:uid="{00000000-0005-0000-0000-000025160000}"/>
    <cellStyle name="AggOrange9 2 3 3 56" xfId="5670" xr:uid="{00000000-0005-0000-0000-000026160000}"/>
    <cellStyle name="AggOrange9 2 3 3 57" xfId="5671" xr:uid="{00000000-0005-0000-0000-000027160000}"/>
    <cellStyle name="AggOrange9 2 3 3 58" xfId="5672" xr:uid="{00000000-0005-0000-0000-000028160000}"/>
    <cellStyle name="AggOrange9 2 3 3 59" xfId="5673" xr:uid="{00000000-0005-0000-0000-000029160000}"/>
    <cellStyle name="AggOrange9 2 3 3 6" xfId="5674" xr:uid="{00000000-0005-0000-0000-00002A160000}"/>
    <cellStyle name="AggOrange9 2 3 3 60" xfId="5675" xr:uid="{00000000-0005-0000-0000-00002B160000}"/>
    <cellStyle name="AggOrange9 2 3 3 61" xfId="5676" xr:uid="{00000000-0005-0000-0000-00002C160000}"/>
    <cellStyle name="AggOrange9 2 3 3 62" xfId="5677" xr:uid="{00000000-0005-0000-0000-00002D160000}"/>
    <cellStyle name="AggOrange9 2 3 3 63" xfId="5678" xr:uid="{00000000-0005-0000-0000-00002E160000}"/>
    <cellStyle name="AggOrange9 2 3 3 64" xfId="5679" xr:uid="{00000000-0005-0000-0000-00002F160000}"/>
    <cellStyle name="AggOrange9 2 3 3 65" xfId="5680" xr:uid="{00000000-0005-0000-0000-000030160000}"/>
    <cellStyle name="AggOrange9 2 3 3 66" xfId="5681" xr:uid="{00000000-0005-0000-0000-000031160000}"/>
    <cellStyle name="AggOrange9 2 3 3 7" xfId="5682" xr:uid="{00000000-0005-0000-0000-000032160000}"/>
    <cellStyle name="AggOrange9 2 3 3 8" xfId="5683" xr:uid="{00000000-0005-0000-0000-000033160000}"/>
    <cellStyle name="AggOrange9 2 3 3 9" xfId="5684" xr:uid="{00000000-0005-0000-0000-000034160000}"/>
    <cellStyle name="AggOrange9 2 3 30" xfId="5685" xr:uid="{00000000-0005-0000-0000-000035160000}"/>
    <cellStyle name="AggOrange9 2 3 31" xfId="5686" xr:uid="{00000000-0005-0000-0000-000036160000}"/>
    <cellStyle name="AggOrange9 2 3 32" xfId="5687" xr:uid="{00000000-0005-0000-0000-000037160000}"/>
    <cellStyle name="AggOrange9 2 3 33" xfId="5688" xr:uid="{00000000-0005-0000-0000-000038160000}"/>
    <cellStyle name="AggOrange9 2 3 34" xfId="5689" xr:uid="{00000000-0005-0000-0000-000039160000}"/>
    <cellStyle name="AggOrange9 2 3 35" xfId="5690" xr:uid="{00000000-0005-0000-0000-00003A160000}"/>
    <cellStyle name="AggOrange9 2 3 36" xfId="5691" xr:uid="{00000000-0005-0000-0000-00003B160000}"/>
    <cellStyle name="AggOrange9 2 3 37" xfId="5692" xr:uid="{00000000-0005-0000-0000-00003C160000}"/>
    <cellStyle name="AggOrange9 2 3 38" xfId="5693" xr:uid="{00000000-0005-0000-0000-00003D160000}"/>
    <cellStyle name="AggOrange9 2 3 39" xfId="5694" xr:uid="{00000000-0005-0000-0000-00003E160000}"/>
    <cellStyle name="AggOrange9 2 3 4" xfId="5695" xr:uid="{00000000-0005-0000-0000-00003F160000}"/>
    <cellStyle name="AggOrange9 2 3 4 10" xfId="5696" xr:uid="{00000000-0005-0000-0000-000040160000}"/>
    <cellStyle name="AggOrange9 2 3 4 11" xfId="5697" xr:uid="{00000000-0005-0000-0000-000041160000}"/>
    <cellStyle name="AggOrange9 2 3 4 12" xfId="5698" xr:uid="{00000000-0005-0000-0000-000042160000}"/>
    <cellStyle name="AggOrange9 2 3 4 13" xfId="5699" xr:uid="{00000000-0005-0000-0000-000043160000}"/>
    <cellStyle name="AggOrange9 2 3 4 14" xfId="5700" xr:uid="{00000000-0005-0000-0000-000044160000}"/>
    <cellStyle name="AggOrange9 2 3 4 15" xfId="5701" xr:uid="{00000000-0005-0000-0000-000045160000}"/>
    <cellStyle name="AggOrange9 2 3 4 16" xfId="5702" xr:uid="{00000000-0005-0000-0000-000046160000}"/>
    <cellStyle name="AggOrange9 2 3 4 17" xfId="5703" xr:uid="{00000000-0005-0000-0000-000047160000}"/>
    <cellStyle name="AggOrange9 2 3 4 18" xfId="5704" xr:uid="{00000000-0005-0000-0000-000048160000}"/>
    <cellStyle name="AggOrange9 2 3 4 19" xfId="5705" xr:uid="{00000000-0005-0000-0000-000049160000}"/>
    <cellStyle name="AggOrange9 2 3 4 2" xfId="5706" xr:uid="{00000000-0005-0000-0000-00004A160000}"/>
    <cellStyle name="AggOrange9 2 3 4 2 10" xfId="5707" xr:uid="{00000000-0005-0000-0000-00004B160000}"/>
    <cellStyle name="AggOrange9 2 3 4 2 11" xfId="5708" xr:uid="{00000000-0005-0000-0000-00004C160000}"/>
    <cellStyle name="AggOrange9 2 3 4 2 12" xfId="5709" xr:uid="{00000000-0005-0000-0000-00004D160000}"/>
    <cellStyle name="AggOrange9 2 3 4 2 13" xfId="5710" xr:uid="{00000000-0005-0000-0000-00004E160000}"/>
    <cellStyle name="AggOrange9 2 3 4 2 14" xfId="5711" xr:uid="{00000000-0005-0000-0000-00004F160000}"/>
    <cellStyle name="AggOrange9 2 3 4 2 15" xfId="5712" xr:uid="{00000000-0005-0000-0000-000050160000}"/>
    <cellStyle name="AggOrange9 2 3 4 2 16" xfId="5713" xr:uid="{00000000-0005-0000-0000-000051160000}"/>
    <cellStyle name="AggOrange9 2 3 4 2 17" xfId="5714" xr:uid="{00000000-0005-0000-0000-000052160000}"/>
    <cellStyle name="AggOrange9 2 3 4 2 18" xfId="5715" xr:uid="{00000000-0005-0000-0000-000053160000}"/>
    <cellStyle name="AggOrange9 2 3 4 2 19" xfId="5716" xr:uid="{00000000-0005-0000-0000-000054160000}"/>
    <cellStyle name="AggOrange9 2 3 4 2 2" xfId="5717" xr:uid="{00000000-0005-0000-0000-000055160000}"/>
    <cellStyle name="AggOrange9 2 3 4 2 20" xfId="5718" xr:uid="{00000000-0005-0000-0000-000056160000}"/>
    <cellStyle name="AggOrange9 2 3 4 2 21" xfId="5719" xr:uid="{00000000-0005-0000-0000-000057160000}"/>
    <cellStyle name="AggOrange9 2 3 4 2 22" xfId="5720" xr:uid="{00000000-0005-0000-0000-000058160000}"/>
    <cellStyle name="AggOrange9 2 3 4 2 23" xfId="5721" xr:uid="{00000000-0005-0000-0000-000059160000}"/>
    <cellStyle name="AggOrange9 2 3 4 2 24" xfId="5722" xr:uid="{00000000-0005-0000-0000-00005A160000}"/>
    <cellStyle name="AggOrange9 2 3 4 2 25" xfId="5723" xr:uid="{00000000-0005-0000-0000-00005B160000}"/>
    <cellStyle name="AggOrange9 2 3 4 2 26" xfId="5724" xr:uid="{00000000-0005-0000-0000-00005C160000}"/>
    <cellStyle name="AggOrange9 2 3 4 2 27" xfId="5725" xr:uid="{00000000-0005-0000-0000-00005D160000}"/>
    <cellStyle name="AggOrange9 2 3 4 2 28" xfId="5726" xr:uid="{00000000-0005-0000-0000-00005E160000}"/>
    <cellStyle name="AggOrange9 2 3 4 2 29" xfId="5727" xr:uid="{00000000-0005-0000-0000-00005F160000}"/>
    <cellStyle name="AggOrange9 2 3 4 2 3" xfId="5728" xr:uid="{00000000-0005-0000-0000-000060160000}"/>
    <cellStyle name="AggOrange9 2 3 4 2 30" xfId="5729" xr:uid="{00000000-0005-0000-0000-000061160000}"/>
    <cellStyle name="AggOrange9 2 3 4 2 31" xfId="5730" xr:uid="{00000000-0005-0000-0000-000062160000}"/>
    <cellStyle name="AggOrange9 2 3 4 2 32" xfId="5731" xr:uid="{00000000-0005-0000-0000-000063160000}"/>
    <cellStyle name="AggOrange9 2 3 4 2 33" xfId="5732" xr:uid="{00000000-0005-0000-0000-000064160000}"/>
    <cellStyle name="AggOrange9 2 3 4 2 34" xfId="5733" xr:uid="{00000000-0005-0000-0000-000065160000}"/>
    <cellStyle name="AggOrange9 2 3 4 2 35" xfId="5734" xr:uid="{00000000-0005-0000-0000-000066160000}"/>
    <cellStyle name="AggOrange9 2 3 4 2 36" xfId="5735" xr:uid="{00000000-0005-0000-0000-000067160000}"/>
    <cellStyle name="AggOrange9 2 3 4 2 37" xfId="5736" xr:uid="{00000000-0005-0000-0000-000068160000}"/>
    <cellStyle name="AggOrange9 2 3 4 2 38" xfId="5737" xr:uid="{00000000-0005-0000-0000-000069160000}"/>
    <cellStyle name="AggOrange9 2 3 4 2 39" xfId="5738" xr:uid="{00000000-0005-0000-0000-00006A160000}"/>
    <cellStyle name="AggOrange9 2 3 4 2 4" xfId="5739" xr:uid="{00000000-0005-0000-0000-00006B160000}"/>
    <cellStyle name="AggOrange9 2 3 4 2 40" xfId="5740" xr:uid="{00000000-0005-0000-0000-00006C160000}"/>
    <cellStyle name="AggOrange9 2 3 4 2 41" xfId="5741" xr:uid="{00000000-0005-0000-0000-00006D160000}"/>
    <cellStyle name="AggOrange9 2 3 4 2 42" xfId="5742" xr:uid="{00000000-0005-0000-0000-00006E160000}"/>
    <cellStyle name="AggOrange9 2 3 4 2 43" xfId="5743" xr:uid="{00000000-0005-0000-0000-00006F160000}"/>
    <cellStyle name="AggOrange9 2 3 4 2 44" xfId="5744" xr:uid="{00000000-0005-0000-0000-000070160000}"/>
    <cellStyle name="AggOrange9 2 3 4 2 45" xfId="5745" xr:uid="{00000000-0005-0000-0000-000071160000}"/>
    <cellStyle name="AggOrange9 2 3 4 2 46" xfId="5746" xr:uid="{00000000-0005-0000-0000-000072160000}"/>
    <cellStyle name="AggOrange9 2 3 4 2 47" xfId="5747" xr:uid="{00000000-0005-0000-0000-000073160000}"/>
    <cellStyle name="AggOrange9 2 3 4 2 48" xfId="5748" xr:uid="{00000000-0005-0000-0000-000074160000}"/>
    <cellStyle name="AggOrange9 2 3 4 2 49" xfId="5749" xr:uid="{00000000-0005-0000-0000-000075160000}"/>
    <cellStyle name="AggOrange9 2 3 4 2 5" xfId="5750" xr:uid="{00000000-0005-0000-0000-000076160000}"/>
    <cellStyle name="AggOrange9 2 3 4 2 50" xfId="5751" xr:uid="{00000000-0005-0000-0000-000077160000}"/>
    <cellStyle name="AggOrange9 2 3 4 2 51" xfId="5752" xr:uid="{00000000-0005-0000-0000-000078160000}"/>
    <cellStyle name="AggOrange9 2 3 4 2 52" xfId="5753" xr:uid="{00000000-0005-0000-0000-000079160000}"/>
    <cellStyle name="AggOrange9 2 3 4 2 53" xfId="5754" xr:uid="{00000000-0005-0000-0000-00007A160000}"/>
    <cellStyle name="AggOrange9 2 3 4 2 54" xfId="5755" xr:uid="{00000000-0005-0000-0000-00007B160000}"/>
    <cellStyle name="AggOrange9 2 3 4 2 55" xfId="5756" xr:uid="{00000000-0005-0000-0000-00007C160000}"/>
    <cellStyle name="AggOrange9 2 3 4 2 56" xfId="5757" xr:uid="{00000000-0005-0000-0000-00007D160000}"/>
    <cellStyle name="AggOrange9 2 3 4 2 57" xfId="5758" xr:uid="{00000000-0005-0000-0000-00007E160000}"/>
    <cellStyle name="AggOrange9 2 3 4 2 58" xfId="5759" xr:uid="{00000000-0005-0000-0000-00007F160000}"/>
    <cellStyle name="AggOrange9 2 3 4 2 59" xfId="5760" xr:uid="{00000000-0005-0000-0000-000080160000}"/>
    <cellStyle name="AggOrange9 2 3 4 2 6" xfId="5761" xr:uid="{00000000-0005-0000-0000-000081160000}"/>
    <cellStyle name="AggOrange9 2 3 4 2 60" xfId="5762" xr:uid="{00000000-0005-0000-0000-000082160000}"/>
    <cellStyle name="AggOrange9 2 3 4 2 61" xfId="5763" xr:uid="{00000000-0005-0000-0000-000083160000}"/>
    <cellStyle name="AggOrange9 2 3 4 2 62" xfId="5764" xr:uid="{00000000-0005-0000-0000-000084160000}"/>
    <cellStyle name="AggOrange9 2 3 4 2 63" xfId="5765" xr:uid="{00000000-0005-0000-0000-000085160000}"/>
    <cellStyle name="AggOrange9 2 3 4 2 64" xfId="5766" xr:uid="{00000000-0005-0000-0000-000086160000}"/>
    <cellStyle name="AggOrange9 2 3 4 2 65" xfId="5767" xr:uid="{00000000-0005-0000-0000-000087160000}"/>
    <cellStyle name="AggOrange9 2 3 4 2 7" xfId="5768" xr:uid="{00000000-0005-0000-0000-000088160000}"/>
    <cellStyle name="AggOrange9 2 3 4 2 8" xfId="5769" xr:uid="{00000000-0005-0000-0000-000089160000}"/>
    <cellStyle name="AggOrange9 2 3 4 2 9" xfId="5770" xr:uid="{00000000-0005-0000-0000-00008A160000}"/>
    <cellStyle name="AggOrange9 2 3 4 20" xfId="5771" xr:uid="{00000000-0005-0000-0000-00008B160000}"/>
    <cellStyle name="AggOrange9 2 3 4 21" xfId="5772" xr:uid="{00000000-0005-0000-0000-00008C160000}"/>
    <cellStyle name="AggOrange9 2 3 4 22" xfId="5773" xr:uid="{00000000-0005-0000-0000-00008D160000}"/>
    <cellStyle name="AggOrange9 2 3 4 23" xfId="5774" xr:uid="{00000000-0005-0000-0000-00008E160000}"/>
    <cellStyle name="AggOrange9 2 3 4 24" xfId="5775" xr:uid="{00000000-0005-0000-0000-00008F160000}"/>
    <cellStyle name="AggOrange9 2 3 4 25" xfId="5776" xr:uid="{00000000-0005-0000-0000-000090160000}"/>
    <cellStyle name="AggOrange9 2 3 4 26" xfId="5777" xr:uid="{00000000-0005-0000-0000-000091160000}"/>
    <cellStyle name="AggOrange9 2 3 4 27" xfId="5778" xr:uid="{00000000-0005-0000-0000-000092160000}"/>
    <cellStyle name="AggOrange9 2 3 4 28" xfId="5779" xr:uid="{00000000-0005-0000-0000-000093160000}"/>
    <cellStyle name="AggOrange9 2 3 4 29" xfId="5780" xr:uid="{00000000-0005-0000-0000-000094160000}"/>
    <cellStyle name="AggOrange9 2 3 4 3" xfId="5781" xr:uid="{00000000-0005-0000-0000-000095160000}"/>
    <cellStyle name="AggOrange9 2 3 4 30" xfId="5782" xr:uid="{00000000-0005-0000-0000-000096160000}"/>
    <cellStyle name="AggOrange9 2 3 4 31" xfId="5783" xr:uid="{00000000-0005-0000-0000-000097160000}"/>
    <cellStyle name="AggOrange9 2 3 4 32" xfId="5784" xr:uid="{00000000-0005-0000-0000-000098160000}"/>
    <cellStyle name="AggOrange9 2 3 4 33" xfId="5785" xr:uid="{00000000-0005-0000-0000-000099160000}"/>
    <cellStyle name="AggOrange9 2 3 4 34" xfId="5786" xr:uid="{00000000-0005-0000-0000-00009A160000}"/>
    <cellStyle name="AggOrange9 2 3 4 35" xfId="5787" xr:uid="{00000000-0005-0000-0000-00009B160000}"/>
    <cellStyle name="AggOrange9 2 3 4 36" xfId="5788" xr:uid="{00000000-0005-0000-0000-00009C160000}"/>
    <cellStyle name="AggOrange9 2 3 4 37" xfId="5789" xr:uid="{00000000-0005-0000-0000-00009D160000}"/>
    <cellStyle name="AggOrange9 2 3 4 38" xfId="5790" xr:uid="{00000000-0005-0000-0000-00009E160000}"/>
    <cellStyle name="AggOrange9 2 3 4 39" xfId="5791" xr:uid="{00000000-0005-0000-0000-00009F160000}"/>
    <cellStyle name="AggOrange9 2 3 4 4" xfId="5792" xr:uid="{00000000-0005-0000-0000-0000A0160000}"/>
    <cellStyle name="AggOrange9 2 3 4 40" xfId="5793" xr:uid="{00000000-0005-0000-0000-0000A1160000}"/>
    <cellStyle name="AggOrange9 2 3 4 41" xfId="5794" xr:uid="{00000000-0005-0000-0000-0000A2160000}"/>
    <cellStyle name="AggOrange9 2 3 4 42" xfId="5795" xr:uid="{00000000-0005-0000-0000-0000A3160000}"/>
    <cellStyle name="AggOrange9 2 3 4 43" xfId="5796" xr:uid="{00000000-0005-0000-0000-0000A4160000}"/>
    <cellStyle name="AggOrange9 2 3 4 44" xfId="5797" xr:uid="{00000000-0005-0000-0000-0000A5160000}"/>
    <cellStyle name="AggOrange9 2 3 4 45" xfId="5798" xr:uid="{00000000-0005-0000-0000-0000A6160000}"/>
    <cellStyle name="AggOrange9 2 3 4 46" xfId="5799" xr:uid="{00000000-0005-0000-0000-0000A7160000}"/>
    <cellStyle name="AggOrange9 2 3 4 47" xfId="5800" xr:uid="{00000000-0005-0000-0000-0000A8160000}"/>
    <cellStyle name="AggOrange9 2 3 4 48" xfId="5801" xr:uid="{00000000-0005-0000-0000-0000A9160000}"/>
    <cellStyle name="AggOrange9 2 3 4 49" xfId="5802" xr:uid="{00000000-0005-0000-0000-0000AA160000}"/>
    <cellStyle name="AggOrange9 2 3 4 5" xfId="5803" xr:uid="{00000000-0005-0000-0000-0000AB160000}"/>
    <cellStyle name="AggOrange9 2 3 4 50" xfId="5804" xr:uid="{00000000-0005-0000-0000-0000AC160000}"/>
    <cellStyle name="AggOrange9 2 3 4 51" xfId="5805" xr:uid="{00000000-0005-0000-0000-0000AD160000}"/>
    <cellStyle name="AggOrange9 2 3 4 52" xfId="5806" xr:uid="{00000000-0005-0000-0000-0000AE160000}"/>
    <cellStyle name="AggOrange9 2 3 4 53" xfId="5807" xr:uid="{00000000-0005-0000-0000-0000AF160000}"/>
    <cellStyle name="AggOrange9 2 3 4 54" xfId="5808" xr:uid="{00000000-0005-0000-0000-0000B0160000}"/>
    <cellStyle name="AggOrange9 2 3 4 55" xfId="5809" xr:uid="{00000000-0005-0000-0000-0000B1160000}"/>
    <cellStyle name="AggOrange9 2 3 4 56" xfId="5810" xr:uid="{00000000-0005-0000-0000-0000B2160000}"/>
    <cellStyle name="AggOrange9 2 3 4 57" xfId="5811" xr:uid="{00000000-0005-0000-0000-0000B3160000}"/>
    <cellStyle name="AggOrange9 2 3 4 58" xfId="5812" xr:uid="{00000000-0005-0000-0000-0000B4160000}"/>
    <cellStyle name="AggOrange9 2 3 4 59" xfId="5813" xr:uid="{00000000-0005-0000-0000-0000B5160000}"/>
    <cellStyle name="AggOrange9 2 3 4 6" xfId="5814" xr:uid="{00000000-0005-0000-0000-0000B6160000}"/>
    <cellStyle name="AggOrange9 2 3 4 60" xfId="5815" xr:uid="{00000000-0005-0000-0000-0000B7160000}"/>
    <cellStyle name="AggOrange9 2 3 4 61" xfId="5816" xr:uid="{00000000-0005-0000-0000-0000B8160000}"/>
    <cellStyle name="AggOrange9 2 3 4 62" xfId="5817" xr:uid="{00000000-0005-0000-0000-0000B9160000}"/>
    <cellStyle name="AggOrange9 2 3 4 63" xfId="5818" xr:uid="{00000000-0005-0000-0000-0000BA160000}"/>
    <cellStyle name="AggOrange9 2 3 4 64" xfId="5819" xr:uid="{00000000-0005-0000-0000-0000BB160000}"/>
    <cellStyle name="AggOrange9 2 3 4 65" xfId="5820" xr:uid="{00000000-0005-0000-0000-0000BC160000}"/>
    <cellStyle name="AggOrange9 2 3 4 66" xfId="5821" xr:uid="{00000000-0005-0000-0000-0000BD160000}"/>
    <cellStyle name="AggOrange9 2 3 4 7" xfId="5822" xr:uid="{00000000-0005-0000-0000-0000BE160000}"/>
    <cellStyle name="AggOrange9 2 3 4 8" xfId="5823" xr:uid="{00000000-0005-0000-0000-0000BF160000}"/>
    <cellStyle name="AggOrange9 2 3 4 9" xfId="5824" xr:uid="{00000000-0005-0000-0000-0000C0160000}"/>
    <cellStyle name="AggOrange9 2 3 40" xfId="5825" xr:uid="{00000000-0005-0000-0000-0000C1160000}"/>
    <cellStyle name="AggOrange9 2 3 41" xfId="5826" xr:uid="{00000000-0005-0000-0000-0000C2160000}"/>
    <cellStyle name="AggOrange9 2 3 42" xfId="5827" xr:uid="{00000000-0005-0000-0000-0000C3160000}"/>
    <cellStyle name="AggOrange9 2 3 43" xfId="5828" xr:uid="{00000000-0005-0000-0000-0000C4160000}"/>
    <cellStyle name="AggOrange9 2 3 44" xfId="5829" xr:uid="{00000000-0005-0000-0000-0000C5160000}"/>
    <cellStyle name="AggOrange9 2 3 45" xfId="5830" xr:uid="{00000000-0005-0000-0000-0000C6160000}"/>
    <cellStyle name="AggOrange9 2 3 46" xfId="5831" xr:uid="{00000000-0005-0000-0000-0000C7160000}"/>
    <cellStyle name="AggOrange9 2 3 47" xfId="5832" xr:uid="{00000000-0005-0000-0000-0000C8160000}"/>
    <cellStyle name="AggOrange9 2 3 48" xfId="5833" xr:uid="{00000000-0005-0000-0000-0000C9160000}"/>
    <cellStyle name="AggOrange9 2 3 49" xfId="5834" xr:uid="{00000000-0005-0000-0000-0000CA160000}"/>
    <cellStyle name="AggOrange9 2 3 5" xfId="5835" xr:uid="{00000000-0005-0000-0000-0000CB160000}"/>
    <cellStyle name="AggOrange9 2 3 50" xfId="5836" xr:uid="{00000000-0005-0000-0000-0000CC160000}"/>
    <cellStyle name="AggOrange9 2 3 51" xfId="5837" xr:uid="{00000000-0005-0000-0000-0000CD160000}"/>
    <cellStyle name="AggOrange9 2 3 52" xfId="5838" xr:uid="{00000000-0005-0000-0000-0000CE160000}"/>
    <cellStyle name="AggOrange9 2 3 53" xfId="5839" xr:uid="{00000000-0005-0000-0000-0000CF160000}"/>
    <cellStyle name="AggOrange9 2 3 54" xfId="5840" xr:uid="{00000000-0005-0000-0000-0000D0160000}"/>
    <cellStyle name="AggOrange9 2 3 55" xfId="5841" xr:uid="{00000000-0005-0000-0000-0000D1160000}"/>
    <cellStyle name="AggOrange9 2 3 56" xfId="5842" xr:uid="{00000000-0005-0000-0000-0000D2160000}"/>
    <cellStyle name="AggOrange9 2 3 57" xfId="5843" xr:uid="{00000000-0005-0000-0000-0000D3160000}"/>
    <cellStyle name="AggOrange9 2 3 58" xfId="5844" xr:uid="{00000000-0005-0000-0000-0000D4160000}"/>
    <cellStyle name="AggOrange9 2 3 59" xfId="5845" xr:uid="{00000000-0005-0000-0000-0000D5160000}"/>
    <cellStyle name="AggOrange9 2 3 6" xfId="5846" xr:uid="{00000000-0005-0000-0000-0000D6160000}"/>
    <cellStyle name="AggOrange9 2 3 60" xfId="5847" xr:uid="{00000000-0005-0000-0000-0000D7160000}"/>
    <cellStyle name="AggOrange9 2 3 61" xfId="5848" xr:uid="{00000000-0005-0000-0000-0000D8160000}"/>
    <cellStyle name="AggOrange9 2 3 62" xfId="5849" xr:uid="{00000000-0005-0000-0000-0000D9160000}"/>
    <cellStyle name="AggOrange9 2 3 63" xfId="5850" xr:uid="{00000000-0005-0000-0000-0000DA160000}"/>
    <cellStyle name="AggOrange9 2 3 64" xfId="5851" xr:uid="{00000000-0005-0000-0000-0000DB160000}"/>
    <cellStyle name="AggOrange9 2 3 65" xfId="5852" xr:uid="{00000000-0005-0000-0000-0000DC160000}"/>
    <cellStyle name="AggOrange9 2 3 66" xfId="5853" xr:uid="{00000000-0005-0000-0000-0000DD160000}"/>
    <cellStyle name="AggOrange9 2 3 67" xfId="5854" xr:uid="{00000000-0005-0000-0000-0000DE160000}"/>
    <cellStyle name="AggOrange9 2 3 68" xfId="5855" xr:uid="{00000000-0005-0000-0000-0000DF160000}"/>
    <cellStyle name="AggOrange9 2 3 7" xfId="5856" xr:uid="{00000000-0005-0000-0000-0000E0160000}"/>
    <cellStyle name="AggOrange9 2 3 8" xfId="5857" xr:uid="{00000000-0005-0000-0000-0000E1160000}"/>
    <cellStyle name="AggOrange9 2 3 9" xfId="5858" xr:uid="{00000000-0005-0000-0000-0000E2160000}"/>
    <cellStyle name="AggOrange9 3" xfId="5859" xr:uid="{00000000-0005-0000-0000-0000E3160000}"/>
    <cellStyle name="AggOrange9 3 2" xfId="5860" xr:uid="{00000000-0005-0000-0000-0000E4160000}"/>
    <cellStyle name="AggOrange9 3 2 10" xfId="5861" xr:uid="{00000000-0005-0000-0000-0000E5160000}"/>
    <cellStyle name="AggOrange9 3 2 11" xfId="5862" xr:uid="{00000000-0005-0000-0000-0000E6160000}"/>
    <cellStyle name="AggOrange9 3 2 12" xfId="5863" xr:uid="{00000000-0005-0000-0000-0000E7160000}"/>
    <cellStyle name="AggOrange9 3 2 13" xfId="5864" xr:uid="{00000000-0005-0000-0000-0000E8160000}"/>
    <cellStyle name="AggOrange9 3 2 14" xfId="5865" xr:uid="{00000000-0005-0000-0000-0000E9160000}"/>
    <cellStyle name="AggOrange9 3 2 15" xfId="5866" xr:uid="{00000000-0005-0000-0000-0000EA160000}"/>
    <cellStyle name="AggOrange9 3 2 16" xfId="5867" xr:uid="{00000000-0005-0000-0000-0000EB160000}"/>
    <cellStyle name="AggOrange9 3 2 17" xfId="5868" xr:uid="{00000000-0005-0000-0000-0000EC160000}"/>
    <cellStyle name="AggOrange9 3 2 18" xfId="5869" xr:uid="{00000000-0005-0000-0000-0000ED160000}"/>
    <cellStyle name="AggOrange9 3 2 19" xfId="5870" xr:uid="{00000000-0005-0000-0000-0000EE160000}"/>
    <cellStyle name="AggOrange9 3 2 2" xfId="5871" xr:uid="{00000000-0005-0000-0000-0000EF160000}"/>
    <cellStyle name="AggOrange9 3 2 2 10" xfId="5872" xr:uid="{00000000-0005-0000-0000-0000F0160000}"/>
    <cellStyle name="AggOrange9 3 2 2 11" xfId="5873" xr:uid="{00000000-0005-0000-0000-0000F1160000}"/>
    <cellStyle name="AggOrange9 3 2 2 12" xfId="5874" xr:uid="{00000000-0005-0000-0000-0000F2160000}"/>
    <cellStyle name="AggOrange9 3 2 2 13" xfId="5875" xr:uid="{00000000-0005-0000-0000-0000F3160000}"/>
    <cellStyle name="AggOrange9 3 2 2 14" xfId="5876" xr:uid="{00000000-0005-0000-0000-0000F4160000}"/>
    <cellStyle name="AggOrange9 3 2 2 15" xfId="5877" xr:uid="{00000000-0005-0000-0000-0000F5160000}"/>
    <cellStyle name="AggOrange9 3 2 2 16" xfId="5878" xr:uid="{00000000-0005-0000-0000-0000F6160000}"/>
    <cellStyle name="AggOrange9 3 2 2 17" xfId="5879" xr:uid="{00000000-0005-0000-0000-0000F7160000}"/>
    <cellStyle name="AggOrange9 3 2 2 18" xfId="5880" xr:uid="{00000000-0005-0000-0000-0000F8160000}"/>
    <cellStyle name="AggOrange9 3 2 2 19" xfId="5881" xr:uid="{00000000-0005-0000-0000-0000F9160000}"/>
    <cellStyle name="AggOrange9 3 2 2 2" xfId="5882" xr:uid="{00000000-0005-0000-0000-0000FA160000}"/>
    <cellStyle name="AggOrange9 3 2 2 20" xfId="5883" xr:uid="{00000000-0005-0000-0000-0000FB160000}"/>
    <cellStyle name="AggOrange9 3 2 2 21" xfId="5884" xr:uid="{00000000-0005-0000-0000-0000FC160000}"/>
    <cellStyle name="AggOrange9 3 2 2 22" xfId="5885" xr:uid="{00000000-0005-0000-0000-0000FD160000}"/>
    <cellStyle name="AggOrange9 3 2 2 23" xfId="5886" xr:uid="{00000000-0005-0000-0000-0000FE160000}"/>
    <cellStyle name="AggOrange9 3 2 2 24" xfId="5887" xr:uid="{00000000-0005-0000-0000-0000FF160000}"/>
    <cellStyle name="AggOrange9 3 2 2 25" xfId="5888" xr:uid="{00000000-0005-0000-0000-000000170000}"/>
    <cellStyle name="AggOrange9 3 2 2 26" xfId="5889" xr:uid="{00000000-0005-0000-0000-000001170000}"/>
    <cellStyle name="AggOrange9 3 2 2 27" xfId="5890" xr:uid="{00000000-0005-0000-0000-000002170000}"/>
    <cellStyle name="AggOrange9 3 2 2 28" xfId="5891" xr:uid="{00000000-0005-0000-0000-000003170000}"/>
    <cellStyle name="AggOrange9 3 2 2 29" xfId="5892" xr:uid="{00000000-0005-0000-0000-000004170000}"/>
    <cellStyle name="AggOrange9 3 2 2 3" xfId="5893" xr:uid="{00000000-0005-0000-0000-000005170000}"/>
    <cellStyle name="AggOrange9 3 2 2 30" xfId="5894" xr:uid="{00000000-0005-0000-0000-000006170000}"/>
    <cellStyle name="AggOrange9 3 2 2 31" xfId="5895" xr:uid="{00000000-0005-0000-0000-000007170000}"/>
    <cellStyle name="AggOrange9 3 2 2 32" xfId="5896" xr:uid="{00000000-0005-0000-0000-000008170000}"/>
    <cellStyle name="AggOrange9 3 2 2 33" xfId="5897" xr:uid="{00000000-0005-0000-0000-000009170000}"/>
    <cellStyle name="AggOrange9 3 2 2 34" xfId="5898" xr:uid="{00000000-0005-0000-0000-00000A170000}"/>
    <cellStyle name="AggOrange9 3 2 2 35" xfId="5899" xr:uid="{00000000-0005-0000-0000-00000B170000}"/>
    <cellStyle name="AggOrange9 3 2 2 36" xfId="5900" xr:uid="{00000000-0005-0000-0000-00000C170000}"/>
    <cellStyle name="AggOrange9 3 2 2 37" xfId="5901" xr:uid="{00000000-0005-0000-0000-00000D170000}"/>
    <cellStyle name="AggOrange9 3 2 2 38" xfId="5902" xr:uid="{00000000-0005-0000-0000-00000E170000}"/>
    <cellStyle name="AggOrange9 3 2 2 39" xfId="5903" xr:uid="{00000000-0005-0000-0000-00000F170000}"/>
    <cellStyle name="AggOrange9 3 2 2 4" xfId="5904" xr:uid="{00000000-0005-0000-0000-000010170000}"/>
    <cellStyle name="AggOrange9 3 2 2 40" xfId="5905" xr:uid="{00000000-0005-0000-0000-000011170000}"/>
    <cellStyle name="AggOrange9 3 2 2 41" xfId="5906" xr:uid="{00000000-0005-0000-0000-000012170000}"/>
    <cellStyle name="AggOrange9 3 2 2 42" xfId="5907" xr:uid="{00000000-0005-0000-0000-000013170000}"/>
    <cellStyle name="AggOrange9 3 2 2 43" xfId="5908" xr:uid="{00000000-0005-0000-0000-000014170000}"/>
    <cellStyle name="AggOrange9 3 2 2 44" xfId="5909" xr:uid="{00000000-0005-0000-0000-000015170000}"/>
    <cellStyle name="AggOrange9 3 2 2 45" xfId="5910" xr:uid="{00000000-0005-0000-0000-000016170000}"/>
    <cellStyle name="AggOrange9 3 2 2 46" xfId="5911" xr:uid="{00000000-0005-0000-0000-000017170000}"/>
    <cellStyle name="AggOrange9 3 2 2 47" xfId="5912" xr:uid="{00000000-0005-0000-0000-000018170000}"/>
    <cellStyle name="AggOrange9 3 2 2 48" xfId="5913" xr:uid="{00000000-0005-0000-0000-000019170000}"/>
    <cellStyle name="AggOrange9 3 2 2 49" xfId="5914" xr:uid="{00000000-0005-0000-0000-00001A170000}"/>
    <cellStyle name="AggOrange9 3 2 2 5" xfId="5915" xr:uid="{00000000-0005-0000-0000-00001B170000}"/>
    <cellStyle name="AggOrange9 3 2 2 50" xfId="5916" xr:uid="{00000000-0005-0000-0000-00001C170000}"/>
    <cellStyle name="AggOrange9 3 2 2 51" xfId="5917" xr:uid="{00000000-0005-0000-0000-00001D170000}"/>
    <cellStyle name="AggOrange9 3 2 2 52" xfId="5918" xr:uid="{00000000-0005-0000-0000-00001E170000}"/>
    <cellStyle name="AggOrange9 3 2 2 53" xfId="5919" xr:uid="{00000000-0005-0000-0000-00001F170000}"/>
    <cellStyle name="AggOrange9 3 2 2 54" xfId="5920" xr:uid="{00000000-0005-0000-0000-000020170000}"/>
    <cellStyle name="AggOrange9 3 2 2 55" xfId="5921" xr:uid="{00000000-0005-0000-0000-000021170000}"/>
    <cellStyle name="AggOrange9 3 2 2 56" xfId="5922" xr:uid="{00000000-0005-0000-0000-000022170000}"/>
    <cellStyle name="AggOrange9 3 2 2 57" xfId="5923" xr:uid="{00000000-0005-0000-0000-000023170000}"/>
    <cellStyle name="AggOrange9 3 2 2 58" xfId="5924" xr:uid="{00000000-0005-0000-0000-000024170000}"/>
    <cellStyle name="AggOrange9 3 2 2 59" xfId="5925" xr:uid="{00000000-0005-0000-0000-000025170000}"/>
    <cellStyle name="AggOrange9 3 2 2 6" xfId="5926" xr:uid="{00000000-0005-0000-0000-000026170000}"/>
    <cellStyle name="AggOrange9 3 2 2 60" xfId="5927" xr:uid="{00000000-0005-0000-0000-000027170000}"/>
    <cellStyle name="AggOrange9 3 2 2 61" xfId="5928" xr:uid="{00000000-0005-0000-0000-000028170000}"/>
    <cellStyle name="AggOrange9 3 2 2 62" xfId="5929" xr:uid="{00000000-0005-0000-0000-000029170000}"/>
    <cellStyle name="AggOrange9 3 2 2 63" xfId="5930" xr:uid="{00000000-0005-0000-0000-00002A170000}"/>
    <cellStyle name="AggOrange9 3 2 2 64" xfId="5931" xr:uid="{00000000-0005-0000-0000-00002B170000}"/>
    <cellStyle name="AggOrange9 3 2 2 65" xfId="5932" xr:uid="{00000000-0005-0000-0000-00002C170000}"/>
    <cellStyle name="AggOrange9 3 2 2 7" xfId="5933" xr:uid="{00000000-0005-0000-0000-00002D170000}"/>
    <cellStyle name="AggOrange9 3 2 2 8" xfId="5934" xr:uid="{00000000-0005-0000-0000-00002E170000}"/>
    <cellStyle name="AggOrange9 3 2 2 9" xfId="5935" xr:uid="{00000000-0005-0000-0000-00002F170000}"/>
    <cellStyle name="AggOrange9 3 2 20" xfId="5936" xr:uid="{00000000-0005-0000-0000-000030170000}"/>
    <cellStyle name="AggOrange9 3 2 21" xfId="5937" xr:uid="{00000000-0005-0000-0000-000031170000}"/>
    <cellStyle name="AggOrange9 3 2 22" xfId="5938" xr:uid="{00000000-0005-0000-0000-000032170000}"/>
    <cellStyle name="AggOrange9 3 2 23" xfId="5939" xr:uid="{00000000-0005-0000-0000-000033170000}"/>
    <cellStyle name="AggOrange9 3 2 24" xfId="5940" xr:uid="{00000000-0005-0000-0000-000034170000}"/>
    <cellStyle name="AggOrange9 3 2 25" xfId="5941" xr:uid="{00000000-0005-0000-0000-000035170000}"/>
    <cellStyle name="AggOrange9 3 2 26" xfId="5942" xr:uid="{00000000-0005-0000-0000-000036170000}"/>
    <cellStyle name="AggOrange9 3 2 27" xfId="5943" xr:uid="{00000000-0005-0000-0000-000037170000}"/>
    <cellStyle name="AggOrange9 3 2 28" xfId="5944" xr:uid="{00000000-0005-0000-0000-000038170000}"/>
    <cellStyle name="AggOrange9 3 2 29" xfId="5945" xr:uid="{00000000-0005-0000-0000-000039170000}"/>
    <cellStyle name="AggOrange9 3 2 3" xfId="5946" xr:uid="{00000000-0005-0000-0000-00003A170000}"/>
    <cellStyle name="AggOrange9 3 2 30" xfId="5947" xr:uid="{00000000-0005-0000-0000-00003B170000}"/>
    <cellStyle name="AggOrange9 3 2 31" xfId="5948" xr:uid="{00000000-0005-0000-0000-00003C170000}"/>
    <cellStyle name="AggOrange9 3 2 32" xfId="5949" xr:uid="{00000000-0005-0000-0000-00003D170000}"/>
    <cellStyle name="AggOrange9 3 2 33" xfId="5950" xr:uid="{00000000-0005-0000-0000-00003E170000}"/>
    <cellStyle name="AggOrange9 3 2 34" xfId="5951" xr:uid="{00000000-0005-0000-0000-00003F170000}"/>
    <cellStyle name="AggOrange9 3 2 35" xfId="5952" xr:uid="{00000000-0005-0000-0000-000040170000}"/>
    <cellStyle name="AggOrange9 3 2 36" xfId="5953" xr:uid="{00000000-0005-0000-0000-000041170000}"/>
    <cellStyle name="AggOrange9 3 2 37" xfId="5954" xr:uid="{00000000-0005-0000-0000-000042170000}"/>
    <cellStyle name="AggOrange9 3 2 38" xfId="5955" xr:uid="{00000000-0005-0000-0000-000043170000}"/>
    <cellStyle name="AggOrange9 3 2 39" xfId="5956" xr:uid="{00000000-0005-0000-0000-000044170000}"/>
    <cellStyle name="AggOrange9 3 2 4" xfId="5957" xr:uid="{00000000-0005-0000-0000-000045170000}"/>
    <cellStyle name="AggOrange9 3 2 40" xfId="5958" xr:uid="{00000000-0005-0000-0000-000046170000}"/>
    <cellStyle name="AggOrange9 3 2 41" xfId="5959" xr:uid="{00000000-0005-0000-0000-000047170000}"/>
    <cellStyle name="AggOrange9 3 2 42" xfId="5960" xr:uid="{00000000-0005-0000-0000-000048170000}"/>
    <cellStyle name="AggOrange9 3 2 43" xfId="5961" xr:uid="{00000000-0005-0000-0000-000049170000}"/>
    <cellStyle name="AggOrange9 3 2 44" xfId="5962" xr:uid="{00000000-0005-0000-0000-00004A170000}"/>
    <cellStyle name="AggOrange9 3 2 45" xfId="5963" xr:uid="{00000000-0005-0000-0000-00004B170000}"/>
    <cellStyle name="AggOrange9 3 2 46" xfId="5964" xr:uid="{00000000-0005-0000-0000-00004C170000}"/>
    <cellStyle name="AggOrange9 3 2 47" xfId="5965" xr:uid="{00000000-0005-0000-0000-00004D170000}"/>
    <cellStyle name="AggOrange9 3 2 48" xfId="5966" xr:uid="{00000000-0005-0000-0000-00004E170000}"/>
    <cellStyle name="AggOrange9 3 2 49" xfId="5967" xr:uid="{00000000-0005-0000-0000-00004F170000}"/>
    <cellStyle name="AggOrange9 3 2 5" xfId="5968" xr:uid="{00000000-0005-0000-0000-000050170000}"/>
    <cellStyle name="AggOrange9 3 2 50" xfId="5969" xr:uid="{00000000-0005-0000-0000-000051170000}"/>
    <cellStyle name="AggOrange9 3 2 51" xfId="5970" xr:uid="{00000000-0005-0000-0000-000052170000}"/>
    <cellStyle name="AggOrange9 3 2 52" xfId="5971" xr:uid="{00000000-0005-0000-0000-000053170000}"/>
    <cellStyle name="AggOrange9 3 2 53" xfId="5972" xr:uid="{00000000-0005-0000-0000-000054170000}"/>
    <cellStyle name="AggOrange9 3 2 54" xfId="5973" xr:uid="{00000000-0005-0000-0000-000055170000}"/>
    <cellStyle name="AggOrange9 3 2 55" xfId="5974" xr:uid="{00000000-0005-0000-0000-000056170000}"/>
    <cellStyle name="AggOrange9 3 2 56" xfId="5975" xr:uid="{00000000-0005-0000-0000-000057170000}"/>
    <cellStyle name="AggOrange9 3 2 57" xfId="5976" xr:uid="{00000000-0005-0000-0000-000058170000}"/>
    <cellStyle name="AggOrange9 3 2 58" xfId="5977" xr:uid="{00000000-0005-0000-0000-000059170000}"/>
    <cellStyle name="AggOrange9 3 2 59" xfId="5978" xr:uid="{00000000-0005-0000-0000-00005A170000}"/>
    <cellStyle name="AggOrange9 3 2 6" xfId="5979" xr:uid="{00000000-0005-0000-0000-00005B170000}"/>
    <cellStyle name="AggOrange9 3 2 60" xfId="5980" xr:uid="{00000000-0005-0000-0000-00005C170000}"/>
    <cellStyle name="AggOrange9 3 2 61" xfId="5981" xr:uid="{00000000-0005-0000-0000-00005D170000}"/>
    <cellStyle name="AggOrange9 3 2 62" xfId="5982" xr:uid="{00000000-0005-0000-0000-00005E170000}"/>
    <cellStyle name="AggOrange9 3 2 63" xfId="5983" xr:uid="{00000000-0005-0000-0000-00005F170000}"/>
    <cellStyle name="AggOrange9 3 2 64" xfId="5984" xr:uid="{00000000-0005-0000-0000-000060170000}"/>
    <cellStyle name="AggOrange9 3 2 65" xfId="5985" xr:uid="{00000000-0005-0000-0000-000061170000}"/>
    <cellStyle name="AggOrange9 3 2 66" xfId="5986" xr:uid="{00000000-0005-0000-0000-000062170000}"/>
    <cellStyle name="AggOrange9 3 2 7" xfId="5987" xr:uid="{00000000-0005-0000-0000-000063170000}"/>
    <cellStyle name="AggOrange9 3 2 8" xfId="5988" xr:uid="{00000000-0005-0000-0000-000064170000}"/>
    <cellStyle name="AggOrange9 3 2 9" xfId="5989" xr:uid="{00000000-0005-0000-0000-000065170000}"/>
    <cellStyle name="AggOrange9 3 3" xfId="5990" xr:uid="{00000000-0005-0000-0000-000066170000}"/>
    <cellStyle name="AggOrange9 3 3 10" xfId="5991" xr:uid="{00000000-0005-0000-0000-000067170000}"/>
    <cellStyle name="AggOrange9 3 3 11" xfId="5992" xr:uid="{00000000-0005-0000-0000-000068170000}"/>
    <cellStyle name="AggOrange9 3 3 12" xfId="5993" xr:uid="{00000000-0005-0000-0000-000069170000}"/>
    <cellStyle name="AggOrange9 3 3 13" xfId="5994" xr:uid="{00000000-0005-0000-0000-00006A170000}"/>
    <cellStyle name="AggOrange9 3 3 14" xfId="5995" xr:uid="{00000000-0005-0000-0000-00006B170000}"/>
    <cellStyle name="AggOrange9 3 3 15" xfId="5996" xr:uid="{00000000-0005-0000-0000-00006C170000}"/>
    <cellStyle name="AggOrange9 3 3 16" xfId="5997" xr:uid="{00000000-0005-0000-0000-00006D170000}"/>
    <cellStyle name="AggOrange9 3 3 17" xfId="5998" xr:uid="{00000000-0005-0000-0000-00006E170000}"/>
    <cellStyle name="AggOrange9 3 3 18" xfId="5999" xr:uid="{00000000-0005-0000-0000-00006F170000}"/>
    <cellStyle name="AggOrange9 3 3 19" xfId="6000" xr:uid="{00000000-0005-0000-0000-000070170000}"/>
    <cellStyle name="AggOrange9 3 3 2" xfId="6001" xr:uid="{00000000-0005-0000-0000-000071170000}"/>
    <cellStyle name="AggOrange9 3 3 20" xfId="6002" xr:uid="{00000000-0005-0000-0000-000072170000}"/>
    <cellStyle name="AggOrange9 3 3 21" xfId="6003" xr:uid="{00000000-0005-0000-0000-000073170000}"/>
    <cellStyle name="AggOrange9 3 3 22" xfId="6004" xr:uid="{00000000-0005-0000-0000-000074170000}"/>
    <cellStyle name="AggOrange9 3 3 23" xfId="6005" xr:uid="{00000000-0005-0000-0000-000075170000}"/>
    <cellStyle name="AggOrange9 3 3 24" xfId="6006" xr:uid="{00000000-0005-0000-0000-000076170000}"/>
    <cellStyle name="AggOrange9 3 3 25" xfId="6007" xr:uid="{00000000-0005-0000-0000-000077170000}"/>
    <cellStyle name="AggOrange9 3 3 26" xfId="6008" xr:uid="{00000000-0005-0000-0000-000078170000}"/>
    <cellStyle name="AggOrange9 3 3 27" xfId="6009" xr:uid="{00000000-0005-0000-0000-000079170000}"/>
    <cellStyle name="AggOrange9 3 3 28" xfId="6010" xr:uid="{00000000-0005-0000-0000-00007A170000}"/>
    <cellStyle name="AggOrange9 3 3 29" xfId="6011" xr:uid="{00000000-0005-0000-0000-00007B170000}"/>
    <cellStyle name="AggOrange9 3 3 3" xfId="6012" xr:uid="{00000000-0005-0000-0000-00007C170000}"/>
    <cellStyle name="AggOrange9 3 3 30" xfId="6013" xr:uid="{00000000-0005-0000-0000-00007D170000}"/>
    <cellStyle name="AggOrange9 3 3 31" xfId="6014" xr:uid="{00000000-0005-0000-0000-00007E170000}"/>
    <cellStyle name="AggOrange9 3 3 32" xfId="6015" xr:uid="{00000000-0005-0000-0000-00007F170000}"/>
    <cellStyle name="AggOrange9 3 3 33" xfId="6016" xr:uid="{00000000-0005-0000-0000-000080170000}"/>
    <cellStyle name="AggOrange9 3 3 34" xfId="6017" xr:uid="{00000000-0005-0000-0000-000081170000}"/>
    <cellStyle name="AggOrange9 3 3 35" xfId="6018" xr:uid="{00000000-0005-0000-0000-000082170000}"/>
    <cellStyle name="AggOrange9 3 3 36" xfId="6019" xr:uid="{00000000-0005-0000-0000-000083170000}"/>
    <cellStyle name="AggOrange9 3 3 37" xfId="6020" xr:uid="{00000000-0005-0000-0000-000084170000}"/>
    <cellStyle name="AggOrange9 3 3 38" xfId="6021" xr:uid="{00000000-0005-0000-0000-000085170000}"/>
    <cellStyle name="AggOrange9 3 3 39" xfId="6022" xr:uid="{00000000-0005-0000-0000-000086170000}"/>
    <cellStyle name="AggOrange9 3 3 4" xfId="6023" xr:uid="{00000000-0005-0000-0000-000087170000}"/>
    <cellStyle name="AggOrange9 3 3 40" xfId="6024" xr:uid="{00000000-0005-0000-0000-000088170000}"/>
    <cellStyle name="AggOrange9 3 3 41" xfId="6025" xr:uid="{00000000-0005-0000-0000-000089170000}"/>
    <cellStyle name="AggOrange9 3 3 42" xfId="6026" xr:uid="{00000000-0005-0000-0000-00008A170000}"/>
    <cellStyle name="AggOrange9 3 3 43" xfId="6027" xr:uid="{00000000-0005-0000-0000-00008B170000}"/>
    <cellStyle name="AggOrange9 3 3 44" xfId="6028" xr:uid="{00000000-0005-0000-0000-00008C170000}"/>
    <cellStyle name="AggOrange9 3 3 45" xfId="6029" xr:uid="{00000000-0005-0000-0000-00008D170000}"/>
    <cellStyle name="AggOrange9 3 3 46" xfId="6030" xr:uid="{00000000-0005-0000-0000-00008E170000}"/>
    <cellStyle name="AggOrange9 3 3 47" xfId="6031" xr:uid="{00000000-0005-0000-0000-00008F170000}"/>
    <cellStyle name="AggOrange9 3 3 48" xfId="6032" xr:uid="{00000000-0005-0000-0000-000090170000}"/>
    <cellStyle name="AggOrange9 3 3 49" xfId="6033" xr:uid="{00000000-0005-0000-0000-000091170000}"/>
    <cellStyle name="AggOrange9 3 3 5" xfId="6034" xr:uid="{00000000-0005-0000-0000-000092170000}"/>
    <cellStyle name="AggOrange9 3 3 50" xfId="6035" xr:uid="{00000000-0005-0000-0000-000093170000}"/>
    <cellStyle name="AggOrange9 3 3 51" xfId="6036" xr:uid="{00000000-0005-0000-0000-000094170000}"/>
    <cellStyle name="AggOrange9 3 3 52" xfId="6037" xr:uid="{00000000-0005-0000-0000-000095170000}"/>
    <cellStyle name="AggOrange9 3 3 53" xfId="6038" xr:uid="{00000000-0005-0000-0000-000096170000}"/>
    <cellStyle name="AggOrange9 3 3 54" xfId="6039" xr:uid="{00000000-0005-0000-0000-000097170000}"/>
    <cellStyle name="AggOrange9 3 3 55" xfId="6040" xr:uid="{00000000-0005-0000-0000-000098170000}"/>
    <cellStyle name="AggOrange9 3 3 56" xfId="6041" xr:uid="{00000000-0005-0000-0000-000099170000}"/>
    <cellStyle name="AggOrange9 3 3 57" xfId="6042" xr:uid="{00000000-0005-0000-0000-00009A170000}"/>
    <cellStyle name="AggOrange9 3 3 58" xfId="6043" xr:uid="{00000000-0005-0000-0000-00009B170000}"/>
    <cellStyle name="AggOrange9 3 3 59" xfId="6044" xr:uid="{00000000-0005-0000-0000-00009C170000}"/>
    <cellStyle name="AggOrange9 3 3 6" xfId="6045" xr:uid="{00000000-0005-0000-0000-00009D170000}"/>
    <cellStyle name="AggOrange9 3 3 60" xfId="6046" xr:uid="{00000000-0005-0000-0000-00009E170000}"/>
    <cellStyle name="AggOrange9 3 3 61" xfId="6047" xr:uid="{00000000-0005-0000-0000-00009F170000}"/>
    <cellStyle name="AggOrange9 3 3 62" xfId="6048" xr:uid="{00000000-0005-0000-0000-0000A0170000}"/>
    <cellStyle name="AggOrange9 3 3 63" xfId="6049" xr:uid="{00000000-0005-0000-0000-0000A1170000}"/>
    <cellStyle name="AggOrange9 3 3 64" xfId="6050" xr:uid="{00000000-0005-0000-0000-0000A2170000}"/>
    <cellStyle name="AggOrange9 3 3 65" xfId="6051" xr:uid="{00000000-0005-0000-0000-0000A3170000}"/>
    <cellStyle name="AggOrange9 3 3 7" xfId="6052" xr:uid="{00000000-0005-0000-0000-0000A4170000}"/>
    <cellStyle name="AggOrange9 3 3 8" xfId="6053" xr:uid="{00000000-0005-0000-0000-0000A5170000}"/>
    <cellStyle name="AggOrange9 3 3 9" xfId="6054" xr:uid="{00000000-0005-0000-0000-0000A6170000}"/>
    <cellStyle name="AggOrange9 4" xfId="6055" xr:uid="{00000000-0005-0000-0000-0000A7170000}"/>
    <cellStyle name="AggOrange9 4 10" xfId="6056" xr:uid="{00000000-0005-0000-0000-0000A8170000}"/>
    <cellStyle name="AggOrange9 4 11" xfId="6057" xr:uid="{00000000-0005-0000-0000-0000A9170000}"/>
    <cellStyle name="AggOrange9 4 12" xfId="6058" xr:uid="{00000000-0005-0000-0000-0000AA170000}"/>
    <cellStyle name="AggOrange9 4 13" xfId="6059" xr:uid="{00000000-0005-0000-0000-0000AB170000}"/>
    <cellStyle name="AggOrange9 4 14" xfId="6060" xr:uid="{00000000-0005-0000-0000-0000AC170000}"/>
    <cellStyle name="AggOrange9 4 15" xfId="6061" xr:uid="{00000000-0005-0000-0000-0000AD170000}"/>
    <cellStyle name="AggOrange9 4 16" xfId="6062" xr:uid="{00000000-0005-0000-0000-0000AE170000}"/>
    <cellStyle name="AggOrange9 4 17" xfId="6063" xr:uid="{00000000-0005-0000-0000-0000AF170000}"/>
    <cellStyle name="AggOrange9 4 18" xfId="6064" xr:uid="{00000000-0005-0000-0000-0000B0170000}"/>
    <cellStyle name="AggOrange9 4 19" xfId="6065" xr:uid="{00000000-0005-0000-0000-0000B1170000}"/>
    <cellStyle name="AggOrange9 4 2" xfId="6066" xr:uid="{00000000-0005-0000-0000-0000B2170000}"/>
    <cellStyle name="AggOrange9 4 2 10" xfId="6067" xr:uid="{00000000-0005-0000-0000-0000B3170000}"/>
    <cellStyle name="AggOrange9 4 2 11" xfId="6068" xr:uid="{00000000-0005-0000-0000-0000B4170000}"/>
    <cellStyle name="AggOrange9 4 2 12" xfId="6069" xr:uid="{00000000-0005-0000-0000-0000B5170000}"/>
    <cellStyle name="AggOrange9 4 2 13" xfId="6070" xr:uid="{00000000-0005-0000-0000-0000B6170000}"/>
    <cellStyle name="AggOrange9 4 2 14" xfId="6071" xr:uid="{00000000-0005-0000-0000-0000B7170000}"/>
    <cellStyle name="AggOrange9 4 2 15" xfId="6072" xr:uid="{00000000-0005-0000-0000-0000B8170000}"/>
    <cellStyle name="AggOrange9 4 2 16" xfId="6073" xr:uid="{00000000-0005-0000-0000-0000B9170000}"/>
    <cellStyle name="AggOrange9 4 2 17" xfId="6074" xr:uid="{00000000-0005-0000-0000-0000BA170000}"/>
    <cellStyle name="AggOrange9 4 2 18" xfId="6075" xr:uid="{00000000-0005-0000-0000-0000BB170000}"/>
    <cellStyle name="AggOrange9 4 2 19" xfId="6076" xr:uid="{00000000-0005-0000-0000-0000BC170000}"/>
    <cellStyle name="AggOrange9 4 2 2" xfId="6077" xr:uid="{00000000-0005-0000-0000-0000BD170000}"/>
    <cellStyle name="AggOrange9 4 2 2 10" xfId="6078" xr:uid="{00000000-0005-0000-0000-0000BE170000}"/>
    <cellStyle name="AggOrange9 4 2 2 11" xfId="6079" xr:uid="{00000000-0005-0000-0000-0000BF170000}"/>
    <cellStyle name="AggOrange9 4 2 2 12" xfId="6080" xr:uid="{00000000-0005-0000-0000-0000C0170000}"/>
    <cellStyle name="AggOrange9 4 2 2 13" xfId="6081" xr:uid="{00000000-0005-0000-0000-0000C1170000}"/>
    <cellStyle name="AggOrange9 4 2 2 14" xfId="6082" xr:uid="{00000000-0005-0000-0000-0000C2170000}"/>
    <cellStyle name="AggOrange9 4 2 2 15" xfId="6083" xr:uid="{00000000-0005-0000-0000-0000C3170000}"/>
    <cellStyle name="AggOrange9 4 2 2 16" xfId="6084" xr:uid="{00000000-0005-0000-0000-0000C4170000}"/>
    <cellStyle name="AggOrange9 4 2 2 17" xfId="6085" xr:uid="{00000000-0005-0000-0000-0000C5170000}"/>
    <cellStyle name="AggOrange9 4 2 2 18" xfId="6086" xr:uid="{00000000-0005-0000-0000-0000C6170000}"/>
    <cellStyle name="AggOrange9 4 2 2 19" xfId="6087" xr:uid="{00000000-0005-0000-0000-0000C7170000}"/>
    <cellStyle name="AggOrange9 4 2 2 2" xfId="6088" xr:uid="{00000000-0005-0000-0000-0000C8170000}"/>
    <cellStyle name="AggOrange9 4 2 2 20" xfId="6089" xr:uid="{00000000-0005-0000-0000-0000C9170000}"/>
    <cellStyle name="AggOrange9 4 2 2 21" xfId="6090" xr:uid="{00000000-0005-0000-0000-0000CA170000}"/>
    <cellStyle name="AggOrange9 4 2 2 22" xfId="6091" xr:uid="{00000000-0005-0000-0000-0000CB170000}"/>
    <cellStyle name="AggOrange9 4 2 2 23" xfId="6092" xr:uid="{00000000-0005-0000-0000-0000CC170000}"/>
    <cellStyle name="AggOrange9 4 2 2 24" xfId="6093" xr:uid="{00000000-0005-0000-0000-0000CD170000}"/>
    <cellStyle name="AggOrange9 4 2 2 25" xfId="6094" xr:uid="{00000000-0005-0000-0000-0000CE170000}"/>
    <cellStyle name="AggOrange9 4 2 2 26" xfId="6095" xr:uid="{00000000-0005-0000-0000-0000CF170000}"/>
    <cellStyle name="AggOrange9 4 2 2 27" xfId="6096" xr:uid="{00000000-0005-0000-0000-0000D0170000}"/>
    <cellStyle name="AggOrange9 4 2 2 28" xfId="6097" xr:uid="{00000000-0005-0000-0000-0000D1170000}"/>
    <cellStyle name="AggOrange9 4 2 2 29" xfId="6098" xr:uid="{00000000-0005-0000-0000-0000D2170000}"/>
    <cellStyle name="AggOrange9 4 2 2 3" xfId="6099" xr:uid="{00000000-0005-0000-0000-0000D3170000}"/>
    <cellStyle name="AggOrange9 4 2 2 30" xfId="6100" xr:uid="{00000000-0005-0000-0000-0000D4170000}"/>
    <cellStyle name="AggOrange9 4 2 2 31" xfId="6101" xr:uid="{00000000-0005-0000-0000-0000D5170000}"/>
    <cellStyle name="AggOrange9 4 2 2 32" xfId="6102" xr:uid="{00000000-0005-0000-0000-0000D6170000}"/>
    <cellStyle name="AggOrange9 4 2 2 33" xfId="6103" xr:uid="{00000000-0005-0000-0000-0000D7170000}"/>
    <cellStyle name="AggOrange9 4 2 2 34" xfId="6104" xr:uid="{00000000-0005-0000-0000-0000D8170000}"/>
    <cellStyle name="AggOrange9 4 2 2 35" xfId="6105" xr:uid="{00000000-0005-0000-0000-0000D9170000}"/>
    <cellStyle name="AggOrange9 4 2 2 36" xfId="6106" xr:uid="{00000000-0005-0000-0000-0000DA170000}"/>
    <cellStyle name="AggOrange9 4 2 2 37" xfId="6107" xr:uid="{00000000-0005-0000-0000-0000DB170000}"/>
    <cellStyle name="AggOrange9 4 2 2 38" xfId="6108" xr:uid="{00000000-0005-0000-0000-0000DC170000}"/>
    <cellStyle name="AggOrange9 4 2 2 39" xfId="6109" xr:uid="{00000000-0005-0000-0000-0000DD170000}"/>
    <cellStyle name="AggOrange9 4 2 2 4" xfId="6110" xr:uid="{00000000-0005-0000-0000-0000DE170000}"/>
    <cellStyle name="AggOrange9 4 2 2 40" xfId="6111" xr:uid="{00000000-0005-0000-0000-0000DF170000}"/>
    <cellStyle name="AggOrange9 4 2 2 41" xfId="6112" xr:uid="{00000000-0005-0000-0000-0000E0170000}"/>
    <cellStyle name="AggOrange9 4 2 2 42" xfId="6113" xr:uid="{00000000-0005-0000-0000-0000E1170000}"/>
    <cellStyle name="AggOrange9 4 2 2 43" xfId="6114" xr:uid="{00000000-0005-0000-0000-0000E2170000}"/>
    <cellStyle name="AggOrange9 4 2 2 44" xfId="6115" xr:uid="{00000000-0005-0000-0000-0000E3170000}"/>
    <cellStyle name="AggOrange9 4 2 2 45" xfId="6116" xr:uid="{00000000-0005-0000-0000-0000E4170000}"/>
    <cellStyle name="AggOrange9 4 2 2 46" xfId="6117" xr:uid="{00000000-0005-0000-0000-0000E5170000}"/>
    <cellStyle name="AggOrange9 4 2 2 47" xfId="6118" xr:uid="{00000000-0005-0000-0000-0000E6170000}"/>
    <cellStyle name="AggOrange9 4 2 2 48" xfId="6119" xr:uid="{00000000-0005-0000-0000-0000E7170000}"/>
    <cellStyle name="AggOrange9 4 2 2 49" xfId="6120" xr:uid="{00000000-0005-0000-0000-0000E8170000}"/>
    <cellStyle name="AggOrange9 4 2 2 5" xfId="6121" xr:uid="{00000000-0005-0000-0000-0000E9170000}"/>
    <cellStyle name="AggOrange9 4 2 2 50" xfId="6122" xr:uid="{00000000-0005-0000-0000-0000EA170000}"/>
    <cellStyle name="AggOrange9 4 2 2 51" xfId="6123" xr:uid="{00000000-0005-0000-0000-0000EB170000}"/>
    <cellStyle name="AggOrange9 4 2 2 52" xfId="6124" xr:uid="{00000000-0005-0000-0000-0000EC170000}"/>
    <cellStyle name="AggOrange9 4 2 2 53" xfId="6125" xr:uid="{00000000-0005-0000-0000-0000ED170000}"/>
    <cellStyle name="AggOrange9 4 2 2 54" xfId="6126" xr:uid="{00000000-0005-0000-0000-0000EE170000}"/>
    <cellStyle name="AggOrange9 4 2 2 55" xfId="6127" xr:uid="{00000000-0005-0000-0000-0000EF170000}"/>
    <cellStyle name="AggOrange9 4 2 2 56" xfId="6128" xr:uid="{00000000-0005-0000-0000-0000F0170000}"/>
    <cellStyle name="AggOrange9 4 2 2 57" xfId="6129" xr:uid="{00000000-0005-0000-0000-0000F1170000}"/>
    <cellStyle name="AggOrange9 4 2 2 58" xfId="6130" xr:uid="{00000000-0005-0000-0000-0000F2170000}"/>
    <cellStyle name="AggOrange9 4 2 2 59" xfId="6131" xr:uid="{00000000-0005-0000-0000-0000F3170000}"/>
    <cellStyle name="AggOrange9 4 2 2 6" xfId="6132" xr:uid="{00000000-0005-0000-0000-0000F4170000}"/>
    <cellStyle name="AggOrange9 4 2 2 60" xfId="6133" xr:uid="{00000000-0005-0000-0000-0000F5170000}"/>
    <cellStyle name="AggOrange9 4 2 2 61" xfId="6134" xr:uid="{00000000-0005-0000-0000-0000F6170000}"/>
    <cellStyle name="AggOrange9 4 2 2 62" xfId="6135" xr:uid="{00000000-0005-0000-0000-0000F7170000}"/>
    <cellStyle name="AggOrange9 4 2 2 63" xfId="6136" xr:uid="{00000000-0005-0000-0000-0000F8170000}"/>
    <cellStyle name="AggOrange9 4 2 2 64" xfId="6137" xr:uid="{00000000-0005-0000-0000-0000F9170000}"/>
    <cellStyle name="AggOrange9 4 2 2 65" xfId="6138" xr:uid="{00000000-0005-0000-0000-0000FA170000}"/>
    <cellStyle name="AggOrange9 4 2 2 7" xfId="6139" xr:uid="{00000000-0005-0000-0000-0000FB170000}"/>
    <cellStyle name="AggOrange9 4 2 2 8" xfId="6140" xr:uid="{00000000-0005-0000-0000-0000FC170000}"/>
    <cellStyle name="AggOrange9 4 2 2 9" xfId="6141" xr:uid="{00000000-0005-0000-0000-0000FD170000}"/>
    <cellStyle name="AggOrange9 4 2 20" xfId="6142" xr:uid="{00000000-0005-0000-0000-0000FE170000}"/>
    <cellStyle name="AggOrange9 4 2 21" xfId="6143" xr:uid="{00000000-0005-0000-0000-0000FF170000}"/>
    <cellStyle name="AggOrange9 4 2 22" xfId="6144" xr:uid="{00000000-0005-0000-0000-000000180000}"/>
    <cellStyle name="AggOrange9 4 2 23" xfId="6145" xr:uid="{00000000-0005-0000-0000-000001180000}"/>
    <cellStyle name="AggOrange9 4 2 24" xfId="6146" xr:uid="{00000000-0005-0000-0000-000002180000}"/>
    <cellStyle name="AggOrange9 4 2 25" xfId="6147" xr:uid="{00000000-0005-0000-0000-000003180000}"/>
    <cellStyle name="AggOrange9 4 2 26" xfId="6148" xr:uid="{00000000-0005-0000-0000-000004180000}"/>
    <cellStyle name="AggOrange9 4 2 27" xfId="6149" xr:uid="{00000000-0005-0000-0000-000005180000}"/>
    <cellStyle name="AggOrange9 4 2 28" xfId="6150" xr:uid="{00000000-0005-0000-0000-000006180000}"/>
    <cellStyle name="AggOrange9 4 2 29" xfId="6151" xr:uid="{00000000-0005-0000-0000-000007180000}"/>
    <cellStyle name="AggOrange9 4 2 3" xfId="6152" xr:uid="{00000000-0005-0000-0000-000008180000}"/>
    <cellStyle name="AggOrange9 4 2 30" xfId="6153" xr:uid="{00000000-0005-0000-0000-000009180000}"/>
    <cellStyle name="AggOrange9 4 2 31" xfId="6154" xr:uid="{00000000-0005-0000-0000-00000A180000}"/>
    <cellStyle name="AggOrange9 4 2 32" xfId="6155" xr:uid="{00000000-0005-0000-0000-00000B180000}"/>
    <cellStyle name="AggOrange9 4 2 33" xfId="6156" xr:uid="{00000000-0005-0000-0000-00000C180000}"/>
    <cellStyle name="AggOrange9 4 2 34" xfId="6157" xr:uid="{00000000-0005-0000-0000-00000D180000}"/>
    <cellStyle name="AggOrange9 4 2 35" xfId="6158" xr:uid="{00000000-0005-0000-0000-00000E180000}"/>
    <cellStyle name="AggOrange9 4 2 36" xfId="6159" xr:uid="{00000000-0005-0000-0000-00000F180000}"/>
    <cellStyle name="AggOrange9 4 2 37" xfId="6160" xr:uid="{00000000-0005-0000-0000-000010180000}"/>
    <cellStyle name="AggOrange9 4 2 38" xfId="6161" xr:uid="{00000000-0005-0000-0000-000011180000}"/>
    <cellStyle name="AggOrange9 4 2 39" xfId="6162" xr:uid="{00000000-0005-0000-0000-000012180000}"/>
    <cellStyle name="AggOrange9 4 2 4" xfId="6163" xr:uid="{00000000-0005-0000-0000-000013180000}"/>
    <cellStyle name="AggOrange9 4 2 40" xfId="6164" xr:uid="{00000000-0005-0000-0000-000014180000}"/>
    <cellStyle name="AggOrange9 4 2 41" xfId="6165" xr:uid="{00000000-0005-0000-0000-000015180000}"/>
    <cellStyle name="AggOrange9 4 2 42" xfId="6166" xr:uid="{00000000-0005-0000-0000-000016180000}"/>
    <cellStyle name="AggOrange9 4 2 43" xfId="6167" xr:uid="{00000000-0005-0000-0000-000017180000}"/>
    <cellStyle name="AggOrange9 4 2 44" xfId="6168" xr:uid="{00000000-0005-0000-0000-000018180000}"/>
    <cellStyle name="AggOrange9 4 2 45" xfId="6169" xr:uid="{00000000-0005-0000-0000-000019180000}"/>
    <cellStyle name="AggOrange9 4 2 46" xfId="6170" xr:uid="{00000000-0005-0000-0000-00001A180000}"/>
    <cellStyle name="AggOrange9 4 2 47" xfId="6171" xr:uid="{00000000-0005-0000-0000-00001B180000}"/>
    <cellStyle name="AggOrange9 4 2 48" xfId="6172" xr:uid="{00000000-0005-0000-0000-00001C180000}"/>
    <cellStyle name="AggOrange9 4 2 49" xfId="6173" xr:uid="{00000000-0005-0000-0000-00001D180000}"/>
    <cellStyle name="AggOrange9 4 2 5" xfId="6174" xr:uid="{00000000-0005-0000-0000-00001E180000}"/>
    <cellStyle name="AggOrange9 4 2 50" xfId="6175" xr:uid="{00000000-0005-0000-0000-00001F180000}"/>
    <cellStyle name="AggOrange9 4 2 51" xfId="6176" xr:uid="{00000000-0005-0000-0000-000020180000}"/>
    <cellStyle name="AggOrange9 4 2 52" xfId="6177" xr:uid="{00000000-0005-0000-0000-000021180000}"/>
    <cellStyle name="AggOrange9 4 2 53" xfId="6178" xr:uid="{00000000-0005-0000-0000-000022180000}"/>
    <cellStyle name="AggOrange9 4 2 54" xfId="6179" xr:uid="{00000000-0005-0000-0000-000023180000}"/>
    <cellStyle name="AggOrange9 4 2 55" xfId="6180" xr:uid="{00000000-0005-0000-0000-000024180000}"/>
    <cellStyle name="AggOrange9 4 2 56" xfId="6181" xr:uid="{00000000-0005-0000-0000-000025180000}"/>
    <cellStyle name="AggOrange9 4 2 57" xfId="6182" xr:uid="{00000000-0005-0000-0000-000026180000}"/>
    <cellStyle name="AggOrange9 4 2 58" xfId="6183" xr:uid="{00000000-0005-0000-0000-000027180000}"/>
    <cellStyle name="AggOrange9 4 2 59" xfId="6184" xr:uid="{00000000-0005-0000-0000-000028180000}"/>
    <cellStyle name="AggOrange9 4 2 6" xfId="6185" xr:uid="{00000000-0005-0000-0000-000029180000}"/>
    <cellStyle name="AggOrange9 4 2 60" xfId="6186" xr:uid="{00000000-0005-0000-0000-00002A180000}"/>
    <cellStyle name="AggOrange9 4 2 61" xfId="6187" xr:uid="{00000000-0005-0000-0000-00002B180000}"/>
    <cellStyle name="AggOrange9 4 2 62" xfId="6188" xr:uid="{00000000-0005-0000-0000-00002C180000}"/>
    <cellStyle name="AggOrange9 4 2 63" xfId="6189" xr:uid="{00000000-0005-0000-0000-00002D180000}"/>
    <cellStyle name="AggOrange9 4 2 64" xfId="6190" xr:uid="{00000000-0005-0000-0000-00002E180000}"/>
    <cellStyle name="AggOrange9 4 2 65" xfId="6191" xr:uid="{00000000-0005-0000-0000-00002F180000}"/>
    <cellStyle name="AggOrange9 4 2 66" xfId="6192" xr:uid="{00000000-0005-0000-0000-000030180000}"/>
    <cellStyle name="AggOrange9 4 2 7" xfId="6193" xr:uid="{00000000-0005-0000-0000-000031180000}"/>
    <cellStyle name="AggOrange9 4 2 8" xfId="6194" xr:uid="{00000000-0005-0000-0000-000032180000}"/>
    <cellStyle name="AggOrange9 4 2 9" xfId="6195" xr:uid="{00000000-0005-0000-0000-000033180000}"/>
    <cellStyle name="AggOrange9 4 20" xfId="6196" xr:uid="{00000000-0005-0000-0000-000034180000}"/>
    <cellStyle name="AggOrange9 4 21" xfId="6197" xr:uid="{00000000-0005-0000-0000-000035180000}"/>
    <cellStyle name="AggOrange9 4 22" xfId="6198" xr:uid="{00000000-0005-0000-0000-000036180000}"/>
    <cellStyle name="AggOrange9 4 23" xfId="6199" xr:uid="{00000000-0005-0000-0000-000037180000}"/>
    <cellStyle name="AggOrange9 4 24" xfId="6200" xr:uid="{00000000-0005-0000-0000-000038180000}"/>
    <cellStyle name="AggOrange9 4 25" xfId="6201" xr:uid="{00000000-0005-0000-0000-000039180000}"/>
    <cellStyle name="AggOrange9 4 26" xfId="6202" xr:uid="{00000000-0005-0000-0000-00003A180000}"/>
    <cellStyle name="AggOrange9 4 27" xfId="6203" xr:uid="{00000000-0005-0000-0000-00003B180000}"/>
    <cellStyle name="AggOrange9 4 28" xfId="6204" xr:uid="{00000000-0005-0000-0000-00003C180000}"/>
    <cellStyle name="AggOrange9 4 29" xfId="6205" xr:uid="{00000000-0005-0000-0000-00003D180000}"/>
    <cellStyle name="AggOrange9 4 3" xfId="6206" xr:uid="{00000000-0005-0000-0000-00003E180000}"/>
    <cellStyle name="AggOrange9 4 3 10" xfId="6207" xr:uid="{00000000-0005-0000-0000-00003F180000}"/>
    <cellStyle name="AggOrange9 4 3 11" xfId="6208" xr:uid="{00000000-0005-0000-0000-000040180000}"/>
    <cellStyle name="AggOrange9 4 3 12" xfId="6209" xr:uid="{00000000-0005-0000-0000-000041180000}"/>
    <cellStyle name="AggOrange9 4 3 13" xfId="6210" xr:uid="{00000000-0005-0000-0000-000042180000}"/>
    <cellStyle name="AggOrange9 4 3 14" xfId="6211" xr:uid="{00000000-0005-0000-0000-000043180000}"/>
    <cellStyle name="AggOrange9 4 3 15" xfId="6212" xr:uid="{00000000-0005-0000-0000-000044180000}"/>
    <cellStyle name="AggOrange9 4 3 16" xfId="6213" xr:uid="{00000000-0005-0000-0000-000045180000}"/>
    <cellStyle name="AggOrange9 4 3 17" xfId="6214" xr:uid="{00000000-0005-0000-0000-000046180000}"/>
    <cellStyle name="AggOrange9 4 3 18" xfId="6215" xr:uid="{00000000-0005-0000-0000-000047180000}"/>
    <cellStyle name="AggOrange9 4 3 19" xfId="6216" xr:uid="{00000000-0005-0000-0000-000048180000}"/>
    <cellStyle name="AggOrange9 4 3 2" xfId="6217" xr:uid="{00000000-0005-0000-0000-000049180000}"/>
    <cellStyle name="AggOrange9 4 3 2 10" xfId="6218" xr:uid="{00000000-0005-0000-0000-00004A180000}"/>
    <cellStyle name="AggOrange9 4 3 2 11" xfId="6219" xr:uid="{00000000-0005-0000-0000-00004B180000}"/>
    <cellStyle name="AggOrange9 4 3 2 12" xfId="6220" xr:uid="{00000000-0005-0000-0000-00004C180000}"/>
    <cellStyle name="AggOrange9 4 3 2 13" xfId="6221" xr:uid="{00000000-0005-0000-0000-00004D180000}"/>
    <cellStyle name="AggOrange9 4 3 2 14" xfId="6222" xr:uid="{00000000-0005-0000-0000-00004E180000}"/>
    <cellStyle name="AggOrange9 4 3 2 15" xfId="6223" xr:uid="{00000000-0005-0000-0000-00004F180000}"/>
    <cellStyle name="AggOrange9 4 3 2 16" xfId="6224" xr:uid="{00000000-0005-0000-0000-000050180000}"/>
    <cellStyle name="AggOrange9 4 3 2 17" xfId="6225" xr:uid="{00000000-0005-0000-0000-000051180000}"/>
    <cellStyle name="AggOrange9 4 3 2 18" xfId="6226" xr:uid="{00000000-0005-0000-0000-000052180000}"/>
    <cellStyle name="AggOrange9 4 3 2 19" xfId="6227" xr:uid="{00000000-0005-0000-0000-000053180000}"/>
    <cellStyle name="AggOrange9 4 3 2 2" xfId="6228" xr:uid="{00000000-0005-0000-0000-000054180000}"/>
    <cellStyle name="AggOrange9 4 3 2 20" xfId="6229" xr:uid="{00000000-0005-0000-0000-000055180000}"/>
    <cellStyle name="AggOrange9 4 3 2 21" xfId="6230" xr:uid="{00000000-0005-0000-0000-000056180000}"/>
    <cellStyle name="AggOrange9 4 3 2 22" xfId="6231" xr:uid="{00000000-0005-0000-0000-000057180000}"/>
    <cellStyle name="AggOrange9 4 3 2 23" xfId="6232" xr:uid="{00000000-0005-0000-0000-000058180000}"/>
    <cellStyle name="AggOrange9 4 3 2 24" xfId="6233" xr:uid="{00000000-0005-0000-0000-000059180000}"/>
    <cellStyle name="AggOrange9 4 3 2 25" xfId="6234" xr:uid="{00000000-0005-0000-0000-00005A180000}"/>
    <cellStyle name="AggOrange9 4 3 2 26" xfId="6235" xr:uid="{00000000-0005-0000-0000-00005B180000}"/>
    <cellStyle name="AggOrange9 4 3 2 27" xfId="6236" xr:uid="{00000000-0005-0000-0000-00005C180000}"/>
    <cellStyle name="AggOrange9 4 3 2 28" xfId="6237" xr:uid="{00000000-0005-0000-0000-00005D180000}"/>
    <cellStyle name="AggOrange9 4 3 2 29" xfId="6238" xr:uid="{00000000-0005-0000-0000-00005E180000}"/>
    <cellStyle name="AggOrange9 4 3 2 3" xfId="6239" xr:uid="{00000000-0005-0000-0000-00005F180000}"/>
    <cellStyle name="AggOrange9 4 3 2 30" xfId="6240" xr:uid="{00000000-0005-0000-0000-000060180000}"/>
    <cellStyle name="AggOrange9 4 3 2 31" xfId="6241" xr:uid="{00000000-0005-0000-0000-000061180000}"/>
    <cellStyle name="AggOrange9 4 3 2 32" xfId="6242" xr:uid="{00000000-0005-0000-0000-000062180000}"/>
    <cellStyle name="AggOrange9 4 3 2 33" xfId="6243" xr:uid="{00000000-0005-0000-0000-000063180000}"/>
    <cellStyle name="AggOrange9 4 3 2 34" xfId="6244" xr:uid="{00000000-0005-0000-0000-000064180000}"/>
    <cellStyle name="AggOrange9 4 3 2 35" xfId="6245" xr:uid="{00000000-0005-0000-0000-000065180000}"/>
    <cellStyle name="AggOrange9 4 3 2 36" xfId="6246" xr:uid="{00000000-0005-0000-0000-000066180000}"/>
    <cellStyle name="AggOrange9 4 3 2 37" xfId="6247" xr:uid="{00000000-0005-0000-0000-000067180000}"/>
    <cellStyle name="AggOrange9 4 3 2 38" xfId="6248" xr:uid="{00000000-0005-0000-0000-000068180000}"/>
    <cellStyle name="AggOrange9 4 3 2 39" xfId="6249" xr:uid="{00000000-0005-0000-0000-000069180000}"/>
    <cellStyle name="AggOrange9 4 3 2 4" xfId="6250" xr:uid="{00000000-0005-0000-0000-00006A180000}"/>
    <cellStyle name="AggOrange9 4 3 2 40" xfId="6251" xr:uid="{00000000-0005-0000-0000-00006B180000}"/>
    <cellStyle name="AggOrange9 4 3 2 41" xfId="6252" xr:uid="{00000000-0005-0000-0000-00006C180000}"/>
    <cellStyle name="AggOrange9 4 3 2 42" xfId="6253" xr:uid="{00000000-0005-0000-0000-00006D180000}"/>
    <cellStyle name="AggOrange9 4 3 2 43" xfId="6254" xr:uid="{00000000-0005-0000-0000-00006E180000}"/>
    <cellStyle name="AggOrange9 4 3 2 44" xfId="6255" xr:uid="{00000000-0005-0000-0000-00006F180000}"/>
    <cellStyle name="AggOrange9 4 3 2 45" xfId="6256" xr:uid="{00000000-0005-0000-0000-000070180000}"/>
    <cellStyle name="AggOrange9 4 3 2 46" xfId="6257" xr:uid="{00000000-0005-0000-0000-000071180000}"/>
    <cellStyle name="AggOrange9 4 3 2 47" xfId="6258" xr:uid="{00000000-0005-0000-0000-000072180000}"/>
    <cellStyle name="AggOrange9 4 3 2 48" xfId="6259" xr:uid="{00000000-0005-0000-0000-000073180000}"/>
    <cellStyle name="AggOrange9 4 3 2 49" xfId="6260" xr:uid="{00000000-0005-0000-0000-000074180000}"/>
    <cellStyle name="AggOrange9 4 3 2 5" xfId="6261" xr:uid="{00000000-0005-0000-0000-000075180000}"/>
    <cellStyle name="AggOrange9 4 3 2 50" xfId="6262" xr:uid="{00000000-0005-0000-0000-000076180000}"/>
    <cellStyle name="AggOrange9 4 3 2 51" xfId="6263" xr:uid="{00000000-0005-0000-0000-000077180000}"/>
    <cellStyle name="AggOrange9 4 3 2 52" xfId="6264" xr:uid="{00000000-0005-0000-0000-000078180000}"/>
    <cellStyle name="AggOrange9 4 3 2 53" xfId="6265" xr:uid="{00000000-0005-0000-0000-000079180000}"/>
    <cellStyle name="AggOrange9 4 3 2 54" xfId="6266" xr:uid="{00000000-0005-0000-0000-00007A180000}"/>
    <cellStyle name="AggOrange9 4 3 2 55" xfId="6267" xr:uid="{00000000-0005-0000-0000-00007B180000}"/>
    <cellStyle name="AggOrange9 4 3 2 56" xfId="6268" xr:uid="{00000000-0005-0000-0000-00007C180000}"/>
    <cellStyle name="AggOrange9 4 3 2 57" xfId="6269" xr:uid="{00000000-0005-0000-0000-00007D180000}"/>
    <cellStyle name="AggOrange9 4 3 2 58" xfId="6270" xr:uid="{00000000-0005-0000-0000-00007E180000}"/>
    <cellStyle name="AggOrange9 4 3 2 59" xfId="6271" xr:uid="{00000000-0005-0000-0000-00007F180000}"/>
    <cellStyle name="AggOrange9 4 3 2 6" xfId="6272" xr:uid="{00000000-0005-0000-0000-000080180000}"/>
    <cellStyle name="AggOrange9 4 3 2 60" xfId="6273" xr:uid="{00000000-0005-0000-0000-000081180000}"/>
    <cellStyle name="AggOrange9 4 3 2 61" xfId="6274" xr:uid="{00000000-0005-0000-0000-000082180000}"/>
    <cellStyle name="AggOrange9 4 3 2 62" xfId="6275" xr:uid="{00000000-0005-0000-0000-000083180000}"/>
    <cellStyle name="AggOrange9 4 3 2 63" xfId="6276" xr:uid="{00000000-0005-0000-0000-000084180000}"/>
    <cellStyle name="AggOrange9 4 3 2 64" xfId="6277" xr:uid="{00000000-0005-0000-0000-000085180000}"/>
    <cellStyle name="AggOrange9 4 3 2 65" xfId="6278" xr:uid="{00000000-0005-0000-0000-000086180000}"/>
    <cellStyle name="AggOrange9 4 3 2 7" xfId="6279" xr:uid="{00000000-0005-0000-0000-000087180000}"/>
    <cellStyle name="AggOrange9 4 3 2 8" xfId="6280" xr:uid="{00000000-0005-0000-0000-000088180000}"/>
    <cellStyle name="AggOrange9 4 3 2 9" xfId="6281" xr:uid="{00000000-0005-0000-0000-000089180000}"/>
    <cellStyle name="AggOrange9 4 3 20" xfId="6282" xr:uid="{00000000-0005-0000-0000-00008A180000}"/>
    <cellStyle name="AggOrange9 4 3 21" xfId="6283" xr:uid="{00000000-0005-0000-0000-00008B180000}"/>
    <cellStyle name="AggOrange9 4 3 22" xfId="6284" xr:uid="{00000000-0005-0000-0000-00008C180000}"/>
    <cellStyle name="AggOrange9 4 3 23" xfId="6285" xr:uid="{00000000-0005-0000-0000-00008D180000}"/>
    <cellStyle name="AggOrange9 4 3 24" xfId="6286" xr:uid="{00000000-0005-0000-0000-00008E180000}"/>
    <cellStyle name="AggOrange9 4 3 25" xfId="6287" xr:uid="{00000000-0005-0000-0000-00008F180000}"/>
    <cellStyle name="AggOrange9 4 3 26" xfId="6288" xr:uid="{00000000-0005-0000-0000-000090180000}"/>
    <cellStyle name="AggOrange9 4 3 27" xfId="6289" xr:uid="{00000000-0005-0000-0000-000091180000}"/>
    <cellStyle name="AggOrange9 4 3 28" xfId="6290" xr:uid="{00000000-0005-0000-0000-000092180000}"/>
    <cellStyle name="AggOrange9 4 3 29" xfId="6291" xr:uid="{00000000-0005-0000-0000-000093180000}"/>
    <cellStyle name="AggOrange9 4 3 3" xfId="6292" xr:uid="{00000000-0005-0000-0000-000094180000}"/>
    <cellStyle name="AggOrange9 4 3 30" xfId="6293" xr:uid="{00000000-0005-0000-0000-000095180000}"/>
    <cellStyle name="AggOrange9 4 3 31" xfId="6294" xr:uid="{00000000-0005-0000-0000-000096180000}"/>
    <cellStyle name="AggOrange9 4 3 32" xfId="6295" xr:uid="{00000000-0005-0000-0000-000097180000}"/>
    <cellStyle name="AggOrange9 4 3 33" xfId="6296" xr:uid="{00000000-0005-0000-0000-000098180000}"/>
    <cellStyle name="AggOrange9 4 3 34" xfId="6297" xr:uid="{00000000-0005-0000-0000-000099180000}"/>
    <cellStyle name="AggOrange9 4 3 35" xfId="6298" xr:uid="{00000000-0005-0000-0000-00009A180000}"/>
    <cellStyle name="AggOrange9 4 3 36" xfId="6299" xr:uid="{00000000-0005-0000-0000-00009B180000}"/>
    <cellStyle name="AggOrange9 4 3 37" xfId="6300" xr:uid="{00000000-0005-0000-0000-00009C180000}"/>
    <cellStyle name="AggOrange9 4 3 38" xfId="6301" xr:uid="{00000000-0005-0000-0000-00009D180000}"/>
    <cellStyle name="AggOrange9 4 3 39" xfId="6302" xr:uid="{00000000-0005-0000-0000-00009E180000}"/>
    <cellStyle name="AggOrange9 4 3 4" xfId="6303" xr:uid="{00000000-0005-0000-0000-00009F180000}"/>
    <cellStyle name="AggOrange9 4 3 40" xfId="6304" xr:uid="{00000000-0005-0000-0000-0000A0180000}"/>
    <cellStyle name="AggOrange9 4 3 41" xfId="6305" xr:uid="{00000000-0005-0000-0000-0000A1180000}"/>
    <cellStyle name="AggOrange9 4 3 42" xfId="6306" xr:uid="{00000000-0005-0000-0000-0000A2180000}"/>
    <cellStyle name="AggOrange9 4 3 43" xfId="6307" xr:uid="{00000000-0005-0000-0000-0000A3180000}"/>
    <cellStyle name="AggOrange9 4 3 44" xfId="6308" xr:uid="{00000000-0005-0000-0000-0000A4180000}"/>
    <cellStyle name="AggOrange9 4 3 45" xfId="6309" xr:uid="{00000000-0005-0000-0000-0000A5180000}"/>
    <cellStyle name="AggOrange9 4 3 46" xfId="6310" xr:uid="{00000000-0005-0000-0000-0000A6180000}"/>
    <cellStyle name="AggOrange9 4 3 47" xfId="6311" xr:uid="{00000000-0005-0000-0000-0000A7180000}"/>
    <cellStyle name="AggOrange9 4 3 48" xfId="6312" xr:uid="{00000000-0005-0000-0000-0000A8180000}"/>
    <cellStyle name="AggOrange9 4 3 49" xfId="6313" xr:uid="{00000000-0005-0000-0000-0000A9180000}"/>
    <cellStyle name="AggOrange9 4 3 5" xfId="6314" xr:uid="{00000000-0005-0000-0000-0000AA180000}"/>
    <cellStyle name="AggOrange9 4 3 50" xfId="6315" xr:uid="{00000000-0005-0000-0000-0000AB180000}"/>
    <cellStyle name="AggOrange9 4 3 51" xfId="6316" xr:uid="{00000000-0005-0000-0000-0000AC180000}"/>
    <cellStyle name="AggOrange9 4 3 52" xfId="6317" xr:uid="{00000000-0005-0000-0000-0000AD180000}"/>
    <cellStyle name="AggOrange9 4 3 53" xfId="6318" xr:uid="{00000000-0005-0000-0000-0000AE180000}"/>
    <cellStyle name="AggOrange9 4 3 54" xfId="6319" xr:uid="{00000000-0005-0000-0000-0000AF180000}"/>
    <cellStyle name="AggOrange9 4 3 55" xfId="6320" xr:uid="{00000000-0005-0000-0000-0000B0180000}"/>
    <cellStyle name="AggOrange9 4 3 56" xfId="6321" xr:uid="{00000000-0005-0000-0000-0000B1180000}"/>
    <cellStyle name="AggOrange9 4 3 57" xfId="6322" xr:uid="{00000000-0005-0000-0000-0000B2180000}"/>
    <cellStyle name="AggOrange9 4 3 58" xfId="6323" xr:uid="{00000000-0005-0000-0000-0000B3180000}"/>
    <cellStyle name="AggOrange9 4 3 59" xfId="6324" xr:uid="{00000000-0005-0000-0000-0000B4180000}"/>
    <cellStyle name="AggOrange9 4 3 6" xfId="6325" xr:uid="{00000000-0005-0000-0000-0000B5180000}"/>
    <cellStyle name="AggOrange9 4 3 60" xfId="6326" xr:uid="{00000000-0005-0000-0000-0000B6180000}"/>
    <cellStyle name="AggOrange9 4 3 61" xfId="6327" xr:uid="{00000000-0005-0000-0000-0000B7180000}"/>
    <cellStyle name="AggOrange9 4 3 62" xfId="6328" xr:uid="{00000000-0005-0000-0000-0000B8180000}"/>
    <cellStyle name="AggOrange9 4 3 63" xfId="6329" xr:uid="{00000000-0005-0000-0000-0000B9180000}"/>
    <cellStyle name="AggOrange9 4 3 64" xfId="6330" xr:uid="{00000000-0005-0000-0000-0000BA180000}"/>
    <cellStyle name="AggOrange9 4 3 65" xfId="6331" xr:uid="{00000000-0005-0000-0000-0000BB180000}"/>
    <cellStyle name="AggOrange9 4 3 66" xfId="6332" xr:uid="{00000000-0005-0000-0000-0000BC180000}"/>
    <cellStyle name="AggOrange9 4 3 7" xfId="6333" xr:uid="{00000000-0005-0000-0000-0000BD180000}"/>
    <cellStyle name="AggOrange9 4 3 8" xfId="6334" xr:uid="{00000000-0005-0000-0000-0000BE180000}"/>
    <cellStyle name="AggOrange9 4 3 9" xfId="6335" xr:uid="{00000000-0005-0000-0000-0000BF180000}"/>
    <cellStyle name="AggOrange9 4 30" xfId="6336" xr:uid="{00000000-0005-0000-0000-0000C0180000}"/>
    <cellStyle name="AggOrange9 4 31" xfId="6337" xr:uid="{00000000-0005-0000-0000-0000C1180000}"/>
    <cellStyle name="AggOrange9 4 32" xfId="6338" xr:uid="{00000000-0005-0000-0000-0000C2180000}"/>
    <cellStyle name="AggOrange9 4 33" xfId="6339" xr:uid="{00000000-0005-0000-0000-0000C3180000}"/>
    <cellStyle name="AggOrange9 4 34" xfId="6340" xr:uid="{00000000-0005-0000-0000-0000C4180000}"/>
    <cellStyle name="AggOrange9 4 35" xfId="6341" xr:uid="{00000000-0005-0000-0000-0000C5180000}"/>
    <cellStyle name="AggOrange9 4 36" xfId="6342" xr:uid="{00000000-0005-0000-0000-0000C6180000}"/>
    <cellStyle name="AggOrange9 4 37" xfId="6343" xr:uid="{00000000-0005-0000-0000-0000C7180000}"/>
    <cellStyle name="AggOrange9 4 38" xfId="6344" xr:uid="{00000000-0005-0000-0000-0000C8180000}"/>
    <cellStyle name="AggOrange9 4 39" xfId="6345" xr:uid="{00000000-0005-0000-0000-0000C9180000}"/>
    <cellStyle name="AggOrange9 4 4" xfId="6346" xr:uid="{00000000-0005-0000-0000-0000CA180000}"/>
    <cellStyle name="AggOrange9 4 4 10" xfId="6347" xr:uid="{00000000-0005-0000-0000-0000CB180000}"/>
    <cellStyle name="AggOrange9 4 4 11" xfId="6348" xr:uid="{00000000-0005-0000-0000-0000CC180000}"/>
    <cellStyle name="AggOrange9 4 4 12" xfId="6349" xr:uid="{00000000-0005-0000-0000-0000CD180000}"/>
    <cellStyle name="AggOrange9 4 4 13" xfId="6350" xr:uid="{00000000-0005-0000-0000-0000CE180000}"/>
    <cellStyle name="AggOrange9 4 4 14" xfId="6351" xr:uid="{00000000-0005-0000-0000-0000CF180000}"/>
    <cellStyle name="AggOrange9 4 4 15" xfId="6352" xr:uid="{00000000-0005-0000-0000-0000D0180000}"/>
    <cellStyle name="AggOrange9 4 4 16" xfId="6353" xr:uid="{00000000-0005-0000-0000-0000D1180000}"/>
    <cellStyle name="AggOrange9 4 4 17" xfId="6354" xr:uid="{00000000-0005-0000-0000-0000D2180000}"/>
    <cellStyle name="AggOrange9 4 4 18" xfId="6355" xr:uid="{00000000-0005-0000-0000-0000D3180000}"/>
    <cellStyle name="AggOrange9 4 4 19" xfId="6356" xr:uid="{00000000-0005-0000-0000-0000D4180000}"/>
    <cellStyle name="AggOrange9 4 4 2" xfId="6357" xr:uid="{00000000-0005-0000-0000-0000D5180000}"/>
    <cellStyle name="AggOrange9 4 4 2 10" xfId="6358" xr:uid="{00000000-0005-0000-0000-0000D6180000}"/>
    <cellStyle name="AggOrange9 4 4 2 11" xfId="6359" xr:uid="{00000000-0005-0000-0000-0000D7180000}"/>
    <cellStyle name="AggOrange9 4 4 2 12" xfId="6360" xr:uid="{00000000-0005-0000-0000-0000D8180000}"/>
    <cellStyle name="AggOrange9 4 4 2 13" xfId="6361" xr:uid="{00000000-0005-0000-0000-0000D9180000}"/>
    <cellStyle name="AggOrange9 4 4 2 14" xfId="6362" xr:uid="{00000000-0005-0000-0000-0000DA180000}"/>
    <cellStyle name="AggOrange9 4 4 2 15" xfId="6363" xr:uid="{00000000-0005-0000-0000-0000DB180000}"/>
    <cellStyle name="AggOrange9 4 4 2 16" xfId="6364" xr:uid="{00000000-0005-0000-0000-0000DC180000}"/>
    <cellStyle name="AggOrange9 4 4 2 17" xfId="6365" xr:uid="{00000000-0005-0000-0000-0000DD180000}"/>
    <cellStyle name="AggOrange9 4 4 2 18" xfId="6366" xr:uid="{00000000-0005-0000-0000-0000DE180000}"/>
    <cellStyle name="AggOrange9 4 4 2 19" xfId="6367" xr:uid="{00000000-0005-0000-0000-0000DF180000}"/>
    <cellStyle name="AggOrange9 4 4 2 2" xfId="6368" xr:uid="{00000000-0005-0000-0000-0000E0180000}"/>
    <cellStyle name="AggOrange9 4 4 2 20" xfId="6369" xr:uid="{00000000-0005-0000-0000-0000E1180000}"/>
    <cellStyle name="AggOrange9 4 4 2 21" xfId="6370" xr:uid="{00000000-0005-0000-0000-0000E2180000}"/>
    <cellStyle name="AggOrange9 4 4 2 22" xfId="6371" xr:uid="{00000000-0005-0000-0000-0000E3180000}"/>
    <cellStyle name="AggOrange9 4 4 2 23" xfId="6372" xr:uid="{00000000-0005-0000-0000-0000E4180000}"/>
    <cellStyle name="AggOrange9 4 4 2 24" xfId="6373" xr:uid="{00000000-0005-0000-0000-0000E5180000}"/>
    <cellStyle name="AggOrange9 4 4 2 25" xfId="6374" xr:uid="{00000000-0005-0000-0000-0000E6180000}"/>
    <cellStyle name="AggOrange9 4 4 2 26" xfId="6375" xr:uid="{00000000-0005-0000-0000-0000E7180000}"/>
    <cellStyle name="AggOrange9 4 4 2 27" xfId="6376" xr:uid="{00000000-0005-0000-0000-0000E8180000}"/>
    <cellStyle name="AggOrange9 4 4 2 28" xfId="6377" xr:uid="{00000000-0005-0000-0000-0000E9180000}"/>
    <cellStyle name="AggOrange9 4 4 2 29" xfId="6378" xr:uid="{00000000-0005-0000-0000-0000EA180000}"/>
    <cellStyle name="AggOrange9 4 4 2 3" xfId="6379" xr:uid="{00000000-0005-0000-0000-0000EB180000}"/>
    <cellStyle name="AggOrange9 4 4 2 30" xfId="6380" xr:uid="{00000000-0005-0000-0000-0000EC180000}"/>
    <cellStyle name="AggOrange9 4 4 2 31" xfId="6381" xr:uid="{00000000-0005-0000-0000-0000ED180000}"/>
    <cellStyle name="AggOrange9 4 4 2 32" xfId="6382" xr:uid="{00000000-0005-0000-0000-0000EE180000}"/>
    <cellStyle name="AggOrange9 4 4 2 33" xfId="6383" xr:uid="{00000000-0005-0000-0000-0000EF180000}"/>
    <cellStyle name="AggOrange9 4 4 2 34" xfId="6384" xr:uid="{00000000-0005-0000-0000-0000F0180000}"/>
    <cellStyle name="AggOrange9 4 4 2 35" xfId="6385" xr:uid="{00000000-0005-0000-0000-0000F1180000}"/>
    <cellStyle name="AggOrange9 4 4 2 36" xfId="6386" xr:uid="{00000000-0005-0000-0000-0000F2180000}"/>
    <cellStyle name="AggOrange9 4 4 2 37" xfId="6387" xr:uid="{00000000-0005-0000-0000-0000F3180000}"/>
    <cellStyle name="AggOrange9 4 4 2 38" xfId="6388" xr:uid="{00000000-0005-0000-0000-0000F4180000}"/>
    <cellStyle name="AggOrange9 4 4 2 39" xfId="6389" xr:uid="{00000000-0005-0000-0000-0000F5180000}"/>
    <cellStyle name="AggOrange9 4 4 2 4" xfId="6390" xr:uid="{00000000-0005-0000-0000-0000F6180000}"/>
    <cellStyle name="AggOrange9 4 4 2 40" xfId="6391" xr:uid="{00000000-0005-0000-0000-0000F7180000}"/>
    <cellStyle name="AggOrange9 4 4 2 41" xfId="6392" xr:uid="{00000000-0005-0000-0000-0000F8180000}"/>
    <cellStyle name="AggOrange9 4 4 2 42" xfId="6393" xr:uid="{00000000-0005-0000-0000-0000F9180000}"/>
    <cellStyle name="AggOrange9 4 4 2 43" xfId="6394" xr:uid="{00000000-0005-0000-0000-0000FA180000}"/>
    <cellStyle name="AggOrange9 4 4 2 44" xfId="6395" xr:uid="{00000000-0005-0000-0000-0000FB180000}"/>
    <cellStyle name="AggOrange9 4 4 2 45" xfId="6396" xr:uid="{00000000-0005-0000-0000-0000FC180000}"/>
    <cellStyle name="AggOrange9 4 4 2 46" xfId="6397" xr:uid="{00000000-0005-0000-0000-0000FD180000}"/>
    <cellStyle name="AggOrange9 4 4 2 47" xfId="6398" xr:uid="{00000000-0005-0000-0000-0000FE180000}"/>
    <cellStyle name="AggOrange9 4 4 2 48" xfId="6399" xr:uid="{00000000-0005-0000-0000-0000FF180000}"/>
    <cellStyle name="AggOrange9 4 4 2 49" xfId="6400" xr:uid="{00000000-0005-0000-0000-000000190000}"/>
    <cellStyle name="AggOrange9 4 4 2 5" xfId="6401" xr:uid="{00000000-0005-0000-0000-000001190000}"/>
    <cellStyle name="AggOrange9 4 4 2 50" xfId="6402" xr:uid="{00000000-0005-0000-0000-000002190000}"/>
    <cellStyle name="AggOrange9 4 4 2 51" xfId="6403" xr:uid="{00000000-0005-0000-0000-000003190000}"/>
    <cellStyle name="AggOrange9 4 4 2 52" xfId="6404" xr:uid="{00000000-0005-0000-0000-000004190000}"/>
    <cellStyle name="AggOrange9 4 4 2 53" xfId="6405" xr:uid="{00000000-0005-0000-0000-000005190000}"/>
    <cellStyle name="AggOrange9 4 4 2 54" xfId="6406" xr:uid="{00000000-0005-0000-0000-000006190000}"/>
    <cellStyle name="AggOrange9 4 4 2 55" xfId="6407" xr:uid="{00000000-0005-0000-0000-000007190000}"/>
    <cellStyle name="AggOrange9 4 4 2 56" xfId="6408" xr:uid="{00000000-0005-0000-0000-000008190000}"/>
    <cellStyle name="AggOrange9 4 4 2 57" xfId="6409" xr:uid="{00000000-0005-0000-0000-000009190000}"/>
    <cellStyle name="AggOrange9 4 4 2 58" xfId="6410" xr:uid="{00000000-0005-0000-0000-00000A190000}"/>
    <cellStyle name="AggOrange9 4 4 2 59" xfId="6411" xr:uid="{00000000-0005-0000-0000-00000B190000}"/>
    <cellStyle name="AggOrange9 4 4 2 6" xfId="6412" xr:uid="{00000000-0005-0000-0000-00000C190000}"/>
    <cellStyle name="AggOrange9 4 4 2 60" xfId="6413" xr:uid="{00000000-0005-0000-0000-00000D190000}"/>
    <cellStyle name="AggOrange9 4 4 2 61" xfId="6414" xr:uid="{00000000-0005-0000-0000-00000E190000}"/>
    <cellStyle name="AggOrange9 4 4 2 62" xfId="6415" xr:uid="{00000000-0005-0000-0000-00000F190000}"/>
    <cellStyle name="AggOrange9 4 4 2 63" xfId="6416" xr:uid="{00000000-0005-0000-0000-000010190000}"/>
    <cellStyle name="AggOrange9 4 4 2 64" xfId="6417" xr:uid="{00000000-0005-0000-0000-000011190000}"/>
    <cellStyle name="AggOrange9 4 4 2 65" xfId="6418" xr:uid="{00000000-0005-0000-0000-000012190000}"/>
    <cellStyle name="AggOrange9 4 4 2 7" xfId="6419" xr:uid="{00000000-0005-0000-0000-000013190000}"/>
    <cellStyle name="AggOrange9 4 4 2 8" xfId="6420" xr:uid="{00000000-0005-0000-0000-000014190000}"/>
    <cellStyle name="AggOrange9 4 4 2 9" xfId="6421" xr:uid="{00000000-0005-0000-0000-000015190000}"/>
    <cellStyle name="AggOrange9 4 4 20" xfId="6422" xr:uid="{00000000-0005-0000-0000-000016190000}"/>
    <cellStyle name="AggOrange9 4 4 21" xfId="6423" xr:uid="{00000000-0005-0000-0000-000017190000}"/>
    <cellStyle name="AggOrange9 4 4 22" xfId="6424" xr:uid="{00000000-0005-0000-0000-000018190000}"/>
    <cellStyle name="AggOrange9 4 4 23" xfId="6425" xr:uid="{00000000-0005-0000-0000-000019190000}"/>
    <cellStyle name="AggOrange9 4 4 24" xfId="6426" xr:uid="{00000000-0005-0000-0000-00001A190000}"/>
    <cellStyle name="AggOrange9 4 4 25" xfId="6427" xr:uid="{00000000-0005-0000-0000-00001B190000}"/>
    <cellStyle name="AggOrange9 4 4 26" xfId="6428" xr:uid="{00000000-0005-0000-0000-00001C190000}"/>
    <cellStyle name="AggOrange9 4 4 27" xfId="6429" xr:uid="{00000000-0005-0000-0000-00001D190000}"/>
    <cellStyle name="AggOrange9 4 4 28" xfId="6430" xr:uid="{00000000-0005-0000-0000-00001E190000}"/>
    <cellStyle name="AggOrange9 4 4 29" xfId="6431" xr:uid="{00000000-0005-0000-0000-00001F190000}"/>
    <cellStyle name="AggOrange9 4 4 3" xfId="6432" xr:uid="{00000000-0005-0000-0000-000020190000}"/>
    <cellStyle name="AggOrange9 4 4 30" xfId="6433" xr:uid="{00000000-0005-0000-0000-000021190000}"/>
    <cellStyle name="AggOrange9 4 4 31" xfId="6434" xr:uid="{00000000-0005-0000-0000-000022190000}"/>
    <cellStyle name="AggOrange9 4 4 32" xfId="6435" xr:uid="{00000000-0005-0000-0000-000023190000}"/>
    <cellStyle name="AggOrange9 4 4 33" xfId="6436" xr:uid="{00000000-0005-0000-0000-000024190000}"/>
    <cellStyle name="AggOrange9 4 4 34" xfId="6437" xr:uid="{00000000-0005-0000-0000-000025190000}"/>
    <cellStyle name="AggOrange9 4 4 35" xfId="6438" xr:uid="{00000000-0005-0000-0000-000026190000}"/>
    <cellStyle name="AggOrange9 4 4 36" xfId="6439" xr:uid="{00000000-0005-0000-0000-000027190000}"/>
    <cellStyle name="AggOrange9 4 4 37" xfId="6440" xr:uid="{00000000-0005-0000-0000-000028190000}"/>
    <cellStyle name="AggOrange9 4 4 38" xfId="6441" xr:uid="{00000000-0005-0000-0000-000029190000}"/>
    <cellStyle name="AggOrange9 4 4 39" xfId="6442" xr:uid="{00000000-0005-0000-0000-00002A190000}"/>
    <cellStyle name="AggOrange9 4 4 4" xfId="6443" xr:uid="{00000000-0005-0000-0000-00002B190000}"/>
    <cellStyle name="AggOrange9 4 4 40" xfId="6444" xr:uid="{00000000-0005-0000-0000-00002C190000}"/>
    <cellStyle name="AggOrange9 4 4 41" xfId="6445" xr:uid="{00000000-0005-0000-0000-00002D190000}"/>
    <cellStyle name="AggOrange9 4 4 42" xfId="6446" xr:uid="{00000000-0005-0000-0000-00002E190000}"/>
    <cellStyle name="AggOrange9 4 4 43" xfId="6447" xr:uid="{00000000-0005-0000-0000-00002F190000}"/>
    <cellStyle name="AggOrange9 4 4 44" xfId="6448" xr:uid="{00000000-0005-0000-0000-000030190000}"/>
    <cellStyle name="AggOrange9 4 4 45" xfId="6449" xr:uid="{00000000-0005-0000-0000-000031190000}"/>
    <cellStyle name="AggOrange9 4 4 46" xfId="6450" xr:uid="{00000000-0005-0000-0000-000032190000}"/>
    <cellStyle name="AggOrange9 4 4 47" xfId="6451" xr:uid="{00000000-0005-0000-0000-000033190000}"/>
    <cellStyle name="AggOrange9 4 4 48" xfId="6452" xr:uid="{00000000-0005-0000-0000-000034190000}"/>
    <cellStyle name="AggOrange9 4 4 49" xfId="6453" xr:uid="{00000000-0005-0000-0000-000035190000}"/>
    <cellStyle name="AggOrange9 4 4 5" xfId="6454" xr:uid="{00000000-0005-0000-0000-000036190000}"/>
    <cellStyle name="AggOrange9 4 4 50" xfId="6455" xr:uid="{00000000-0005-0000-0000-000037190000}"/>
    <cellStyle name="AggOrange9 4 4 51" xfId="6456" xr:uid="{00000000-0005-0000-0000-000038190000}"/>
    <cellStyle name="AggOrange9 4 4 52" xfId="6457" xr:uid="{00000000-0005-0000-0000-000039190000}"/>
    <cellStyle name="AggOrange9 4 4 53" xfId="6458" xr:uid="{00000000-0005-0000-0000-00003A190000}"/>
    <cellStyle name="AggOrange9 4 4 54" xfId="6459" xr:uid="{00000000-0005-0000-0000-00003B190000}"/>
    <cellStyle name="AggOrange9 4 4 55" xfId="6460" xr:uid="{00000000-0005-0000-0000-00003C190000}"/>
    <cellStyle name="AggOrange9 4 4 56" xfId="6461" xr:uid="{00000000-0005-0000-0000-00003D190000}"/>
    <cellStyle name="AggOrange9 4 4 57" xfId="6462" xr:uid="{00000000-0005-0000-0000-00003E190000}"/>
    <cellStyle name="AggOrange9 4 4 58" xfId="6463" xr:uid="{00000000-0005-0000-0000-00003F190000}"/>
    <cellStyle name="AggOrange9 4 4 59" xfId="6464" xr:uid="{00000000-0005-0000-0000-000040190000}"/>
    <cellStyle name="AggOrange9 4 4 6" xfId="6465" xr:uid="{00000000-0005-0000-0000-000041190000}"/>
    <cellStyle name="AggOrange9 4 4 60" xfId="6466" xr:uid="{00000000-0005-0000-0000-000042190000}"/>
    <cellStyle name="AggOrange9 4 4 61" xfId="6467" xr:uid="{00000000-0005-0000-0000-000043190000}"/>
    <cellStyle name="AggOrange9 4 4 62" xfId="6468" xr:uid="{00000000-0005-0000-0000-000044190000}"/>
    <cellStyle name="AggOrange9 4 4 63" xfId="6469" xr:uid="{00000000-0005-0000-0000-000045190000}"/>
    <cellStyle name="AggOrange9 4 4 64" xfId="6470" xr:uid="{00000000-0005-0000-0000-000046190000}"/>
    <cellStyle name="AggOrange9 4 4 65" xfId="6471" xr:uid="{00000000-0005-0000-0000-000047190000}"/>
    <cellStyle name="AggOrange9 4 4 66" xfId="6472" xr:uid="{00000000-0005-0000-0000-000048190000}"/>
    <cellStyle name="AggOrange9 4 4 7" xfId="6473" xr:uid="{00000000-0005-0000-0000-000049190000}"/>
    <cellStyle name="AggOrange9 4 4 8" xfId="6474" xr:uid="{00000000-0005-0000-0000-00004A190000}"/>
    <cellStyle name="AggOrange9 4 4 9" xfId="6475" xr:uid="{00000000-0005-0000-0000-00004B190000}"/>
    <cellStyle name="AggOrange9 4 40" xfId="6476" xr:uid="{00000000-0005-0000-0000-00004C190000}"/>
    <cellStyle name="AggOrange9 4 41" xfId="6477" xr:uid="{00000000-0005-0000-0000-00004D190000}"/>
    <cellStyle name="AggOrange9 4 42" xfId="6478" xr:uid="{00000000-0005-0000-0000-00004E190000}"/>
    <cellStyle name="AggOrange9 4 43" xfId="6479" xr:uid="{00000000-0005-0000-0000-00004F190000}"/>
    <cellStyle name="AggOrange9 4 44" xfId="6480" xr:uid="{00000000-0005-0000-0000-000050190000}"/>
    <cellStyle name="AggOrange9 4 45" xfId="6481" xr:uid="{00000000-0005-0000-0000-000051190000}"/>
    <cellStyle name="AggOrange9 4 46" xfId="6482" xr:uid="{00000000-0005-0000-0000-000052190000}"/>
    <cellStyle name="AggOrange9 4 47" xfId="6483" xr:uid="{00000000-0005-0000-0000-000053190000}"/>
    <cellStyle name="AggOrange9 4 48" xfId="6484" xr:uid="{00000000-0005-0000-0000-000054190000}"/>
    <cellStyle name="AggOrange9 4 49" xfId="6485" xr:uid="{00000000-0005-0000-0000-000055190000}"/>
    <cellStyle name="AggOrange9 4 5" xfId="6486" xr:uid="{00000000-0005-0000-0000-000056190000}"/>
    <cellStyle name="AggOrange9 4 50" xfId="6487" xr:uid="{00000000-0005-0000-0000-000057190000}"/>
    <cellStyle name="AggOrange9 4 51" xfId="6488" xr:uid="{00000000-0005-0000-0000-000058190000}"/>
    <cellStyle name="AggOrange9 4 52" xfId="6489" xr:uid="{00000000-0005-0000-0000-000059190000}"/>
    <cellStyle name="AggOrange9 4 53" xfId="6490" xr:uid="{00000000-0005-0000-0000-00005A190000}"/>
    <cellStyle name="AggOrange9 4 54" xfId="6491" xr:uid="{00000000-0005-0000-0000-00005B190000}"/>
    <cellStyle name="AggOrange9 4 55" xfId="6492" xr:uid="{00000000-0005-0000-0000-00005C190000}"/>
    <cellStyle name="AggOrange9 4 56" xfId="6493" xr:uid="{00000000-0005-0000-0000-00005D190000}"/>
    <cellStyle name="AggOrange9 4 57" xfId="6494" xr:uid="{00000000-0005-0000-0000-00005E190000}"/>
    <cellStyle name="AggOrange9 4 58" xfId="6495" xr:uid="{00000000-0005-0000-0000-00005F190000}"/>
    <cellStyle name="AggOrange9 4 59" xfId="6496" xr:uid="{00000000-0005-0000-0000-000060190000}"/>
    <cellStyle name="AggOrange9 4 6" xfId="6497" xr:uid="{00000000-0005-0000-0000-000061190000}"/>
    <cellStyle name="AggOrange9 4 60" xfId="6498" xr:uid="{00000000-0005-0000-0000-000062190000}"/>
    <cellStyle name="AggOrange9 4 61" xfId="6499" xr:uid="{00000000-0005-0000-0000-000063190000}"/>
    <cellStyle name="AggOrange9 4 62" xfId="6500" xr:uid="{00000000-0005-0000-0000-000064190000}"/>
    <cellStyle name="AggOrange9 4 63" xfId="6501" xr:uid="{00000000-0005-0000-0000-000065190000}"/>
    <cellStyle name="AggOrange9 4 64" xfId="6502" xr:uid="{00000000-0005-0000-0000-000066190000}"/>
    <cellStyle name="AggOrange9 4 65" xfId="6503" xr:uid="{00000000-0005-0000-0000-000067190000}"/>
    <cellStyle name="AggOrange9 4 66" xfId="6504" xr:uid="{00000000-0005-0000-0000-000068190000}"/>
    <cellStyle name="AggOrange9 4 67" xfId="6505" xr:uid="{00000000-0005-0000-0000-000069190000}"/>
    <cellStyle name="AggOrange9 4 68" xfId="6506" xr:uid="{00000000-0005-0000-0000-00006A190000}"/>
    <cellStyle name="AggOrange9 4 7" xfId="6507" xr:uid="{00000000-0005-0000-0000-00006B190000}"/>
    <cellStyle name="AggOrange9 4 8" xfId="6508" xr:uid="{00000000-0005-0000-0000-00006C190000}"/>
    <cellStyle name="AggOrange9 4 9" xfId="6509" xr:uid="{00000000-0005-0000-0000-00006D190000}"/>
    <cellStyle name="AggOrange9 5" xfId="6510" xr:uid="{00000000-0005-0000-0000-00006E190000}"/>
    <cellStyle name="AggOrange9 5 10" xfId="6511" xr:uid="{00000000-0005-0000-0000-00006F190000}"/>
    <cellStyle name="AggOrange9 5 11" xfId="6512" xr:uid="{00000000-0005-0000-0000-000070190000}"/>
    <cellStyle name="AggOrange9 5 12" xfId="6513" xr:uid="{00000000-0005-0000-0000-000071190000}"/>
    <cellStyle name="AggOrange9 5 13" xfId="6514" xr:uid="{00000000-0005-0000-0000-000072190000}"/>
    <cellStyle name="AggOrange9 5 14" xfId="6515" xr:uid="{00000000-0005-0000-0000-000073190000}"/>
    <cellStyle name="AggOrange9 5 15" xfId="6516" xr:uid="{00000000-0005-0000-0000-000074190000}"/>
    <cellStyle name="AggOrange9 5 16" xfId="6517" xr:uid="{00000000-0005-0000-0000-000075190000}"/>
    <cellStyle name="AggOrange9 5 2" xfId="6518" xr:uid="{00000000-0005-0000-0000-000076190000}"/>
    <cellStyle name="AggOrange9 5 3" xfId="6519" xr:uid="{00000000-0005-0000-0000-000077190000}"/>
    <cellStyle name="AggOrange9 5 4" xfId="6520" xr:uid="{00000000-0005-0000-0000-000078190000}"/>
    <cellStyle name="AggOrange9 5 5" xfId="6521" xr:uid="{00000000-0005-0000-0000-000079190000}"/>
    <cellStyle name="AggOrange9 5 6" xfId="6522" xr:uid="{00000000-0005-0000-0000-00007A190000}"/>
    <cellStyle name="AggOrange9 5 7" xfId="6523" xr:uid="{00000000-0005-0000-0000-00007B190000}"/>
    <cellStyle name="AggOrange9 5 8" xfId="6524" xr:uid="{00000000-0005-0000-0000-00007C190000}"/>
    <cellStyle name="AggOrange9 5 9" xfId="6525" xr:uid="{00000000-0005-0000-0000-00007D190000}"/>
    <cellStyle name="AggOrangeLB_2x" xfId="6527" xr:uid="{00000000-0005-0000-0000-00007F190000}"/>
    <cellStyle name="AggOrangeLBorder" xfId="6528" xr:uid="{00000000-0005-0000-0000-000080190000}"/>
    <cellStyle name="AggOrangeLBorder 2" xfId="6529" xr:uid="{00000000-0005-0000-0000-000081190000}"/>
    <cellStyle name="AggOrangeLBorder 2 2" xfId="6530" xr:uid="{00000000-0005-0000-0000-000082190000}"/>
    <cellStyle name="AggOrangeLBorder 2 2 2" xfId="6531" xr:uid="{00000000-0005-0000-0000-000083190000}"/>
    <cellStyle name="AggOrangeLBorder 2 2 3" xfId="6532" xr:uid="{00000000-0005-0000-0000-000084190000}"/>
    <cellStyle name="AggOrangeLBorder 2 3" xfId="6533" xr:uid="{00000000-0005-0000-0000-000085190000}"/>
    <cellStyle name="AggOrangeLBorder 2 3 10" xfId="6534" xr:uid="{00000000-0005-0000-0000-000086190000}"/>
    <cellStyle name="AggOrangeLBorder 2 3 11" xfId="6535" xr:uid="{00000000-0005-0000-0000-000087190000}"/>
    <cellStyle name="AggOrangeLBorder 2 3 12" xfId="6536" xr:uid="{00000000-0005-0000-0000-000088190000}"/>
    <cellStyle name="AggOrangeLBorder 2 3 13" xfId="6537" xr:uid="{00000000-0005-0000-0000-000089190000}"/>
    <cellStyle name="AggOrangeLBorder 2 3 14" xfId="6538" xr:uid="{00000000-0005-0000-0000-00008A190000}"/>
    <cellStyle name="AggOrangeLBorder 2 3 15" xfId="6539" xr:uid="{00000000-0005-0000-0000-00008B190000}"/>
    <cellStyle name="AggOrangeLBorder 2 3 16" xfId="6540" xr:uid="{00000000-0005-0000-0000-00008C190000}"/>
    <cellStyle name="AggOrangeLBorder 2 3 17" xfId="6541" xr:uid="{00000000-0005-0000-0000-00008D190000}"/>
    <cellStyle name="AggOrangeLBorder 2 3 18" xfId="6542" xr:uid="{00000000-0005-0000-0000-00008E190000}"/>
    <cellStyle name="AggOrangeLBorder 2 3 19" xfId="6543" xr:uid="{00000000-0005-0000-0000-00008F190000}"/>
    <cellStyle name="AggOrangeLBorder 2 3 2" xfId="6544" xr:uid="{00000000-0005-0000-0000-000090190000}"/>
    <cellStyle name="AggOrangeLBorder 2 3 2 10" xfId="6545" xr:uid="{00000000-0005-0000-0000-000091190000}"/>
    <cellStyle name="AggOrangeLBorder 2 3 2 11" xfId="6546" xr:uid="{00000000-0005-0000-0000-000092190000}"/>
    <cellStyle name="AggOrangeLBorder 2 3 2 12" xfId="6547" xr:uid="{00000000-0005-0000-0000-000093190000}"/>
    <cellStyle name="AggOrangeLBorder 2 3 2 13" xfId="6548" xr:uid="{00000000-0005-0000-0000-000094190000}"/>
    <cellStyle name="AggOrangeLBorder 2 3 2 14" xfId="6549" xr:uid="{00000000-0005-0000-0000-000095190000}"/>
    <cellStyle name="AggOrangeLBorder 2 3 2 15" xfId="6550" xr:uid="{00000000-0005-0000-0000-000096190000}"/>
    <cellStyle name="AggOrangeLBorder 2 3 2 16" xfId="6551" xr:uid="{00000000-0005-0000-0000-000097190000}"/>
    <cellStyle name="AggOrangeLBorder 2 3 2 17" xfId="6552" xr:uid="{00000000-0005-0000-0000-000098190000}"/>
    <cellStyle name="AggOrangeLBorder 2 3 2 18" xfId="6553" xr:uid="{00000000-0005-0000-0000-000099190000}"/>
    <cellStyle name="AggOrangeLBorder 2 3 2 19" xfId="6554" xr:uid="{00000000-0005-0000-0000-00009A190000}"/>
    <cellStyle name="AggOrangeLBorder 2 3 2 2" xfId="6555" xr:uid="{00000000-0005-0000-0000-00009B190000}"/>
    <cellStyle name="AggOrangeLBorder 2 3 2 2 10" xfId="6556" xr:uid="{00000000-0005-0000-0000-00009C190000}"/>
    <cellStyle name="AggOrangeLBorder 2 3 2 2 11" xfId="6557" xr:uid="{00000000-0005-0000-0000-00009D190000}"/>
    <cellStyle name="AggOrangeLBorder 2 3 2 2 12" xfId="6558" xr:uid="{00000000-0005-0000-0000-00009E190000}"/>
    <cellStyle name="AggOrangeLBorder 2 3 2 2 13" xfId="6559" xr:uid="{00000000-0005-0000-0000-00009F190000}"/>
    <cellStyle name="AggOrangeLBorder 2 3 2 2 14" xfId="6560" xr:uid="{00000000-0005-0000-0000-0000A0190000}"/>
    <cellStyle name="AggOrangeLBorder 2 3 2 2 15" xfId="6561" xr:uid="{00000000-0005-0000-0000-0000A1190000}"/>
    <cellStyle name="AggOrangeLBorder 2 3 2 2 16" xfId="6562" xr:uid="{00000000-0005-0000-0000-0000A2190000}"/>
    <cellStyle name="AggOrangeLBorder 2 3 2 2 17" xfId="6563" xr:uid="{00000000-0005-0000-0000-0000A3190000}"/>
    <cellStyle name="AggOrangeLBorder 2 3 2 2 18" xfId="6564" xr:uid="{00000000-0005-0000-0000-0000A4190000}"/>
    <cellStyle name="AggOrangeLBorder 2 3 2 2 19" xfId="6565" xr:uid="{00000000-0005-0000-0000-0000A5190000}"/>
    <cellStyle name="AggOrangeLBorder 2 3 2 2 2" xfId="6566" xr:uid="{00000000-0005-0000-0000-0000A6190000}"/>
    <cellStyle name="AggOrangeLBorder 2 3 2 2 20" xfId="6567" xr:uid="{00000000-0005-0000-0000-0000A7190000}"/>
    <cellStyle name="AggOrangeLBorder 2 3 2 2 21" xfId="6568" xr:uid="{00000000-0005-0000-0000-0000A8190000}"/>
    <cellStyle name="AggOrangeLBorder 2 3 2 2 22" xfId="6569" xr:uid="{00000000-0005-0000-0000-0000A9190000}"/>
    <cellStyle name="AggOrangeLBorder 2 3 2 2 23" xfId="6570" xr:uid="{00000000-0005-0000-0000-0000AA190000}"/>
    <cellStyle name="AggOrangeLBorder 2 3 2 2 24" xfId="6571" xr:uid="{00000000-0005-0000-0000-0000AB190000}"/>
    <cellStyle name="AggOrangeLBorder 2 3 2 2 25" xfId="6572" xr:uid="{00000000-0005-0000-0000-0000AC190000}"/>
    <cellStyle name="AggOrangeLBorder 2 3 2 2 26" xfId="6573" xr:uid="{00000000-0005-0000-0000-0000AD190000}"/>
    <cellStyle name="AggOrangeLBorder 2 3 2 2 27" xfId="6574" xr:uid="{00000000-0005-0000-0000-0000AE190000}"/>
    <cellStyle name="AggOrangeLBorder 2 3 2 2 28" xfId="6575" xr:uid="{00000000-0005-0000-0000-0000AF190000}"/>
    <cellStyle name="AggOrangeLBorder 2 3 2 2 29" xfId="6576" xr:uid="{00000000-0005-0000-0000-0000B0190000}"/>
    <cellStyle name="AggOrangeLBorder 2 3 2 2 3" xfId="6577" xr:uid="{00000000-0005-0000-0000-0000B1190000}"/>
    <cellStyle name="AggOrangeLBorder 2 3 2 2 30" xfId="6578" xr:uid="{00000000-0005-0000-0000-0000B2190000}"/>
    <cellStyle name="AggOrangeLBorder 2 3 2 2 31" xfId="6579" xr:uid="{00000000-0005-0000-0000-0000B3190000}"/>
    <cellStyle name="AggOrangeLBorder 2 3 2 2 32" xfId="6580" xr:uid="{00000000-0005-0000-0000-0000B4190000}"/>
    <cellStyle name="AggOrangeLBorder 2 3 2 2 33" xfId="6581" xr:uid="{00000000-0005-0000-0000-0000B5190000}"/>
    <cellStyle name="AggOrangeLBorder 2 3 2 2 34" xfId="6582" xr:uid="{00000000-0005-0000-0000-0000B6190000}"/>
    <cellStyle name="AggOrangeLBorder 2 3 2 2 35" xfId="6583" xr:uid="{00000000-0005-0000-0000-0000B7190000}"/>
    <cellStyle name="AggOrangeLBorder 2 3 2 2 36" xfId="6584" xr:uid="{00000000-0005-0000-0000-0000B8190000}"/>
    <cellStyle name="AggOrangeLBorder 2 3 2 2 37" xfId="6585" xr:uid="{00000000-0005-0000-0000-0000B9190000}"/>
    <cellStyle name="AggOrangeLBorder 2 3 2 2 38" xfId="6586" xr:uid="{00000000-0005-0000-0000-0000BA190000}"/>
    <cellStyle name="AggOrangeLBorder 2 3 2 2 39" xfId="6587" xr:uid="{00000000-0005-0000-0000-0000BB190000}"/>
    <cellStyle name="AggOrangeLBorder 2 3 2 2 4" xfId="6588" xr:uid="{00000000-0005-0000-0000-0000BC190000}"/>
    <cellStyle name="AggOrangeLBorder 2 3 2 2 40" xfId="6589" xr:uid="{00000000-0005-0000-0000-0000BD190000}"/>
    <cellStyle name="AggOrangeLBorder 2 3 2 2 41" xfId="6590" xr:uid="{00000000-0005-0000-0000-0000BE190000}"/>
    <cellStyle name="AggOrangeLBorder 2 3 2 2 42" xfId="6591" xr:uid="{00000000-0005-0000-0000-0000BF190000}"/>
    <cellStyle name="AggOrangeLBorder 2 3 2 2 43" xfId="6592" xr:uid="{00000000-0005-0000-0000-0000C0190000}"/>
    <cellStyle name="AggOrangeLBorder 2 3 2 2 44" xfId="6593" xr:uid="{00000000-0005-0000-0000-0000C1190000}"/>
    <cellStyle name="AggOrangeLBorder 2 3 2 2 45" xfId="6594" xr:uid="{00000000-0005-0000-0000-0000C2190000}"/>
    <cellStyle name="AggOrangeLBorder 2 3 2 2 46" xfId="6595" xr:uid="{00000000-0005-0000-0000-0000C3190000}"/>
    <cellStyle name="AggOrangeLBorder 2 3 2 2 47" xfId="6596" xr:uid="{00000000-0005-0000-0000-0000C4190000}"/>
    <cellStyle name="AggOrangeLBorder 2 3 2 2 48" xfId="6597" xr:uid="{00000000-0005-0000-0000-0000C5190000}"/>
    <cellStyle name="AggOrangeLBorder 2 3 2 2 49" xfId="6598" xr:uid="{00000000-0005-0000-0000-0000C6190000}"/>
    <cellStyle name="AggOrangeLBorder 2 3 2 2 5" xfId="6599" xr:uid="{00000000-0005-0000-0000-0000C7190000}"/>
    <cellStyle name="AggOrangeLBorder 2 3 2 2 50" xfId="6600" xr:uid="{00000000-0005-0000-0000-0000C8190000}"/>
    <cellStyle name="AggOrangeLBorder 2 3 2 2 51" xfId="6601" xr:uid="{00000000-0005-0000-0000-0000C9190000}"/>
    <cellStyle name="AggOrangeLBorder 2 3 2 2 52" xfId="6602" xr:uid="{00000000-0005-0000-0000-0000CA190000}"/>
    <cellStyle name="AggOrangeLBorder 2 3 2 2 53" xfId="6603" xr:uid="{00000000-0005-0000-0000-0000CB190000}"/>
    <cellStyle name="AggOrangeLBorder 2 3 2 2 54" xfId="6604" xr:uid="{00000000-0005-0000-0000-0000CC190000}"/>
    <cellStyle name="AggOrangeLBorder 2 3 2 2 55" xfId="6605" xr:uid="{00000000-0005-0000-0000-0000CD190000}"/>
    <cellStyle name="AggOrangeLBorder 2 3 2 2 56" xfId="6606" xr:uid="{00000000-0005-0000-0000-0000CE190000}"/>
    <cellStyle name="AggOrangeLBorder 2 3 2 2 57" xfId="6607" xr:uid="{00000000-0005-0000-0000-0000CF190000}"/>
    <cellStyle name="AggOrangeLBorder 2 3 2 2 58" xfId="6608" xr:uid="{00000000-0005-0000-0000-0000D0190000}"/>
    <cellStyle name="AggOrangeLBorder 2 3 2 2 59" xfId="6609" xr:uid="{00000000-0005-0000-0000-0000D1190000}"/>
    <cellStyle name="AggOrangeLBorder 2 3 2 2 6" xfId="6610" xr:uid="{00000000-0005-0000-0000-0000D2190000}"/>
    <cellStyle name="AggOrangeLBorder 2 3 2 2 60" xfId="6611" xr:uid="{00000000-0005-0000-0000-0000D3190000}"/>
    <cellStyle name="AggOrangeLBorder 2 3 2 2 61" xfId="6612" xr:uid="{00000000-0005-0000-0000-0000D4190000}"/>
    <cellStyle name="AggOrangeLBorder 2 3 2 2 62" xfId="6613" xr:uid="{00000000-0005-0000-0000-0000D5190000}"/>
    <cellStyle name="AggOrangeLBorder 2 3 2 2 63" xfId="6614" xr:uid="{00000000-0005-0000-0000-0000D6190000}"/>
    <cellStyle name="AggOrangeLBorder 2 3 2 2 64" xfId="6615" xr:uid="{00000000-0005-0000-0000-0000D7190000}"/>
    <cellStyle name="AggOrangeLBorder 2 3 2 2 65" xfId="6616" xr:uid="{00000000-0005-0000-0000-0000D8190000}"/>
    <cellStyle name="AggOrangeLBorder 2 3 2 2 7" xfId="6617" xr:uid="{00000000-0005-0000-0000-0000D9190000}"/>
    <cellStyle name="AggOrangeLBorder 2 3 2 2 8" xfId="6618" xr:uid="{00000000-0005-0000-0000-0000DA190000}"/>
    <cellStyle name="AggOrangeLBorder 2 3 2 2 9" xfId="6619" xr:uid="{00000000-0005-0000-0000-0000DB190000}"/>
    <cellStyle name="AggOrangeLBorder 2 3 2 20" xfId="6620" xr:uid="{00000000-0005-0000-0000-0000DC190000}"/>
    <cellStyle name="AggOrangeLBorder 2 3 2 21" xfId="6621" xr:uid="{00000000-0005-0000-0000-0000DD190000}"/>
    <cellStyle name="AggOrangeLBorder 2 3 2 22" xfId="6622" xr:uid="{00000000-0005-0000-0000-0000DE190000}"/>
    <cellStyle name="AggOrangeLBorder 2 3 2 23" xfId="6623" xr:uid="{00000000-0005-0000-0000-0000DF190000}"/>
    <cellStyle name="AggOrangeLBorder 2 3 2 24" xfId="6624" xr:uid="{00000000-0005-0000-0000-0000E0190000}"/>
    <cellStyle name="AggOrangeLBorder 2 3 2 25" xfId="6625" xr:uid="{00000000-0005-0000-0000-0000E1190000}"/>
    <cellStyle name="AggOrangeLBorder 2 3 2 26" xfId="6626" xr:uid="{00000000-0005-0000-0000-0000E2190000}"/>
    <cellStyle name="AggOrangeLBorder 2 3 2 27" xfId="6627" xr:uid="{00000000-0005-0000-0000-0000E3190000}"/>
    <cellStyle name="AggOrangeLBorder 2 3 2 28" xfId="6628" xr:uid="{00000000-0005-0000-0000-0000E4190000}"/>
    <cellStyle name="AggOrangeLBorder 2 3 2 29" xfId="6629" xr:uid="{00000000-0005-0000-0000-0000E5190000}"/>
    <cellStyle name="AggOrangeLBorder 2 3 2 3" xfId="6630" xr:uid="{00000000-0005-0000-0000-0000E6190000}"/>
    <cellStyle name="AggOrangeLBorder 2 3 2 30" xfId="6631" xr:uid="{00000000-0005-0000-0000-0000E7190000}"/>
    <cellStyle name="AggOrangeLBorder 2 3 2 31" xfId="6632" xr:uid="{00000000-0005-0000-0000-0000E8190000}"/>
    <cellStyle name="AggOrangeLBorder 2 3 2 32" xfId="6633" xr:uid="{00000000-0005-0000-0000-0000E9190000}"/>
    <cellStyle name="AggOrangeLBorder 2 3 2 33" xfId="6634" xr:uid="{00000000-0005-0000-0000-0000EA190000}"/>
    <cellStyle name="AggOrangeLBorder 2 3 2 34" xfId="6635" xr:uid="{00000000-0005-0000-0000-0000EB190000}"/>
    <cellStyle name="AggOrangeLBorder 2 3 2 35" xfId="6636" xr:uid="{00000000-0005-0000-0000-0000EC190000}"/>
    <cellStyle name="AggOrangeLBorder 2 3 2 36" xfId="6637" xr:uid="{00000000-0005-0000-0000-0000ED190000}"/>
    <cellStyle name="AggOrangeLBorder 2 3 2 37" xfId="6638" xr:uid="{00000000-0005-0000-0000-0000EE190000}"/>
    <cellStyle name="AggOrangeLBorder 2 3 2 38" xfId="6639" xr:uid="{00000000-0005-0000-0000-0000EF190000}"/>
    <cellStyle name="AggOrangeLBorder 2 3 2 39" xfId="6640" xr:uid="{00000000-0005-0000-0000-0000F0190000}"/>
    <cellStyle name="AggOrangeLBorder 2 3 2 4" xfId="6641" xr:uid="{00000000-0005-0000-0000-0000F1190000}"/>
    <cellStyle name="AggOrangeLBorder 2 3 2 40" xfId="6642" xr:uid="{00000000-0005-0000-0000-0000F2190000}"/>
    <cellStyle name="AggOrangeLBorder 2 3 2 41" xfId="6643" xr:uid="{00000000-0005-0000-0000-0000F3190000}"/>
    <cellStyle name="AggOrangeLBorder 2 3 2 42" xfId="6644" xr:uid="{00000000-0005-0000-0000-0000F4190000}"/>
    <cellStyle name="AggOrangeLBorder 2 3 2 43" xfId="6645" xr:uid="{00000000-0005-0000-0000-0000F5190000}"/>
    <cellStyle name="AggOrangeLBorder 2 3 2 44" xfId="6646" xr:uid="{00000000-0005-0000-0000-0000F6190000}"/>
    <cellStyle name="AggOrangeLBorder 2 3 2 45" xfId="6647" xr:uid="{00000000-0005-0000-0000-0000F7190000}"/>
    <cellStyle name="AggOrangeLBorder 2 3 2 46" xfId="6648" xr:uid="{00000000-0005-0000-0000-0000F8190000}"/>
    <cellStyle name="AggOrangeLBorder 2 3 2 47" xfId="6649" xr:uid="{00000000-0005-0000-0000-0000F9190000}"/>
    <cellStyle name="AggOrangeLBorder 2 3 2 48" xfId="6650" xr:uid="{00000000-0005-0000-0000-0000FA190000}"/>
    <cellStyle name="AggOrangeLBorder 2 3 2 49" xfId="6651" xr:uid="{00000000-0005-0000-0000-0000FB190000}"/>
    <cellStyle name="AggOrangeLBorder 2 3 2 5" xfId="6652" xr:uid="{00000000-0005-0000-0000-0000FC190000}"/>
    <cellStyle name="AggOrangeLBorder 2 3 2 50" xfId="6653" xr:uid="{00000000-0005-0000-0000-0000FD190000}"/>
    <cellStyle name="AggOrangeLBorder 2 3 2 51" xfId="6654" xr:uid="{00000000-0005-0000-0000-0000FE190000}"/>
    <cellStyle name="AggOrangeLBorder 2 3 2 52" xfId="6655" xr:uid="{00000000-0005-0000-0000-0000FF190000}"/>
    <cellStyle name="AggOrangeLBorder 2 3 2 53" xfId="6656" xr:uid="{00000000-0005-0000-0000-0000001A0000}"/>
    <cellStyle name="AggOrangeLBorder 2 3 2 54" xfId="6657" xr:uid="{00000000-0005-0000-0000-0000011A0000}"/>
    <cellStyle name="AggOrangeLBorder 2 3 2 55" xfId="6658" xr:uid="{00000000-0005-0000-0000-0000021A0000}"/>
    <cellStyle name="AggOrangeLBorder 2 3 2 56" xfId="6659" xr:uid="{00000000-0005-0000-0000-0000031A0000}"/>
    <cellStyle name="AggOrangeLBorder 2 3 2 57" xfId="6660" xr:uid="{00000000-0005-0000-0000-0000041A0000}"/>
    <cellStyle name="AggOrangeLBorder 2 3 2 58" xfId="6661" xr:uid="{00000000-0005-0000-0000-0000051A0000}"/>
    <cellStyle name="AggOrangeLBorder 2 3 2 59" xfId="6662" xr:uid="{00000000-0005-0000-0000-0000061A0000}"/>
    <cellStyle name="AggOrangeLBorder 2 3 2 6" xfId="6663" xr:uid="{00000000-0005-0000-0000-0000071A0000}"/>
    <cellStyle name="AggOrangeLBorder 2 3 2 60" xfId="6664" xr:uid="{00000000-0005-0000-0000-0000081A0000}"/>
    <cellStyle name="AggOrangeLBorder 2 3 2 61" xfId="6665" xr:uid="{00000000-0005-0000-0000-0000091A0000}"/>
    <cellStyle name="AggOrangeLBorder 2 3 2 62" xfId="6666" xr:uid="{00000000-0005-0000-0000-00000A1A0000}"/>
    <cellStyle name="AggOrangeLBorder 2 3 2 63" xfId="6667" xr:uid="{00000000-0005-0000-0000-00000B1A0000}"/>
    <cellStyle name="AggOrangeLBorder 2 3 2 64" xfId="6668" xr:uid="{00000000-0005-0000-0000-00000C1A0000}"/>
    <cellStyle name="AggOrangeLBorder 2 3 2 65" xfId="6669" xr:uid="{00000000-0005-0000-0000-00000D1A0000}"/>
    <cellStyle name="AggOrangeLBorder 2 3 2 66" xfId="6670" xr:uid="{00000000-0005-0000-0000-00000E1A0000}"/>
    <cellStyle name="AggOrangeLBorder 2 3 2 7" xfId="6671" xr:uid="{00000000-0005-0000-0000-00000F1A0000}"/>
    <cellStyle name="AggOrangeLBorder 2 3 2 8" xfId="6672" xr:uid="{00000000-0005-0000-0000-0000101A0000}"/>
    <cellStyle name="AggOrangeLBorder 2 3 2 9" xfId="6673" xr:uid="{00000000-0005-0000-0000-0000111A0000}"/>
    <cellStyle name="AggOrangeLBorder 2 3 20" xfId="6674" xr:uid="{00000000-0005-0000-0000-0000121A0000}"/>
    <cellStyle name="AggOrangeLBorder 2 3 21" xfId="6675" xr:uid="{00000000-0005-0000-0000-0000131A0000}"/>
    <cellStyle name="AggOrangeLBorder 2 3 22" xfId="6676" xr:uid="{00000000-0005-0000-0000-0000141A0000}"/>
    <cellStyle name="AggOrangeLBorder 2 3 23" xfId="6677" xr:uid="{00000000-0005-0000-0000-0000151A0000}"/>
    <cellStyle name="AggOrangeLBorder 2 3 24" xfId="6678" xr:uid="{00000000-0005-0000-0000-0000161A0000}"/>
    <cellStyle name="AggOrangeLBorder 2 3 25" xfId="6679" xr:uid="{00000000-0005-0000-0000-0000171A0000}"/>
    <cellStyle name="AggOrangeLBorder 2 3 26" xfId="6680" xr:uid="{00000000-0005-0000-0000-0000181A0000}"/>
    <cellStyle name="AggOrangeLBorder 2 3 27" xfId="6681" xr:uid="{00000000-0005-0000-0000-0000191A0000}"/>
    <cellStyle name="AggOrangeLBorder 2 3 28" xfId="6682" xr:uid="{00000000-0005-0000-0000-00001A1A0000}"/>
    <cellStyle name="AggOrangeLBorder 2 3 29" xfId="6683" xr:uid="{00000000-0005-0000-0000-00001B1A0000}"/>
    <cellStyle name="AggOrangeLBorder 2 3 3" xfId="6684" xr:uid="{00000000-0005-0000-0000-00001C1A0000}"/>
    <cellStyle name="AggOrangeLBorder 2 3 3 10" xfId="6685" xr:uid="{00000000-0005-0000-0000-00001D1A0000}"/>
    <cellStyle name="AggOrangeLBorder 2 3 3 11" xfId="6686" xr:uid="{00000000-0005-0000-0000-00001E1A0000}"/>
    <cellStyle name="AggOrangeLBorder 2 3 3 12" xfId="6687" xr:uid="{00000000-0005-0000-0000-00001F1A0000}"/>
    <cellStyle name="AggOrangeLBorder 2 3 3 13" xfId="6688" xr:uid="{00000000-0005-0000-0000-0000201A0000}"/>
    <cellStyle name="AggOrangeLBorder 2 3 3 14" xfId="6689" xr:uid="{00000000-0005-0000-0000-0000211A0000}"/>
    <cellStyle name="AggOrangeLBorder 2 3 3 15" xfId="6690" xr:uid="{00000000-0005-0000-0000-0000221A0000}"/>
    <cellStyle name="AggOrangeLBorder 2 3 3 16" xfId="6691" xr:uid="{00000000-0005-0000-0000-0000231A0000}"/>
    <cellStyle name="AggOrangeLBorder 2 3 3 17" xfId="6692" xr:uid="{00000000-0005-0000-0000-0000241A0000}"/>
    <cellStyle name="AggOrangeLBorder 2 3 3 18" xfId="6693" xr:uid="{00000000-0005-0000-0000-0000251A0000}"/>
    <cellStyle name="AggOrangeLBorder 2 3 3 19" xfId="6694" xr:uid="{00000000-0005-0000-0000-0000261A0000}"/>
    <cellStyle name="AggOrangeLBorder 2 3 3 2" xfId="6695" xr:uid="{00000000-0005-0000-0000-0000271A0000}"/>
    <cellStyle name="AggOrangeLBorder 2 3 3 2 10" xfId="6696" xr:uid="{00000000-0005-0000-0000-0000281A0000}"/>
    <cellStyle name="AggOrangeLBorder 2 3 3 2 11" xfId="6697" xr:uid="{00000000-0005-0000-0000-0000291A0000}"/>
    <cellStyle name="AggOrangeLBorder 2 3 3 2 12" xfId="6698" xr:uid="{00000000-0005-0000-0000-00002A1A0000}"/>
    <cellStyle name="AggOrangeLBorder 2 3 3 2 13" xfId="6699" xr:uid="{00000000-0005-0000-0000-00002B1A0000}"/>
    <cellStyle name="AggOrangeLBorder 2 3 3 2 14" xfId="6700" xr:uid="{00000000-0005-0000-0000-00002C1A0000}"/>
    <cellStyle name="AggOrangeLBorder 2 3 3 2 15" xfId="6701" xr:uid="{00000000-0005-0000-0000-00002D1A0000}"/>
    <cellStyle name="AggOrangeLBorder 2 3 3 2 16" xfId="6702" xr:uid="{00000000-0005-0000-0000-00002E1A0000}"/>
    <cellStyle name="AggOrangeLBorder 2 3 3 2 17" xfId="6703" xr:uid="{00000000-0005-0000-0000-00002F1A0000}"/>
    <cellStyle name="AggOrangeLBorder 2 3 3 2 18" xfId="6704" xr:uid="{00000000-0005-0000-0000-0000301A0000}"/>
    <cellStyle name="AggOrangeLBorder 2 3 3 2 19" xfId="6705" xr:uid="{00000000-0005-0000-0000-0000311A0000}"/>
    <cellStyle name="AggOrangeLBorder 2 3 3 2 2" xfId="6706" xr:uid="{00000000-0005-0000-0000-0000321A0000}"/>
    <cellStyle name="AggOrangeLBorder 2 3 3 2 20" xfId="6707" xr:uid="{00000000-0005-0000-0000-0000331A0000}"/>
    <cellStyle name="AggOrangeLBorder 2 3 3 2 21" xfId="6708" xr:uid="{00000000-0005-0000-0000-0000341A0000}"/>
    <cellStyle name="AggOrangeLBorder 2 3 3 2 22" xfId="6709" xr:uid="{00000000-0005-0000-0000-0000351A0000}"/>
    <cellStyle name="AggOrangeLBorder 2 3 3 2 23" xfId="6710" xr:uid="{00000000-0005-0000-0000-0000361A0000}"/>
    <cellStyle name="AggOrangeLBorder 2 3 3 2 24" xfId="6711" xr:uid="{00000000-0005-0000-0000-0000371A0000}"/>
    <cellStyle name="AggOrangeLBorder 2 3 3 2 25" xfId="6712" xr:uid="{00000000-0005-0000-0000-0000381A0000}"/>
    <cellStyle name="AggOrangeLBorder 2 3 3 2 26" xfId="6713" xr:uid="{00000000-0005-0000-0000-0000391A0000}"/>
    <cellStyle name="AggOrangeLBorder 2 3 3 2 27" xfId="6714" xr:uid="{00000000-0005-0000-0000-00003A1A0000}"/>
    <cellStyle name="AggOrangeLBorder 2 3 3 2 28" xfId="6715" xr:uid="{00000000-0005-0000-0000-00003B1A0000}"/>
    <cellStyle name="AggOrangeLBorder 2 3 3 2 29" xfId="6716" xr:uid="{00000000-0005-0000-0000-00003C1A0000}"/>
    <cellStyle name="AggOrangeLBorder 2 3 3 2 3" xfId="6717" xr:uid="{00000000-0005-0000-0000-00003D1A0000}"/>
    <cellStyle name="AggOrangeLBorder 2 3 3 2 30" xfId="6718" xr:uid="{00000000-0005-0000-0000-00003E1A0000}"/>
    <cellStyle name="AggOrangeLBorder 2 3 3 2 31" xfId="6719" xr:uid="{00000000-0005-0000-0000-00003F1A0000}"/>
    <cellStyle name="AggOrangeLBorder 2 3 3 2 32" xfId="6720" xr:uid="{00000000-0005-0000-0000-0000401A0000}"/>
    <cellStyle name="AggOrangeLBorder 2 3 3 2 33" xfId="6721" xr:uid="{00000000-0005-0000-0000-0000411A0000}"/>
    <cellStyle name="AggOrangeLBorder 2 3 3 2 34" xfId="6722" xr:uid="{00000000-0005-0000-0000-0000421A0000}"/>
    <cellStyle name="AggOrangeLBorder 2 3 3 2 35" xfId="6723" xr:uid="{00000000-0005-0000-0000-0000431A0000}"/>
    <cellStyle name="AggOrangeLBorder 2 3 3 2 36" xfId="6724" xr:uid="{00000000-0005-0000-0000-0000441A0000}"/>
    <cellStyle name="AggOrangeLBorder 2 3 3 2 37" xfId="6725" xr:uid="{00000000-0005-0000-0000-0000451A0000}"/>
    <cellStyle name="AggOrangeLBorder 2 3 3 2 38" xfId="6726" xr:uid="{00000000-0005-0000-0000-0000461A0000}"/>
    <cellStyle name="AggOrangeLBorder 2 3 3 2 39" xfId="6727" xr:uid="{00000000-0005-0000-0000-0000471A0000}"/>
    <cellStyle name="AggOrangeLBorder 2 3 3 2 4" xfId="6728" xr:uid="{00000000-0005-0000-0000-0000481A0000}"/>
    <cellStyle name="AggOrangeLBorder 2 3 3 2 40" xfId="6729" xr:uid="{00000000-0005-0000-0000-0000491A0000}"/>
    <cellStyle name="AggOrangeLBorder 2 3 3 2 41" xfId="6730" xr:uid="{00000000-0005-0000-0000-00004A1A0000}"/>
    <cellStyle name="AggOrangeLBorder 2 3 3 2 42" xfId="6731" xr:uid="{00000000-0005-0000-0000-00004B1A0000}"/>
    <cellStyle name="AggOrangeLBorder 2 3 3 2 43" xfId="6732" xr:uid="{00000000-0005-0000-0000-00004C1A0000}"/>
    <cellStyle name="AggOrangeLBorder 2 3 3 2 44" xfId="6733" xr:uid="{00000000-0005-0000-0000-00004D1A0000}"/>
    <cellStyle name="AggOrangeLBorder 2 3 3 2 45" xfId="6734" xr:uid="{00000000-0005-0000-0000-00004E1A0000}"/>
    <cellStyle name="AggOrangeLBorder 2 3 3 2 46" xfId="6735" xr:uid="{00000000-0005-0000-0000-00004F1A0000}"/>
    <cellStyle name="AggOrangeLBorder 2 3 3 2 47" xfId="6736" xr:uid="{00000000-0005-0000-0000-0000501A0000}"/>
    <cellStyle name="AggOrangeLBorder 2 3 3 2 48" xfId="6737" xr:uid="{00000000-0005-0000-0000-0000511A0000}"/>
    <cellStyle name="AggOrangeLBorder 2 3 3 2 49" xfId="6738" xr:uid="{00000000-0005-0000-0000-0000521A0000}"/>
    <cellStyle name="AggOrangeLBorder 2 3 3 2 5" xfId="6739" xr:uid="{00000000-0005-0000-0000-0000531A0000}"/>
    <cellStyle name="AggOrangeLBorder 2 3 3 2 50" xfId="6740" xr:uid="{00000000-0005-0000-0000-0000541A0000}"/>
    <cellStyle name="AggOrangeLBorder 2 3 3 2 51" xfId="6741" xr:uid="{00000000-0005-0000-0000-0000551A0000}"/>
    <cellStyle name="AggOrangeLBorder 2 3 3 2 52" xfId="6742" xr:uid="{00000000-0005-0000-0000-0000561A0000}"/>
    <cellStyle name="AggOrangeLBorder 2 3 3 2 53" xfId="6743" xr:uid="{00000000-0005-0000-0000-0000571A0000}"/>
    <cellStyle name="AggOrangeLBorder 2 3 3 2 54" xfId="6744" xr:uid="{00000000-0005-0000-0000-0000581A0000}"/>
    <cellStyle name="AggOrangeLBorder 2 3 3 2 55" xfId="6745" xr:uid="{00000000-0005-0000-0000-0000591A0000}"/>
    <cellStyle name="AggOrangeLBorder 2 3 3 2 56" xfId="6746" xr:uid="{00000000-0005-0000-0000-00005A1A0000}"/>
    <cellStyle name="AggOrangeLBorder 2 3 3 2 57" xfId="6747" xr:uid="{00000000-0005-0000-0000-00005B1A0000}"/>
    <cellStyle name="AggOrangeLBorder 2 3 3 2 58" xfId="6748" xr:uid="{00000000-0005-0000-0000-00005C1A0000}"/>
    <cellStyle name="AggOrangeLBorder 2 3 3 2 59" xfId="6749" xr:uid="{00000000-0005-0000-0000-00005D1A0000}"/>
    <cellStyle name="AggOrangeLBorder 2 3 3 2 6" xfId="6750" xr:uid="{00000000-0005-0000-0000-00005E1A0000}"/>
    <cellStyle name="AggOrangeLBorder 2 3 3 2 60" xfId="6751" xr:uid="{00000000-0005-0000-0000-00005F1A0000}"/>
    <cellStyle name="AggOrangeLBorder 2 3 3 2 61" xfId="6752" xr:uid="{00000000-0005-0000-0000-0000601A0000}"/>
    <cellStyle name="AggOrangeLBorder 2 3 3 2 62" xfId="6753" xr:uid="{00000000-0005-0000-0000-0000611A0000}"/>
    <cellStyle name="AggOrangeLBorder 2 3 3 2 63" xfId="6754" xr:uid="{00000000-0005-0000-0000-0000621A0000}"/>
    <cellStyle name="AggOrangeLBorder 2 3 3 2 64" xfId="6755" xr:uid="{00000000-0005-0000-0000-0000631A0000}"/>
    <cellStyle name="AggOrangeLBorder 2 3 3 2 65" xfId="6756" xr:uid="{00000000-0005-0000-0000-0000641A0000}"/>
    <cellStyle name="AggOrangeLBorder 2 3 3 2 7" xfId="6757" xr:uid="{00000000-0005-0000-0000-0000651A0000}"/>
    <cellStyle name="AggOrangeLBorder 2 3 3 2 8" xfId="6758" xr:uid="{00000000-0005-0000-0000-0000661A0000}"/>
    <cellStyle name="AggOrangeLBorder 2 3 3 2 9" xfId="6759" xr:uid="{00000000-0005-0000-0000-0000671A0000}"/>
    <cellStyle name="AggOrangeLBorder 2 3 3 20" xfId="6760" xr:uid="{00000000-0005-0000-0000-0000681A0000}"/>
    <cellStyle name="AggOrangeLBorder 2 3 3 21" xfId="6761" xr:uid="{00000000-0005-0000-0000-0000691A0000}"/>
    <cellStyle name="AggOrangeLBorder 2 3 3 22" xfId="6762" xr:uid="{00000000-0005-0000-0000-00006A1A0000}"/>
    <cellStyle name="AggOrangeLBorder 2 3 3 23" xfId="6763" xr:uid="{00000000-0005-0000-0000-00006B1A0000}"/>
    <cellStyle name="AggOrangeLBorder 2 3 3 24" xfId="6764" xr:uid="{00000000-0005-0000-0000-00006C1A0000}"/>
    <cellStyle name="AggOrangeLBorder 2 3 3 25" xfId="6765" xr:uid="{00000000-0005-0000-0000-00006D1A0000}"/>
    <cellStyle name="AggOrangeLBorder 2 3 3 26" xfId="6766" xr:uid="{00000000-0005-0000-0000-00006E1A0000}"/>
    <cellStyle name="AggOrangeLBorder 2 3 3 27" xfId="6767" xr:uid="{00000000-0005-0000-0000-00006F1A0000}"/>
    <cellStyle name="AggOrangeLBorder 2 3 3 28" xfId="6768" xr:uid="{00000000-0005-0000-0000-0000701A0000}"/>
    <cellStyle name="AggOrangeLBorder 2 3 3 29" xfId="6769" xr:uid="{00000000-0005-0000-0000-0000711A0000}"/>
    <cellStyle name="AggOrangeLBorder 2 3 3 3" xfId="6770" xr:uid="{00000000-0005-0000-0000-0000721A0000}"/>
    <cellStyle name="AggOrangeLBorder 2 3 3 30" xfId="6771" xr:uid="{00000000-0005-0000-0000-0000731A0000}"/>
    <cellStyle name="AggOrangeLBorder 2 3 3 31" xfId="6772" xr:uid="{00000000-0005-0000-0000-0000741A0000}"/>
    <cellStyle name="AggOrangeLBorder 2 3 3 32" xfId="6773" xr:uid="{00000000-0005-0000-0000-0000751A0000}"/>
    <cellStyle name="AggOrangeLBorder 2 3 3 33" xfId="6774" xr:uid="{00000000-0005-0000-0000-0000761A0000}"/>
    <cellStyle name="AggOrangeLBorder 2 3 3 34" xfId="6775" xr:uid="{00000000-0005-0000-0000-0000771A0000}"/>
    <cellStyle name="AggOrangeLBorder 2 3 3 35" xfId="6776" xr:uid="{00000000-0005-0000-0000-0000781A0000}"/>
    <cellStyle name="AggOrangeLBorder 2 3 3 36" xfId="6777" xr:uid="{00000000-0005-0000-0000-0000791A0000}"/>
    <cellStyle name="AggOrangeLBorder 2 3 3 37" xfId="6778" xr:uid="{00000000-0005-0000-0000-00007A1A0000}"/>
    <cellStyle name="AggOrangeLBorder 2 3 3 38" xfId="6779" xr:uid="{00000000-0005-0000-0000-00007B1A0000}"/>
    <cellStyle name="AggOrangeLBorder 2 3 3 39" xfId="6780" xr:uid="{00000000-0005-0000-0000-00007C1A0000}"/>
    <cellStyle name="AggOrangeLBorder 2 3 3 4" xfId="6781" xr:uid="{00000000-0005-0000-0000-00007D1A0000}"/>
    <cellStyle name="AggOrangeLBorder 2 3 3 40" xfId="6782" xr:uid="{00000000-0005-0000-0000-00007E1A0000}"/>
    <cellStyle name="AggOrangeLBorder 2 3 3 41" xfId="6783" xr:uid="{00000000-0005-0000-0000-00007F1A0000}"/>
    <cellStyle name="AggOrangeLBorder 2 3 3 42" xfId="6784" xr:uid="{00000000-0005-0000-0000-0000801A0000}"/>
    <cellStyle name="AggOrangeLBorder 2 3 3 43" xfId="6785" xr:uid="{00000000-0005-0000-0000-0000811A0000}"/>
    <cellStyle name="AggOrangeLBorder 2 3 3 44" xfId="6786" xr:uid="{00000000-0005-0000-0000-0000821A0000}"/>
    <cellStyle name="AggOrangeLBorder 2 3 3 45" xfId="6787" xr:uid="{00000000-0005-0000-0000-0000831A0000}"/>
    <cellStyle name="AggOrangeLBorder 2 3 3 46" xfId="6788" xr:uid="{00000000-0005-0000-0000-0000841A0000}"/>
    <cellStyle name="AggOrangeLBorder 2 3 3 47" xfId="6789" xr:uid="{00000000-0005-0000-0000-0000851A0000}"/>
    <cellStyle name="AggOrangeLBorder 2 3 3 48" xfId="6790" xr:uid="{00000000-0005-0000-0000-0000861A0000}"/>
    <cellStyle name="AggOrangeLBorder 2 3 3 49" xfId="6791" xr:uid="{00000000-0005-0000-0000-0000871A0000}"/>
    <cellStyle name="AggOrangeLBorder 2 3 3 5" xfId="6792" xr:uid="{00000000-0005-0000-0000-0000881A0000}"/>
    <cellStyle name="AggOrangeLBorder 2 3 3 50" xfId="6793" xr:uid="{00000000-0005-0000-0000-0000891A0000}"/>
    <cellStyle name="AggOrangeLBorder 2 3 3 51" xfId="6794" xr:uid="{00000000-0005-0000-0000-00008A1A0000}"/>
    <cellStyle name="AggOrangeLBorder 2 3 3 52" xfId="6795" xr:uid="{00000000-0005-0000-0000-00008B1A0000}"/>
    <cellStyle name="AggOrangeLBorder 2 3 3 53" xfId="6796" xr:uid="{00000000-0005-0000-0000-00008C1A0000}"/>
    <cellStyle name="AggOrangeLBorder 2 3 3 54" xfId="6797" xr:uid="{00000000-0005-0000-0000-00008D1A0000}"/>
    <cellStyle name="AggOrangeLBorder 2 3 3 55" xfId="6798" xr:uid="{00000000-0005-0000-0000-00008E1A0000}"/>
    <cellStyle name="AggOrangeLBorder 2 3 3 56" xfId="6799" xr:uid="{00000000-0005-0000-0000-00008F1A0000}"/>
    <cellStyle name="AggOrangeLBorder 2 3 3 57" xfId="6800" xr:uid="{00000000-0005-0000-0000-0000901A0000}"/>
    <cellStyle name="AggOrangeLBorder 2 3 3 58" xfId="6801" xr:uid="{00000000-0005-0000-0000-0000911A0000}"/>
    <cellStyle name="AggOrangeLBorder 2 3 3 59" xfId="6802" xr:uid="{00000000-0005-0000-0000-0000921A0000}"/>
    <cellStyle name="AggOrangeLBorder 2 3 3 6" xfId="6803" xr:uid="{00000000-0005-0000-0000-0000931A0000}"/>
    <cellStyle name="AggOrangeLBorder 2 3 3 60" xfId="6804" xr:uid="{00000000-0005-0000-0000-0000941A0000}"/>
    <cellStyle name="AggOrangeLBorder 2 3 3 61" xfId="6805" xr:uid="{00000000-0005-0000-0000-0000951A0000}"/>
    <cellStyle name="AggOrangeLBorder 2 3 3 62" xfId="6806" xr:uid="{00000000-0005-0000-0000-0000961A0000}"/>
    <cellStyle name="AggOrangeLBorder 2 3 3 63" xfId="6807" xr:uid="{00000000-0005-0000-0000-0000971A0000}"/>
    <cellStyle name="AggOrangeLBorder 2 3 3 64" xfId="6808" xr:uid="{00000000-0005-0000-0000-0000981A0000}"/>
    <cellStyle name="AggOrangeLBorder 2 3 3 65" xfId="6809" xr:uid="{00000000-0005-0000-0000-0000991A0000}"/>
    <cellStyle name="AggOrangeLBorder 2 3 3 66" xfId="6810" xr:uid="{00000000-0005-0000-0000-00009A1A0000}"/>
    <cellStyle name="AggOrangeLBorder 2 3 3 7" xfId="6811" xr:uid="{00000000-0005-0000-0000-00009B1A0000}"/>
    <cellStyle name="AggOrangeLBorder 2 3 3 8" xfId="6812" xr:uid="{00000000-0005-0000-0000-00009C1A0000}"/>
    <cellStyle name="AggOrangeLBorder 2 3 3 9" xfId="6813" xr:uid="{00000000-0005-0000-0000-00009D1A0000}"/>
    <cellStyle name="AggOrangeLBorder 2 3 30" xfId="6814" xr:uid="{00000000-0005-0000-0000-00009E1A0000}"/>
    <cellStyle name="AggOrangeLBorder 2 3 31" xfId="6815" xr:uid="{00000000-0005-0000-0000-00009F1A0000}"/>
    <cellStyle name="AggOrangeLBorder 2 3 32" xfId="6816" xr:uid="{00000000-0005-0000-0000-0000A01A0000}"/>
    <cellStyle name="AggOrangeLBorder 2 3 33" xfId="6817" xr:uid="{00000000-0005-0000-0000-0000A11A0000}"/>
    <cellStyle name="AggOrangeLBorder 2 3 34" xfId="6818" xr:uid="{00000000-0005-0000-0000-0000A21A0000}"/>
    <cellStyle name="AggOrangeLBorder 2 3 35" xfId="6819" xr:uid="{00000000-0005-0000-0000-0000A31A0000}"/>
    <cellStyle name="AggOrangeLBorder 2 3 36" xfId="6820" xr:uid="{00000000-0005-0000-0000-0000A41A0000}"/>
    <cellStyle name="AggOrangeLBorder 2 3 37" xfId="6821" xr:uid="{00000000-0005-0000-0000-0000A51A0000}"/>
    <cellStyle name="AggOrangeLBorder 2 3 38" xfId="6822" xr:uid="{00000000-0005-0000-0000-0000A61A0000}"/>
    <cellStyle name="AggOrangeLBorder 2 3 39" xfId="6823" xr:uid="{00000000-0005-0000-0000-0000A71A0000}"/>
    <cellStyle name="AggOrangeLBorder 2 3 4" xfId="6824" xr:uid="{00000000-0005-0000-0000-0000A81A0000}"/>
    <cellStyle name="AggOrangeLBorder 2 3 4 10" xfId="6825" xr:uid="{00000000-0005-0000-0000-0000A91A0000}"/>
    <cellStyle name="AggOrangeLBorder 2 3 4 11" xfId="6826" xr:uid="{00000000-0005-0000-0000-0000AA1A0000}"/>
    <cellStyle name="AggOrangeLBorder 2 3 4 12" xfId="6827" xr:uid="{00000000-0005-0000-0000-0000AB1A0000}"/>
    <cellStyle name="AggOrangeLBorder 2 3 4 13" xfId="6828" xr:uid="{00000000-0005-0000-0000-0000AC1A0000}"/>
    <cellStyle name="AggOrangeLBorder 2 3 4 14" xfId="6829" xr:uid="{00000000-0005-0000-0000-0000AD1A0000}"/>
    <cellStyle name="AggOrangeLBorder 2 3 4 15" xfId="6830" xr:uid="{00000000-0005-0000-0000-0000AE1A0000}"/>
    <cellStyle name="AggOrangeLBorder 2 3 4 16" xfId="6831" xr:uid="{00000000-0005-0000-0000-0000AF1A0000}"/>
    <cellStyle name="AggOrangeLBorder 2 3 4 17" xfId="6832" xr:uid="{00000000-0005-0000-0000-0000B01A0000}"/>
    <cellStyle name="AggOrangeLBorder 2 3 4 18" xfId="6833" xr:uid="{00000000-0005-0000-0000-0000B11A0000}"/>
    <cellStyle name="AggOrangeLBorder 2 3 4 19" xfId="6834" xr:uid="{00000000-0005-0000-0000-0000B21A0000}"/>
    <cellStyle name="AggOrangeLBorder 2 3 4 2" xfId="6835" xr:uid="{00000000-0005-0000-0000-0000B31A0000}"/>
    <cellStyle name="AggOrangeLBorder 2 3 4 2 10" xfId="6836" xr:uid="{00000000-0005-0000-0000-0000B41A0000}"/>
    <cellStyle name="AggOrangeLBorder 2 3 4 2 11" xfId="6837" xr:uid="{00000000-0005-0000-0000-0000B51A0000}"/>
    <cellStyle name="AggOrangeLBorder 2 3 4 2 12" xfId="6838" xr:uid="{00000000-0005-0000-0000-0000B61A0000}"/>
    <cellStyle name="AggOrangeLBorder 2 3 4 2 13" xfId="6839" xr:uid="{00000000-0005-0000-0000-0000B71A0000}"/>
    <cellStyle name="AggOrangeLBorder 2 3 4 2 14" xfId="6840" xr:uid="{00000000-0005-0000-0000-0000B81A0000}"/>
    <cellStyle name="AggOrangeLBorder 2 3 4 2 15" xfId="6841" xr:uid="{00000000-0005-0000-0000-0000B91A0000}"/>
    <cellStyle name="AggOrangeLBorder 2 3 4 2 16" xfId="6842" xr:uid="{00000000-0005-0000-0000-0000BA1A0000}"/>
    <cellStyle name="AggOrangeLBorder 2 3 4 2 17" xfId="6843" xr:uid="{00000000-0005-0000-0000-0000BB1A0000}"/>
    <cellStyle name="AggOrangeLBorder 2 3 4 2 18" xfId="6844" xr:uid="{00000000-0005-0000-0000-0000BC1A0000}"/>
    <cellStyle name="AggOrangeLBorder 2 3 4 2 19" xfId="6845" xr:uid="{00000000-0005-0000-0000-0000BD1A0000}"/>
    <cellStyle name="AggOrangeLBorder 2 3 4 2 2" xfId="6846" xr:uid="{00000000-0005-0000-0000-0000BE1A0000}"/>
    <cellStyle name="AggOrangeLBorder 2 3 4 2 20" xfId="6847" xr:uid="{00000000-0005-0000-0000-0000BF1A0000}"/>
    <cellStyle name="AggOrangeLBorder 2 3 4 2 21" xfId="6848" xr:uid="{00000000-0005-0000-0000-0000C01A0000}"/>
    <cellStyle name="AggOrangeLBorder 2 3 4 2 22" xfId="6849" xr:uid="{00000000-0005-0000-0000-0000C11A0000}"/>
    <cellStyle name="AggOrangeLBorder 2 3 4 2 23" xfId="6850" xr:uid="{00000000-0005-0000-0000-0000C21A0000}"/>
    <cellStyle name="AggOrangeLBorder 2 3 4 2 24" xfId="6851" xr:uid="{00000000-0005-0000-0000-0000C31A0000}"/>
    <cellStyle name="AggOrangeLBorder 2 3 4 2 25" xfId="6852" xr:uid="{00000000-0005-0000-0000-0000C41A0000}"/>
    <cellStyle name="AggOrangeLBorder 2 3 4 2 26" xfId="6853" xr:uid="{00000000-0005-0000-0000-0000C51A0000}"/>
    <cellStyle name="AggOrangeLBorder 2 3 4 2 27" xfId="6854" xr:uid="{00000000-0005-0000-0000-0000C61A0000}"/>
    <cellStyle name="AggOrangeLBorder 2 3 4 2 28" xfId="6855" xr:uid="{00000000-0005-0000-0000-0000C71A0000}"/>
    <cellStyle name="AggOrangeLBorder 2 3 4 2 29" xfId="6856" xr:uid="{00000000-0005-0000-0000-0000C81A0000}"/>
    <cellStyle name="AggOrangeLBorder 2 3 4 2 3" xfId="6857" xr:uid="{00000000-0005-0000-0000-0000C91A0000}"/>
    <cellStyle name="AggOrangeLBorder 2 3 4 2 30" xfId="6858" xr:uid="{00000000-0005-0000-0000-0000CA1A0000}"/>
    <cellStyle name="AggOrangeLBorder 2 3 4 2 31" xfId="6859" xr:uid="{00000000-0005-0000-0000-0000CB1A0000}"/>
    <cellStyle name="AggOrangeLBorder 2 3 4 2 32" xfId="6860" xr:uid="{00000000-0005-0000-0000-0000CC1A0000}"/>
    <cellStyle name="AggOrangeLBorder 2 3 4 2 33" xfId="6861" xr:uid="{00000000-0005-0000-0000-0000CD1A0000}"/>
    <cellStyle name="AggOrangeLBorder 2 3 4 2 34" xfId="6862" xr:uid="{00000000-0005-0000-0000-0000CE1A0000}"/>
    <cellStyle name="AggOrangeLBorder 2 3 4 2 35" xfId="6863" xr:uid="{00000000-0005-0000-0000-0000CF1A0000}"/>
    <cellStyle name="AggOrangeLBorder 2 3 4 2 36" xfId="6864" xr:uid="{00000000-0005-0000-0000-0000D01A0000}"/>
    <cellStyle name="AggOrangeLBorder 2 3 4 2 37" xfId="6865" xr:uid="{00000000-0005-0000-0000-0000D11A0000}"/>
    <cellStyle name="AggOrangeLBorder 2 3 4 2 38" xfId="6866" xr:uid="{00000000-0005-0000-0000-0000D21A0000}"/>
    <cellStyle name="AggOrangeLBorder 2 3 4 2 39" xfId="6867" xr:uid="{00000000-0005-0000-0000-0000D31A0000}"/>
    <cellStyle name="AggOrangeLBorder 2 3 4 2 4" xfId="6868" xr:uid="{00000000-0005-0000-0000-0000D41A0000}"/>
    <cellStyle name="AggOrangeLBorder 2 3 4 2 40" xfId="6869" xr:uid="{00000000-0005-0000-0000-0000D51A0000}"/>
    <cellStyle name="AggOrangeLBorder 2 3 4 2 41" xfId="6870" xr:uid="{00000000-0005-0000-0000-0000D61A0000}"/>
    <cellStyle name="AggOrangeLBorder 2 3 4 2 42" xfId="6871" xr:uid="{00000000-0005-0000-0000-0000D71A0000}"/>
    <cellStyle name="AggOrangeLBorder 2 3 4 2 43" xfId="6872" xr:uid="{00000000-0005-0000-0000-0000D81A0000}"/>
    <cellStyle name="AggOrangeLBorder 2 3 4 2 44" xfId="6873" xr:uid="{00000000-0005-0000-0000-0000D91A0000}"/>
    <cellStyle name="AggOrangeLBorder 2 3 4 2 45" xfId="6874" xr:uid="{00000000-0005-0000-0000-0000DA1A0000}"/>
    <cellStyle name="AggOrangeLBorder 2 3 4 2 46" xfId="6875" xr:uid="{00000000-0005-0000-0000-0000DB1A0000}"/>
    <cellStyle name="AggOrangeLBorder 2 3 4 2 47" xfId="6876" xr:uid="{00000000-0005-0000-0000-0000DC1A0000}"/>
    <cellStyle name="AggOrangeLBorder 2 3 4 2 48" xfId="6877" xr:uid="{00000000-0005-0000-0000-0000DD1A0000}"/>
    <cellStyle name="AggOrangeLBorder 2 3 4 2 49" xfId="6878" xr:uid="{00000000-0005-0000-0000-0000DE1A0000}"/>
    <cellStyle name="AggOrangeLBorder 2 3 4 2 5" xfId="6879" xr:uid="{00000000-0005-0000-0000-0000DF1A0000}"/>
    <cellStyle name="AggOrangeLBorder 2 3 4 2 50" xfId="6880" xr:uid="{00000000-0005-0000-0000-0000E01A0000}"/>
    <cellStyle name="AggOrangeLBorder 2 3 4 2 51" xfId="6881" xr:uid="{00000000-0005-0000-0000-0000E11A0000}"/>
    <cellStyle name="AggOrangeLBorder 2 3 4 2 52" xfId="6882" xr:uid="{00000000-0005-0000-0000-0000E21A0000}"/>
    <cellStyle name="AggOrangeLBorder 2 3 4 2 53" xfId="6883" xr:uid="{00000000-0005-0000-0000-0000E31A0000}"/>
    <cellStyle name="AggOrangeLBorder 2 3 4 2 54" xfId="6884" xr:uid="{00000000-0005-0000-0000-0000E41A0000}"/>
    <cellStyle name="AggOrangeLBorder 2 3 4 2 55" xfId="6885" xr:uid="{00000000-0005-0000-0000-0000E51A0000}"/>
    <cellStyle name="AggOrangeLBorder 2 3 4 2 56" xfId="6886" xr:uid="{00000000-0005-0000-0000-0000E61A0000}"/>
    <cellStyle name="AggOrangeLBorder 2 3 4 2 57" xfId="6887" xr:uid="{00000000-0005-0000-0000-0000E71A0000}"/>
    <cellStyle name="AggOrangeLBorder 2 3 4 2 58" xfId="6888" xr:uid="{00000000-0005-0000-0000-0000E81A0000}"/>
    <cellStyle name="AggOrangeLBorder 2 3 4 2 59" xfId="6889" xr:uid="{00000000-0005-0000-0000-0000E91A0000}"/>
    <cellStyle name="AggOrangeLBorder 2 3 4 2 6" xfId="6890" xr:uid="{00000000-0005-0000-0000-0000EA1A0000}"/>
    <cellStyle name="AggOrangeLBorder 2 3 4 2 60" xfId="6891" xr:uid="{00000000-0005-0000-0000-0000EB1A0000}"/>
    <cellStyle name="AggOrangeLBorder 2 3 4 2 61" xfId="6892" xr:uid="{00000000-0005-0000-0000-0000EC1A0000}"/>
    <cellStyle name="AggOrangeLBorder 2 3 4 2 62" xfId="6893" xr:uid="{00000000-0005-0000-0000-0000ED1A0000}"/>
    <cellStyle name="AggOrangeLBorder 2 3 4 2 63" xfId="6894" xr:uid="{00000000-0005-0000-0000-0000EE1A0000}"/>
    <cellStyle name="AggOrangeLBorder 2 3 4 2 64" xfId="6895" xr:uid="{00000000-0005-0000-0000-0000EF1A0000}"/>
    <cellStyle name="AggOrangeLBorder 2 3 4 2 65" xfId="6896" xr:uid="{00000000-0005-0000-0000-0000F01A0000}"/>
    <cellStyle name="AggOrangeLBorder 2 3 4 2 7" xfId="6897" xr:uid="{00000000-0005-0000-0000-0000F11A0000}"/>
    <cellStyle name="AggOrangeLBorder 2 3 4 2 8" xfId="6898" xr:uid="{00000000-0005-0000-0000-0000F21A0000}"/>
    <cellStyle name="AggOrangeLBorder 2 3 4 2 9" xfId="6899" xr:uid="{00000000-0005-0000-0000-0000F31A0000}"/>
    <cellStyle name="AggOrangeLBorder 2 3 4 20" xfId="6900" xr:uid="{00000000-0005-0000-0000-0000F41A0000}"/>
    <cellStyle name="AggOrangeLBorder 2 3 4 21" xfId="6901" xr:uid="{00000000-0005-0000-0000-0000F51A0000}"/>
    <cellStyle name="AggOrangeLBorder 2 3 4 22" xfId="6902" xr:uid="{00000000-0005-0000-0000-0000F61A0000}"/>
    <cellStyle name="AggOrangeLBorder 2 3 4 23" xfId="6903" xr:uid="{00000000-0005-0000-0000-0000F71A0000}"/>
    <cellStyle name="AggOrangeLBorder 2 3 4 24" xfId="6904" xr:uid="{00000000-0005-0000-0000-0000F81A0000}"/>
    <cellStyle name="AggOrangeLBorder 2 3 4 25" xfId="6905" xr:uid="{00000000-0005-0000-0000-0000F91A0000}"/>
    <cellStyle name="AggOrangeLBorder 2 3 4 26" xfId="6906" xr:uid="{00000000-0005-0000-0000-0000FA1A0000}"/>
    <cellStyle name="AggOrangeLBorder 2 3 4 27" xfId="6907" xr:uid="{00000000-0005-0000-0000-0000FB1A0000}"/>
    <cellStyle name="AggOrangeLBorder 2 3 4 28" xfId="6908" xr:uid="{00000000-0005-0000-0000-0000FC1A0000}"/>
    <cellStyle name="AggOrangeLBorder 2 3 4 29" xfId="6909" xr:uid="{00000000-0005-0000-0000-0000FD1A0000}"/>
    <cellStyle name="AggOrangeLBorder 2 3 4 3" xfId="6910" xr:uid="{00000000-0005-0000-0000-0000FE1A0000}"/>
    <cellStyle name="AggOrangeLBorder 2 3 4 30" xfId="6911" xr:uid="{00000000-0005-0000-0000-0000FF1A0000}"/>
    <cellStyle name="AggOrangeLBorder 2 3 4 31" xfId="6912" xr:uid="{00000000-0005-0000-0000-0000001B0000}"/>
    <cellStyle name="AggOrangeLBorder 2 3 4 32" xfId="6913" xr:uid="{00000000-0005-0000-0000-0000011B0000}"/>
    <cellStyle name="AggOrangeLBorder 2 3 4 33" xfId="6914" xr:uid="{00000000-0005-0000-0000-0000021B0000}"/>
    <cellStyle name="AggOrangeLBorder 2 3 4 34" xfId="6915" xr:uid="{00000000-0005-0000-0000-0000031B0000}"/>
    <cellStyle name="AggOrangeLBorder 2 3 4 35" xfId="6916" xr:uid="{00000000-0005-0000-0000-0000041B0000}"/>
    <cellStyle name="AggOrangeLBorder 2 3 4 36" xfId="6917" xr:uid="{00000000-0005-0000-0000-0000051B0000}"/>
    <cellStyle name="AggOrangeLBorder 2 3 4 37" xfId="6918" xr:uid="{00000000-0005-0000-0000-0000061B0000}"/>
    <cellStyle name="AggOrangeLBorder 2 3 4 38" xfId="6919" xr:uid="{00000000-0005-0000-0000-0000071B0000}"/>
    <cellStyle name="AggOrangeLBorder 2 3 4 39" xfId="6920" xr:uid="{00000000-0005-0000-0000-0000081B0000}"/>
    <cellStyle name="AggOrangeLBorder 2 3 4 4" xfId="6921" xr:uid="{00000000-0005-0000-0000-0000091B0000}"/>
    <cellStyle name="AggOrangeLBorder 2 3 4 40" xfId="6922" xr:uid="{00000000-0005-0000-0000-00000A1B0000}"/>
    <cellStyle name="AggOrangeLBorder 2 3 4 41" xfId="6923" xr:uid="{00000000-0005-0000-0000-00000B1B0000}"/>
    <cellStyle name="AggOrangeLBorder 2 3 4 42" xfId="6924" xr:uid="{00000000-0005-0000-0000-00000C1B0000}"/>
    <cellStyle name="AggOrangeLBorder 2 3 4 43" xfId="6925" xr:uid="{00000000-0005-0000-0000-00000D1B0000}"/>
    <cellStyle name="AggOrangeLBorder 2 3 4 44" xfId="6926" xr:uid="{00000000-0005-0000-0000-00000E1B0000}"/>
    <cellStyle name="AggOrangeLBorder 2 3 4 45" xfId="6927" xr:uid="{00000000-0005-0000-0000-00000F1B0000}"/>
    <cellStyle name="AggOrangeLBorder 2 3 4 46" xfId="6928" xr:uid="{00000000-0005-0000-0000-0000101B0000}"/>
    <cellStyle name="AggOrangeLBorder 2 3 4 47" xfId="6929" xr:uid="{00000000-0005-0000-0000-0000111B0000}"/>
    <cellStyle name="AggOrangeLBorder 2 3 4 48" xfId="6930" xr:uid="{00000000-0005-0000-0000-0000121B0000}"/>
    <cellStyle name="AggOrangeLBorder 2 3 4 49" xfId="6931" xr:uid="{00000000-0005-0000-0000-0000131B0000}"/>
    <cellStyle name="AggOrangeLBorder 2 3 4 5" xfId="6932" xr:uid="{00000000-0005-0000-0000-0000141B0000}"/>
    <cellStyle name="AggOrangeLBorder 2 3 4 50" xfId="6933" xr:uid="{00000000-0005-0000-0000-0000151B0000}"/>
    <cellStyle name="AggOrangeLBorder 2 3 4 51" xfId="6934" xr:uid="{00000000-0005-0000-0000-0000161B0000}"/>
    <cellStyle name="AggOrangeLBorder 2 3 4 52" xfId="6935" xr:uid="{00000000-0005-0000-0000-0000171B0000}"/>
    <cellStyle name="AggOrangeLBorder 2 3 4 53" xfId="6936" xr:uid="{00000000-0005-0000-0000-0000181B0000}"/>
    <cellStyle name="AggOrangeLBorder 2 3 4 54" xfId="6937" xr:uid="{00000000-0005-0000-0000-0000191B0000}"/>
    <cellStyle name="AggOrangeLBorder 2 3 4 55" xfId="6938" xr:uid="{00000000-0005-0000-0000-00001A1B0000}"/>
    <cellStyle name="AggOrangeLBorder 2 3 4 56" xfId="6939" xr:uid="{00000000-0005-0000-0000-00001B1B0000}"/>
    <cellStyle name="AggOrangeLBorder 2 3 4 57" xfId="6940" xr:uid="{00000000-0005-0000-0000-00001C1B0000}"/>
    <cellStyle name="AggOrangeLBorder 2 3 4 58" xfId="6941" xr:uid="{00000000-0005-0000-0000-00001D1B0000}"/>
    <cellStyle name="AggOrangeLBorder 2 3 4 59" xfId="6942" xr:uid="{00000000-0005-0000-0000-00001E1B0000}"/>
    <cellStyle name="AggOrangeLBorder 2 3 4 6" xfId="6943" xr:uid="{00000000-0005-0000-0000-00001F1B0000}"/>
    <cellStyle name="AggOrangeLBorder 2 3 4 60" xfId="6944" xr:uid="{00000000-0005-0000-0000-0000201B0000}"/>
    <cellStyle name="AggOrangeLBorder 2 3 4 61" xfId="6945" xr:uid="{00000000-0005-0000-0000-0000211B0000}"/>
    <cellStyle name="AggOrangeLBorder 2 3 4 62" xfId="6946" xr:uid="{00000000-0005-0000-0000-0000221B0000}"/>
    <cellStyle name="AggOrangeLBorder 2 3 4 63" xfId="6947" xr:uid="{00000000-0005-0000-0000-0000231B0000}"/>
    <cellStyle name="AggOrangeLBorder 2 3 4 64" xfId="6948" xr:uid="{00000000-0005-0000-0000-0000241B0000}"/>
    <cellStyle name="AggOrangeLBorder 2 3 4 65" xfId="6949" xr:uid="{00000000-0005-0000-0000-0000251B0000}"/>
    <cellStyle name="AggOrangeLBorder 2 3 4 66" xfId="6950" xr:uid="{00000000-0005-0000-0000-0000261B0000}"/>
    <cellStyle name="AggOrangeLBorder 2 3 4 7" xfId="6951" xr:uid="{00000000-0005-0000-0000-0000271B0000}"/>
    <cellStyle name="AggOrangeLBorder 2 3 4 8" xfId="6952" xr:uid="{00000000-0005-0000-0000-0000281B0000}"/>
    <cellStyle name="AggOrangeLBorder 2 3 4 9" xfId="6953" xr:uid="{00000000-0005-0000-0000-0000291B0000}"/>
    <cellStyle name="AggOrangeLBorder 2 3 40" xfId="6954" xr:uid="{00000000-0005-0000-0000-00002A1B0000}"/>
    <cellStyle name="AggOrangeLBorder 2 3 41" xfId="6955" xr:uid="{00000000-0005-0000-0000-00002B1B0000}"/>
    <cellStyle name="AggOrangeLBorder 2 3 42" xfId="6956" xr:uid="{00000000-0005-0000-0000-00002C1B0000}"/>
    <cellStyle name="AggOrangeLBorder 2 3 43" xfId="6957" xr:uid="{00000000-0005-0000-0000-00002D1B0000}"/>
    <cellStyle name="AggOrangeLBorder 2 3 44" xfId="6958" xr:uid="{00000000-0005-0000-0000-00002E1B0000}"/>
    <cellStyle name="AggOrangeLBorder 2 3 45" xfId="6959" xr:uid="{00000000-0005-0000-0000-00002F1B0000}"/>
    <cellStyle name="AggOrangeLBorder 2 3 46" xfId="6960" xr:uid="{00000000-0005-0000-0000-0000301B0000}"/>
    <cellStyle name="AggOrangeLBorder 2 3 47" xfId="6961" xr:uid="{00000000-0005-0000-0000-0000311B0000}"/>
    <cellStyle name="AggOrangeLBorder 2 3 48" xfId="6962" xr:uid="{00000000-0005-0000-0000-0000321B0000}"/>
    <cellStyle name="AggOrangeLBorder 2 3 49" xfId="6963" xr:uid="{00000000-0005-0000-0000-0000331B0000}"/>
    <cellStyle name="AggOrangeLBorder 2 3 5" xfId="6964" xr:uid="{00000000-0005-0000-0000-0000341B0000}"/>
    <cellStyle name="AggOrangeLBorder 2 3 5 2" xfId="6965" xr:uid="{00000000-0005-0000-0000-0000351B0000}"/>
    <cellStyle name="AggOrangeLBorder 2 3 5 3" xfId="6966" xr:uid="{00000000-0005-0000-0000-0000361B0000}"/>
    <cellStyle name="AggOrangeLBorder 2 3 50" xfId="6967" xr:uid="{00000000-0005-0000-0000-0000371B0000}"/>
    <cellStyle name="AggOrangeLBorder 2 3 51" xfId="6968" xr:uid="{00000000-0005-0000-0000-0000381B0000}"/>
    <cellStyle name="AggOrangeLBorder 2 3 52" xfId="6969" xr:uid="{00000000-0005-0000-0000-0000391B0000}"/>
    <cellStyle name="AggOrangeLBorder 2 3 53" xfId="6970" xr:uid="{00000000-0005-0000-0000-00003A1B0000}"/>
    <cellStyle name="AggOrangeLBorder 2 3 54" xfId="6971" xr:uid="{00000000-0005-0000-0000-00003B1B0000}"/>
    <cellStyle name="AggOrangeLBorder 2 3 55" xfId="6972" xr:uid="{00000000-0005-0000-0000-00003C1B0000}"/>
    <cellStyle name="AggOrangeLBorder 2 3 56" xfId="6973" xr:uid="{00000000-0005-0000-0000-00003D1B0000}"/>
    <cellStyle name="AggOrangeLBorder 2 3 57" xfId="6974" xr:uid="{00000000-0005-0000-0000-00003E1B0000}"/>
    <cellStyle name="AggOrangeLBorder 2 3 58" xfId="6975" xr:uid="{00000000-0005-0000-0000-00003F1B0000}"/>
    <cellStyle name="AggOrangeLBorder 2 3 59" xfId="6976" xr:uid="{00000000-0005-0000-0000-0000401B0000}"/>
    <cellStyle name="AggOrangeLBorder 2 3 6" xfId="6977" xr:uid="{00000000-0005-0000-0000-0000411B0000}"/>
    <cellStyle name="AggOrangeLBorder 2 3 60" xfId="6978" xr:uid="{00000000-0005-0000-0000-0000421B0000}"/>
    <cellStyle name="AggOrangeLBorder 2 3 61" xfId="6979" xr:uid="{00000000-0005-0000-0000-0000431B0000}"/>
    <cellStyle name="AggOrangeLBorder 2 3 62" xfId="6980" xr:uid="{00000000-0005-0000-0000-0000441B0000}"/>
    <cellStyle name="AggOrangeLBorder 2 3 63" xfId="6981" xr:uid="{00000000-0005-0000-0000-0000451B0000}"/>
    <cellStyle name="AggOrangeLBorder 2 3 64" xfId="6982" xr:uid="{00000000-0005-0000-0000-0000461B0000}"/>
    <cellStyle name="AggOrangeLBorder 2 3 65" xfId="6983" xr:uid="{00000000-0005-0000-0000-0000471B0000}"/>
    <cellStyle name="AggOrangeLBorder 2 3 66" xfId="6984" xr:uid="{00000000-0005-0000-0000-0000481B0000}"/>
    <cellStyle name="AggOrangeLBorder 2 3 67" xfId="6985" xr:uid="{00000000-0005-0000-0000-0000491B0000}"/>
    <cellStyle name="AggOrangeLBorder 2 3 68" xfId="6986" xr:uid="{00000000-0005-0000-0000-00004A1B0000}"/>
    <cellStyle name="AggOrangeLBorder 2 3 69" xfId="6987" xr:uid="{00000000-0005-0000-0000-00004B1B0000}"/>
    <cellStyle name="AggOrangeLBorder 2 3 7" xfId="6988" xr:uid="{00000000-0005-0000-0000-00004C1B0000}"/>
    <cellStyle name="AggOrangeLBorder 2 3 8" xfId="6989" xr:uid="{00000000-0005-0000-0000-00004D1B0000}"/>
    <cellStyle name="AggOrangeLBorder 2 3 9" xfId="6990" xr:uid="{00000000-0005-0000-0000-00004E1B0000}"/>
    <cellStyle name="AggOrangeLBorder 3" xfId="6991" xr:uid="{00000000-0005-0000-0000-00004F1B0000}"/>
    <cellStyle name="AggOrangeLBorder 3 2" xfId="6992" xr:uid="{00000000-0005-0000-0000-0000501B0000}"/>
    <cellStyle name="AggOrangeLBorder 3 3" xfId="6993" xr:uid="{00000000-0005-0000-0000-0000511B0000}"/>
    <cellStyle name="AggOrangeLBorder 4" xfId="6994" xr:uid="{00000000-0005-0000-0000-0000521B0000}"/>
    <cellStyle name="AggOrangeLBorder 4 10" xfId="6995" xr:uid="{00000000-0005-0000-0000-0000531B0000}"/>
    <cellStyle name="AggOrangeLBorder 4 11" xfId="6996" xr:uid="{00000000-0005-0000-0000-0000541B0000}"/>
    <cellStyle name="AggOrangeLBorder 4 12" xfId="6997" xr:uid="{00000000-0005-0000-0000-0000551B0000}"/>
    <cellStyle name="AggOrangeLBorder 4 13" xfId="6998" xr:uid="{00000000-0005-0000-0000-0000561B0000}"/>
    <cellStyle name="AggOrangeLBorder 4 14" xfId="6999" xr:uid="{00000000-0005-0000-0000-0000571B0000}"/>
    <cellStyle name="AggOrangeLBorder 4 15" xfId="7000" xr:uid="{00000000-0005-0000-0000-0000581B0000}"/>
    <cellStyle name="AggOrangeLBorder 4 16" xfId="7001" xr:uid="{00000000-0005-0000-0000-0000591B0000}"/>
    <cellStyle name="AggOrangeLBorder 4 17" xfId="7002" xr:uid="{00000000-0005-0000-0000-00005A1B0000}"/>
    <cellStyle name="AggOrangeLBorder 4 18" xfId="7003" xr:uid="{00000000-0005-0000-0000-00005B1B0000}"/>
    <cellStyle name="AggOrangeLBorder 4 19" xfId="7004" xr:uid="{00000000-0005-0000-0000-00005C1B0000}"/>
    <cellStyle name="AggOrangeLBorder 4 2" xfId="7005" xr:uid="{00000000-0005-0000-0000-00005D1B0000}"/>
    <cellStyle name="AggOrangeLBorder 4 2 10" xfId="7006" xr:uid="{00000000-0005-0000-0000-00005E1B0000}"/>
    <cellStyle name="AggOrangeLBorder 4 2 11" xfId="7007" xr:uid="{00000000-0005-0000-0000-00005F1B0000}"/>
    <cellStyle name="AggOrangeLBorder 4 2 12" xfId="7008" xr:uid="{00000000-0005-0000-0000-0000601B0000}"/>
    <cellStyle name="AggOrangeLBorder 4 2 13" xfId="7009" xr:uid="{00000000-0005-0000-0000-0000611B0000}"/>
    <cellStyle name="AggOrangeLBorder 4 2 14" xfId="7010" xr:uid="{00000000-0005-0000-0000-0000621B0000}"/>
    <cellStyle name="AggOrangeLBorder 4 2 15" xfId="7011" xr:uid="{00000000-0005-0000-0000-0000631B0000}"/>
    <cellStyle name="AggOrangeLBorder 4 2 16" xfId="7012" xr:uid="{00000000-0005-0000-0000-0000641B0000}"/>
    <cellStyle name="AggOrangeLBorder 4 2 17" xfId="7013" xr:uid="{00000000-0005-0000-0000-0000651B0000}"/>
    <cellStyle name="AggOrangeLBorder 4 2 18" xfId="7014" xr:uid="{00000000-0005-0000-0000-0000661B0000}"/>
    <cellStyle name="AggOrangeLBorder 4 2 19" xfId="7015" xr:uid="{00000000-0005-0000-0000-0000671B0000}"/>
    <cellStyle name="AggOrangeLBorder 4 2 2" xfId="7016" xr:uid="{00000000-0005-0000-0000-0000681B0000}"/>
    <cellStyle name="AggOrangeLBorder 4 2 2 10" xfId="7017" xr:uid="{00000000-0005-0000-0000-0000691B0000}"/>
    <cellStyle name="AggOrangeLBorder 4 2 2 11" xfId="7018" xr:uid="{00000000-0005-0000-0000-00006A1B0000}"/>
    <cellStyle name="AggOrangeLBorder 4 2 2 12" xfId="7019" xr:uid="{00000000-0005-0000-0000-00006B1B0000}"/>
    <cellStyle name="AggOrangeLBorder 4 2 2 13" xfId="7020" xr:uid="{00000000-0005-0000-0000-00006C1B0000}"/>
    <cellStyle name="AggOrangeLBorder 4 2 2 14" xfId="7021" xr:uid="{00000000-0005-0000-0000-00006D1B0000}"/>
    <cellStyle name="AggOrangeLBorder 4 2 2 15" xfId="7022" xr:uid="{00000000-0005-0000-0000-00006E1B0000}"/>
    <cellStyle name="AggOrangeLBorder 4 2 2 16" xfId="7023" xr:uid="{00000000-0005-0000-0000-00006F1B0000}"/>
    <cellStyle name="AggOrangeLBorder 4 2 2 17" xfId="7024" xr:uid="{00000000-0005-0000-0000-0000701B0000}"/>
    <cellStyle name="AggOrangeLBorder 4 2 2 18" xfId="7025" xr:uid="{00000000-0005-0000-0000-0000711B0000}"/>
    <cellStyle name="AggOrangeLBorder 4 2 2 19" xfId="7026" xr:uid="{00000000-0005-0000-0000-0000721B0000}"/>
    <cellStyle name="AggOrangeLBorder 4 2 2 2" xfId="7027" xr:uid="{00000000-0005-0000-0000-0000731B0000}"/>
    <cellStyle name="AggOrangeLBorder 4 2 2 20" xfId="7028" xr:uid="{00000000-0005-0000-0000-0000741B0000}"/>
    <cellStyle name="AggOrangeLBorder 4 2 2 21" xfId="7029" xr:uid="{00000000-0005-0000-0000-0000751B0000}"/>
    <cellStyle name="AggOrangeLBorder 4 2 2 22" xfId="7030" xr:uid="{00000000-0005-0000-0000-0000761B0000}"/>
    <cellStyle name="AggOrangeLBorder 4 2 2 23" xfId="7031" xr:uid="{00000000-0005-0000-0000-0000771B0000}"/>
    <cellStyle name="AggOrangeLBorder 4 2 2 24" xfId="7032" xr:uid="{00000000-0005-0000-0000-0000781B0000}"/>
    <cellStyle name="AggOrangeLBorder 4 2 2 25" xfId="7033" xr:uid="{00000000-0005-0000-0000-0000791B0000}"/>
    <cellStyle name="AggOrangeLBorder 4 2 2 26" xfId="7034" xr:uid="{00000000-0005-0000-0000-00007A1B0000}"/>
    <cellStyle name="AggOrangeLBorder 4 2 2 27" xfId="7035" xr:uid="{00000000-0005-0000-0000-00007B1B0000}"/>
    <cellStyle name="AggOrangeLBorder 4 2 2 28" xfId="7036" xr:uid="{00000000-0005-0000-0000-00007C1B0000}"/>
    <cellStyle name="AggOrangeLBorder 4 2 2 29" xfId="7037" xr:uid="{00000000-0005-0000-0000-00007D1B0000}"/>
    <cellStyle name="AggOrangeLBorder 4 2 2 3" xfId="7038" xr:uid="{00000000-0005-0000-0000-00007E1B0000}"/>
    <cellStyle name="AggOrangeLBorder 4 2 2 30" xfId="7039" xr:uid="{00000000-0005-0000-0000-00007F1B0000}"/>
    <cellStyle name="AggOrangeLBorder 4 2 2 31" xfId="7040" xr:uid="{00000000-0005-0000-0000-0000801B0000}"/>
    <cellStyle name="AggOrangeLBorder 4 2 2 32" xfId="7041" xr:uid="{00000000-0005-0000-0000-0000811B0000}"/>
    <cellStyle name="AggOrangeLBorder 4 2 2 33" xfId="7042" xr:uid="{00000000-0005-0000-0000-0000821B0000}"/>
    <cellStyle name="AggOrangeLBorder 4 2 2 34" xfId="7043" xr:uid="{00000000-0005-0000-0000-0000831B0000}"/>
    <cellStyle name="AggOrangeLBorder 4 2 2 35" xfId="7044" xr:uid="{00000000-0005-0000-0000-0000841B0000}"/>
    <cellStyle name="AggOrangeLBorder 4 2 2 36" xfId="7045" xr:uid="{00000000-0005-0000-0000-0000851B0000}"/>
    <cellStyle name="AggOrangeLBorder 4 2 2 37" xfId="7046" xr:uid="{00000000-0005-0000-0000-0000861B0000}"/>
    <cellStyle name="AggOrangeLBorder 4 2 2 38" xfId="7047" xr:uid="{00000000-0005-0000-0000-0000871B0000}"/>
    <cellStyle name="AggOrangeLBorder 4 2 2 39" xfId="7048" xr:uid="{00000000-0005-0000-0000-0000881B0000}"/>
    <cellStyle name="AggOrangeLBorder 4 2 2 4" xfId="7049" xr:uid="{00000000-0005-0000-0000-0000891B0000}"/>
    <cellStyle name="AggOrangeLBorder 4 2 2 40" xfId="7050" xr:uid="{00000000-0005-0000-0000-00008A1B0000}"/>
    <cellStyle name="AggOrangeLBorder 4 2 2 41" xfId="7051" xr:uid="{00000000-0005-0000-0000-00008B1B0000}"/>
    <cellStyle name="AggOrangeLBorder 4 2 2 42" xfId="7052" xr:uid="{00000000-0005-0000-0000-00008C1B0000}"/>
    <cellStyle name="AggOrangeLBorder 4 2 2 43" xfId="7053" xr:uid="{00000000-0005-0000-0000-00008D1B0000}"/>
    <cellStyle name="AggOrangeLBorder 4 2 2 44" xfId="7054" xr:uid="{00000000-0005-0000-0000-00008E1B0000}"/>
    <cellStyle name="AggOrangeLBorder 4 2 2 45" xfId="7055" xr:uid="{00000000-0005-0000-0000-00008F1B0000}"/>
    <cellStyle name="AggOrangeLBorder 4 2 2 46" xfId="7056" xr:uid="{00000000-0005-0000-0000-0000901B0000}"/>
    <cellStyle name="AggOrangeLBorder 4 2 2 47" xfId="7057" xr:uid="{00000000-0005-0000-0000-0000911B0000}"/>
    <cellStyle name="AggOrangeLBorder 4 2 2 48" xfId="7058" xr:uid="{00000000-0005-0000-0000-0000921B0000}"/>
    <cellStyle name="AggOrangeLBorder 4 2 2 49" xfId="7059" xr:uid="{00000000-0005-0000-0000-0000931B0000}"/>
    <cellStyle name="AggOrangeLBorder 4 2 2 5" xfId="7060" xr:uid="{00000000-0005-0000-0000-0000941B0000}"/>
    <cellStyle name="AggOrangeLBorder 4 2 2 50" xfId="7061" xr:uid="{00000000-0005-0000-0000-0000951B0000}"/>
    <cellStyle name="AggOrangeLBorder 4 2 2 51" xfId="7062" xr:uid="{00000000-0005-0000-0000-0000961B0000}"/>
    <cellStyle name="AggOrangeLBorder 4 2 2 52" xfId="7063" xr:uid="{00000000-0005-0000-0000-0000971B0000}"/>
    <cellStyle name="AggOrangeLBorder 4 2 2 53" xfId="7064" xr:uid="{00000000-0005-0000-0000-0000981B0000}"/>
    <cellStyle name="AggOrangeLBorder 4 2 2 54" xfId="7065" xr:uid="{00000000-0005-0000-0000-0000991B0000}"/>
    <cellStyle name="AggOrangeLBorder 4 2 2 55" xfId="7066" xr:uid="{00000000-0005-0000-0000-00009A1B0000}"/>
    <cellStyle name="AggOrangeLBorder 4 2 2 56" xfId="7067" xr:uid="{00000000-0005-0000-0000-00009B1B0000}"/>
    <cellStyle name="AggOrangeLBorder 4 2 2 57" xfId="7068" xr:uid="{00000000-0005-0000-0000-00009C1B0000}"/>
    <cellStyle name="AggOrangeLBorder 4 2 2 58" xfId="7069" xr:uid="{00000000-0005-0000-0000-00009D1B0000}"/>
    <cellStyle name="AggOrangeLBorder 4 2 2 59" xfId="7070" xr:uid="{00000000-0005-0000-0000-00009E1B0000}"/>
    <cellStyle name="AggOrangeLBorder 4 2 2 6" xfId="7071" xr:uid="{00000000-0005-0000-0000-00009F1B0000}"/>
    <cellStyle name="AggOrangeLBorder 4 2 2 60" xfId="7072" xr:uid="{00000000-0005-0000-0000-0000A01B0000}"/>
    <cellStyle name="AggOrangeLBorder 4 2 2 61" xfId="7073" xr:uid="{00000000-0005-0000-0000-0000A11B0000}"/>
    <cellStyle name="AggOrangeLBorder 4 2 2 62" xfId="7074" xr:uid="{00000000-0005-0000-0000-0000A21B0000}"/>
    <cellStyle name="AggOrangeLBorder 4 2 2 63" xfId="7075" xr:uid="{00000000-0005-0000-0000-0000A31B0000}"/>
    <cellStyle name="AggOrangeLBorder 4 2 2 64" xfId="7076" xr:uid="{00000000-0005-0000-0000-0000A41B0000}"/>
    <cellStyle name="AggOrangeLBorder 4 2 2 65" xfId="7077" xr:uid="{00000000-0005-0000-0000-0000A51B0000}"/>
    <cellStyle name="AggOrangeLBorder 4 2 2 7" xfId="7078" xr:uid="{00000000-0005-0000-0000-0000A61B0000}"/>
    <cellStyle name="AggOrangeLBorder 4 2 2 8" xfId="7079" xr:uid="{00000000-0005-0000-0000-0000A71B0000}"/>
    <cellStyle name="AggOrangeLBorder 4 2 2 9" xfId="7080" xr:uid="{00000000-0005-0000-0000-0000A81B0000}"/>
    <cellStyle name="AggOrangeLBorder 4 2 20" xfId="7081" xr:uid="{00000000-0005-0000-0000-0000A91B0000}"/>
    <cellStyle name="AggOrangeLBorder 4 2 21" xfId="7082" xr:uid="{00000000-0005-0000-0000-0000AA1B0000}"/>
    <cellStyle name="AggOrangeLBorder 4 2 22" xfId="7083" xr:uid="{00000000-0005-0000-0000-0000AB1B0000}"/>
    <cellStyle name="AggOrangeLBorder 4 2 23" xfId="7084" xr:uid="{00000000-0005-0000-0000-0000AC1B0000}"/>
    <cellStyle name="AggOrangeLBorder 4 2 24" xfId="7085" xr:uid="{00000000-0005-0000-0000-0000AD1B0000}"/>
    <cellStyle name="AggOrangeLBorder 4 2 25" xfId="7086" xr:uid="{00000000-0005-0000-0000-0000AE1B0000}"/>
    <cellStyle name="AggOrangeLBorder 4 2 26" xfId="7087" xr:uid="{00000000-0005-0000-0000-0000AF1B0000}"/>
    <cellStyle name="AggOrangeLBorder 4 2 27" xfId="7088" xr:uid="{00000000-0005-0000-0000-0000B01B0000}"/>
    <cellStyle name="AggOrangeLBorder 4 2 28" xfId="7089" xr:uid="{00000000-0005-0000-0000-0000B11B0000}"/>
    <cellStyle name="AggOrangeLBorder 4 2 29" xfId="7090" xr:uid="{00000000-0005-0000-0000-0000B21B0000}"/>
    <cellStyle name="AggOrangeLBorder 4 2 3" xfId="7091" xr:uid="{00000000-0005-0000-0000-0000B31B0000}"/>
    <cellStyle name="AggOrangeLBorder 4 2 30" xfId="7092" xr:uid="{00000000-0005-0000-0000-0000B41B0000}"/>
    <cellStyle name="AggOrangeLBorder 4 2 31" xfId="7093" xr:uid="{00000000-0005-0000-0000-0000B51B0000}"/>
    <cellStyle name="AggOrangeLBorder 4 2 32" xfId="7094" xr:uid="{00000000-0005-0000-0000-0000B61B0000}"/>
    <cellStyle name="AggOrangeLBorder 4 2 33" xfId="7095" xr:uid="{00000000-0005-0000-0000-0000B71B0000}"/>
    <cellStyle name="AggOrangeLBorder 4 2 34" xfId="7096" xr:uid="{00000000-0005-0000-0000-0000B81B0000}"/>
    <cellStyle name="AggOrangeLBorder 4 2 35" xfId="7097" xr:uid="{00000000-0005-0000-0000-0000B91B0000}"/>
    <cellStyle name="AggOrangeLBorder 4 2 36" xfId="7098" xr:uid="{00000000-0005-0000-0000-0000BA1B0000}"/>
    <cellStyle name="AggOrangeLBorder 4 2 37" xfId="7099" xr:uid="{00000000-0005-0000-0000-0000BB1B0000}"/>
    <cellStyle name="AggOrangeLBorder 4 2 38" xfId="7100" xr:uid="{00000000-0005-0000-0000-0000BC1B0000}"/>
    <cellStyle name="AggOrangeLBorder 4 2 39" xfId="7101" xr:uid="{00000000-0005-0000-0000-0000BD1B0000}"/>
    <cellStyle name="AggOrangeLBorder 4 2 4" xfId="7102" xr:uid="{00000000-0005-0000-0000-0000BE1B0000}"/>
    <cellStyle name="AggOrangeLBorder 4 2 40" xfId="7103" xr:uid="{00000000-0005-0000-0000-0000BF1B0000}"/>
    <cellStyle name="AggOrangeLBorder 4 2 41" xfId="7104" xr:uid="{00000000-0005-0000-0000-0000C01B0000}"/>
    <cellStyle name="AggOrangeLBorder 4 2 42" xfId="7105" xr:uid="{00000000-0005-0000-0000-0000C11B0000}"/>
    <cellStyle name="AggOrangeLBorder 4 2 43" xfId="7106" xr:uid="{00000000-0005-0000-0000-0000C21B0000}"/>
    <cellStyle name="AggOrangeLBorder 4 2 44" xfId="7107" xr:uid="{00000000-0005-0000-0000-0000C31B0000}"/>
    <cellStyle name="AggOrangeLBorder 4 2 45" xfId="7108" xr:uid="{00000000-0005-0000-0000-0000C41B0000}"/>
    <cellStyle name="AggOrangeLBorder 4 2 46" xfId="7109" xr:uid="{00000000-0005-0000-0000-0000C51B0000}"/>
    <cellStyle name="AggOrangeLBorder 4 2 47" xfId="7110" xr:uid="{00000000-0005-0000-0000-0000C61B0000}"/>
    <cellStyle name="AggOrangeLBorder 4 2 48" xfId="7111" xr:uid="{00000000-0005-0000-0000-0000C71B0000}"/>
    <cellStyle name="AggOrangeLBorder 4 2 49" xfId="7112" xr:uid="{00000000-0005-0000-0000-0000C81B0000}"/>
    <cellStyle name="AggOrangeLBorder 4 2 5" xfId="7113" xr:uid="{00000000-0005-0000-0000-0000C91B0000}"/>
    <cellStyle name="AggOrangeLBorder 4 2 50" xfId="7114" xr:uid="{00000000-0005-0000-0000-0000CA1B0000}"/>
    <cellStyle name="AggOrangeLBorder 4 2 51" xfId="7115" xr:uid="{00000000-0005-0000-0000-0000CB1B0000}"/>
    <cellStyle name="AggOrangeLBorder 4 2 52" xfId="7116" xr:uid="{00000000-0005-0000-0000-0000CC1B0000}"/>
    <cellStyle name="AggOrangeLBorder 4 2 53" xfId="7117" xr:uid="{00000000-0005-0000-0000-0000CD1B0000}"/>
    <cellStyle name="AggOrangeLBorder 4 2 54" xfId="7118" xr:uid="{00000000-0005-0000-0000-0000CE1B0000}"/>
    <cellStyle name="AggOrangeLBorder 4 2 55" xfId="7119" xr:uid="{00000000-0005-0000-0000-0000CF1B0000}"/>
    <cellStyle name="AggOrangeLBorder 4 2 56" xfId="7120" xr:uid="{00000000-0005-0000-0000-0000D01B0000}"/>
    <cellStyle name="AggOrangeLBorder 4 2 57" xfId="7121" xr:uid="{00000000-0005-0000-0000-0000D11B0000}"/>
    <cellStyle name="AggOrangeLBorder 4 2 58" xfId="7122" xr:uid="{00000000-0005-0000-0000-0000D21B0000}"/>
    <cellStyle name="AggOrangeLBorder 4 2 59" xfId="7123" xr:uid="{00000000-0005-0000-0000-0000D31B0000}"/>
    <cellStyle name="AggOrangeLBorder 4 2 6" xfId="7124" xr:uid="{00000000-0005-0000-0000-0000D41B0000}"/>
    <cellStyle name="AggOrangeLBorder 4 2 60" xfId="7125" xr:uid="{00000000-0005-0000-0000-0000D51B0000}"/>
    <cellStyle name="AggOrangeLBorder 4 2 61" xfId="7126" xr:uid="{00000000-0005-0000-0000-0000D61B0000}"/>
    <cellStyle name="AggOrangeLBorder 4 2 62" xfId="7127" xr:uid="{00000000-0005-0000-0000-0000D71B0000}"/>
    <cellStyle name="AggOrangeLBorder 4 2 63" xfId="7128" xr:uid="{00000000-0005-0000-0000-0000D81B0000}"/>
    <cellStyle name="AggOrangeLBorder 4 2 64" xfId="7129" xr:uid="{00000000-0005-0000-0000-0000D91B0000}"/>
    <cellStyle name="AggOrangeLBorder 4 2 65" xfId="7130" xr:uid="{00000000-0005-0000-0000-0000DA1B0000}"/>
    <cellStyle name="AggOrangeLBorder 4 2 66" xfId="7131" xr:uid="{00000000-0005-0000-0000-0000DB1B0000}"/>
    <cellStyle name="AggOrangeLBorder 4 2 7" xfId="7132" xr:uid="{00000000-0005-0000-0000-0000DC1B0000}"/>
    <cellStyle name="AggOrangeLBorder 4 2 8" xfId="7133" xr:uid="{00000000-0005-0000-0000-0000DD1B0000}"/>
    <cellStyle name="AggOrangeLBorder 4 2 9" xfId="7134" xr:uid="{00000000-0005-0000-0000-0000DE1B0000}"/>
    <cellStyle name="AggOrangeLBorder 4 20" xfId="7135" xr:uid="{00000000-0005-0000-0000-0000DF1B0000}"/>
    <cellStyle name="AggOrangeLBorder 4 21" xfId="7136" xr:uid="{00000000-0005-0000-0000-0000E01B0000}"/>
    <cellStyle name="AggOrangeLBorder 4 22" xfId="7137" xr:uid="{00000000-0005-0000-0000-0000E11B0000}"/>
    <cellStyle name="AggOrangeLBorder 4 23" xfId="7138" xr:uid="{00000000-0005-0000-0000-0000E21B0000}"/>
    <cellStyle name="AggOrangeLBorder 4 24" xfId="7139" xr:uid="{00000000-0005-0000-0000-0000E31B0000}"/>
    <cellStyle name="AggOrangeLBorder 4 25" xfId="7140" xr:uid="{00000000-0005-0000-0000-0000E41B0000}"/>
    <cellStyle name="AggOrangeLBorder 4 26" xfId="7141" xr:uid="{00000000-0005-0000-0000-0000E51B0000}"/>
    <cellStyle name="AggOrangeLBorder 4 27" xfId="7142" xr:uid="{00000000-0005-0000-0000-0000E61B0000}"/>
    <cellStyle name="AggOrangeLBorder 4 28" xfId="7143" xr:uid="{00000000-0005-0000-0000-0000E71B0000}"/>
    <cellStyle name="AggOrangeLBorder 4 29" xfId="7144" xr:uid="{00000000-0005-0000-0000-0000E81B0000}"/>
    <cellStyle name="AggOrangeLBorder 4 3" xfId="7145" xr:uid="{00000000-0005-0000-0000-0000E91B0000}"/>
    <cellStyle name="AggOrangeLBorder 4 3 10" xfId="7146" xr:uid="{00000000-0005-0000-0000-0000EA1B0000}"/>
    <cellStyle name="AggOrangeLBorder 4 3 11" xfId="7147" xr:uid="{00000000-0005-0000-0000-0000EB1B0000}"/>
    <cellStyle name="AggOrangeLBorder 4 3 12" xfId="7148" xr:uid="{00000000-0005-0000-0000-0000EC1B0000}"/>
    <cellStyle name="AggOrangeLBorder 4 3 13" xfId="7149" xr:uid="{00000000-0005-0000-0000-0000ED1B0000}"/>
    <cellStyle name="AggOrangeLBorder 4 3 14" xfId="7150" xr:uid="{00000000-0005-0000-0000-0000EE1B0000}"/>
    <cellStyle name="AggOrangeLBorder 4 3 15" xfId="7151" xr:uid="{00000000-0005-0000-0000-0000EF1B0000}"/>
    <cellStyle name="AggOrangeLBorder 4 3 16" xfId="7152" xr:uid="{00000000-0005-0000-0000-0000F01B0000}"/>
    <cellStyle name="AggOrangeLBorder 4 3 17" xfId="7153" xr:uid="{00000000-0005-0000-0000-0000F11B0000}"/>
    <cellStyle name="AggOrangeLBorder 4 3 18" xfId="7154" xr:uid="{00000000-0005-0000-0000-0000F21B0000}"/>
    <cellStyle name="AggOrangeLBorder 4 3 19" xfId="7155" xr:uid="{00000000-0005-0000-0000-0000F31B0000}"/>
    <cellStyle name="AggOrangeLBorder 4 3 2" xfId="7156" xr:uid="{00000000-0005-0000-0000-0000F41B0000}"/>
    <cellStyle name="AggOrangeLBorder 4 3 2 10" xfId="7157" xr:uid="{00000000-0005-0000-0000-0000F51B0000}"/>
    <cellStyle name="AggOrangeLBorder 4 3 2 11" xfId="7158" xr:uid="{00000000-0005-0000-0000-0000F61B0000}"/>
    <cellStyle name="AggOrangeLBorder 4 3 2 12" xfId="7159" xr:uid="{00000000-0005-0000-0000-0000F71B0000}"/>
    <cellStyle name="AggOrangeLBorder 4 3 2 13" xfId="7160" xr:uid="{00000000-0005-0000-0000-0000F81B0000}"/>
    <cellStyle name="AggOrangeLBorder 4 3 2 14" xfId="7161" xr:uid="{00000000-0005-0000-0000-0000F91B0000}"/>
    <cellStyle name="AggOrangeLBorder 4 3 2 15" xfId="7162" xr:uid="{00000000-0005-0000-0000-0000FA1B0000}"/>
    <cellStyle name="AggOrangeLBorder 4 3 2 16" xfId="7163" xr:uid="{00000000-0005-0000-0000-0000FB1B0000}"/>
    <cellStyle name="AggOrangeLBorder 4 3 2 17" xfId="7164" xr:uid="{00000000-0005-0000-0000-0000FC1B0000}"/>
    <cellStyle name="AggOrangeLBorder 4 3 2 18" xfId="7165" xr:uid="{00000000-0005-0000-0000-0000FD1B0000}"/>
    <cellStyle name="AggOrangeLBorder 4 3 2 19" xfId="7166" xr:uid="{00000000-0005-0000-0000-0000FE1B0000}"/>
    <cellStyle name="AggOrangeLBorder 4 3 2 2" xfId="7167" xr:uid="{00000000-0005-0000-0000-0000FF1B0000}"/>
    <cellStyle name="AggOrangeLBorder 4 3 2 20" xfId="7168" xr:uid="{00000000-0005-0000-0000-0000001C0000}"/>
    <cellStyle name="AggOrangeLBorder 4 3 2 21" xfId="7169" xr:uid="{00000000-0005-0000-0000-0000011C0000}"/>
    <cellStyle name="AggOrangeLBorder 4 3 2 22" xfId="7170" xr:uid="{00000000-0005-0000-0000-0000021C0000}"/>
    <cellStyle name="AggOrangeLBorder 4 3 2 23" xfId="7171" xr:uid="{00000000-0005-0000-0000-0000031C0000}"/>
    <cellStyle name="AggOrangeLBorder 4 3 2 24" xfId="7172" xr:uid="{00000000-0005-0000-0000-0000041C0000}"/>
    <cellStyle name="AggOrangeLBorder 4 3 2 25" xfId="7173" xr:uid="{00000000-0005-0000-0000-0000051C0000}"/>
    <cellStyle name="AggOrangeLBorder 4 3 2 26" xfId="7174" xr:uid="{00000000-0005-0000-0000-0000061C0000}"/>
    <cellStyle name="AggOrangeLBorder 4 3 2 27" xfId="7175" xr:uid="{00000000-0005-0000-0000-0000071C0000}"/>
    <cellStyle name="AggOrangeLBorder 4 3 2 28" xfId="7176" xr:uid="{00000000-0005-0000-0000-0000081C0000}"/>
    <cellStyle name="AggOrangeLBorder 4 3 2 29" xfId="7177" xr:uid="{00000000-0005-0000-0000-0000091C0000}"/>
    <cellStyle name="AggOrangeLBorder 4 3 2 3" xfId="7178" xr:uid="{00000000-0005-0000-0000-00000A1C0000}"/>
    <cellStyle name="AggOrangeLBorder 4 3 2 30" xfId="7179" xr:uid="{00000000-0005-0000-0000-00000B1C0000}"/>
    <cellStyle name="AggOrangeLBorder 4 3 2 31" xfId="7180" xr:uid="{00000000-0005-0000-0000-00000C1C0000}"/>
    <cellStyle name="AggOrangeLBorder 4 3 2 32" xfId="7181" xr:uid="{00000000-0005-0000-0000-00000D1C0000}"/>
    <cellStyle name="AggOrangeLBorder 4 3 2 33" xfId="7182" xr:uid="{00000000-0005-0000-0000-00000E1C0000}"/>
    <cellStyle name="AggOrangeLBorder 4 3 2 34" xfId="7183" xr:uid="{00000000-0005-0000-0000-00000F1C0000}"/>
    <cellStyle name="AggOrangeLBorder 4 3 2 35" xfId="7184" xr:uid="{00000000-0005-0000-0000-0000101C0000}"/>
    <cellStyle name="AggOrangeLBorder 4 3 2 36" xfId="7185" xr:uid="{00000000-0005-0000-0000-0000111C0000}"/>
    <cellStyle name="AggOrangeLBorder 4 3 2 37" xfId="7186" xr:uid="{00000000-0005-0000-0000-0000121C0000}"/>
    <cellStyle name="AggOrangeLBorder 4 3 2 38" xfId="7187" xr:uid="{00000000-0005-0000-0000-0000131C0000}"/>
    <cellStyle name="AggOrangeLBorder 4 3 2 39" xfId="7188" xr:uid="{00000000-0005-0000-0000-0000141C0000}"/>
    <cellStyle name="AggOrangeLBorder 4 3 2 4" xfId="7189" xr:uid="{00000000-0005-0000-0000-0000151C0000}"/>
    <cellStyle name="AggOrangeLBorder 4 3 2 40" xfId="7190" xr:uid="{00000000-0005-0000-0000-0000161C0000}"/>
    <cellStyle name="AggOrangeLBorder 4 3 2 41" xfId="7191" xr:uid="{00000000-0005-0000-0000-0000171C0000}"/>
    <cellStyle name="AggOrangeLBorder 4 3 2 42" xfId="7192" xr:uid="{00000000-0005-0000-0000-0000181C0000}"/>
    <cellStyle name="AggOrangeLBorder 4 3 2 43" xfId="7193" xr:uid="{00000000-0005-0000-0000-0000191C0000}"/>
    <cellStyle name="AggOrangeLBorder 4 3 2 44" xfId="7194" xr:uid="{00000000-0005-0000-0000-00001A1C0000}"/>
    <cellStyle name="AggOrangeLBorder 4 3 2 45" xfId="7195" xr:uid="{00000000-0005-0000-0000-00001B1C0000}"/>
    <cellStyle name="AggOrangeLBorder 4 3 2 46" xfId="7196" xr:uid="{00000000-0005-0000-0000-00001C1C0000}"/>
    <cellStyle name="AggOrangeLBorder 4 3 2 47" xfId="7197" xr:uid="{00000000-0005-0000-0000-00001D1C0000}"/>
    <cellStyle name="AggOrangeLBorder 4 3 2 48" xfId="7198" xr:uid="{00000000-0005-0000-0000-00001E1C0000}"/>
    <cellStyle name="AggOrangeLBorder 4 3 2 49" xfId="7199" xr:uid="{00000000-0005-0000-0000-00001F1C0000}"/>
    <cellStyle name="AggOrangeLBorder 4 3 2 5" xfId="7200" xr:uid="{00000000-0005-0000-0000-0000201C0000}"/>
    <cellStyle name="AggOrangeLBorder 4 3 2 50" xfId="7201" xr:uid="{00000000-0005-0000-0000-0000211C0000}"/>
    <cellStyle name="AggOrangeLBorder 4 3 2 51" xfId="7202" xr:uid="{00000000-0005-0000-0000-0000221C0000}"/>
    <cellStyle name="AggOrangeLBorder 4 3 2 52" xfId="7203" xr:uid="{00000000-0005-0000-0000-0000231C0000}"/>
    <cellStyle name="AggOrangeLBorder 4 3 2 53" xfId="7204" xr:uid="{00000000-0005-0000-0000-0000241C0000}"/>
    <cellStyle name="AggOrangeLBorder 4 3 2 54" xfId="7205" xr:uid="{00000000-0005-0000-0000-0000251C0000}"/>
    <cellStyle name="AggOrangeLBorder 4 3 2 55" xfId="7206" xr:uid="{00000000-0005-0000-0000-0000261C0000}"/>
    <cellStyle name="AggOrangeLBorder 4 3 2 56" xfId="7207" xr:uid="{00000000-0005-0000-0000-0000271C0000}"/>
    <cellStyle name="AggOrangeLBorder 4 3 2 57" xfId="7208" xr:uid="{00000000-0005-0000-0000-0000281C0000}"/>
    <cellStyle name="AggOrangeLBorder 4 3 2 58" xfId="7209" xr:uid="{00000000-0005-0000-0000-0000291C0000}"/>
    <cellStyle name="AggOrangeLBorder 4 3 2 59" xfId="7210" xr:uid="{00000000-0005-0000-0000-00002A1C0000}"/>
    <cellStyle name="AggOrangeLBorder 4 3 2 6" xfId="7211" xr:uid="{00000000-0005-0000-0000-00002B1C0000}"/>
    <cellStyle name="AggOrangeLBorder 4 3 2 60" xfId="7212" xr:uid="{00000000-0005-0000-0000-00002C1C0000}"/>
    <cellStyle name="AggOrangeLBorder 4 3 2 61" xfId="7213" xr:uid="{00000000-0005-0000-0000-00002D1C0000}"/>
    <cellStyle name="AggOrangeLBorder 4 3 2 62" xfId="7214" xr:uid="{00000000-0005-0000-0000-00002E1C0000}"/>
    <cellStyle name="AggOrangeLBorder 4 3 2 63" xfId="7215" xr:uid="{00000000-0005-0000-0000-00002F1C0000}"/>
    <cellStyle name="AggOrangeLBorder 4 3 2 64" xfId="7216" xr:uid="{00000000-0005-0000-0000-0000301C0000}"/>
    <cellStyle name="AggOrangeLBorder 4 3 2 65" xfId="7217" xr:uid="{00000000-0005-0000-0000-0000311C0000}"/>
    <cellStyle name="AggOrangeLBorder 4 3 2 7" xfId="7218" xr:uid="{00000000-0005-0000-0000-0000321C0000}"/>
    <cellStyle name="AggOrangeLBorder 4 3 2 8" xfId="7219" xr:uid="{00000000-0005-0000-0000-0000331C0000}"/>
    <cellStyle name="AggOrangeLBorder 4 3 2 9" xfId="7220" xr:uid="{00000000-0005-0000-0000-0000341C0000}"/>
    <cellStyle name="AggOrangeLBorder 4 3 20" xfId="7221" xr:uid="{00000000-0005-0000-0000-0000351C0000}"/>
    <cellStyle name="AggOrangeLBorder 4 3 21" xfId="7222" xr:uid="{00000000-0005-0000-0000-0000361C0000}"/>
    <cellStyle name="AggOrangeLBorder 4 3 22" xfId="7223" xr:uid="{00000000-0005-0000-0000-0000371C0000}"/>
    <cellStyle name="AggOrangeLBorder 4 3 23" xfId="7224" xr:uid="{00000000-0005-0000-0000-0000381C0000}"/>
    <cellStyle name="AggOrangeLBorder 4 3 24" xfId="7225" xr:uid="{00000000-0005-0000-0000-0000391C0000}"/>
    <cellStyle name="AggOrangeLBorder 4 3 25" xfId="7226" xr:uid="{00000000-0005-0000-0000-00003A1C0000}"/>
    <cellStyle name="AggOrangeLBorder 4 3 26" xfId="7227" xr:uid="{00000000-0005-0000-0000-00003B1C0000}"/>
    <cellStyle name="AggOrangeLBorder 4 3 27" xfId="7228" xr:uid="{00000000-0005-0000-0000-00003C1C0000}"/>
    <cellStyle name="AggOrangeLBorder 4 3 28" xfId="7229" xr:uid="{00000000-0005-0000-0000-00003D1C0000}"/>
    <cellStyle name="AggOrangeLBorder 4 3 29" xfId="7230" xr:uid="{00000000-0005-0000-0000-00003E1C0000}"/>
    <cellStyle name="AggOrangeLBorder 4 3 3" xfId="7231" xr:uid="{00000000-0005-0000-0000-00003F1C0000}"/>
    <cellStyle name="AggOrangeLBorder 4 3 30" xfId="7232" xr:uid="{00000000-0005-0000-0000-0000401C0000}"/>
    <cellStyle name="AggOrangeLBorder 4 3 31" xfId="7233" xr:uid="{00000000-0005-0000-0000-0000411C0000}"/>
    <cellStyle name="AggOrangeLBorder 4 3 32" xfId="7234" xr:uid="{00000000-0005-0000-0000-0000421C0000}"/>
    <cellStyle name="AggOrangeLBorder 4 3 33" xfId="7235" xr:uid="{00000000-0005-0000-0000-0000431C0000}"/>
    <cellStyle name="AggOrangeLBorder 4 3 34" xfId="7236" xr:uid="{00000000-0005-0000-0000-0000441C0000}"/>
    <cellStyle name="AggOrangeLBorder 4 3 35" xfId="7237" xr:uid="{00000000-0005-0000-0000-0000451C0000}"/>
    <cellStyle name="AggOrangeLBorder 4 3 36" xfId="7238" xr:uid="{00000000-0005-0000-0000-0000461C0000}"/>
    <cellStyle name="AggOrangeLBorder 4 3 37" xfId="7239" xr:uid="{00000000-0005-0000-0000-0000471C0000}"/>
    <cellStyle name="AggOrangeLBorder 4 3 38" xfId="7240" xr:uid="{00000000-0005-0000-0000-0000481C0000}"/>
    <cellStyle name="AggOrangeLBorder 4 3 39" xfId="7241" xr:uid="{00000000-0005-0000-0000-0000491C0000}"/>
    <cellStyle name="AggOrangeLBorder 4 3 4" xfId="7242" xr:uid="{00000000-0005-0000-0000-00004A1C0000}"/>
    <cellStyle name="AggOrangeLBorder 4 3 40" xfId="7243" xr:uid="{00000000-0005-0000-0000-00004B1C0000}"/>
    <cellStyle name="AggOrangeLBorder 4 3 41" xfId="7244" xr:uid="{00000000-0005-0000-0000-00004C1C0000}"/>
    <cellStyle name="AggOrangeLBorder 4 3 42" xfId="7245" xr:uid="{00000000-0005-0000-0000-00004D1C0000}"/>
    <cellStyle name="AggOrangeLBorder 4 3 43" xfId="7246" xr:uid="{00000000-0005-0000-0000-00004E1C0000}"/>
    <cellStyle name="AggOrangeLBorder 4 3 44" xfId="7247" xr:uid="{00000000-0005-0000-0000-00004F1C0000}"/>
    <cellStyle name="AggOrangeLBorder 4 3 45" xfId="7248" xr:uid="{00000000-0005-0000-0000-0000501C0000}"/>
    <cellStyle name="AggOrangeLBorder 4 3 46" xfId="7249" xr:uid="{00000000-0005-0000-0000-0000511C0000}"/>
    <cellStyle name="AggOrangeLBorder 4 3 47" xfId="7250" xr:uid="{00000000-0005-0000-0000-0000521C0000}"/>
    <cellStyle name="AggOrangeLBorder 4 3 48" xfId="7251" xr:uid="{00000000-0005-0000-0000-0000531C0000}"/>
    <cellStyle name="AggOrangeLBorder 4 3 49" xfId="7252" xr:uid="{00000000-0005-0000-0000-0000541C0000}"/>
    <cellStyle name="AggOrangeLBorder 4 3 5" xfId="7253" xr:uid="{00000000-0005-0000-0000-0000551C0000}"/>
    <cellStyle name="AggOrangeLBorder 4 3 50" xfId="7254" xr:uid="{00000000-0005-0000-0000-0000561C0000}"/>
    <cellStyle name="AggOrangeLBorder 4 3 51" xfId="7255" xr:uid="{00000000-0005-0000-0000-0000571C0000}"/>
    <cellStyle name="AggOrangeLBorder 4 3 52" xfId="7256" xr:uid="{00000000-0005-0000-0000-0000581C0000}"/>
    <cellStyle name="AggOrangeLBorder 4 3 53" xfId="7257" xr:uid="{00000000-0005-0000-0000-0000591C0000}"/>
    <cellStyle name="AggOrangeLBorder 4 3 54" xfId="7258" xr:uid="{00000000-0005-0000-0000-00005A1C0000}"/>
    <cellStyle name="AggOrangeLBorder 4 3 55" xfId="7259" xr:uid="{00000000-0005-0000-0000-00005B1C0000}"/>
    <cellStyle name="AggOrangeLBorder 4 3 56" xfId="7260" xr:uid="{00000000-0005-0000-0000-00005C1C0000}"/>
    <cellStyle name="AggOrangeLBorder 4 3 57" xfId="7261" xr:uid="{00000000-0005-0000-0000-00005D1C0000}"/>
    <cellStyle name="AggOrangeLBorder 4 3 58" xfId="7262" xr:uid="{00000000-0005-0000-0000-00005E1C0000}"/>
    <cellStyle name="AggOrangeLBorder 4 3 59" xfId="7263" xr:uid="{00000000-0005-0000-0000-00005F1C0000}"/>
    <cellStyle name="AggOrangeLBorder 4 3 6" xfId="7264" xr:uid="{00000000-0005-0000-0000-0000601C0000}"/>
    <cellStyle name="AggOrangeLBorder 4 3 60" xfId="7265" xr:uid="{00000000-0005-0000-0000-0000611C0000}"/>
    <cellStyle name="AggOrangeLBorder 4 3 61" xfId="7266" xr:uid="{00000000-0005-0000-0000-0000621C0000}"/>
    <cellStyle name="AggOrangeLBorder 4 3 62" xfId="7267" xr:uid="{00000000-0005-0000-0000-0000631C0000}"/>
    <cellStyle name="AggOrangeLBorder 4 3 63" xfId="7268" xr:uid="{00000000-0005-0000-0000-0000641C0000}"/>
    <cellStyle name="AggOrangeLBorder 4 3 64" xfId="7269" xr:uid="{00000000-0005-0000-0000-0000651C0000}"/>
    <cellStyle name="AggOrangeLBorder 4 3 65" xfId="7270" xr:uid="{00000000-0005-0000-0000-0000661C0000}"/>
    <cellStyle name="AggOrangeLBorder 4 3 66" xfId="7271" xr:uid="{00000000-0005-0000-0000-0000671C0000}"/>
    <cellStyle name="AggOrangeLBorder 4 3 7" xfId="7272" xr:uid="{00000000-0005-0000-0000-0000681C0000}"/>
    <cellStyle name="AggOrangeLBorder 4 3 8" xfId="7273" xr:uid="{00000000-0005-0000-0000-0000691C0000}"/>
    <cellStyle name="AggOrangeLBorder 4 3 9" xfId="7274" xr:uid="{00000000-0005-0000-0000-00006A1C0000}"/>
    <cellStyle name="AggOrangeLBorder 4 30" xfId="7275" xr:uid="{00000000-0005-0000-0000-00006B1C0000}"/>
    <cellStyle name="AggOrangeLBorder 4 31" xfId="7276" xr:uid="{00000000-0005-0000-0000-00006C1C0000}"/>
    <cellStyle name="AggOrangeLBorder 4 32" xfId="7277" xr:uid="{00000000-0005-0000-0000-00006D1C0000}"/>
    <cellStyle name="AggOrangeLBorder 4 33" xfId="7278" xr:uid="{00000000-0005-0000-0000-00006E1C0000}"/>
    <cellStyle name="AggOrangeLBorder 4 34" xfId="7279" xr:uid="{00000000-0005-0000-0000-00006F1C0000}"/>
    <cellStyle name="AggOrangeLBorder 4 35" xfId="7280" xr:uid="{00000000-0005-0000-0000-0000701C0000}"/>
    <cellStyle name="AggOrangeLBorder 4 36" xfId="7281" xr:uid="{00000000-0005-0000-0000-0000711C0000}"/>
    <cellStyle name="AggOrangeLBorder 4 37" xfId="7282" xr:uid="{00000000-0005-0000-0000-0000721C0000}"/>
    <cellStyle name="AggOrangeLBorder 4 38" xfId="7283" xr:uid="{00000000-0005-0000-0000-0000731C0000}"/>
    <cellStyle name="AggOrangeLBorder 4 39" xfId="7284" xr:uid="{00000000-0005-0000-0000-0000741C0000}"/>
    <cellStyle name="AggOrangeLBorder 4 4" xfId="7285" xr:uid="{00000000-0005-0000-0000-0000751C0000}"/>
    <cellStyle name="AggOrangeLBorder 4 4 10" xfId="7286" xr:uid="{00000000-0005-0000-0000-0000761C0000}"/>
    <cellStyle name="AggOrangeLBorder 4 4 11" xfId="7287" xr:uid="{00000000-0005-0000-0000-0000771C0000}"/>
    <cellStyle name="AggOrangeLBorder 4 4 12" xfId="7288" xr:uid="{00000000-0005-0000-0000-0000781C0000}"/>
    <cellStyle name="AggOrangeLBorder 4 4 13" xfId="7289" xr:uid="{00000000-0005-0000-0000-0000791C0000}"/>
    <cellStyle name="AggOrangeLBorder 4 4 14" xfId="7290" xr:uid="{00000000-0005-0000-0000-00007A1C0000}"/>
    <cellStyle name="AggOrangeLBorder 4 4 15" xfId="7291" xr:uid="{00000000-0005-0000-0000-00007B1C0000}"/>
    <cellStyle name="AggOrangeLBorder 4 4 16" xfId="7292" xr:uid="{00000000-0005-0000-0000-00007C1C0000}"/>
    <cellStyle name="AggOrangeLBorder 4 4 17" xfId="7293" xr:uid="{00000000-0005-0000-0000-00007D1C0000}"/>
    <cellStyle name="AggOrangeLBorder 4 4 18" xfId="7294" xr:uid="{00000000-0005-0000-0000-00007E1C0000}"/>
    <cellStyle name="AggOrangeLBorder 4 4 19" xfId="7295" xr:uid="{00000000-0005-0000-0000-00007F1C0000}"/>
    <cellStyle name="AggOrangeLBorder 4 4 2" xfId="7296" xr:uid="{00000000-0005-0000-0000-0000801C0000}"/>
    <cellStyle name="AggOrangeLBorder 4 4 2 10" xfId="7297" xr:uid="{00000000-0005-0000-0000-0000811C0000}"/>
    <cellStyle name="AggOrangeLBorder 4 4 2 11" xfId="7298" xr:uid="{00000000-0005-0000-0000-0000821C0000}"/>
    <cellStyle name="AggOrangeLBorder 4 4 2 12" xfId="7299" xr:uid="{00000000-0005-0000-0000-0000831C0000}"/>
    <cellStyle name="AggOrangeLBorder 4 4 2 13" xfId="7300" xr:uid="{00000000-0005-0000-0000-0000841C0000}"/>
    <cellStyle name="AggOrangeLBorder 4 4 2 14" xfId="7301" xr:uid="{00000000-0005-0000-0000-0000851C0000}"/>
    <cellStyle name="AggOrangeLBorder 4 4 2 15" xfId="7302" xr:uid="{00000000-0005-0000-0000-0000861C0000}"/>
    <cellStyle name="AggOrangeLBorder 4 4 2 16" xfId="7303" xr:uid="{00000000-0005-0000-0000-0000871C0000}"/>
    <cellStyle name="AggOrangeLBorder 4 4 2 17" xfId="7304" xr:uid="{00000000-0005-0000-0000-0000881C0000}"/>
    <cellStyle name="AggOrangeLBorder 4 4 2 18" xfId="7305" xr:uid="{00000000-0005-0000-0000-0000891C0000}"/>
    <cellStyle name="AggOrangeLBorder 4 4 2 19" xfId="7306" xr:uid="{00000000-0005-0000-0000-00008A1C0000}"/>
    <cellStyle name="AggOrangeLBorder 4 4 2 2" xfId="7307" xr:uid="{00000000-0005-0000-0000-00008B1C0000}"/>
    <cellStyle name="AggOrangeLBorder 4 4 2 20" xfId="7308" xr:uid="{00000000-0005-0000-0000-00008C1C0000}"/>
    <cellStyle name="AggOrangeLBorder 4 4 2 21" xfId="7309" xr:uid="{00000000-0005-0000-0000-00008D1C0000}"/>
    <cellStyle name="AggOrangeLBorder 4 4 2 22" xfId="7310" xr:uid="{00000000-0005-0000-0000-00008E1C0000}"/>
    <cellStyle name="AggOrangeLBorder 4 4 2 23" xfId="7311" xr:uid="{00000000-0005-0000-0000-00008F1C0000}"/>
    <cellStyle name="AggOrangeLBorder 4 4 2 24" xfId="7312" xr:uid="{00000000-0005-0000-0000-0000901C0000}"/>
    <cellStyle name="AggOrangeLBorder 4 4 2 25" xfId="7313" xr:uid="{00000000-0005-0000-0000-0000911C0000}"/>
    <cellStyle name="AggOrangeLBorder 4 4 2 26" xfId="7314" xr:uid="{00000000-0005-0000-0000-0000921C0000}"/>
    <cellStyle name="AggOrangeLBorder 4 4 2 27" xfId="7315" xr:uid="{00000000-0005-0000-0000-0000931C0000}"/>
    <cellStyle name="AggOrangeLBorder 4 4 2 28" xfId="7316" xr:uid="{00000000-0005-0000-0000-0000941C0000}"/>
    <cellStyle name="AggOrangeLBorder 4 4 2 29" xfId="7317" xr:uid="{00000000-0005-0000-0000-0000951C0000}"/>
    <cellStyle name="AggOrangeLBorder 4 4 2 3" xfId="7318" xr:uid="{00000000-0005-0000-0000-0000961C0000}"/>
    <cellStyle name="AggOrangeLBorder 4 4 2 30" xfId="7319" xr:uid="{00000000-0005-0000-0000-0000971C0000}"/>
    <cellStyle name="AggOrangeLBorder 4 4 2 31" xfId="7320" xr:uid="{00000000-0005-0000-0000-0000981C0000}"/>
    <cellStyle name="AggOrangeLBorder 4 4 2 32" xfId="7321" xr:uid="{00000000-0005-0000-0000-0000991C0000}"/>
    <cellStyle name="AggOrangeLBorder 4 4 2 33" xfId="7322" xr:uid="{00000000-0005-0000-0000-00009A1C0000}"/>
    <cellStyle name="AggOrangeLBorder 4 4 2 34" xfId="7323" xr:uid="{00000000-0005-0000-0000-00009B1C0000}"/>
    <cellStyle name="AggOrangeLBorder 4 4 2 35" xfId="7324" xr:uid="{00000000-0005-0000-0000-00009C1C0000}"/>
    <cellStyle name="AggOrangeLBorder 4 4 2 36" xfId="7325" xr:uid="{00000000-0005-0000-0000-00009D1C0000}"/>
    <cellStyle name="AggOrangeLBorder 4 4 2 37" xfId="7326" xr:uid="{00000000-0005-0000-0000-00009E1C0000}"/>
    <cellStyle name="AggOrangeLBorder 4 4 2 38" xfId="7327" xr:uid="{00000000-0005-0000-0000-00009F1C0000}"/>
    <cellStyle name="AggOrangeLBorder 4 4 2 39" xfId="7328" xr:uid="{00000000-0005-0000-0000-0000A01C0000}"/>
    <cellStyle name="AggOrangeLBorder 4 4 2 4" xfId="7329" xr:uid="{00000000-0005-0000-0000-0000A11C0000}"/>
    <cellStyle name="AggOrangeLBorder 4 4 2 40" xfId="7330" xr:uid="{00000000-0005-0000-0000-0000A21C0000}"/>
    <cellStyle name="AggOrangeLBorder 4 4 2 41" xfId="7331" xr:uid="{00000000-0005-0000-0000-0000A31C0000}"/>
    <cellStyle name="AggOrangeLBorder 4 4 2 42" xfId="7332" xr:uid="{00000000-0005-0000-0000-0000A41C0000}"/>
    <cellStyle name="AggOrangeLBorder 4 4 2 43" xfId="7333" xr:uid="{00000000-0005-0000-0000-0000A51C0000}"/>
    <cellStyle name="AggOrangeLBorder 4 4 2 44" xfId="7334" xr:uid="{00000000-0005-0000-0000-0000A61C0000}"/>
    <cellStyle name="AggOrangeLBorder 4 4 2 45" xfId="7335" xr:uid="{00000000-0005-0000-0000-0000A71C0000}"/>
    <cellStyle name="AggOrangeLBorder 4 4 2 46" xfId="7336" xr:uid="{00000000-0005-0000-0000-0000A81C0000}"/>
    <cellStyle name="AggOrangeLBorder 4 4 2 47" xfId="7337" xr:uid="{00000000-0005-0000-0000-0000A91C0000}"/>
    <cellStyle name="AggOrangeLBorder 4 4 2 48" xfId="7338" xr:uid="{00000000-0005-0000-0000-0000AA1C0000}"/>
    <cellStyle name="AggOrangeLBorder 4 4 2 49" xfId="7339" xr:uid="{00000000-0005-0000-0000-0000AB1C0000}"/>
    <cellStyle name="AggOrangeLBorder 4 4 2 5" xfId="7340" xr:uid="{00000000-0005-0000-0000-0000AC1C0000}"/>
    <cellStyle name="AggOrangeLBorder 4 4 2 50" xfId="7341" xr:uid="{00000000-0005-0000-0000-0000AD1C0000}"/>
    <cellStyle name="AggOrangeLBorder 4 4 2 51" xfId="7342" xr:uid="{00000000-0005-0000-0000-0000AE1C0000}"/>
    <cellStyle name="AggOrangeLBorder 4 4 2 52" xfId="7343" xr:uid="{00000000-0005-0000-0000-0000AF1C0000}"/>
    <cellStyle name="AggOrangeLBorder 4 4 2 53" xfId="7344" xr:uid="{00000000-0005-0000-0000-0000B01C0000}"/>
    <cellStyle name="AggOrangeLBorder 4 4 2 54" xfId="7345" xr:uid="{00000000-0005-0000-0000-0000B11C0000}"/>
    <cellStyle name="AggOrangeLBorder 4 4 2 55" xfId="7346" xr:uid="{00000000-0005-0000-0000-0000B21C0000}"/>
    <cellStyle name="AggOrangeLBorder 4 4 2 56" xfId="7347" xr:uid="{00000000-0005-0000-0000-0000B31C0000}"/>
    <cellStyle name="AggOrangeLBorder 4 4 2 57" xfId="7348" xr:uid="{00000000-0005-0000-0000-0000B41C0000}"/>
    <cellStyle name="AggOrangeLBorder 4 4 2 58" xfId="7349" xr:uid="{00000000-0005-0000-0000-0000B51C0000}"/>
    <cellStyle name="AggOrangeLBorder 4 4 2 59" xfId="7350" xr:uid="{00000000-0005-0000-0000-0000B61C0000}"/>
    <cellStyle name="AggOrangeLBorder 4 4 2 6" xfId="7351" xr:uid="{00000000-0005-0000-0000-0000B71C0000}"/>
    <cellStyle name="AggOrangeLBorder 4 4 2 60" xfId="7352" xr:uid="{00000000-0005-0000-0000-0000B81C0000}"/>
    <cellStyle name="AggOrangeLBorder 4 4 2 61" xfId="7353" xr:uid="{00000000-0005-0000-0000-0000B91C0000}"/>
    <cellStyle name="AggOrangeLBorder 4 4 2 62" xfId="7354" xr:uid="{00000000-0005-0000-0000-0000BA1C0000}"/>
    <cellStyle name="AggOrangeLBorder 4 4 2 63" xfId="7355" xr:uid="{00000000-0005-0000-0000-0000BB1C0000}"/>
    <cellStyle name="AggOrangeLBorder 4 4 2 64" xfId="7356" xr:uid="{00000000-0005-0000-0000-0000BC1C0000}"/>
    <cellStyle name="AggOrangeLBorder 4 4 2 65" xfId="7357" xr:uid="{00000000-0005-0000-0000-0000BD1C0000}"/>
    <cellStyle name="AggOrangeLBorder 4 4 2 7" xfId="7358" xr:uid="{00000000-0005-0000-0000-0000BE1C0000}"/>
    <cellStyle name="AggOrangeLBorder 4 4 2 8" xfId="7359" xr:uid="{00000000-0005-0000-0000-0000BF1C0000}"/>
    <cellStyle name="AggOrangeLBorder 4 4 2 9" xfId="7360" xr:uid="{00000000-0005-0000-0000-0000C01C0000}"/>
    <cellStyle name="AggOrangeLBorder 4 4 20" xfId="7361" xr:uid="{00000000-0005-0000-0000-0000C11C0000}"/>
    <cellStyle name="AggOrangeLBorder 4 4 21" xfId="7362" xr:uid="{00000000-0005-0000-0000-0000C21C0000}"/>
    <cellStyle name="AggOrangeLBorder 4 4 22" xfId="7363" xr:uid="{00000000-0005-0000-0000-0000C31C0000}"/>
    <cellStyle name="AggOrangeLBorder 4 4 23" xfId="7364" xr:uid="{00000000-0005-0000-0000-0000C41C0000}"/>
    <cellStyle name="AggOrangeLBorder 4 4 24" xfId="7365" xr:uid="{00000000-0005-0000-0000-0000C51C0000}"/>
    <cellStyle name="AggOrangeLBorder 4 4 25" xfId="7366" xr:uid="{00000000-0005-0000-0000-0000C61C0000}"/>
    <cellStyle name="AggOrangeLBorder 4 4 26" xfId="7367" xr:uid="{00000000-0005-0000-0000-0000C71C0000}"/>
    <cellStyle name="AggOrangeLBorder 4 4 27" xfId="7368" xr:uid="{00000000-0005-0000-0000-0000C81C0000}"/>
    <cellStyle name="AggOrangeLBorder 4 4 28" xfId="7369" xr:uid="{00000000-0005-0000-0000-0000C91C0000}"/>
    <cellStyle name="AggOrangeLBorder 4 4 29" xfId="7370" xr:uid="{00000000-0005-0000-0000-0000CA1C0000}"/>
    <cellStyle name="AggOrangeLBorder 4 4 3" xfId="7371" xr:uid="{00000000-0005-0000-0000-0000CB1C0000}"/>
    <cellStyle name="AggOrangeLBorder 4 4 30" xfId="7372" xr:uid="{00000000-0005-0000-0000-0000CC1C0000}"/>
    <cellStyle name="AggOrangeLBorder 4 4 31" xfId="7373" xr:uid="{00000000-0005-0000-0000-0000CD1C0000}"/>
    <cellStyle name="AggOrangeLBorder 4 4 32" xfId="7374" xr:uid="{00000000-0005-0000-0000-0000CE1C0000}"/>
    <cellStyle name="AggOrangeLBorder 4 4 33" xfId="7375" xr:uid="{00000000-0005-0000-0000-0000CF1C0000}"/>
    <cellStyle name="AggOrangeLBorder 4 4 34" xfId="7376" xr:uid="{00000000-0005-0000-0000-0000D01C0000}"/>
    <cellStyle name="AggOrangeLBorder 4 4 35" xfId="7377" xr:uid="{00000000-0005-0000-0000-0000D11C0000}"/>
    <cellStyle name="AggOrangeLBorder 4 4 36" xfId="7378" xr:uid="{00000000-0005-0000-0000-0000D21C0000}"/>
    <cellStyle name="AggOrangeLBorder 4 4 37" xfId="7379" xr:uid="{00000000-0005-0000-0000-0000D31C0000}"/>
    <cellStyle name="AggOrangeLBorder 4 4 38" xfId="7380" xr:uid="{00000000-0005-0000-0000-0000D41C0000}"/>
    <cellStyle name="AggOrangeLBorder 4 4 39" xfId="7381" xr:uid="{00000000-0005-0000-0000-0000D51C0000}"/>
    <cellStyle name="AggOrangeLBorder 4 4 4" xfId="7382" xr:uid="{00000000-0005-0000-0000-0000D61C0000}"/>
    <cellStyle name="AggOrangeLBorder 4 4 40" xfId="7383" xr:uid="{00000000-0005-0000-0000-0000D71C0000}"/>
    <cellStyle name="AggOrangeLBorder 4 4 41" xfId="7384" xr:uid="{00000000-0005-0000-0000-0000D81C0000}"/>
    <cellStyle name="AggOrangeLBorder 4 4 42" xfId="7385" xr:uid="{00000000-0005-0000-0000-0000D91C0000}"/>
    <cellStyle name="AggOrangeLBorder 4 4 43" xfId="7386" xr:uid="{00000000-0005-0000-0000-0000DA1C0000}"/>
    <cellStyle name="AggOrangeLBorder 4 4 44" xfId="7387" xr:uid="{00000000-0005-0000-0000-0000DB1C0000}"/>
    <cellStyle name="AggOrangeLBorder 4 4 45" xfId="7388" xr:uid="{00000000-0005-0000-0000-0000DC1C0000}"/>
    <cellStyle name="AggOrangeLBorder 4 4 46" xfId="7389" xr:uid="{00000000-0005-0000-0000-0000DD1C0000}"/>
    <cellStyle name="AggOrangeLBorder 4 4 47" xfId="7390" xr:uid="{00000000-0005-0000-0000-0000DE1C0000}"/>
    <cellStyle name="AggOrangeLBorder 4 4 48" xfId="7391" xr:uid="{00000000-0005-0000-0000-0000DF1C0000}"/>
    <cellStyle name="AggOrangeLBorder 4 4 49" xfId="7392" xr:uid="{00000000-0005-0000-0000-0000E01C0000}"/>
    <cellStyle name="AggOrangeLBorder 4 4 5" xfId="7393" xr:uid="{00000000-0005-0000-0000-0000E11C0000}"/>
    <cellStyle name="AggOrangeLBorder 4 4 50" xfId="7394" xr:uid="{00000000-0005-0000-0000-0000E21C0000}"/>
    <cellStyle name="AggOrangeLBorder 4 4 51" xfId="7395" xr:uid="{00000000-0005-0000-0000-0000E31C0000}"/>
    <cellStyle name="AggOrangeLBorder 4 4 52" xfId="7396" xr:uid="{00000000-0005-0000-0000-0000E41C0000}"/>
    <cellStyle name="AggOrangeLBorder 4 4 53" xfId="7397" xr:uid="{00000000-0005-0000-0000-0000E51C0000}"/>
    <cellStyle name="AggOrangeLBorder 4 4 54" xfId="7398" xr:uid="{00000000-0005-0000-0000-0000E61C0000}"/>
    <cellStyle name="AggOrangeLBorder 4 4 55" xfId="7399" xr:uid="{00000000-0005-0000-0000-0000E71C0000}"/>
    <cellStyle name="AggOrangeLBorder 4 4 56" xfId="7400" xr:uid="{00000000-0005-0000-0000-0000E81C0000}"/>
    <cellStyle name="AggOrangeLBorder 4 4 57" xfId="7401" xr:uid="{00000000-0005-0000-0000-0000E91C0000}"/>
    <cellStyle name="AggOrangeLBorder 4 4 58" xfId="7402" xr:uid="{00000000-0005-0000-0000-0000EA1C0000}"/>
    <cellStyle name="AggOrangeLBorder 4 4 59" xfId="7403" xr:uid="{00000000-0005-0000-0000-0000EB1C0000}"/>
    <cellStyle name="AggOrangeLBorder 4 4 6" xfId="7404" xr:uid="{00000000-0005-0000-0000-0000EC1C0000}"/>
    <cellStyle name="AggOrangeLBorder 4 4 60" xfId="7405" xr:uid="{00000000-0005-0000-0000-0000ED1C0000}"/>
    <cellStyle name="AggOrangeLBorder 4 4 61" xfId="7406" xr:uid="{00000000-0005-0000-0000-0000EE1C0000}"/>
    <cellStyle name="AggOrangeLBorder 4 4 62" xfId="7407" xr:uid="{00000000-0005-0000-0000-0000EF1C0000}"/>
    <cellStyle name="AggOrangeLBorder 4 4 63" xfId="7408" xr:uid="{00000000-0005-0000-0000-0000F01C0000}"/>
    <cellStyle name="AggOrangeLBorder 4 4 64" xfId="7409" xr:uid="{00000000-0005-0000-0000-0000F11C0000}"/>
    <cellStyle name="AggOrangeLBorder 4 4 65" xfId="7410" xr:uid="{00000000-0005-0000-0000-0000F21C0000}"/>
    <cellStyle name="AggOrangeLBorder 4 4 66" xfId="7411" xr:uid="{00000000-0005-0000-0000-0000F31C0000}"/>
    <cellStyle name="AggOrangeLBorder 4 4 7" xfId="7412" xr:uid="{00000000-0005-0000-0000-0000F41C0000}"/>
    <cellStyle name="AggOrangeLBorder 4 4 8" xfId="7413" xr:uid="{00000000-0005-0000-0000-0000F51C0000}"/>
    <cellStyle name="AggOrangeLBorder 4 4 9" xfId="7414" xr:uid="{00000000-0005-0000-0000-0000F61C0000}"/>
    <cellStyle name="AggOrangeLBorder 4 40" xfId="7415" xr:uid="{00000000-0005-0000-0000-0000F71C0000}"/>
    <cellStyle name="AggOrangeLBorder 4 41" xfId="7416" xr:uid="{00000000-0005-0000-0000-0000F81C0000}"/>
    <cellStyle name="AggOrangeLBorder 4 42" xfId="7417" xr:uid="{00000000-0005-0000-0000-0000F91C0000}"/>
    <cellStyle name="AggOrangeLBorder 4 43" xfId="7418" xr:uid="{00000000-0005-0000-0000-0000FA1C0000}"/>
    <cellStyle name="AggOrangeLBorder 4 44" xfId="7419" xr:uid="{00000000-0005-0000-0000-0000FB1C0000}"/>
    <cellStyle name="AggOrangeLBorder 4 45" xfId="7420" xr:uid="{00000000-0005-0000-0000-0000FC1C0000}"/>
    <cellStyle name="AggOrangeLBorder 4 46" xfId="7421" xr:uid="{00000000-0005-0000-0000-0000FD1C0000}"/>
    <cellStyle name="AggOrangeLBorder 4 47" xfId="7422" xr:uid="{00000000-0005-0000-0000-0000FE1C0000}"/>
    <cellStyle name="AggOrangeLBorder 4 48" xfId="7423" xr:uid="{00000000-0005-0000-0000-0000FF1C0000}"/>
    <cellStyle name="AggOrangeLBorder 4 49" xfId="7424" xr:uid="{00000000-0005-0000-0000-0000001D0000}"/>
    <cellStyle name="AggOrangeLBorder 4 5" xfId="7425" xr:uid="{00000000-0005-0000-0000-0000011D0000}"/>
    <cellStyle name="AggOrangeLBorder 4 5 2" xfId="7426" xr:uid="{00000000-0005-0000-0000-0000021D0000}"/>
    <cellStyle name="AggOrangeLBorder 4 5 3" xfId="7427" xr:uid="{00000000-0005-0000-0000-0000031D0000}"/>
    <cellStyle name="AggOrangeLBorder 4 50" xfId="7428" xr:uid="{00000000-0005-0000-0000-0000041D0000}"/>
    <cellStyle name="AggOrangeLBorder 4 51" xfId="7429" xr:uid="{00000000-0005-0000-0000-0000051D0000}"/>
    <cellStyle name="AggOrangeLBorder 4 52" xfId="7430" xr:uid="{00000000-0005-0000-0000-0000061D0000}"/>
    <cellStyle name="AggOrangeLBorder 4 53" xfId="7431" xr:uid="{00000000-0005-0000-0000-0000071D0000}"/>
    <cellStyle name="AggOrangeLBorder 4 54" xfId="7432" xr:uid="{00000000-0005-0000-0000-0000081D0000}"/>
    <cellStyle name="AggOrangeLBorder 4 55" xfId="7433" xr:uid="{00000000-0005-0000-0000-0000091D0000}"/>
    <cellStyle name="AggOrangeLBorder 4 56" xfId="7434" xr:uid="{00000000-0005-0000-0000-00000A1D0000}"/>
    <cellStyle name="AggOrangeLBorder 4 57" xfId="7435" xr:uid="{00000000-0005-0000-0000-00000B1D0000}"/>
    <cellStyle name="AggOrangeLBorder 4 58" xfId="7436" xr:uid="{00000000-0005-0000-0000-00000C1D0000}"/>
    <cellStyle name="AggOrangeLBorder 4 59" xfId="7437" xr:uid="{00000000-0005-0000-0000-00000D1D0000}"/>
    <cellStyle name="AggOrangeLBorder 4 6" xfId="7438" xr:uid="{00000000-0005-0000-0000-00000E1D0000}"/>
    <cellStyle name="AggOrangeLBorder 4 60" xfId="7439" xr:uid="{00000000-0005-0000-0000-00000F1D0000}"/>
    <cellStyle name="AggOrangeLBorder 4 61" xfId="7440" xr:uid="{00000000-0005-0000-0000-0000101D0000}"/>
    <cellStyle name="AggOrangeLBorder 4 62" xfId="7441" xr:uid="{00000000-0005-0000-0000-0000111D0000}"/>
    <cellStyle name="AggOrangeLBorder 4 63" xfId="7442" xr:uid="{00000000-0005-0000-0000-0000121D0000}"/>
    <cellStyle name="AggOrangeLBorder 4 64" xfId="7443" xr:uid="{00000000-0005-0000-0000-0000131D0000}"/>
    <cellStyle name="AggOrangeLBorder 4 65" xfId="7444" xr:uid="{00000000-0005-0000-0000-0000141D0000}"/>
    <cellStyle name="AggOrangeLBorder 4 66" xfId="7445" xr:uid="{00000000-0005-0000-0000-0000151D0000}"/>
    <cellStyle name="AggOrangeLBorder 4 67" xfId="7446" xr:uid="{00000000-0005-0000-0000-0000161D0000}"/>
    <cellStyle name="AggOrangeLBorder 4 68" xfId="7447" xr:uid="{00000000-0005-0000-0000-0000171D0000}"/>
    <cellStyle name="AggOrangeLBorder 4 69" xfId="7448" xr:uid="{00000000-0005-0000-0000-0000181D0000}"/>
    <cellStyle name="AggOrangeLBorder 4 7" xfId="7449" xr:uid="{00000000-0005-0000-0000-0000191D0000}"/>
    <cellStyle name="AggOrangeLBorder 4 8" xfId="7450" xr:uid="{00000000-0005-0000-0000-00001A1D0000}"/>
    <cellStyle name="AggOrangeLBorder 4 9" xfId="7451" xr:uid="{00000000-0005-0000-0000-00001B1D0000}"/>
    <cellStyle name="AggOrangeLBorder 5" xfId="7452" xr:uid="{00000000-0005-0000-0000-00001C1D0000}"/>
    <cellStyle name="AggOrangeLBorder 5 2" xfId="7453" xr:uid="{00000000-0005-0000-0000-00001D1D0000}"/>
    <cellStyle name="AggOrangeLBorder 5 3" xfId="7454" xr:uid="{00000000-0005-0000-0000-00001E1D0000}"/>
    <cellStyle name="AggOrangeRBorder" xfId="7455" xr:uid="{00000000-0005-0000-0000-00001F1D0000}"/>
    <cellStyle name="AggOrangeRBorder 2" xfId="7456" xr:uid="{00000000-0005-0000-0000-0000201D0000}"/>
    <cellStyle name="AggOrangeRBorder 2 2" xfId="7457" xr:uid="{00000000-0005-0000-0000-0000211D0000}"/>
    <cellStyle name="AggOrangeRBorder 2 2 2" xfId="7458" xr:uid="{00000000-0005-0000-0000-0000221D0000}"/>
    <cellStyle name="AggOrangeRBorder 2 2 2 10" xfId="7459" xr:uid="{00000000-0005-0000-0000-0000231D0000}"/>
    <cellStyle name="AggOrangeRBorder 2 2 2 11" xfId="7460" xr:uid="{00000000-0005-0000-0000-0000241D0000}"/>
    <cellStyle name="AggOrangeRBorder 2 2 2 12" xfId="7461" xr:uid="{00000000-0005-0000-0000-0000251D0000}"/>
    <cellStyle name="AggOrangeRBorder 2 2 2 13" xfId="7462" xr:uid="{00000000-0005-0000-0000-0000261D0000}"/>
    <cellStyle name="AggOrangeRBorder 2 2 2 14" xfId="7463" xr:uid="{00000000-0005-0000-0000-0000271D0000}"/>
    <cellStyle name="AggOrangeRBorder 2 2 2 15" xfId="7464" xr:uid="{00000000-0005-0000-0000-0000281D0000}"/>
    <cellStyle name="AggOrangeRBorder 2 2 2 16" xfId="7465" xr:uid="{00000000-0005-0000-0000-0000291D0000}"/>
    <cellStyle name="AggOrangeRBorder 2 2 2 17" xfId="7466" xr:uid="{00000000-0005-0000-0000-00002A1D0000}"/>
    <cellStyle name="AggOrangeRBorder 2 2 2 18" xfId="7467" xr:uid="{00000000-0005-0000-0000-00002B1D0000}"/>
    <cellStyle name="AggOrangeRBorder 2 2 2 19" xfId="7468" xr:uid="{00000000-0005-0000-0000-00002C1D0000}"/>
    <cellStyle name="AggOrangeRBorder 2 2 2 2" xfId="7469" xr:uid="{00000000-0005-0000-0000-00002D1D0000}"/>
    <cellStyle name="AggOrangeRBorder 2 2 2 2 10" xfId="7470" xr:uid="{00000000-0005-0000-0000-00002E1D0000}"/>
    <cellStyle name="AggOrangeRBorder 2 2 2 2 11" xfId="7471" xr:uid="{00000000-0005-0000-0000-00002F1D0000}"/>
    <cellStyle name="AggOrangeRBorder 2 2 2 2 12" xfId="7472" xr:uid="{00000000-0005-0000-0000-0000301D0000}"/>
    <cellStyle name="AggOrangeRBorder 2 2 2 2 13" xfId="7473" xr:uid="{00000000-0005-0000-0000-0000311D0000}"/>
    <cellStyle name="AggOrangeRBorder 2 2 2 2 14" xfId="7474" xr:uid="{00000000-0005-0000-0000-0000321D0000}"/>
    <cellStyle name="AggOrangeRBorder 2 2 2 2 15" xfId="7475" xr:uid="{00000000-0005-0000-0000-0000331D0000}"/>
    <cellStyle name="AggOrangeRBorder 2 2 2 2 16" xfId="7476" xr:uid="{00000000-0005-0000-0000-0000341D0000}"/>
    <cellStyle name="AggOrangeRBorder 2 2 2 2 17" xfId="7477" xr:uid="{00000000-0005-0000-0000-0000351D0000}"/>
    <cellStyle name="AggOrangeRBorder 2 2 2 2 18" xfId="7478" xr:uid="{00000000-0005-0000-0000-0000361D0000}"/>
    <cellStyle name="AggOrangeRBorder 2 2 2 2 19" xfId="7479" xr:uid="{00000000-0005-0000-0000-0000371D0000}"/>
    <cellStyle name="AggOrangeRBorder 2 2 2 2 2" xfId="7480" xr:uid="{00000000-0005-0000-0000-0000381D0000}"/>
    <cellStyle name="AggOrangeRBorder 2 2 2 2 20" xfId="7481" xr:uid="{00000000-0005-0000-0000-0000391D0000}"/>
    <cellStyle name="AggOrangeRBorder 2 2 2 2 21" xfId="7482" xr:uid="{00000000-0005-0000-0000-00003A1D0000}"/>
    <cellStyle name="AggOrangeRBorder 2 2 2 2 22" xfId="7483" xr:uid="{00000000-0005-0000-0000-00003B1D0000}"/>
    <cellStyle name="AggOrangeRBorder 2 2 2 2 23" xfId="7484" xr:uid="{00000000-0005-0000-0000-00003C1D0000}"/>
    <cellStyle name="AggOrangeRBorder 2 2 2 2 24" xfId="7485" xr:uid="{00000000-0005-0000-0000-00003D1D0000}"/>
    <cellStyle name="AggOrangeRBorder 2 2 2 2 25" xfId="7486" xr:uid="{00000000-0005-0000-0000-00003E1D0000}"/>
    <cellStyle name="AggOrangeRBorder 2 2 2 2 26" xfId="7487" xr:uid="{00000000-0005-0000-0000-00003F1D0000}"/>
    <cellStyle name="AggOrangeRBorder 2 2 2 2 27" xfId="7488" xr:uid="{00000000-0005-0000-0000-0000401D0000}"/>
    <cellStyle name="AggOrangeRBorder 2 2 2 2 28" xfId="7489" xr:uid="{00000000-0005-0000-0000-0000411D0000}"/>
    <cellStyle name="AggOrangeRBorder 2 2 2 2 29" xfId="7490" xr:uid="{00000000-0005-0000-0000-0000421D0000}"/>
    <cellStyle name="AggOrangeRBorder 2 2 2 2 3" xfId="7491" xr:uid="{00000000-0005-0000-0000-0000431D0000}"/>
    <cellStyle name="AggOrangeRBorder 2 2 2 2 30" xfId="7492" xr:uid="{00000000-0005-0000-0000-0000441D0000}"/>
    <cellStyle name="AggOrangeRBorder 2 2 2 2 31" xfId="7493" xr:uid="{00000000-0005-0000-0000-0000451D0000}"/>
    <cellStyle name="AggOrangeRBorder 2 2 2 2 32" xfId="7494" xr:uid="{00000000-0005-0000-0000-0000461D0000}"/>
    <cellStyle name="AggOrangeRBorder 2 2 2 2 33" xfId="7495" xr:uid="{00000000-0005-0000-0000-0000471D0000}"/>
    <cellStyle name="AggOrangeRBorder 2 2 2 2 34" xfId="7496" xr:uid="{00000000-0005-0000-0000-0000481D0000}"/>
    <cellStyle name="AggOrangeRBorder 2 2 2 2 35" xfId="7497" xr:uid="{00000000-0005-0000-0000-0000491D0000}"/>
    <cellStyle name="AggOrangeRBorder 2 2 2 2 36" xfId="7498" xr:uid="{00000000-0005-0000-0000-00004A1D0000}"/>
    <cellStyle name="AggOrangeRBorder 2 2 2 2 37" xfId="7499" xr:uid="{00000000-0005-0000-0000-00004B1D0000}"/>
    <cellStyle name="AggOrangeRBorder 2 2 2 2 38" xfId="7500" xr:uid="{00000000-0005-0000-0000-00004C1D0000}"/>
    <cellStyle name="AggOrangeRBorder 2 2 2 2 39" xfId="7501" xr:uid="{00000000-0005-0000-0000-00004D1D0000}"/>
    <cellStyle name="AggOrangeRBorder 2 2 2 2 4" xfId="7502" xr:uid="{00000000-0005-0000-0000-00004E1D0000}"/>
    <cellStyle name="AggOrangeRBorder 2 2 2 2 40" xfId="7503" xr:uid="{00000000-0005-0000-0000-00004F1D0000}"/>
    <cellStyle name="AggOrangeRBorder 2 2 2 2 41" xfId="7504" xr:uid="{00000000-0005-0000-0000-0000501D0000}"/>
    <cellStyle name="AggOrangeRBorder 2 2 2 2 42" xfId="7505" xr:uid="{00000000-0005-0000-0000-0000511D0000}"/>
    <cellStyle name="AggOrangeRBorder 2 2 2 2 43" xfId="7506" xr:uid="{00000000-0005-0000-0000-0000521D0000}"/>
    <cellStyle name="AggOrangeRBorder 2 2 2 2 44" xfId="7507" xr:uid="{00000000-0005-0000-0000-0000531D0000}"/>
    <cellStyle name="AggOrangeRBorder 2 2 2 2 45" xfId="7508" xr:uid="{00000000-0005-0000-0000-0000541D0000}"/>
    <cellStyle name="AggOrangeRBorder 2 2 2 2 46" xfId="7509" xr:uid="{00000000-0005-0000-0000-0000551D0000}"/>
    <cellStyle name="AggOrangeRBorder 2 2 2 2 47" xfId="7510" xr:uid="{00000000-0005-0000-0000-0000561D0000}"/>
    <cellStyle name="AggOrangeRBorder 2 2 2 2 48" xfId="7511" xr:uid="{00000000-0005-0000-0000-0000571D0000}"/>
    <cellStyle name="AggOrangeRBorder 2 2 2 2 49" xfId="7512" xr:uid="{00000000-0005-0000-0000-0000581D0000}"/>
    <cellStyle name="AggOrangeRBorder 2 2 2 2 5" xfId="7513" xr:uid="{00000000-0005-0000-0000-0000591D0000}"/>
    <cellStyle name="AggOrangeRBorder 2 2 2 2 50" xfId="7514" xr:uid="{00000000-0005-0000-0000-00005A1D0000}"/>
    <cellStyle name="AggOrangeRBorder 2 2 2 2 51" xfId="7515" xr:uid="{00000000-0005-0000-0000-00005B1D0000}"/>
    <cellStyle name="AggOrangeRBorder 2 2 2 2 52" xfId="7516" xr:uid="{00000000-0005-0000-0000-00005C1D0000}"/>
    <cellStyle name="AggOrangeRBorder 2 2 2 2 53" xfId="7517" xr:uid="{00000000-0005-0000-0000-00005D1D0000}"/>
    <cellStyle name="AggOrangeRBorder 2 2 2 2 54" xfId="7518" xr:uid="{00000000-0005-0000-0000-00005E1D0000}"/>
    <cellStyle name="AggOrangeRBorder 2 2 2 2 55" xfId="7519" xr:uid="{00000000-0005-0000-0000-00005F1D0000}"/>
    <cellStyle name="AggOrangeRBorder 2 2 2 2 56" xfId="7520" xr:uid="{00000000-0005-0000-0000-0000601D0000}"/>
    <cellStyle name="AggOrangeRBorder 2 2 2 2 57" xfId="7521" xr:uid="{00000000-0005-0000-0000-0000611D0000}"/>
    <cellStyle name="AggOrangeRBorder 2 2 2 2 58" xfId="7522" xr:uid="{00000000-0005-0000-0000-0000621D0000}"/>
    <cellStyle name="AggOrangeRBorder 2 2 2 2 59" xfId="7523" xr:uid="{00000000-0005-0000-0000-0000631D0000}"/>
    <cellStyle name="AggOrangeRBorder 2 2 2 2 6" xfId="7524" xr:uid="{00000000-0005-0000-0000-0000641D0000}"/>
    <cellStyle name="AggOrangeRBorder 2 2 2 2 60" xfId="7525" xr:uid="{00000000-0005-0000-0000-0000651D0000}"/>
    <cellStyle name="AggOrangeRBorder 2 2 2 2 61" xfId="7526" xr:uid="{00000000-0005-0000-0000-0000661D0000}"/>
    <cellStyle name="AggOrangeRBorder 2 2 2 2 62" xfId="7527" xr:uid="{00000000-0005-0000-0000-0000671D0000}"/>
    <cellStyle name="AggOrangeRBorder 2 2 2 2 63" xfId="7528" xr:uid="{00000000-0005-0000-0000-0000681D0000}"/>
    <cellStyle name="AggOrangeRBorder 2 2 2 2 64" xfId="7529" xr:uid="{00000000-0005-0000-0000-0000691D0000}"/>
    <cellStyle name="AggOrangeRBorder 2 2 2 2 65" xfId="7530" xr:uid="{00000000-0005-0000-0000-00006A1D0000}"/>
    <cellStyle name="AggOrangeRBorder 2 2 2 2 7" xfId="7531" xr:uid="{00000000-0005-0000-0000-00006B1D0000}"/>
    <cellStyle name="AggOrangeRBorder 2 2 2 2 8" xfId="7532" xr:uid="{00000000-0005-0000-0000-00006C1D0000}"/>
    <cellStyle name="AggOrangeRBorder 2 2 2 2 9" xfId="7533" xr:uid="{00000000-0005-0000-0000-00006D1D0000}"/>
    <cellStyle name="AggOrangeRBorder 2 2 2 20" xfId="7534" xr:uid="{00000000-0005-0000-0000-00006E1D0000}"/>
    <cellStyle name="AggOrangeRBorder 2 2 2 21" xfId="7535" xr:uid="{00000000-0005-0000-0000-00006F1D0000}"/>
    <cellStyle name="AggOrangeRBorder 2 2 2 22" xfId="7536" xr:uid="{00000000-0005-0000-0000-0000701D0000}"/>
    <cellStyle name="AggOrangeRBorder 2 2 2 23" xfId="7537" xr:uid="{00000000-0005-0000-0000-0000711D0000}"/>
    <cellStyle name="AggOrangeRBorder 2 2 2 24" xfId="7538" xr:uid="{00000000-0005-0000-0000-0000721D0000}"/>
    <cellStyle name="AggOrangeRBorder 2 2 2 25" xfId="7539" xr:uid="{00000000-0005-0000-0000-0000731D0000}"/>
    <cellStyle name="AggOrangeRBorder 2 2 2 26" xfId="7540" xr:uid="{00000000-0005-0000-0000-0000741D0000}"/>
    <cellStyle name="AggOrangeRBorder 2 2 2 27" xfId="7541" xr:uid="{00000000-0005-0000-0000-0000751D0000}"/>
    <cellStyle name="AggOrangeRBorder 2 2 2 28" xfId="7542" xr:uid="{00000000-0005-0000-0000-0000761D0000}"/>
    <cellStyle name="AggOrangeRBorder 2 2 2 29" xfId="7543" xr:uid="{00000000-0005-0000-0000-0000771D0000}"/>
    <cellStyle name="AggOrangeRBorder 2 2 2 3" xfId="7544" xr:uid="{00000000-0005-0000-0000-0000781D0000}"/>
    <cellStyle name="AggOrangeRBorder 2 2 2 30" xfId="7545" xr:uid="{00000000-0005-0000-0000-0000791D0000}"/>
    <cellStyle name="AggOrangeRBorder 2 2 2 31" xfId="7546" xr:uid="{00000000-0005-0000-0000-00007A1D0000}"/>
    <cellStyle name="AggOrangeRBorder 2 2 2 32" xfId="7547" xr:uid="{00000000-0005-0000-0000-00007B1D0000}"/>
    <cellStyle name="AggOrangeRBorder 2 2 2 33" xfId="7548" xr:uid="{00000000-0005-0000-0000-00007C1D0000}"/>
    <cellStyle name="AggOrangeRBorder 2 2 2 34" xfId="7549" xr:uid="{00000000-0005-0000-0000-00007D1D0000}"/>
    <cellStyle name="AggOrangeRBorder 2 2 2 35" xfId="7550" xr:uid="{00000000-0005-0000-0000-00007E1D0000}"/>
    <cellStyle name="AggOrangeRBorder 2 2 2 36" xfId="7551" xr:uid="{00000000-0005-0000-0000-00007F1D0000}"/>
    <cellStyle name="AggOrangeRBorder 2 2 2 37" xfId="7552" xr:uid="{00000000-0005-0000-0000-0000801D0000}"/>
    <cellStyle name="AggOrangeRBorder 2 2 2 38" xfId="7553" xr:uid="{00000000-0005-0000-0000-0000811D0000}"/>
    <cellStyle name="AggOrangeRBorder 2 2 2 39" xfId="7554" xr:uid="{00000000-0005-0000-0000-0000821D0000}"/>
    <cellStyle name="AggOrangeRBorder 2 2 2 4" xfId="7555" xr:uid="{00000000-0005-0000-0000-0000831D0000}"/>
    <cellStyle name="AggOrangeRBorder 2 2 2 40" xfId="7556" xr:uid="{00000000-0005-0000-0000-0000841D0000}"/>
    <cellStyle name="AggOrangeRBorder 2 2 2 41" xfId="7557" xr:uid="{00000000-0005-0000-0000-0000851D0000}"/>
    <cellStyle name="AggOrangeRBorder 2 2 2 42" xfId="7558" xr:uid="{00000000-0005-0000-0000-0000861D0000}"/>
    <cellStyle name="AggOrangeRBorder 2 2 2 43" xfId="7559" xr:uid="{00000000-0005-0000-0000-0000871D0000}"/>
    <cellStyle name="AggOrangeRBorder 2 2 2 44" xfId="7560" xr:uid="{00000000-0005-0000-0000-0000881D0000}"/>
    <cellStyle name="AggOrangeRBorder 2 2 2 45" xfId="7561" xr:uid="{00000000-0005-0000-0000-0000891D0000}"/>
    <cellStyle name="AggOrangeRBorder 2 2 2 46" xfId="7562" xr:uid="{00000000-0005-0000-0000-00008A1D0000}"/>
    <cellStyle name="AggOrangeRBorder 2 2 2 47" xfId="7563" xr:uid="{00000000-0005-0000-0000-00008B1D0000}"/>
    <cellStyle name="AggOrangeRBorder 2 2 2 48" xfId="7564" xr:uid="{00000000-0005-0000-0000-00008C1D0000}"/>
    <cellStyle name="AggOrangeRBorder 2 2 2 49" xfId="7565" xr:uid="{00000000-0005-0000-0000-00008D1D0000}"/>
    <cellStyle name="AggOrangeRBorder 2 2 2 5" xfId="7566" xr:uid="{00000000-0005-0000-0000-00008E1D0000}"/>
    <cellStyle name="AggOrangeRBorder 2 2 2 50" xfId="7567" xr:uid="{00000000-0005-0000-0000-00008F1D0000}"/>
    <cellStyle name="AggOrangeRBorder 2 2 2 51" xfId="7568" xr:uid="{00000000-0005-0000-0000-0000901D0000}"/>
    <cellStyle name="AggOrangeRBorder 2 2 2 52" xfId="7569" xr:uid="{00000000-0005-0000-0000-0000911D0000}"/>
    <cellStyle name="AggOrangeRBorder 2 2 2 53" xfId="7570" xr:uid="{00000000-0005-0000-0000-0000921D0000}"/>
    <cellStyle name="AggOrangeRBorder 2 2 2 54" xfId="7571" xr:uid="{00000000-0005-0000-0000-0000931D0000}"/>
    <cellStyle name="AggOrangeRBorder 2 2 2 55" xfId="7572" xr:uid="{00000000-0005-0000-0000-0000941D0000}"/>
    <cellStyle name="AggOrangeRBorder 2 2 2 56" xfId="7573" xr:uid="{00000000-0005-0000-0000-0000951D0000}"/>
    <cellStyle name="AggOrangeRBorder 2 2 2 57" xfId="7574" xr:uid="{00000000-0005-0000-0000-0000961D0000}"/>
    <cellStyle name="AggOrangeRBorder 2 2 2 58" xfId="7575" xr:uid="{00000000-0005-0000-0000-0000971D0000}"/>
    <cellStyle name="AggOrangeRBorder 2 2 2 59" xfId="7576" xr:uid="{00000000-0005-0000-0000-0000981D0000}"/>
    <cellStyle name="AggOrangeRBorder 2 2 2 6" xfId="7577" xr:uid="{00000000-0005-0000-0000-0000991D0000}"/>
    <cellStyle name="AggOrangeRBorder 2 2 2 60" xfId="7578" xr:uid="{00000000-0005-0000-0000-00009A1D0000}"/>
    <cellStyle name="AggOrangeRBorder 2 2 2 61" xfId="7579" xr:uid="{00000000-0005-0000-0000-00009B1D0000}"/>
    <cellStyle name="AggOrangeRBorder 2 2 2 62" xfId="7580" xr:uid="{00000000-0005-0000-0000-00009C1D0000}"/>
    <cellStyle name="AggOrangeRBorder 2 2 2 63" xfId="7581" xr:uid="{00000000-0005-0000-0000-00009D1D0000}"/>
    <cellStyle name="AggOrangeRBorder 2 2 2 64" xfId="7582" xr:uid="{00000000-0005-0000-0000-00009E1D0000}"/>
    <cellStyle name="AggOrangeRBorder 2 2 2 65" xfId="7583" xr:uid="{00000000-0005-0000-0000-00009F1D0000}"/>
    <cellStyle name="AggOrangeRBorder 2 2 2 66" xfId="7584" xr:uid="{00000000-0005-0000-0000-0000A01D0000}"/>
    <cellStyle name="AggOrangeRBorder 2 2 2 7" xfId="7585" xr:uid="{00000000-0005-0000-0000-0000A11D0000}"/>
    <cellStyle name="AggOrangeRBorder 2 2 2 8" xfId="7586" xr:uid="{00000000-0005-0000-0000-0000A21D0000}"/>
    <cellStyle name="AggOrangeRBorder 2 2 2 9" xfId="7587" xr:uid="{00000000-0005-0000-0000-0000A31D0000}"/>
    <cellStyle name="AggOrangeRBorder 2 3" xfId="7588" xr:uid="{00000000-0005-0000-0000-0000A41D0000}"/>
    <cellStyle name="AggOrangeRBorder 2 3 10" xfId="7589" xr:uid="{00000000-0005-0000-0000-0000A51D0000}"/>
    <cellStyle name="AggOrangeRBorder 2 3 11" xfId="7590" xr:uid="{00000000-0005-0000-0000-0000A61D0000}"/>
    <cellStyle name="AggOrangeRBorder 2 3 12" xfId="7591" xr:uid="{00000000-0005-0000-0000-0000A71D0000}"/>
    <cellStyle name="AggOrangeRBorder 2 3 13" xfId="7592" xr:uid="{00000000-0005-0000-0000-0000A81D0000}"/>
    <cellStyle name="AggOrangeRBorder 2 3 14" xfId="7593" xr:uid="{00000000-0005-0000-0000-0000A91D0000}"/>
    <cellStyle name="AggOrangeRBorder 2 3 15" xfId="7594" xr:uid="{00000000-0005-0000-0000-0000AA1D0000}"/>
    <cellStyle name="AggOrangeRBorder 2 3 16" xfId="7595" xr:uid="{00000000-0005-0000-0000-0000AB1D0000}"/>
    <cellStyle name="AggOrangeRBorder 2 3 17" xfId="7596" xr:uid="{00000000-0005-0000-0000-0000AC1D0000}"/>
    <cellStyle name="AggOrangeRBorder 2 3 18" xfId="7597" xr:uid="{00000000-0005-0000-0000-0000AD1D0000}"/>
    <cellStyle name="AggOrangeRBorder 2 3 19" xfId="7598" xr:uid="{00000000-0005-0000-0000-0000AE1D0000}"/>
    <cellStyle name="AggOrangeRBorder 2 3 2" xfId="7599" xr:uid="{00000000-0005-0000-0000-0000AF1D0000}"/>
    <cellStyle name="AggOrangeRBorder 2 3 2 10" xfId="7600" xr:uid="{00000000-0005-0000-0000-0000B01D0000}"/>
    <cellStyle name="AggOrangeRBorder 2 3 2 11" xfId="7601" xr:uid="{00000000-0005-0000-0000-0000B11D0000}"/>
    <cellStyle name="AggOrangeRBorder 2 3 2 12" xfId="7602" xr:uid="{00000000-0005-0000-0000-0000B21D0000}"/>
    <cellStyle name="AggOrangeRBorder 2 3 2 13" xfId="7603" xr:uid="{00000000-0005-0000-0000-0000B31D0000}"/>
    <cellStyle name="AggOrangeRBorder 2 3 2 14" xfId="7604" xr:uid="{00000000-0005-0000-0000-0000B41D0000}"/>
    <cellStyle name="AggOrangeRBorder 2 3 2 15" xfId="7605" xr:uid="{00000000-0005-0000-0000-0000B51D0000}"/>
    <cellStyle name="AggOrangeRBorder 2 3 2 16" xfId="7606" xr:uid="{00000000-0005-0000-0000-0000B61D0000}"/>
    <cellStyle name="AggOrangeRBorder 2 3 2 17" xfId="7607" xr:uid="{00000000-0005-0000-0000-0000B71D0000}"/>
    <cellStyle name="AggOrangeRBorder 2 3 2 18" xfId="7608" xr:uid="{00000000-0005-0000-0000-0000B81D0000}"/>
    <cellStyle name="AggOrangeRBorder 2 3 2 19" xfId="7609" xr:uid="{00000000-0005-0000-0000-0000B91D0000}"/>
    <cellStyle name="AggOrangeRBorder 2 3 2 2" xfId="7610" xr:uid="{00000000-0005-0000-0000-0000BA1D0000}"/>
    <cellStyle name="AggOrangeRBorder 2 3 2 2 10" xfId="7611" xr:uid="{00000000-0005-0000-0000-0000BB1D0000}"/>
    <cellStyle name="AggOrangeRBorder 2 3 2 2 11" xfId="7612" xr:uid="{00000000-0005-0000-0000-0000BC1D0000}"/>
    <cellStyle name="AggOrangeRBorder 2 3 2 2 12" xfId="7613" xr:uid="{00000000-0005-0000-0000-0000BD1D0000}"/>
    <cellStyle name="AggOrangeRBorder 2 3 2 2 13" xfId="7614" xr:uid="{00000000-0005-0000-0000-0000BE1D0000}"/>
    <cellStyle name="AggOrangeRBorder 2 3 2 2 14" xfId="7615" xr:uid="{00000000-0005-0000-0000-0000BF1D0000}"/>
    <cellStyle name="AggOrangeRBorder 2 3 2 2 15" xfId="7616" xr:uid="{00000000-0005-0000-0000-0000C01D0000}"/>
    <cellStyle name="AggOrangeRBorder 2 3 2 2 16" xfId="7617" xr:uid="{00000000-0005-0000-0000-0000C11D0000}"/>
    <cellStyle name="AggOrangeRBorder 2 3 2 2 17" xfId="7618" xr:uid="{00000000-0005-0000-0000-0000C21D0000}"/>
    <cellStyle name="AggOrangeRBorder 2 3 2 2 18" xfId="7619" xr:uid="{00000000-0005-0000-0000-0000C31D0000}"/>
    <cellStyle name="AggOrangeRBorder 2 3 2 2 19" xfId="7620" xr:uid="{00000000-0005-0000-0000-0000C41D0000}"/>
    <cellStyle name="AggOrangeRBorder 2 3 2 2 2" xfId="7621" xr:uid="{00000000-0005-0000-0000-0000C51D0000}"/>
    <cellStyle name="AggOrangeRBorder 2 3 2 2 20" xfId="7622" xr:uid="{00000000-0005-0000-0000-0000C61D0000}"/>
    <cellStyle name="AggOrangeRBorder 2 3 2 2 21" xfId="7623" xr:uid="{00000000-0005-0000-0000-0000C71D0000}"/>
    <cellStyle name="AggOrangeRBorder 2 3 2 2 22" xfId="7624" xr:uid="{00000000-0005-0000-0000-0000C81D0000}"/>
    <cellStyle name="AggOrangeRBorder 2 3 2 2 23" xfId="7625" xr:uid="{00000000-0005-0000-0000-0000C91D0000}"/>
    <cellStyle name="AggOrangeRBorder 2 3 2 2 24" xfId="7626" xr:uid="{00000000-0005-0000-0000-0000CA1D0000}"/>
    <cellStyle name="AggOrangeRBorder 2 3 2 2 25" xfId="7627" xr:uid="{00000000-0005-0000-0000-0000CB1D0000}"/>
    <cellStyle name="AggOrangeRBorder 2 3 2 2 26" xfId="7628" xr:uid="{00000000-0005-0000-0000-0000CC1D0000}"/>
    <cellStyle name="AggOrangeRBorder 2 3 2 2 27" xfId="7629" xr:uid="{00000000-0005-0000-0000-0000CD1D0000}"/>
    <cellStyle name="AggOrangeRBorder 2 3 2 2 28" xfId="7630" xr:uid="{00000000-0005-0000-0000-0000CE1D0000}"/>
    <cellStyle name="AggOrangeRBorder 2 3 2 2 29" xfId="7631" xr:uid="{00000000-0005-0000-0000-0000CF1D0000}"/>
    <cellStyle name="AggOrangeRBorder 2 3 2 2 3" xfId="7632" xr:uid="{00000000-0005-0000-0000-0000D01D0000}"/>
    <cellStyle name="AggOrangeRBorder 2 3 2 2 30" xfId="7633" xr:uid="{00000000-0005-0000-0000-0000D11D0000}"/>
    <cellStyle name="AggOrangeRBorder 2 3 2 2 31" xfId="7634" xr:uid="{00000000-0005-0000-0000-0000D21D0000}"/>
    <cellStyle name="AggOrangeRBorder 2 3 2 2 32" xfId="7635" xr:uid="{00000000-0005-0000-0000-0000D31D0000}"/>
    <cellStyle name="AggOrangeRBorder 2 3 2 2 33" xfId="7636" xr:uid="{00000000-0005-0000-0000-0000D41D0000}"/>
    <cellStyle name="AggOrangeRBorder 2 3 2 2 34" xfId="7637" xr:uid="{00000000-0005-0000-0000-0000D51D0000}"/>
    <cellStyle name="AggOrangeRBorder 2 3 2 2 35" xfId="7638" xr:uid="{00000000-0005-0000-0000-0000D61D0000}"/>
    <cellStyle name="AggOrangeRBorder 2 3 2 2 36" xfId="7639" xr:uid="{00000000-0005-0000-0000-0000D71D0000}"/>
    <cellStyle name="AggOrangeRBorder 2 3 2 2 37" xfId="7640" xr:uid="{00000000-0005-0000-0000-0000D81D0000}"/>
    <cellStyle name="AggOrangeRBorder 2 3 2 2 38" xfId="7641" xr:uid="{00000000-0005-0000-0000-0000D91D0000}"/>
    <cellStyle name="AggOrangeRBorder 2 3 2 2 39" xfId="7642" xr:uid="{00000000-0005-0000-0000-0000DA1D0000}"/>
    <cellStyle name="AggOrangeRBorder 2 3 2 2 4" xfId="7643" xr:uid="{00000000-0005-0000-0000-0000DB1D0000}"/>
    <cellStyle name="AggOrangeRBorder 2 3 2 2 40" xfId="7644" xr:uid="{00000000-0005-0000-0000-0000DC1D0000}"/>
    <cellStyle name="AggOrangeRBorder 2 3 2 2 41" xfId="7645" xr:uid="{00000000-0005-0000-0000-0000DD1D0000}"/>
    <cellStyle name="AggOrangeRBorder 2 3 2 2 42" xfId="7646" xr:uid="{00000000-0005-0000-0000-0000DE1D0000}"/>
    <cellStyle name="AggOrangeRBorder 2 3 2 2 43" xfId="7647" xr:uid="{00000000-0005-0000-0000-0000DF1D0000}"/>
    <cellStyle name="AggOrangeRBorder 2 3 2 2 44" xfId="7648" xr:uid="{00000000-0005-0000-0000-0000E01D0000}"/>
    <cellStyle name="AggOrangeRBorder 2 3 2 2 45" xfId="7649" xr:uid="{00000000-0005-0000-0000-0000E11D0000}"/>
    <cellStyle name="AggOrangeRBorder 2 3 2 2 46" xfId="7650" xr:uid="{00000000-0005-0000-0000-0000E21D0000}"/>
    <cellStyle name="AggOrangeRBorder 2 3 2 2 47" xfId="7651" xr:uid="{00000000-0005-0000-0000-0000E31D0000}"/>
    <cellStyle name="AggOrangeRBorder 2 3 2 2 48" xfId="7652" xr:uid="{00000000-0005-0000-0000-0000E41D0000}"/>
    <cellStyle name="AggOrangeRBorder 2 3 2 2 49" xfId="7653" xr:uid="{00000000-0005-0000-0000-0000E51D0000}"/>
    <cellStyle name="AggOrangeRBorder 2 3 2 2 5" xfId="7654" xr:uid="{00000000-0005-0000-0000-0000E61D0000}"/>
    <cellStyle name="AggOrangeRBorder 2 3 2 2 50" xfId="7655" xr:uid="{00000000-0005-0000-0000-0000E71D0000}"/>
    <cellStyle name="AggOrangeRBorder 2 3 2 2 51" xfId="7656" xr:uid="{00000000-0005-0000-0000-0000E81D0000}"/>
    <cellStyle name="AggOrangeRBorder 2 3 2 2 52" xfId="7657" xr:uid="{00000000-0005-0000-0000-0000E91D0000}"/>
    <cellStyle name="AggOrangeRBorder 2 3 2 2 53" xfId="7658" xr:uid="{00000000-0005-0000-0000-0000EA1D0000}"/>
    <cellStyle name="AggOrangeRBorder 2 3 2 2 54" xfId="7659" xr:uid="{00000000-0005-0000-0000-0000EB1D0000}"/>
    <cellStyle name="AggOrangeRBorder 2 3 2 2 55" xfId="7660" xr:uid="{00000000-0005-0000-0000-0000EC1D0000}"/>
    <cellStyle name="AggOrangeRBorder 2 3 2 2 56" xfId="7661" xr:uid="{00000000-0005-0000-0000-0000ED1D0000}"/>
    <cellStyle name="AggOrangeRBorder 2 3 2 2 57" xfId="7662" xr:uid="{00000000-0005-0000-0000-0000EE1D0000}"/>
    <cellStyle name="AggOrangeRBorder 2 3 2 2 58" xfId="7663" xr:uid="{00000000-0005-0000-0000-0000EF1D0000}"/>
    <cellStyle name="AggOrangeRBorder 2 3 2 2 59" xfId="7664" xr:uid="{00000000-0005-0000-0000-0000F01D0000}"/>
    <cellStyle name="AggOrangeRBorder 2 3 2 2 6" xfId="7665" xr:uid="{00000000-0005-0000-0000-0000F11D0000}"/>
    <cellStyle name="AggOrangeRBorder 2 3 2 2 60" xfId="7666" xr:uid="{00000000-0005-0000-0000-0000F21D0000}"/>
    <cellStyle name="AggOrangeRBorder 2 3 2 2 61" xfId="7667" xr:uid="{00000000-0005-0000-0000-0000F31D0000}"/>
    <cellStyle name="AggOrangeRBorder 2 3 2 2 62" xfId="7668" xr:uid="{00000000-0005-0000-0000-0000F41D0000}"/>
    <cellStyle name="AggOrangeRBorder 2 3 2 2 63" xfId="7669" xr:uid="{00000000-0005-0000-0000-0000F51D0000}"/>
    <cellStyle name="AggOrangeRBorder 2 3 2 2 64" xfId="7670" xr:uid="{00000000-0005-0000-0000-0000F61D0000}"/>
    <cellStyle name="AggOrangeRBorder 2 3 2 2 65" xfId="7671" xr:uid="{00000000-0005-0000-0000-0000F71D0000}"/>
    <cellStyle name="AggOrangeRBorder 2 3 2 2 7" xfId="7672" xr:uid="{00000000-0005-0000-0000-0000F81D0000}"/>
    <cellStyle name="AggOrangeRBorder 2 3 2 2 8" xfId="7673" xr:uid="{00000000-0005-0000-0000-0000F91D0000}"/>
    <cellStyle name="AggOrangeRBorder 2 3 2 2 9" xfId="7674" xr:uid="{00000000-0005-0000-0000-0000FA1D0000}"/>
    <cellStyle name="AggOrangeRBorder 2 3 2 20" xfId="7675" xr:uid="{00000000-0005-0000-0000-0000FB1D0000}"/>
    <cellStyle name="AggOrangeRBorder 2 3 2 21" xfId="7676" xr:uid="{00000000-0005-0000-0000-0000FC1D0000}"/>
    <cellStyle name="AggOrangeRBorder 2 3 2 22" xfId="7677" xr:uid="{00000000-0005-0000-0000-0000FD1D0000}"/>
    <cellStyle name="AggOrangeRBorder 2 3 2 23" xfId="7678" xr:uid="{00000000-0005-0000-0000-0000FE1D0000}"/>
    <cellStyle name="AggOrangeRBorder 2 3 2 24" xfId="7679" xr:uid="{00000000-0005-0000-0000-0000FF1D0000}"/>
    <cellStyle name="AggOrangeRBorder 2 3 2 25" xfId="7680" xr:uid="{00000000-0005-0000-0000-0000001E0000}"/>
    <cellStyle name="AggOrangeRBorder 2 3 2 26" xfId="7681" xr:uid="{00000000-0005-0000-0000-0000011E0000}"/>
    <cellStyle name="AggOrangeRBorder 2 3 2 27" xfId="7682" xr:uid="{00000000-0005-0000-0000-0000021E0000}"/>
    <cellStyle name="AggOrangeRBorder 2 3 2 28" xfId="7683" xr:uid="{00000000-0005-0000-0000-0000031E0000}"/>
    <cellStyle name="AggOrangeRBorder 2 3 2 29" xfId="7684" xr:uid="{00000000-0005-0000-0000-0000041E0000}"/>
    <cellStyle name="AggOrangeRBorder 2 3 2 3" xfId="7685" xr:uid="{00000000-0005-0000-0000-0000051E0000}"/>
    <cellStyle name="AggOrangeRBorder 2 3 2 30" xfId="7686" xr:uid="{00000000-0005-0000-0000-0000061E0000}"/>
    <cellStyle name="AggOrangeRBorder 2 3 2 31" xfId="7687" xr:uid="{00000000-0005-0000-0000-0000071E0000}"/>
    <cellStyle name="AggOrangeRBorder 2 3 2 32" xfId="7688" xr:uid="{00000000-0005-0000-0000-0000081E0000}"/>
    <cellStyle name="AggOrangeRBorder 2 3 2 33" xfId="7689" xr:uid="{00000000-0005-0000-0000-0000091E0000}"/>
    <cellStyle name="AggOrangeRBorder 2 3 2 34" xfId="7690" xr:uid="{00000000-0005-0000-0000-00000A1E0000}"/>
    <cellStyle name="AggOrangeRBorder 2 3 2 35" xfId="7691" xr:uid="{00000000-0005-0000-0000-00000B1E0000}"/>
    <cellStyle name="AggOrangeRBorder 2 3 2 36" xfId="7692" xr:uid="{00000000-0005-0000-0000-00000C1E0000}"/>
    <cellStyle name="AggOrangeRBorder 2 3 2 37" xfId="7693" xr:uid="{00000000-0005-0000-0000-00000D1E0000}"/>
    <cellStyle name="AggOrangeRBorder 2 3 2 38" xfId="7694" xr:uid="{00000000-0005-0000-0000-00000E1E0000}"/>
    <cellStyle name="AggOrangeRBorder 2 3 2 39" xfId="7695" xr:uid="{00000000-0005-0000-0000-00000F1E0000}"/>
    <cellStyle name="AggOrangeRBorder 2 3 2 4" xfId="7696" xr:uid="{00000000-0005-0000-0000-0000101E0000}"/>
    <cellStyle name="AggOrangeRBorder 2 3 2 40" xfId="7697" xr:uid="{00000000-0005-0000-0000-0000111E0000}"/>
    <cellStyle name="AggOrangeRBorder 2 3 2 41" xfId="7698" xr:uid="{00000000-0005-0000-0000-0000121E0000}"/>
    <cellStyle name="AggOrangeRBorder 2 3 2 42" xfId="7699" xr:uid="{00000000-0005-0000-0000-0000131E0000}"/>
    <cellStyle name="AggOrangeRBorder 2 3 2 43" xfId="7700" xr:uid="{00000000-0005-0000-0000-0000141E0000}"/>
    <cellStyle name="AggOrangeRBorder 2 3 2 44" xfId="7701" xr:uid="{00000000-0005-0000-0000-0000151E0000}"/>
    <cellStyle name="AggOrangeRBorder 2 3 2 45" xfId="7702" xr:uid="{00000000-0005-0000-0000-0000161E0000}"/>
    <cellStyle name="AggOrangeRBorder 2 3 2 46" xfId="7703" xr:uid="{00000000-0005-0000-0000-0000171E0000}"/>
    <cellStyle name="AggOrangeRBorder 2 3 2 47" xfId="7704" xr:uid="{00000000-0005-0000-0000-0000181E0000}"/>
    <cellStyle name="AggOrangeRBorder 2 3 2 48" xfId="7705" xr:uid="{00000000-0005-0000-0000-0000191E0000}"/>
    <cellStyle name="AggOrangeRBorder 2 3 2 49" xfId="7706" xr:uid="{00000000-0005-0000-0000-00001A1E0000}"/>
    <cellStyle name="AggOrangeRBorder 2 3 2 5" xfId="7707" xr:uid="{00000000-0005-0000-0000-00001B1E0000}"/>
    <cellStyle name="AggOrangeRBorder 2 3 2 50" xfId="7708" xr:uid="{00000000-0005-0000-0000-00001C1E0000}"/>
    <cellStyle name="AggOrangeRBorder 2 3 2 51" xfId="7709" xr:uid="{00000000-0005-0000-0000-00001D1E0000}"/>
    <cellStyle name="AggOrangeRBorder 2 3 2 52" xfId="7710" xr:uid="{00000000-0005-0000-0000-00001E1E0000}"/>
    <cellStyle name="AggOrangeRBorder 2 3 2 53" xfId="7711" xr:uid="{00000000-0005-0000-0000-00001F1E0000}"/>
    <cellStyle name="AggOrangeRBorder 2 3 2 54" xfId="7712" xr:uid="{00000000-0005-0000-0000-0000201E0000}"/>
    <cellStyle name="AggOrangeRBorder 2 3 2 55" xfId="7713" xr:uid="{00000000-0005-0000-0000-0000211E0000}"/>
    <cellStyle name="AggOrangeRBorder 2 3 2 56" xfId="7714" xr:uid="{00000000-0005-0000-0000-0000221E0000}"/>
    <cellStyle name="AggOrangeRBorder 2 3 2 57" xfId="7715" xr:uid="{00000000-0005-0000-0000-0000231E0000}"/>
    <cellStyle name="AggOrangeRBorder 2 3 2 58" xfId="7716" xr:uid="{00000000-0005-0000-0000-0000241E0000}"/>
    <cellStyle name="AggOrangeRBorder 2 3 2 59" xfId="7717" xr:uid="{00000000-0005-0000-0000-0000251E0000}"/>
    <cellStyle name="AggOrangeRBorder 2 3 2 6" xfId="7718" xr:uid="{00000000-0005-0000-0000-0000261E0000}"/>
    <cellStyle name="AggOrangeRBorder 2 3 2 60" xfId="7719" xr:uid="{00000000-0005-0000-0000-0000271E0000}"/>
    <cellStyle name="AggOrangeRBorder 2 3 2 61" xfId="7720" xr:uid="{00000000-0005-0000-0000-0000281E0000}"/>
    <cellStyle name="AggOrangeRBorder 2 3 2 62" xfId="7721" xr:uid="{00000000-0005-0000-0000-0000291E0000}"/>
    <cellStyle name="AggOrangeRBorder 2 3 2 63" xfId="7722" xr:uid="{00000000-0005-0000-0000-00002A1E0000}"/>
    <cellStyle name="AggOrangeRBorder 2 3 2 64" xfId="7723" xr:uid="{00000000-0005-0000-0000-00002B1E0000}"/>
    <cellStyle name="AggOrangeRBorder 2 3 2 65" xfId="7724" xr:uid="{00000000-0005-0000-0000-00002C1E0000}"/>
    <cellStyle name="AggOrangeRBorder 2 3 2 66" xfId="7725" xr:uid="{00000000-0005-0000-0000-00002D1E0000}"/>
    <cellStyle name="AggOrangeRBorder 2 3 2 7" xfId="7726" xr:uid="{00000000-0005-0000-0000-00002E1E0000}"/>
    <cellStyle name="AggOrangeRBorder 2 3 2 8" xfId="7727" xr:uid="{00000000-0005-0000-0000-00002F1E0000}"/>
    <cellStyle name="AggOrangeRBorder 2 3 2 9" xfId="7728" xr:uid="{00000000-0005-0000-0000-0000301E0000}"/>
    <cellStyle name="AggOrangeRBorder 2 3 20" xfId="7729" xr:uid="{00000000-0005-0000-0000-0000311E0000}"/>
    <cellStyle name="AggOrangeRBorder 2 3 21" xfId="7730" xr:uid="{00000000-0005-0000-0000-0000321E0000}"/>
    <cellStyle name="AggOrangeRBorder 2 3 22" xfId="7731" xr:uid="{00000000-0005-0000-0000-0000331E0000}"/>
    <cellStyle name="AggOrangeRBorder 2 3 23" xfId="7732" xr:uid="{00000000-0005-0000-0000-0000341E0000}"/>
    <cellStyle name="AggOrangeRBorder 2 3 24" xfId="7733" xr:uid="{00000000-0005-0000-0000-0000351E0000}"/>
    <cellStyle name="AggOrangeRBorder 2 3 25" xfId="7734" xr:uid="{00000000-0005-0000-0000-0000361E0000}"/>
    <cellStyle name="AggOrangeRBorder 2 3 26" xfId="7735" xr:uid="{00000000-0005-0000-0000-0000371E0000}"/>
    <cellStyle name="AggOrangeRBorder 2 3 27" xfId="7736" xr:uid="{00000000-0005-0000-0000-0000381E0000}"/>
    <cellStyle name="AggOrangeRBorder 2 3 28" xfId="7737" xr:uid="{00000000-0005-0000-0000-0000391E0000}"/>
    <cellStyle name="AggOrangeRBorder 2 3 29" xfId="7738" xr:uid="{00000000-0005-0000-0000-00003A1E0000}"/>
    <cellStyle name="AggOrangeRBorder 2 3 3" xfId="7739" xr:uid="{00000000-0005-0000-0000-00003B1E0000}"/>
    <cellStyle name="AggOrangeRBorder 2 3 3 10" xfId="7740" xr:uid="{00000000-0005-0000-0000-00003C1E0000}"/>
    <cellStyle name="AggOrangeRBorder 2 3 3 11" xfId="7741" xr:uid="{00000000-0005-0000-0000-00003D1E0000}"/>
    <cellStyle name="AggOrangeRBorder 2 3 3 12" xfId="7742" xr:uid="{00000000-0005-0000-0000-00003E1E0000}"/>
    <cellStyle name="AggOrangeRBorder 2 3 3 13" xfId="7743" xr:uid="{00000000-0005-0000-0000-00003F1E0000}"/>
    <cellStyle name="AggOrangeRBorder 2 3 3 14" xfId="7744" xr:uid="{00000000-0005-0000-0000-0000401E0000}"/>
    <cellStyle name="AggOrangeRBorder 2 3 3 15" xfId="7745" xr:uid="{00000000-0005-0000-0000-0000411E0000}"/>
    <cellStyle name="AggOrangeRBorder 2 3 3 16" xfId="7746" xr:uid="{00000000-0005-0000-0000-0000421E0000}"/>
    <cellStyle name="AggOrangeRBorder 2 3 3 17" xfId="7747" xr:uid="{00000000-0005-0000-0000-0000431E0000}"/>
    <cellStyle name="AggOrangeRBorder 2 3 3 18" xfId="7748" xr:uid="{00000000-0005-0000-0000-0000441E0000}"/>
    <cellStyle name="AggOrangeRBorder 2 3 3 19" xfId="7749" xr:uid="{00000000-0005-0000-0000-0000451E0000}"/>
    <cellStyle name="AggOrangeRBorder 2 3 3 2" xfId="7750" xr:uid="{00000000-0005-0000-0000-0000461E0000}"/>
    <cellStyle name="AggOrangeRBorder 2 3 3 2 10" xfId="7751" xr:uid="{00000000-0005-0000-0000-0000471E0000}"/>
    <cellStyle name="AggOrangeRBorder 2 3 3 2 11" xfId="7752" xr:uid="{00000000-0005-0000-0000-0000481E0000}"/>
    <cellStyle name="AggOrangeRBorder 2 3 3 2 12" xfId="7753" xr:uid="{00000000-0005-0000-0000-0000491E0000}"/>
    <cellStyle name="AggOrangeRBorder 2 3 3 2 13" xfId="7754" xr:uid="{00000000-0005-0000-0000-00004A1E0000}"/>
    <cellStyle name="AggOrangeRBorder 2 3 3 2 14" xfId="7755" xr:uid="{00000000-0005-0000-0000-00004B1E0000}"/>
    <cellStyle name="AggOrangeRBorder 2 3 3 2 15" xfId="7756" xr:uid="{00000000-0005-0000-0000-00004C1E0000}"/>
    <cellStyle name="AggOrangeRBorder 2 3 3 2 16" xfId="7757" xr:uid="{00000000-0005-0000-0000-00004D1E0000}"/>
    <cellStyle name="AggOrangeRBorder 2 3 3 2 17" xfId="7758" xr:uid="{00000000-0005-0000-0000-00004E1E0000}"/>
    <cellStyle name="AggOrangeRBorder 2 3 3 2 18" xfId="7759" xr:uid="{00000000-0005-0000-0000-00004F1E0000}"/>
    <cellStyle name="AggOrangeRBorder 2 3 3 2 19" xfId="7760" xr:uid="{00000000-0005-0000-0000-0000501E0000}"/>
    <cellStyle name="AggOrangeRBorder 2 3 3 2 2" xfId="7761" xr:uid="{00000000-0005-0000-0000-0000511E0000}"/>
    <cellStyle name="AggOrangeRBorder 2 3 3 2 20" xfId="7762" xr:uid="{00000000-0005-0000-0000-0000521E0000}"/>
    <cellStyle name="AggOrangeRBorder 2 3 3 2 21" xfId="7763" xr:uid="{00000000-0005-0000-0000-0000531E0000}"/>
    <cellStyle name="AggOrangeRBorder 2 3 3 2 22" xfId="7764" xr:uid="{00000000-0005-0000-0000-0000541E0000}"/>
    <cellStyle name="AggOrangeRBorder 2 3 3 2 23" xfId="7765" xr:uid="{00000000-0005-0000-0000-0000551E0000}"/>
    <cellStyle name="AggOrangeRBorder 2 3 3 2 24" xfId="7766" xr:uid="{00000000-0005-0000-0000-0000561E0000}"/>
    <cellStyle name="AggOrangeRBorder 2 3 3 2 25" xfId="7767" xr:uid="{00000000-0005-0000-0000-0000571E0000}"/>
    <cellStyle name="AggOrangeRBorder 2 3 3 2 26" xfId="7768" xr:uid="{00000000-0005-0000-0000-0000581E0000}"/>
    <cellStyle name="AggOrangeRBorder 2 3 3 2 27" xfId="7769" xr:uid="{00000000-0005-0000-0000-0000591E0000}"/>
    <cellStyle name="AggOrangeRBorder 2 3 3 2 28" xfId="7770" xr:uid="{00000000-0005-0000-0000-00005A1E0000}"/>
    <cellStyle name="AggOrangeRBorder 2 3 3 2 29" xfId="7771" xr:uid="{00000000-0005-0000-0000-00005B1E0000}"/>
    <cellStyle name="AggOrangeRBorder 2 3 3 2 3" xfId="7772" xr:uid="{00000000-0005-0000-0000-00005C1E0000}"/>
    <cellStyle name="AggOrangeRBorder 2 3 3 2 30" xfId="7773" xr:uid="{00000000-0005-0000-0000-00005D1E0000}"/>
    <cellStyle name="AggOrangeRBorder 2 3 3 2 31" xfId="7774" xr:uid="{00000000-0005-0000-0000-00005E1E0000}"/>
    <cellStyle name="AggOrangeRBorder 2 3 3 2 32" xfId="7775" xr:uid="{00000000-0005-0000-0000-00005F1E0000}"/>
    <cellStyle name="AggOrangeRBorder 2 3 3 2 33" xfId="7776" xr:uid="{00000000-0005-0000-0000-0000601E0000}"/>
    <cellStyle name="AggOrangeRBorder 2 3 3 2 34" xfId="7777" xr:uid="{00000000-0005-0000-0000-0000611E0000}"/>
    <cellStyle name="AggOrangeRBorder 2 3 3 2 35" xfId="7778" xr:uid="{00000000-0005-0000-0000-0000621E0000}"/>
    <cellStyle name="AggOrangeRBorder 2 3 3 2 36" xfId="7779" xr:uid="{00000000-0005-0000-0000-0000631E0000}"/>
    <cellStyle name="AggOrangeRBorder 2 3 3 2 37" xfId="7780" xr:uid="{00000000-0005-0000-0000-0000641E0000}"/>
    <cellStyle name="AggOrangeRBorder 2 3 3 2 38" xfId="7781" xr:uid="{00000000-0005-0000-0000-0000651E0000}"/>
    <cellStyle name="AggOrangeRBorder 2 3 3 2 39" xfId="7782" xr:uid="{00000000-0005-0000-0000-0000661E0000}"/>
    <cellStyle name="AggOrangeRBorder 2 3 3 2 4" xfId="7783" xr:uid="{00000000-0005-0000-0000-0000671E0000}"/>
    <cellStyle name="AggOrangeRBorder 2 3 3 2 40" xfId="7784" xr:uid="{00000000-0005-0000-0000-0000681E0000}"/>
    <cellStyle name="AggOrangeRBorder 2 3 3 2 41" xfId="7785" xr:uid="{00000000-0005-0000-0000-0000691E0000}"/>
    <cellStyle name="AggOrangeRBorder 2 3 3 2 42" xfId="7786" xr:uid="{00000000-0005-0000-0000-00006A1E0000}"/>
    <cellStyle name="AggOrangeRBorder 2 3 3 2 43" xfId="7787" xr:uid="{00000000-0005-0000-0000-00006B1E0000}"/>
    <cellStyle name="AggOrangeRBorder 2 3 3 2 44" xfId="7788" xr:uid="{00000000-0005-0000-0000-00006C1E0000}"/>
    <cellStyle name="AggOrangeRBorder 2 3 3 2 45" xfId="7789" xr:uid="{00000000-0005-0000-0000-00006D1E0000}"/>
    <cellStyle name="AggOrangeRBorder 2 3 3 2 46" xfId="7790" xr:uid="{00000000-0005-0000-0000-00006E1E0000}"/>
    <cellStyle name="AggOrangeRBorder 2 3 3 2 47" xfId="7791" xr:uid="{00000000-0005-0000-0000-00006F1E0000}"/>
    <cellStyle name="AggOrangeRBorder 2 3 3 2 48" xfId="7792" xr:uid="{00000000-0005-0000-0000-0000701E0000}"/>
    <cellStyle name="AggOrangeRBorder 2 3 3 2 49" xfId="7793" xr:uid="{00000000-0005-0000-0000-0000711E0000}"/>
    <cellStyle name="AggOrangeRBorder 2 3 3 2 5" xfId="7794" xr:uid="{00000000-0005-0000-0000-0000721E0000}"/>
    <cellStyle name="AggOrangeRBorder 2 3 3 2 50" xfId="7795" xr:uid="{00000000-0005-0000-0000-0000731E0000}"/>
    <cellStyle name="AggOrangeRBorder 2 3 3 2 51" xfId="7796" xr:uid="{00000000-0005-0000-0000-0000741E0000}"/>
    <cellStyle name="AggOrangeRBorder 2 3 3 2 52" xfId="7797" xr:uid="{00000000-0005-0000-0000-0000751E0000}"/>
    <cellStyle name="AggOrangeRBorder 2 3 3 2 53" xfId="7798" xr:uid="{00000000-0005-0000-0000-0000761E0000}"/>
    <cellStyle name="AggOrangeRBorder 2 3 3 2 54" xfId="7799" xr:uid="{00000000-0005-0000-0000-0000771E0000}"/>
    <cellStyle name="AggOrangeRBorder 2 3 3 2 55" xfId="7800" xr:uid="{00000000-0005-0000-0000-0000781E0000}"/>
    <cellStyle name="AggOrangeRBorder 2 3 3 2 56" xfId="7801" xr:uid="{00000000-0005-0000-0000-0000791E0000}"/>
    <cellStyle name="AggOrangeRBorder 2 3 3 2 57" xfId="7802" xr:uid="{00000000-0005-0000-0000-00007A1E0000}"/>
    <cellStyle name="AggOrangeRBorder 2 3 3 2 58" xfId="7803" xr:uid="{00000000-0005-0000-0000-00007B1E0000}"/>
    <cellStyle name="AggOrangeRBorder 2 3 3 2 59" xfId="7804" xr:uid="{00000000-0005-0000-0000-00007C1E0000}"/>
    <cellStyle name="AggOrangeRBorder 2 3 3 2 6" xfId="7805" xr:uid="{00000000-0005-0000-0000-00007D1E0000}"/>
    <cellStyle name="AggOrangeRBorder 2 3 3 2 60" xfId="7806" xr:uid="{00000000-0005-0000-0000-00007E1E0000}"/>
    <cellStyle name="AggOrangeRBorder 2 3 3 2 61" xfId="7807" xr:uid="{00000000-0005-0000-0000-00007F1E0000}"/>
    <cellStyle name="AggOrangeRBorder 2 3 3 2 62" xfId="7808" xr:uid="{00000000-0005-0000-0000-0000801E0000}"/>
    <cellStyle name="AggOrangeRBorder 2 3 3 2 63" xfId="7809" xr:uid="{00000000-0005-0000-0000-0000811E0000}"/>
    <cellStyle name="AggOrangeRBorder 2 3 3 2 64" xfId="7810" xr:uid="{00000000-0005-0000-0000-0000821E0000}"/>
    <cellStyle name="AggOrangeRBorder 2 3 3 2 65" xfId="7811" xr:uid="{00000000-0005-0000-0000-0000831E0000}"/>
    <cellStyle name="AggOrangeRBorder 2 3 3 2 7" xfId="7812" xr:uid="{00000000-0005-0000-0000-0000841E0000}"/>
    <cellStyle name="AggOrangeRBorder 2 3 3 2 8" xfId="7813" xr:uid="{00000000-0005-0000-0000-0000851E0000}"/>
    <cellStyle name="AggOrangeRBorder 2 3 3 2 9" xfId="7814" xr:uid="{00000000-0005-0000-0000-0000861E0000}"/>
    <cellStyle name="AggOrangeRBorder 2 3 3 20" xfId="7815" xr:uid="{00000000-0005-0000-0000-0000871E0000}"/>
    <cellStyle name="AggOrangeRBorder 2 3 3 21" xfId="7816" xr:uid="{00000000-0005-0000-0000-0000881E0000}"/>
    <cellStyle name="AggOrangeRBorder 2 3 3 22" xfId="7817" xr:uid="{00000000-0005-0000-0000-0000891E0000}"/>
    <cellStyle name="AggOrangeRBorder 2 3 3 23" xfId="7818" xr:uid="{00000000-0005-0000-0000-00008A1E0000}"/>
    <cellStyle name="AggOrangeRBorder 2 3 3 24" xfId="7819" xr:uid="{00000000-0005-0000-0000-00008B1E0000}"/>
    <cellStyle name="AggOrangeRBorder 2 3 3 25" xfId="7820" xr:uid="{00000000-0005-0000-0000-00008C1E0000}"/>
    <cellStyle name="AggOrangeRBorder 2 3 3 26" xfId="7821" xr:uid="{00000000-0005-0000-0000-00008D1E0000}"/>
    <cellStyle name="AggOrangeRBorder 2 3 3 27" xfId="7822" xr:uid="{00000000-0005-0000-0000-00008E1E0000}"/>
    <cellStyle name="AggOrangeRBorder 2 3 3 28" xfId="7823" xr:uid="{00000000-0005-0000-0000-00008F1E0000}"/>
    <cellStyle name="AggOrangeRBorder 2 3 3 29" xfId="7824" xr:uid="{00000000-0005-0000-0000-0000901E0000}"/>
    <cellStyle name="AggOrangeRBorder 2 3 3 3" xfId="7825" xr:uid="{00000000-0005-0000-0000-0000911E0000}"/>
    <cellStyle name="AggOrangeRBorder 2 3 3 30" xfId="7826" xr:uid="{00000000-0005-0000-0000-0000921E0000}"/>
    <cellStyle name="AggOrangeRBorder 2 3 3 31" xfId="7827" xr:uid="{00000000-0005-0000-0000-0000931E0000}"/>
    <cellStyle name="AggOrangeRBorder 2 3 3 32" xfId="7828" xr:uid="{00000000-0005-0000-0000-0000941E0000}"/>
    <cellStyle name="AggOrangeRBorder 2 3 3 33" xfId="7829" xr:uid="{00000000-0005-0000-0000-0000951E0000}"/>
    <cellStyle name="AggOrangeRBorder 2 3 3 34" xfId="7830" xr:uid="{00000000-0005-0000-0000-0000961E0000}"/>
    <cellStyle name="AggOrangeRBorder 2 3 3 35" xfId="7831" xr:uid="{00000000-0005-0000-0000-0000971E0000}"/>
    <cellStyle name="AggOrangeRBorder 2 3 3 36" xfId="7832" xr:uid="{00000000-0005-0000-0000-0000981E0000}"/>
    <cellStyle name="AggOrangeRBorder 2 3 3 37" xfId="7833" xr:uid="{00000000-0005-0000-0000-0000991E0000}"/>
    <cellStyle name="AggOrangeRBorder 2 3 3 38" xfId="7834" xr:uid="{00000000-0005-0000-0000-00009A1E0000}"/>
    <cellStyle name="AggOrangeRBorder 2 3 3 39" xfId="7835" xr:uid="{00000000-0005-0000-0000-00009B1E0000}"/>
    <cellStyle name="AggOrangeRBorder 2 3 3 4" xfId="7836" xr:uid="{00000000-0005-0000-0000-00009C1E0000}"/>
    <cellStyle name="AggOrangeRBorder 2 3 3 40" xfId="7837" xr:uid="{00000000-0005-0000-0000-00009D1E0000}"/>
    <cellStyle name="AggOrangeRBorder 2 3 3 41" xfId="7838" xr:uid="{00000000-0005-0000-0000-00009E1E0000}"/>
    <cellStyle name="AggOrangeRBorder 2 3 3 42" xfId="7839" xr:uid="{00000000-0005-0000-0000-00009F1E0000}"/>
    <cellStyle name="AggOrangeRBorder 2 3 3 43" xfId="7840" xr:uid="{00000000-0005-0000-0000-0000A01E0000}"/>
    <cellStyle name="AggOrangeRBorder 2 3 3 44" xfId="7841" xr:uid="{00000000-0005-0000-0000-0000A11E0000}"/>
    <cellStyle name="AggOrangeRBorder 2 3 3 45" xfId="7842" xr:uid="{00000000-0005-0000-0000-0000A21E0000}"/>
    <cellStyle name="AggOrangeRBorder 2 3 3 46" xfId="7843" xr:uid="{00000000-0005-0000-0000-0000A31E0000}"/>
    <cellStyle name="AggOrangeRBorder 2 3 3 47" xfId="7844" xr:uid="{00000000-0005-0000-0000-0000A41E0000}"/>
    <cellStyle name="AggOrangeRBorder 2 3 3 48" xfId="7845" xr:uid="{00000000-0005-0000-0000-0000A51E0000}"/>
    <cellStyle name="AggOrangeRBorder 2 3 3 49" xfId="7846" xr:uid="{00000000-0005-0000-0000-0000A61E0000}"/>
    <cellStyle name="AggOrangeRBorder 2 3 3 5" xfId="7847" xr:uid="{00000000-0005-0000-0000-0000A71E0000}"/>
    <cellStyle name="AggOrangeRBorder 2 3 3 50" xfId="7848" xr:uid="{00000000-0005-0000-0000-0000A81E0000}"/>
    <cellStyle name="AggOrangeRBorder 2 3 3 51" xfId="7849" xr:uid="{00000000-0005-0000-0000-0000A91E0000}"/>
    <cellStyle name="AggOrangeRBorder 2 3 3 52" xfId="7850" xr:uid="{00000000-0005-0000-0000-0000AA1E0000}"/>
    <cellStyle name="AggOrangeRBorder 2 3 3 53" xfId="7851" xr:uid="{00000000-0005-0000-0000-0000AB1E0000}"/>
    <cellStyle name="AggOrangeRBorder 2 3 3 54" xfId="7852" xr:uid="{00000000-0005-0000-0000-0000AC1E0000}"/>
    <cellStyle name="AggOrangeRBorder 2 3 3 55" xfId="7853" xr:uid="{00000000-0005-0000-0000-0000AD1E0000}"/>
    <cellStyle name="AggOrangeRBorder 2 3 3 56" xfId="7854" xr:uid="{00000000-0005-0000-0000-0000AE1E0000}"/>
    <cellStyle name="AggOrangeRBorder 2 3 3 57" xfId="7855" xr:uid="{00000000-0005-0000-0000-0000AF1E0000}"/>
    <cellStyle name="AggOrangeRBorder 2 3 3 58" xfId="7856" xr:uid="{00000000-0005-0000-0000-0000B01E0000}"/>
    <cellStyle name="AggOrangeRBorder 2 3 3 59" xfId="7857" xr:uid="{00000000-0005-0000-0000-0000B11E0000}"/>
    <cellStyle name="AggOrangeRBorder 2 3 3 6" xfId="7858" xr:uid="{00000000-0005-0000-0000-0000B21E0000}"/>
    <cellStyle name="AggOrangeRBorder 2 3 3 60" xfId="7859" xr:uid="{00000000-0005-0000-0000-0000B31E0000}"/>
    <cellStyle name="AggOrangeRBorder 2 3 3 61" xfId="7860" xr:uid="{00000000-0005-0000-0000-0000B41E0000}"/>
    <cellStyle name="AggOrangeRBorder 2 3 3 62" xfId="7861" xr:uid="{00000000-0005-0000-0000-0000B51E0000}"/>
    <cellStyle name="AggOrangeRBorder 2 3 3 63" xfId="7862" xr:uid="{00000000-0005-0000-0000-0000B61E0000}"/>
    <cellStyle name="AggOrangeRBorder 2 3 3 64" xfId="7863" xr:uid="{00000000-0005-0000-0000-0000B71E0000}"/>
    <cellStyle name="AggOrangeRBorder 2 3 3 65" xfId="7864" xr:uid="{00000000-0005-0000-0000-0000B81E0000}"/>
    <cellStyle name="AggOrangeRBorder 2 3 3 66" xfId="7865" xr:uid="{00000000-0005-0000-0000-0000B91E0000}"/>
    <cellStyle name="AggOrangeRBorder 2 3 3 7" xfId="7866" xr:uid="{00000000-0005-0000-0000-0000BA1E0000}"/>
    <cellStyle name="AggOrangeRBorder 2 3 3 8" xfId="7867" xr:uid="{00000000-0005-0000-0000-0000BB1E0000}"/>
    <cellStyle name="AggOrangeRBorder 2 3 3 9" xfId="7868" xr:uid="{00000000-0005-0000-0000-0000BC1E0000}"/>
    <cellStyle name="AggOrangeRBorder 2 3 30" xfId="7869" xr:uid="{00000000-0005-0000-0000-0000BD1E0000}"/>
    <cellStyle name="AggOrangeRBorder 2 3 31" xfId="7870" xr:uid="{00000000-0005-0000-0000-0000BE1E0000}"/>
    <cellStyle name="AggOrangeRBorder 2 3 32" xfId="7871" xr:uid="{00000000-0005-0000-0000-0000BF1E0000}"/>
    <cellStyle name="AggOrangeRBorder 2 3 33" xfId="7872" xr:uid="{00000000-0005-0000-0000-0000C01E0000}"/>
    <cellStyle name="AggOrangeRBorder 2 3 34" xfId="7873" xr:uid="{00000000-0005-0000-0000-0000C11E0000}"/>
    <cellStyle name="AggOrangeRBorder 2 3 35" xfId="7874" xr:uid="{00000000-0005-0000-0000-0000C21E0000}"/>
    <cellStyle name="AggOrangeRBorder 2 3 36" xfId="7875" xr:uid="{00000000-0005-0000-0000-0000C31E0000}"/>
    <cellStyle name="AggOrangeRBorder 2 3 37" xfId="7876" xr:uid="{00000000-0005-0000-0000-0000C41E0000}"/>
    <cellStyle name="AggOrangeRBorder 2 3 38" xfId="7877" xr:uid="{00000000-0005-0000-0000-0000C51E0000}"/>
    <cellStyle name="AggOrangeRBorder 2 3 39" xfId="7878" xr:uid="{00000000-0005-0000-0000-0000C61E0000}"/>
    <cellStyle name="AggOrangeRBorder 2 3 4" xfId="7879" xr:uid="{00000000-0005-0000-0000-0000C71E0000}"/>
    <cellStyle name="AggOrangeRBorder 2 3 4 10" xfId="7880" xr:uid="{00000000-0005-0000-0000-0000C81E0000}"/>
    <cellStyle name="AggOrangeRBorder 2 3 4 11" xfId="7881" xr:uid="{00000000-0005-0000-0000-0000C91E0000}"/>
    <cellStyle name="AggOrangeRBorder 2 3 4 12" xfId="7882" xr:uid="{00000000-0005-0000-0000-0000CA1E0000}"/>
    <cellStyle name="AggOrangeRBorder 2 3 4 13" xfId="7883" xr:uid="{00000000-0005-0000-0000-0000CB1E0000}"/>
    <cellStyle name="AggOrangeRBorder 2 3 4 14" xfId="7884" xr:uid="{00000000-0005-0000-0000-0000CC1E0000}"/>
    <cellStyle name="AggOrangeRBorder 2 3 4 15" xfId="7885" xr:uid="{00000000-0005-0000-0000-0000CD1E0000}"/>
    <cellStyle name="AggOrangeRBorder 2 3 4 16" xfId="7886" xr:uid="{00000000-0005-0000-0000-0000CE1E0000}"/>
    <cellStyle name="AggOrangeRBorder 2 3 4 17" xfId="7887" xr:uid="{00000000-0005-0000-0000-0000CF1E0000}"/>
    <cellStyle name="AggOrangeRBorder 2 3 4 18" xfId="7888" xr:uid="{00000000-0005-0000-0000-0000D01E0000}"/>
    <cellStyle name="AggOrangeRBorder 2 3 4 19" xfId="7889" xr:uid="{00000000-0005-0000-0000-0000D11E0000}"/>
    <cellStyle name="AggOrangeRBorder 2 3 4 2" xfId="7890" xr:uid="{00000000-0005-0000-0000-0000D21E0000}"/>
    <cellStyle name="AggOrangeRBorder 2 3 4 2 10" xfId="7891" xr:uid="{00000000-0005-0000-0000-0000D31E0000}"/>
    <cellStyle name="AggOrangeRBorder 2 3 4 2 11" xfId="7892" xr:uid="{00000000-0005-0000-0000-0000D41E0000}"/>
    <cellStyle name="AggOrangeRBorder 2 3 4 2 12" xfId="7893" xr:uid="{00000000-0005-0000-0000-0000D51E0000}"/>
    <cellStyle name="AggOrangeRBorder 2 3 4 2 13" xfId="7894" xr:uid="{00000000-0005-0000-0000-0000D61E0000}"/>
    <cellStyle name="AggOrangeRBorder 2 3 4 2 14" xfId="7895" xr:uid="{00000000-0005-0000-0000-0000D71E0000}"/>
    <cellStyle name="AggOrangeRBorder 2 3 4 2 15" xfId="7896" xr:uid="{00000000-0005-0000-0000-0000D81E0000}"/>
    <cellStyle name="AggOrangeRBorder 2 3 4 2 16" xfId="7897" xr:uid="{00000000-0005-0000-0000-0000D91E0000}"/>
    <cellStyle name="AggOrangeRBorder 2 3 4 2 17" xfId="7898" xr:uid="{00000000-0005-0000-0000-0000DA1E0000}"/>
    <cellStyle name="AggOrangeRBorder 2 3 4 2 18" xfId="7899" xr:uid="{00000000-0005-0000-0000-0000DB1E0000}"/>
    <cellStyle name="AggOrangeRBorder 2 3 4 2 19" xfId="7900" xr:uid="{00000000-0005-0000-0000-0000DC1E0000}"/>
    <cellStyle name="AggOrangeRBorder 2 3 4 2 2" xfId="7901" xr:uid="{00000000-0005-0000-0000-0000DD1E0000}"/>
    <cellStyle name="AggOrangeRBorder 2 3 4 2 20" xfId="7902" xr:uid="{00000000-0005-0000-0000-0000DE1E0000}"/>
    <cellStyle name="AggOrangeRBorder 2 3 4 2 21" xfId="7903" xr:uid="{00000000-0005-0000-0000-0000DF1E0000}"/>
    <cellStyle name="AggOrangeRBorder 2 3 4 2 22" xfId="7904" xr:uid="{00000000-0005-0000-0000-0000E01E0000}"/>
    <cellStyle name="AggOrangeRBorder 2 3 4 2 23" xfId="7905" xr:uid="{00000000-0005-0000-0000-0000E11E0000}"/>
    <cellStyle name="AggOrangeRBorder 2 3 4 2 24" xfId="7906" xr:uid="{00000000-0005-0000-0000-0000E21E0000}"/>
    <cellStyle name="AggOrangeRBorder 2 3 4 2 25" xfId="7907" xr:uid="{00000000-0005-0000-0000-0000E31E0000}"/>
    <cellStyle name="AggOrangeRBorder 2 3 4 2 26" xfId="7908" xr:uid="{00000000-0005-0000-0000-0000E41E0000}"/>
    <cellStyle name="AggOrangeRBorder 2 3 4 2 27" xfId="7909" xr:uid="{00000000-0005-0000-0000-0000E51E0000}"/>
    <cellStyle name="AggOrangeRBorder 2 3 4 2 28" xfId="7910" xr:uid="{00000000-0005-0000-0000-0000E61E0000}"/>
    <cellStyle name="AggOrangeRBorder 2 3 4 2 29" xfId="7911" xr:uid="{00000000-0005-0000-0000-0000E71E0000}"/>
    <cellStyle name="AggOrangeRBorder 2 3 4 2 3" xfId="7912" xr:uid="{00000000-0005-0000-0000-0000E81E0000}"/>
    <cellStyle name="AggOrangeRBorder 2 3 4 2 30" xfId="7913" xr:uid="{00000000-0005-0000-0000-0000E91E0000}"/>
    <cellStyle name="AggOrangeRBorder 2 3 4 2 31" xfId="7914" xr:uid="{00000000-0005-0000-0000-0000EA1E0000}"/>
    <cellStyle name="AggOrangeRBorder 2 3 4 2 32" xfId="7915" xr:uid="{00000000-0005-0000-0000-0000EB1E0000}"/>
    <cellStyle name="AggOrangeRBorder 2 3 4 2 33" xfId="7916" xr:uid="{00000000-0005-0000-0000-0000EC1E0000}"/>
    <cellStyle name="AggOrangeRBorder 2 3 4 2 34" xfId="7917" xr:uid="{00000000-0005-0000-0000-0000ED1E0000}"/>
    <cellStyle name="AggOrangeRBorder 2 3 4 2 35" xfId="7918" xr:uid="{00000000-0005-0000-0000-0000EE1E0000}"/>
    <cellStyle name="AggOrangeRBorder 2 3 4 2 36" xfId="7919" xr:uid="{00000000-0005-0000-0000-0000EF1E0000}"/>
    <cellStyle name="AggOrangeRBorder 2 3 4 2 37" xfId="7920" xr:uid="{00000000-0005-0000-0000-0000F01E0000}"/>
    <cellStyle name="AggOrangeRBorder 2 3 4 2 38" xfId="7921" xr:uid="{00000000-0005-0000-0000-0000F11E0000}"/>
    <cellStyle name="AggOrangeRBorder 2 3 4 2 39" xfId="7922" xr:uid="{00000000-0005-0000-0000-0000F21E0000}"/>
    <cellStyle name="AggOrangeRBorder 2 3 4 2 4" xfId="7923" xr:uid="{00000000-0005-0000-0000-0000F31E0000}"/>
    <cellStyle name="AggOrangeRBorder 2 3 4 2 40" xfId="7924" xr:uid="{00000000-0005-0000-0000-0000F41E0000}"/>
    <cellStyle name="AggOrangeRBorder 2 3 4 2 41" xfId="7925" xr:uid="{00000000-0005-0000-0000-0000F51E0000}"/>
    <cellStyle name="AggOrangeRBorder 2 3 4 2 42" xfId="7926" xr:uid="{00000000-0005-0000-0000-0000F61E0000}"/>
    <cellStyle name="AggOrangeRBorder 2 3 4 2 43" xfId="7927" xr:uid="{00000000-0005-0000-0000-0000F71E0000}"/>
    <cellStyle name="AggOrangeRBorder 2 3 4 2 44" xfId="7928" xr:uid="{00000000-0005-0000-0000-0000F81E0000}"/>
    <cellStyle name="AggOrangeRBorder 2 3 4 2 45" xfId="7929" xr:uid="{00000000-0005-0000-0000-0000F91E0000}"/>
    <cellStyle name="AggOrangeRBorder 2 3 4 2 46" xfId="7930" xr:uid="{00000000-0005-0000-0000-0000FA1E0000}"/>
    <cellStyle name="AggOrangeRBorder 2 3 4 2 47" xfId="7931" xr:uid="{00000000-0005-0000-0000-0000FB1E0000}"/>
    <cellStyle name="AggOrangeRBorder 2 3 4 2 48" xfId="7932" xr:uid="{00000000-0005-0000-0000-0000FC1E0000}"/>
    <cellStyle name="AggOrangeRBorder 2 3 4 2 49" xfId="7933" xr:uid="{00000000-0005-0000-0000-0000FD1E0000}"/>
    <cellStyle name="AggOrangeRBorder 2 3 4 2 5" xfId="7934" xr:uid="{00000000-0005-0000-0000-0000FE1E0000}"/>
    <cellStyle name="AggOrangeRBorder 2 3 4 2 50" xfId="7935" xr:uid="{00000000-0005-0000-0000-0000FF1E0000}"/>
    <cellStyle name="AggOrangeRBorder 2 3 4 2 51" xfId="7936" xr:uid="{00000000-0005-0000-0000-0000001F0000}"/>
    <cellStyle name="AggOrangeRBorder 2 3 4 2 52" xfId="7937" xr:uid="{00000000-0005-0000-0000-0000011F0000}"/>
    <cellStyle name="AggOrangeRBorder 2 3 4 2 53" xfId="7938" xr:uid="{00000000-0005-0000-0000-0000021F0000}"/>
    <cellStyle name="AggOrangeRBorder 2 3 4 2 54" xfId="7939" xr:uid="{00000000-0005-0000-0000-0000031F0000}"/>
    <cellStyle name="AggOrangeRBorder 2 3 4 2 55" xfId="7940" xr:uid="{00000000-0005-0000-0000-0000041F0000}"/>
    <cellStyle name="AggOrangeRBorder 2 3 4 2 56" xfId="7941" xr:uid="{00000000-0005-0000-0000-0000051F0000}"/>
    <cellStyle name="AggOrangeRBorder 2 3 4 2 57" xfId="7942" xr:uid="{00000000-0005-0000-0000-0000061F0000}"/>
    <cellStyle name="AggOrangeRBorder 2 3 4 2 58" xfId="7943" xr:uid="{00000000-0005-0000-0000-0000071F0000}"/>
    <cellStyle name="AggOrangeRBorder 2 3 4 2 59" xfId="7944" xr:uid="{00000000-0005-0000-0000-0000081F0000}"/>
    <cellStyle name="AggOrangeRBorder 2 3 4 2 6" xfId="7945" xr:uid="{00000000-0005-0000-0000-0000091F0000}"/>
    <cellStyle name="AggOrangeRBorder 2 3 4 2 60" xfId="7946" xr:uid="{00000000-0005-0000-0000-00000A1F0000}"/>
    <cellStyle name="AggOrangeRBorder 2 3 4 2 61" xfId="7947" xr:uid="{00000000-0005-0000-0000-00000B1F0000}"/>
    <cellStyle name="AggOrangeRBorder 2 3 4 2 62" xfId="7948" xr:uid="{00000000-0005-0000-0000-00000C1F0000}"/>
    <cellStyle name="AggOrangeRBorder 2 3 4 2 63" xfId="7949" xr:uid="{00000000-0005-0000-0000-00000D1F0000}"/>
    <cellStyle name="AggOrangeRBorder 2 3 4 2 64" xfId="7950" xr:uid="{00000000-0005-0000-0000-00000E1F0000}"/>
    <cellStyle name="AggOrangeRBorder 2 3 4 2 65" xfId="7951" xr:uid="{00000000-0005-0000-0000-00000F1F0000}"/>
    <cellStyle name="AggOrangeRBorder 2 3 4 2 7" xfId="7952" xr:uid="{00000000-0005-0000-0000-0000101F0000}"/>
    <cellStyle name="AggOrangeRBorder 2 3 4 2 8" xfId="7953" xr:uid="{00000000-0005-0000-0000-0000111F0000}"/>
    <cellStyle name="AggOrangeRBorder 2 3 4 2 9" xfId="7954" xr:uid="{00000000-0005-0000-0000-0000121F0000}"/>
    <cellStyle name="AggOrangeRBorder 2 3 4 20" xfId="7955" xr:uid="{00000000-0005-0000-0000-0000131F0000}"/>
    <cellStyle name="AggOrangeRBorder 2 3 4 21" xfId="7956" xr:uid="{00000000-0005-0000-0000-0000141F0000}"/>
    <cellStyle name="AggOrangeRBorder 2 3 4 22" xfId="7957" xr:uid="{00000000-0005-0000-0000-0000151F0000}"/>
    <cellStyle name="AggOrangeRBorder 2 3 4 23" xfId="7958" xr:uid="{00000000-0005-0000-0000-0000161F0000}"/>
    <cellStyle name="AggOrangeRBorder 2 3 4 24" xfId="7959" xr:uid="{00000000-0005-0000-0000-0000171F0000}"/>
    <cellStyle name="AggOrangeRBorder 2 3 4 25" xfId="7960" xr:uid="{00000000-0005-0000-0000-0000181F0000}"/>
    <cellStyle name="AggOrangeRBorder 2 3 4 26" xfId="7961" xr:uid="{00000000-0005-0000-0000-0000191F0000}"/>
    <cellStyle name="AggOrangeRBorder 2 3 4 27" xfId="7962" xr:uid="{00000000-0005-0000-0000-00001A1F0000}"/>
    <cellStyle name="AggOrangeRBorder 2 3 4 28" xfId="7963" xr:uid="{00000000-0005-0000-0000-00001B1F0000}"/>
    <cellStyle name="AggOrangeRBorder 2 3 4 29" xfId="7964" xr:uid="{00000000-0005-0000-0000-00001C1F0000}"/>
    <cellStyle name="AggOrangeRBorder 2 3 4 3" xfId="7965" xr:uid="{00000000-0005-0000-0000-00001D1F0000}"/>
    <cellStyle name="AggOrangeRBorder 2 3 4 30" xfId="7966" xr:uid="{00000000-0005-0000-0000-00001E1F0000}"/>
    <cellStyle name="AggOrangeRBorder 2 3 4 31" xfId="7967" xr:uid="{00000000-0005-0000-0000-00001F1F0000}"/>
    <cellStyle name="AggOrangeRBorder 2 3 4 32" xfId="7968" xr:uid="{00000000-0005-0000-0000-0000201F0000}"/>
    <cellStyle name="AggOrangeRBorder 2 3 4 33" xfId="7969" xr:uid="{00000000-0005-0000-0000-0000211F0000}"/>
    <cellStyle name="AggOrangeRBorder 2 3 4 34" xfId="7970" xr:uid="{00000000-0005-0000-0000-0000221F0000}"/>
    <cellStyle name="AggOrangeRBorder 2 3 4 35" xfId="7971" xr:uid="{00000000-0005-0000-0000-0000231F0000}"/>
    <cellStyle name="AggOrangeRBorder 2 3 4 36" xfId="7972" xr:uid="{00000000-0005-0000-0000-0000241F0000}"/>
    <cellStyle name="AggOrangeRBorder 2 3 4 37" xfId="7973" xr:uid="{00000000-0005-0000-0000-0000251F0000}"/>
    <cellStyle name="AggOrangeRBorder 2 3 4 38" xfId="7974" xr:uid="{00000000-0005-0000-0000-0000261F0000}"/>
    <cellStyle name="AggOrangeRBorder 2 3 4 39" xfId="7975" xr:uid="{00000000-0005-0000-0000-0000271F0000}"/>
    <cellStyle name="AggOrangeRBorder 2 3 4 4" xfId="7976" xr:uid="{00000000-0005-0000-0000-0000281F0000}"/>
    <cellStyle name="AggOrangeRBorder 2 3 4 40" xfId="7977" xr:uid="{00000000-0005-0000-0000-0000291F0000}"/>
    <cellStyle name="AggOrangeRBorder 2 3 4 41" xfId="7978" xr:uid="{00000000-0005-0000-0000-00002A1F0000}"/>
    <cellStyle name="AggOrangeRBorder 2 3 4 42" xfId="7979" xr:uid="{00000000-0005-0000-0000-00002B1F0000}"/>
    <cellStyle name="AggOrangeRBorder 2 3 4 43" xfId="7980" xr:uid="{00000000-0005-0000-0000-00002C1F0000}"/>
    <cellStyle name="AggOrangeRBorder 2 3 4 44" xfId="7981" xr:uid="{00000000-0005-0000-0000-00002D1F0000}"/>
    <cellStyle name="AggOrangeRBorder 2 3 4 45" xfId="7982" xr:uid="{00000000-0005-0000-0000-00002E1F0000}"/>
    <cellStyle name="AggOrangeRBorder 2 3 4 46" xfId="7983" xr:uid="{00000000-0005-0000-0000-00002F1F0000}"/>
    <cellStyle name="AggOrangeRBorder 2 3 4 47" xfId="7984" xr:uid="{00000000-0005-0000-0000-0000301F0000}"/>
    <cellStyle name="AggOrangeRBorder 2 3 4 48" xfId="7985" xr:uid="{00000000-0005-0000-0000-0000311F0000}"/>
    <cellStyle name="AggOrangeRBorder 2 3 4 49" xfId="7986" xr:uid="{00000000-0005-0000-0000-0000321F0000}"/>
    <cellStyle name="AggOrangeRBorder 2 3 4 5" xfId="7987" xr:uid="{00000000-0005-0000-0000-0000331F0000}"/>
    <cellStyle name="AggOrangeRBorder 2 3 4 50" xfId="7988" xr:uid="{00000000-0005-0000-0000-0000341F0000}"/>
    <cellStyle name="AggOrangeRBorder 2 3 4 51" xfId="7989" xr:uid="{00000000-0005-0000-0000-0000351F0000}"/>
    <cellStyle name="AggOrangeRBorder 2 3 4 52" xfId="7990" xr:uid="{00000000-0005-0000-0000-0000361F0000}"/>
    <cellStyle name="AggOrangeRBorder 2 3 4 53" xfId="7991" xr:uid="{00000000-0005-0000-0000-0000371F0000}"/>
    <cellStyle name="AggOrangeRBorder 2 3 4 54" xfId="7992" xr:uid="{00000000-0005-0000-0000-0000381F0000}"/>
    <cellStyle name="AggOrangeRBorder 2 3 4 55" xfId="7993" xr:uid="{00000000-0005-0000-0000-0000391F0000}"/>
    <cellStyle name="AggOrangeRBorder 2 3 4 56" xfId="7994" xr:uid="{00000000-0005-0000-0000-00003A1F0000}"/>
    <cellStyle name="AggOrangeRBorder 2 3 4 57" xfId="7995" xr:uid="{00000000-0005-0000-0000-00003B1F0000}"/>
    <cellStyle name="AggOrangeRBorder 2 3 4 58" xfId="7996" xr:uid="{00000000-0005-0000-0000-00003C1F0000}"/>
    <cellStyle name="AggOrangeRBorder 2 3 4 59" xfId="7997" xr:uid="{00000000-0005-0000-0000-00003D1F0000}"/>
    <cellStyle name="AggOrangeRBorder 2 3 4 6" xfId="7998" xr:uid="{00000000-0005-0000-0000-00003E1F0000}"/>
    <cellStyle name="AggOrangeRBorder 2 3 4 60" xfId="7999" xr:uid="{00000000-0005-0000-0000-00003F1F0000}"/>
    <cellStyle name="AggOrangeRBorder 2 3 4 61" xfId="8000" xr:uid="{00000000-0005-0000-0000-0000401F0000}"/>
    <cellStyle name="AggOrangeRBorder 2 3 4 62" xfId="8001" xr:uid="{00000000-0005-0000-0000-0000411F0000}"/>
    <cellStyle name="AggOrangeRBorder 2 3 4 63" xfId="8002" xr:uid="{00000000-0005-0000-0000-0000421F0000}"/>
    <cellStyle name="AggOrangeRBorder 2 3 4 64" xfId="8003" xr:uid="{00000000-0005-0000-0000-0000431F0000}"/>
    <cellStyle name="AggOrangeRBorder 2 3 4 65" xfId="8004" xr:uid="{00000000-0005-0000-0000-0000441F0000}"/>
    <cellStyle name="AggOrangeRBorder 2 3 4 66" xfId="8005" xr:uid="{00000000-0005-0000-0000-0000451F0000}"/>
    <cellStyle name="AggOrangeRBorder 2 3 4 7" xfId="8006" xr:uid="{00000000-0005-0000-0000-0000461F0000}"/>
    <cellStyle name="AggOrangeRBorder 2 3 4 8" xfId="8007" xr:uid="{00000000-0005-0000-0000-0000471F0000}"/>
    <cellStyle name="AggOrangeRBorder 2 3 4 9" xfId="8008" xr:uid="{00000000-0005-0000-0000-0000481F0000}"/>
    <cellStyle name="AggOrangeRBorder 2 3 40" xfId="8009" xr:uid="{00000000-0005-0000-0000-0000491F0000}"/>
    <cellStyle name="AggOrangeRBorder 2 3 41" xfId="8010" xr:uid="{00000000-0005-0000-0000-00004A1F0000}"/>
    <cellStyle name="AggOrangeRBorder 2 3 42" xfId="8011" xr:uid="{00000000-0005-0000-0000-00004B1F0000}"/>
    <cellStyle name="AggOrangeRBorder 2 3 43" xfId="8012" xr:uid="{00000000-0005-0000-0000-00004C1F0000}"/>
    <cellStyle name="AggOrangeRBorder 2 3 44" xfId="8013" xr:uid="{00000000-0005-0000-0000-00004D1F0000}"/>
    <cellStyle name="AggOrangeRBorder 2 3 45" xfId="8014" xr:uid="{00000000-0005-0000-0000-00004E1F0000}"/>
    <cellStyle name="AggOrangeRBorder 2 3 46" xfId="8015" xr:uid="{00000000-0005-0000-0000-00004F1F0000}"/>
    <cellStyle name="AggOrangeRBorder 2 3 47" xfId="8016" xr:uid="{00000000-0005-0000-0000-0000501F0000}"/>
    <cellStyle name="AggOrangeRBorder 2 3 48" xfId="8017" xr:uid="{00000000-0005-0000-0000-0000511F0000}"/>
    <cellStyle name="AggOrangeRBorder 2 3 49" xfId="8018" xr:uid="{00000000-0005-0000-0000-0000521F0000}"/>
    <cellStyle name="AggOrangeRBorder 2 3 5" xfId="8019" xr:uid="{00000000-0005-0000-0000-0000531F0000}"/>
    <cellStyle name="AggOrangeRBorder 2 3 5 2" xfId="8020" xr:uid="{00000000-0005-0000-0000-0000541F0000}"/>
    <cellStyle name="AggOrangeRBorder 2 3 5 3" xfId="8021" xr:uid="{00000000-0005-0000-0000-0000551F0000}"/>
    <cellStyle name="AggOrangeRBorder 2 3 5 4" xfId="8022" xr:uid="{00000000-0005-0000-0000-0000561F0000}"/>
    <cellStyle name="AggOrangeRBorder 2 3 5 5" xfId="8023" xr:uid="{00000000-0005-0000-0000-0000571F0000}"/>
    <cellStyle name="AggOrangeRBorder 2 3 5 6" xfId="8024" xr:uid="{00000000-0005-0000-0000-0000581F0000}"/>
    <cellStyle name="AggOrangeRBorder 2 3 50" xfId="8025" xr:uid="{00000000-0005-0000-0000-0000591F0000}"/>
    <cellStyle name="AggOrangeRBorder 2 3 51" xfId="8026" xr:uid="{00000000-0005-0000-0000-00005A1F0000}"/>
    <cellStyle name="AggOrangeRBorder 2 3 52" xfId="8027" xr:uid="{00000000-0005-0000-0000-00005B1F0000}"/>
    <cellStyle name="AggOrangeRBorder 2 3 53" xfId="8028" xr:uid="{00000000-0005-0000-0000-00005C1F0000}"/>
    <cellStyle name="AggOrangeRBorder 2 3 54" xfId="8029" xr:uid="{00000000-0005-0000-0000-00005D1F0000}"/>
    <cellStyle name="AggOrangeRBorder 2 3 55" xfId="8030" xr:uid="{00000000-0005-0000-0000-00005E1F0000}"/>
    <cellStyle name="AggOrangeRBorder 2 3 56" xfId="8031" xr:uid="{00000000-0005-0000-0000-00005F1F0000}"/>
    <cellStyle name="AggOrangeRBorder 2 3 57" xfId="8032" xr:uid="{00000000-0005-0000-0000-0000601F0000}"/>
    <cellStyle name="AggOrangeRBorder 2 3 58" xfId="8033" xr:uid="{00000000-0005-0000-0000-0000611F0000}"/>
    <cellStyle name="AggOrangeRBorder 2 3 59" xfId="8034" xr:uid="{00000000-0005-0000-0000-0000621F0000}"/>
    <cellStyle name="AggOrangeRBorder 2 3 6" xfId="8035" xr:uid="{00000000-0005-0000-0000-0000631F0000}"/>
    <cellStyle name="AggOrangeRBorder 2 3 60" xfId="8036" xr:uid="{00000000-0005-0000-0000-0000641F0000}"/>
    <cellStyle name="AggOrangeRBorder 2 3 61" xfId="8037" xr:uid="{00000000-0005-0000-0000-0000651F0000}"/>
    <cellStyle name="AggOrangeRBorder 2 3 62" xfId="8038" xr:uid="{00000000-0005-0000-0000-0000661F0000}"/>
    <cellStyle name="AggOrangeRBorder 2 3 63" xfId="8039" xr:uid="{00000000-0005-0000-0000-0000671F0000}"/>
    <cellStyle name="AggOrangeRBorder 2 3 64" xfId="8040" xr:uid="{00000000-0005-0000-0000-0000681F0000}"/>
    <cellStyle name="AggOrangeRBorder 2 3 65" xfId="8041" xr:uid="{00000000-0005-0000-0000-0000691F0000}"/>
    <cellStyle name="AggOrangeRBorder 2 3 66" xfId="8042" xr:uid="{00000000-0005-0000-0000-00006A1F0000}"/>
    <cellStyle name="AggOrangeRBorder 2 3 67" xfId="8043" xr:uid="{00000000-0005-0000-0000-00006B1F0000}"/>
    <cellStyle name="AggOrangeRBorder 2 3 68" xfId="8044" xr:uid="{00000000-0005-0000-0000-00006C1F0000}"/>
    <cellStyle name="AggOrangeRBorder 2 3 69" xfId="8045" xr:uid="{00000000-0005-0000-0000-00006D1F0000}"/>
    <cellStyle name="AggOrangeRBorder 2 3 7" xfId="8046" xr:uid="{00000000-0005-0000-0000-00006E1F0000}"/>
    <cellStyle name="AggOrangeRBorder 2 3 8" xfId="8047" xr:uid="{00000000-0005-0000-0000-00006F1F0000}"/>
    <cellStyle name="AggOrangeRBorder 2 3 9" xfId="8048" xr:uid="{00000000-0005-0000-0000-0000701F0000}"/>
    <cellStyle name="AggOrangeRBorder 3" xfId="8049" xr:uid="{00000000-0005-0000-0000-0000711F0000}"/>
    <cellStyle name="AggOrangeRBorder 3 2" xfId="8050" xr:uid="{00000000-0005-0000-0000-0000721F0000}"/>
    <cellStyle name="AggOrangeRBorder 3 2 2" xfId="8051" xr:uid="{00000000-0005-0000-0000-0000731F0000}"/>
    <cellStyle name="AggOrangeRBorder 3 2 2 10" xfId="8052" xr:uid="{00000000-0005-0000-0000-0000741F0000}"/>
    <cellStyle name="AggOrangeRBorder 3 2 2 11" xfId="8053" xr:uid="{00000000-0005-0000-0000-0000751F0000}"/>
    <cellStyle name="AggOrangeRBorder 3 2 2 12" xfId="8054" xr:uid="{00000000-0005-0000-0000-0000761F0000}"/>
    <cellStyle name="AggOrangeRBorder 3 2 2 13" xfId="8055" xr:uid="{00000000-0005-0000-0000-0000771F0000}"/>
    <cellStyle name="AggOrangeRBorder 3 2 2 14" xfId="8056" xr:uid="{00000000-0005-0000-0000-0000781F0000}"/>
    <cellStyle name="AggOrangeRBorder 3 2 2 15" xfId="8057" xr:uid="{00000000-0005-0000-0000-0000791F0000}"/>
    <cellStyle name="AggOrangeRBorder 3 2 2 16" xfId="8058" xr:uid="{00000000-0005-0000-0000-00007A1F0000}"/>
    <cellStyle name="AggOrangeRBorder 3 2 2 17" xfId="8059" xr:uid="{00000000-0005-0000-0000-00007B1F0000}"/>
    <cellStyle name="AggOrangeRBorder 3 2 2 18" xfId="8060" xr:uid="{00000000-0005-0000-0000-00007C1F0000}"/>
    <cellStyle name="AggOrangeRBorder 3 2 2 19" xfId="8061" xr:uid="{00000000-0005-0000-0000-00007D1F0000}"/>
    <cellStyle name="AggOrangeRBorder 3 2 2 2" xfId="8062" xr:uid="{00000000-0005-0000-0000-00007E1F0000}"/>
    <cellStyle name="AggOrangeRBorder 3 2 2 20" xfId="8063" xr:uid="{00000000-0005-0000-0000-00007F1F0000}"/>
    <cellStyle name="AggOrangeRBorder 3 2 2 21" xfId="8064" xr:uid="{00000000-0005-0000-0000-0000801F0000}"/>
    <cellStyle name="AggOrangeRBorder 3 2 2 22" xfId="8065" xr:uid="{00000000-0005-0000-0000-0000811F0000}"/>
    <cellStyle name="AggOrangeRBorder 3 2 2 23" xfId="8066" xr:uid="{00000000-0005-0000-0000-0000821F0000}"/>
    <cellStyle name="AggOrangeRBorder 3 2 2 24" xfId="8067" xr:uid="{00000000-0005-0000-0000-0000831F0000}"/>
    <cellStyle name="AggOrangeRBorder 3 2 2 25" xfId="8068" xr:uid="{00000000-0005-0000-0000-0000841F0000}"/>
    <cellStyle name="AggOrangeRBorder 3 2 2 26" xfId="8069" xr:uid="{00000000-0005-0000-0000-0000851F0000}"/>
    <cellStyle name="AggOrangeRBorder 3 2 2 27" xfId="8070" xr:uid="{00000000-0005-0000-0000-0000861F0000}"/>
    <cellStyle name="AggOrangeRBorder 3 2 2 28" xfId="8071" xr:uid="{00000000-0005-0000-0000-0000871F0000}"/>
    <cellStyle name="AggOrangeRBorder 3 2 2 29" xfId="8072" xr:uid="{00000000-0005-0000-0000-0000881F0000}"/>
    <cellStyle name="AggOrangeRBorder 3 2 2 3" xfId="8073" xr:uid="{00000000-0005-0000-0000-0000891F0000}"/>
    <cellStyle name="AggOrangeRBorder 3 2 2 30" xfId="8074" xr:uid="{00000000-0005-0000-0000-00008A1F0000}"/>
    <cellStyle name="AggOrangeRBorder 3 2 2 31" xfId="8075" xr:uid="{00000000-0005-0000-0000-00008B1F0000}"/>
    <cellStyle name="AggOrangeRBorder 3 2 2 32" xfId="8076" xr:uid="{00000000-0005-0000-0000-00008C1F0000}"/>
    <cellStyle name="AggOrangeRBorder 3 2 2 33" xfId="8077" xr:uid="{00000000-0005-0000-0000-00008D1F0000}"/>
    <cellStyle name="AggOrangeRBorder 3 2 2 34" xfId="8078" xr:uid="{00000000-0005-0000-0000-00008E1F0000}"/>
    <cellStyle name="AggOrangeRBorder 3 2 2 35" xfId="8079" xr:uid="{00000000-0005-0000-0000-00008F1F0000}"/>
    <cellStyle name="AggOrangeRBorder 3 2 2 36" xfId="8080" xr:uid="{00000000-0005-0000-0000-0000901F0000}"/>
    <cellStyle name="AggOrangeRBorder 3 2 2 37" xfId="8081" xr:uid="{00000000-0005-0000-0000-0000911F0000}"/>
    <cellStyle name="AggOrangeRBorder 3 2 2 38" xfId="8082" xr:uid="{00000000-0005-0000-0000-0000921F0000}"/>
    <cellStyle name="AggOrangeRBorder 3 2 2 39" xfId="8083" xr:uid="{00000000-0005-0000-0000-0000931F0000}"/>
    <cellStyle name="AggOrangeRBorder 3 2 2 4" xfId="8084" xr:uid="{00000000-0005-0000-0000-0000941F0000}"/>
    <cellStyle name="AggOrangeRBorder 3 2 2 40" xfId="8085" xr:uid="{00000000-0005-0000-0000-0000951F0000}"/>
    <cellStyle name="AggOrangeRBorder 3 2 2 41" xfId="8086" xr:uid="{00000000-0005-0000-0000-0000961F0000}"/>
    <cellStyle name="AggOrangeRBorder 3 2 2 42" xfId="8087" xr:uid="{00000000-0005-0000-0000-0000971F0000}"/>
    <cellStyle name="AggOrangeRBorder 3 2 2 43" xfId="8088" xr:uid="{00000000-0005-0000-0000-0000981F0000}"/>
    <cellStyle name="AggOrangeRBorder 3 2 2 44" xfId="8089" xr:uid="{00000000-0005-0000-0000-0000991F0000}"/>
    <cellStyle name="AggOrangeRBorder 3 2 2 45" xfId="8090" xr:uid="{00000000-0005-0000-0000-00009A1F0000}"/>
    <cellStyle name="AggOrangeRBorder 3 2 2 46" xfId="8091" xr:uid="{00000000-0005-0000-0000-00009B1F0000}"/>
    <cellStyle name="AggOrangeRBorder 3 2 2 47" xfId="8092" xr:uid="{00000000-0005-0000-0000-00009C1F0000}"/>
    <cellStyle name="AggOrangeRBorder 3 2 2 48" xfId="8093" xr:uid="{00000000-0005-0000-0000-00009D1F0000}"/>
    <cellStyle name="AggOrangeRBorder 3 2 2 49" xfId="8094" xr:uid="{00000000-0005-0000-0000-00009E1F0000}"/>
    <cellStyle name="AggOrangeRBorder 3 2 2 5" xfId="8095" xr:uid="{00000000-0005-0000-0000-00009F1F0000}"/>
    <cellStyle name="AggOrangeRBorder 3 2 2 50" xfId="8096" xr:uid="{00000000-0005-0000-0000-0000A01F0000}"/>
    <cellStyle name="AggOrangeRBorder 3 2 2 51" xfId="8097" xr:uid="{00000000-0005-0000-0000-0000A11F0000}"/>
    <cellStyle name="AggOrangeRBorder 3 2 2 52" xfId="8098" xr:uid="{00000000-0005-0000-0000-0000A21F0000}"/>
    <cellStyle name="AggOrangeRBorder 3 2 2 53" xfId="8099" xr:uid="{00000000-0005-0000-0000-0000A31F0000}"/>
    <cellStyle name="AggOrangeRBorder 3 2 2 54" xfId="8100" xr:uid="{00000000-0005-0000-0000-0000A41F0000}"/>
    <cellStyle name="AggOrangeRBorder 3 2 2 55" xfId="8101" xr:uid="{00000000-0005-0000-0000-0000A51F0000}"/>
    <cellStyle name="AggOrangeRBorder 3 2 2 56" xfId="8102" xr:uid="{00000000-0005-0000-0000-0000A61F0000}"/>
    <cellStyle name="AggOrangeRBorder 3 2 2 57" xfId="8103" xr:uid="{00000000-0005-0000-0000-0000A71F0000}"/>
    <cellStyle name="AggOrangeRBorder 3 2 2 58" xfId="8104" xr:uid="{00000000-0005-0000-0000-0000A81F0000}"/>
    <cellStyle name="AggOrangeRBorder 3 2 2 59" xfId="8105" xr:uid="{00000000-0005-0000-0000-0000A91F0000}"/>
    <cellStyle name="AggOrangeRBorder 3 2 2 6" xfId="8106" xr:uid="{00000000-0005-0000-0000-0000AA1F0000}"/>
    <cellStyle name="AggOrangeRBorder 3 2 2 60" xfId="8107" xr:uid="{00000000-0005-0000-0000-0000AB1F0000}"/>
    <cellStyle name="AggOrangeRBorder 3 2 2 61" xfId="8108" xr:uid="{00000000-0005-0000-0000-0000AC1F0000}"/>
    <cellStyle name="AggOrangeRBorder 3 2 2 62" xfId="8109" xr:uid="{00000000-0005-0000-0000-0000AD1F0000}"/>
    <cellStyle name="AggOrangeRBorder 3 2 2 63" xfId="8110" xr:uid="{00000000-0005-0000-0000-0000AE1F0000}"/>
    <cellStyle name="AggOrangeRBorder 3 2 2 64" xfId="8111" xr:uid="{00000000-0005-0000-0000-0000AF1F0000}"/>
    <cellStyle name="AggOrangeRBorder 3 2 2 65" xfId="8112" xr:uid="{00000000-0005-0000-0000-0000B01F0000}"/>
    <cellStyle name="AggOrangeRBorder 3 2 2 7" xfId="8113" xr:uid="{00000000-0005-0000-0000-0000B11F0000}"/>
    <cellStyle name="AggOrangeRBorder 3 2 2 8" xfId="8114" xr:uid="{00000000-0005-0000-0000-0000B21F0000}"/>
    <cellStyle name="AggOrangeRBorder 3 2 2 9" xfId="8115" xr:uid="{00000000-0005-0000-0000-0000B31F0000}"/>
    <cellStyle name="AggOrangeRBorder 3 2 3" xfId="8116" xr:uid="{00000000-0005-0000-0000-0000B41F0000}"/>
    <cellStyle name="AggOrangeRBorder 3 2 3 10" xfId="8117" xr:uid="{00000000-0005-0000-0000-0000B51F0000}"/>
    <cellStyle name="AggOrangeRBorder 3 2 3 11" xfId="8118" xr:uid="{00000000-0005-0000-0000-0000B61F0000}"/>
    <cellStyle name="AggOrangeRBorder 3 2 3 12" xfId="8119" xr:uid="{00000000-0005-0000-0000-0000B71F0000}"/>
    <cellStyle name="AggOrangeRBorder 3 2 3 13" xfId="8120" xr:uid="{00000000-0005-0000-0000-0000B81F0000}"/>
    <cellStyle name="AggOrangeRBorder 3 2 3 14" xfId="8121" xr:uid="{00000000-0005-0000-0000-0000B91F0000}"/>
    <cellStyle name="AggOrangeRBorder 3 2 3 15" xfId="8122" xr:uid="{00000000-0005-0000-0000-0000BA1F0000}"/>
    <cellStyle name="AggOrangeRBorder 3 2 3 16" xfId="8123" xr:uid="{00000000-0005-0000-0000-0000BB1F0000}"/>
    <cellStyle name="AggOrangeRBorder 3 2 3 17" xfId="8124" xr:uid="{00000000-0005-0000-0000-0000BC1F0000}"/>
    <cellStyle name="AggOrangeRBorder 3 2 3 18" xfId="8125" xr:uid="{00000000-0005-0000-0000-0000BD1F0000}"/>
    <cellStyle name="AggOrangeRBorder 3 2 3 19" xfId="8126" xr:uid="{00000000-0005-0000-0000-0000BE1F0000}"/>
    <cellStyle name="AggOrangeRBorder 3 2 3 2" xfId="8127" xr:uid="{00000000-0005-0000-0000-0000BF1F0000}"/>
    <cellStyle name="AggOrangeRBorder 3 2 3 20" xfId="8128" xr:uid="{00000000-0005-0000-0000-0000C01F0000}"/>
    <cellStyle name="AggOrangeRBorder 3 2 3 21" xfId="8129" xr:uid="{00000000-0005-0000-0000-0000C11F0000}"/>
    <cellStyle name="AggOrangeRBorder 3 2 3 22" xfId="8130" xr:uid="{00000000-0005-0000-0000-0000C21F0000}"/>
    <cellStyle name="AggOrangeRBorder 3 2 3 23" xfId="8131" xr:uid="{00000000-0005-0000-0000-0000C31F0000}"/>
    <cellStyle name="AggOrangeRBorder 3 2 3 24" xfId="8132" xr:uid="{00000000-0005-0000-0000-0000C41F0000}"/>
    <cellStyle name="AggOrangeRBorder 3 2 3 25" xfId="8133" xr:uid="{00000000-0005-0000-0000-0000C51F0000}"/>
    <cellStyle name="AggOrangeRBorder 3 2 3 26" xfId="8134" xr:uid="{00000000-0005-0000-0000-0000C61F0000}"/>
    <cellStyle name="AggOrangeRBorder 3 2 3 27" xfId="8135" xr:uid="{00000000-0005-0000-0000-0000C71F0000}"/>
    <cellStyle name="AggOrangeRBorder 3 2 3 28" xfId="8136" xr:uid="{00000000-0005-0000-0000-0000C81F0000}"/>
    <cellStyle name="AggOrangeRBorder 3 2 3 29" xfId="8137" xr:uid="{00000000-0005-0000-0000-0000C91F0000}"/>
    <cellStyle name="AggOrangeRBorder 3 2 3 3" xfId="8138" xr:uid="{00000000-0005-0000-0000-0000CA1F0000}"/>
    <cellStyle name="AggOrangeRBorder 3 2 3 30" xfId="8139" xr:uid="{00000000-0005-0000-0000-0000CB1F0000}"/>
    <cellStyle name="AggOrangeRBorder 3 2 3 31" xfId="8140" xr:uid="{00000000-0005-0000-0000-0000CC1F0000}"/>
    <cellStyle name="AggOrangeRBorder 3 2 3 32" xfId="8141" xr:uid="{00000000-0005-0000-0000-0000CD1F0000}"/>
    <cellStyle name="AggOrangeRBorder 3 2 3 33" xfId="8142" xr:uid="{00000000-0005-0000-0000-0000CE1F0000}"/>
    <cellStyle name="AggOrangeRBorder 3 2 3 34" xfId="8143" xr:uid="{00000000-0005-0000-0000-0000CF1F0000}"/>
    <cellStyle name="AggOrangeRBorder 3 2 3 35" xfId="8144" xr:uid="{00000000-0005-0000-0000-0000D01F0000}"/>
    <cellStyle name="AggOrangeRBorder 3 2 3 36" xfId="8145" xr:uid="{00000000-0005-0000-0000-0000D11F0000}"/>
    <cellStyle name="AggOrangeRBorder 3 2 3 37" xfId="8146" xr:uid="{00000000-0005-0000-0000-0000D21F0000}"/>
    <cellStyle name="AggOrangeRBorder 3 2 3 38" xfId="8147" xr:uid="{00000000-0005-0000-0000-0000D31F0000}"/>
    <cellStyle name="AggOrangeRBorder 3 2 3 39" xfId="8148" xr:uid="{00000000-0005-0000-0000-0000D41F0000}"/>
    <cellStyle name="AggOrangeRBorder 3 2 3 4" xfId="8149" xr:uid="{00000000-0005-0000-0000-0000D51F0000}"/>
    <cellStyle name="AggOrangeRBorder 3 2 3 40" xfId="8150" xr:uid="{00000000-0005-0000-0000-0000D61F0000}"/>
    <cellStyle name="AggOrangeRBorder 3 2 3 41" xfId="8151" xr:uid="{00000000-0005-0000-0000-0000D71F0000}"/>
    <cellStyle name="AggOrangeRBorder 3 2 3 42" xfId="8152" xr:uid="{00000000-0005-0000-0000-0000D81F0000}"/>
    <cellStyle name="AggOrangeRBorder 3 2 3 43" xfId="8153" xr:uid="{00000000-0005-0000-0000-0000D91F0000}"/>
    <cellStyle name="AggOrangeRBorder 3 2 3 44" xfId="8154" xr:uid="{00000000-0005-0000-0000-0000DA1F0000}"/>
    <cellStyle name="AggOrangeRBorder 3 2 3 45" xfId="8155" xr:uid="{00000000-0005-0000-0000-0000DB1F0000}"/>
    <cellStyle name="AggOrangeRBorder 3 2 3 46" xfId="8156" xr:uid="{00000000-0005-0000-0000-0000DC1F0000}"/>
    <cellStyle name="AggOrangeRBorder 3 2 3 47" xfId="8157" xr:uid="{00000000-0005-0000-0000-0000DD1F0000}"/>
    <cellStyle name="AggOrangeRBorder 3 2 3 48" xfId="8158" xr:uid="{00000000-0005-0000-0000-0000DE1F0000}"/>
    <cellStyle name="AggOrangeRBorder 3 2 3 49" xfId="8159" xr:uid="{00000000-0005-0000-0000-0000DF1F0000}"/>
    <cellStyle name="AggOrangeRBorder 3 2 3 5" xfId="8160" xr:uid="{00000000-0005-0000-0000-0000E01F0000}"/>
    <cellStyle name="AggOrangeRBorder 3 2 3 50" xfId="8161" xr:uid="{00000000-0005-0000-0000-0000E11F0000}"/>
    <cellStyle name="AggOrangeRBorder 3 2 3 51" xfId="8162" xr:uid="{00000000-0005-0000-0000-0000E21F0000}"/>
    <cellStyle name="AggOrangeRBorder 3 2 3 52" xfId="8163" xr:uid="{00000000-0005-0000-0000-0000E31F0000}"/>
    <cellStyle name="AggOrangeRBorder 3 2 3 53" xfId="8164" xr:uid="{00000000-0005-0000-0000-0000E41F0000}"/>
    <cellStyle name="AggOrangeRBorder 3 2 3 54" xfId="8165" xr:uid="{00000000-0005-0000-0000-0000E51F0000}"/>
    <cellStyle name="AggOrangeRBorder 3 2 3 55" xfId="8166" xr:uid="{00000000-0005-0000-0000-0000E61F0000}"/>
    <cellStyle name="AggOrangeRBorder 3 2 3 56" xfId="8167" xr:uid="{00000000-0005-0000-0000-0000E71F0000}"/>
    <cellStyle name="AggOrangeRBorder 3 2 3 57" xfId="8168" xr:uid="{00000000-0005-0000-0000-0000E81F0000}"/>
    <cellStyle name="AggOrangeRBorder 3 2 3 58" xfId="8169" xr:uid="{00000000-0005-0000-0000-0000E91F0000}"/>
    <cellStyle name="AggOrangeRBorder 3 2 3 59" xfId="8170" xr:uid="{00000000-0005-0000-0000-0000EA1F0000}"/>
    <cellStyle name="AggOrangeRBorder 3 2 3 6" xfId="8171" xr:uid="{00000000-0005-0000-0000-0000EB1F0000}"/>
    <cellStyle name="AggOrangeRBorder 3 2 3 60" xfId="8172" xr:uid="{00000000-0005-0000-0000-0000EC1F0000}"/>
    <cellStyle name="AggOrangeRBorder 3 2 3 61" xfId="8173" xr:uid="{00000000-0005-0000-0000-0000ED1F0000}"/>
    <cellStyle name="AggOrangeRBorder 3 2 3 62" xfId="8174" xr:uid="{00000000-0005-0000-0000-0000EE1F0000}"/>
    <cellStyle name="AggOrangeRBorder 3 2 3 63" xfId="8175" xr:uid="{00000000-0005-0000-0000-0000EF1F0000}"/>
    <cellStyle name="AggOrangeRBorder 3 2 3 64" xfId="8176" xr:uid="{00000000-0005-0000-0000-0000F01F0000}"/>
    <cellStyle name="AggOrangeRBorder 3 2 3 65" xfId="8177" xr:uid="{00000000-0005-0000-0000-0000F11F0000}"/>
    <cellStyle name="AggOrangeRBorder 3 2 3 7" xfId="8178" xr:uid="{00000000-0005-0000-0000-0000F21F0000}"/>
    <cellStyle name="AggOrangeRBorder 3 2 3 8" xfId="8179" xr:uid="{00000000-0005-0000-0000-0000F31F0000}"/>
    <cellStyle name="AggOrangeRBorder 3 2 3 9" xfId="8180" xr:uid="{00000000-0005-0000-0000-0000F41F0000}"/>
    <cellStyle name="AggOrangeRBorder 4" xfId="8181" xr:uid="{00000000-0005-0000-0000-0000F51F0000}"/>
    <cellStyle name="AggOrangeRBorder 4 10" xfId="8182" xr:uid="{00000000-0005-0000-0000-0000F61F0000}"/>
    <cellStyle name="AggOrangeRBorder 4 11" xfId="8183" xr:uid="{00000000-0005-0000-0000-0000F71F0000}"/>
    <cellStyle name="AggOrangeRBorder 4 12" xfId="8184" xr:uid="{00000000-0005-0000-0000-0000F81F0000}"/>
    <cellStyle name="AggOrangeRBorder 4 13" xfId="8185" xr:uid="{00000000-0005-0000-0000-0000F91F0000}"/>
    <cellStyle name="AggOrangeRBorder 4 14" xfId="8186" xr:uid="{00000000-0005-0000-0000-0000FA1F0000}"/>
    <cellStyle name="AggOrangeRBorder 4 15" xfId="8187" xr:uid="{00000000-0005-0000-0000-0000FB1F0000}"/>
    <cellStyle name="AggOrangeRBorder 4 16" xfId="8188" xr:uid="{00000000-0005-0000-0000-0000FC1F0000}"/>
    <cellStyle name="AggOrangeRBorder 4 17" xfId="8189" xr:uid="{00000000-0005-0000-0000-0000FD1F0000}"/>
    <cellStyle name="AggOrangeRBorder 4 18" xfId="8190" xr:uid="{00000000-0005-0000-0000-0000FE1F0000}"/>
    <cellStyle name="AggOrangeRBorder 4 19" xfId="8191" xr:uid="{00000000-0005-0000-0000-0000FF1F0000}"/>
    <cellStyle name="AggOrangeRBorder 4 2" xfId="8192" xr:uid="{00000000-0005-0000-0000-000000200000}"/>
    <cellStyle name="AggOrangeRBorder 4 2 10" xfId="8193" xr:uid="{00000000-0005-0000-0000-000001200000}"/>
    <cellStyle name="AggOrangeRBorder 4 2 11" xfId="8194" xr:uid="{00000000-0005-0000-0000-000002200000}"/>
    <cellStyle name="AggOrangeRBorder 4 2 12" xfId="8195" xr:uid="{00000000-0005-0000-0000-000003200000}"/>
    <cellStyle name="AggOrangeRBorder 4 2 13" xfId="8196" xr:uid="{00000000-0005-0000-0000-000004200000}"/>
    <cellStyle name="AggOrangeRBorder 4 2 14" xfId="8197" xr:uid="{00000000-0005-0000-0000-000005200000}"/>
    <cellStyle name="AggOrangeRBorder 4 2 15" xfId="8198" xr:uid="{00000000-0005-0000-0000-000006200000}"/>
    <cellStyle name="AggOrangeRBorder 4 2 16" xfId="8199" xr:uid="{00000000-0005-0000-0000-000007200000}"/>
    <cellStyle name="AggOrangeRBorder 4 2 17" xfId="8200" xr:uid="{00000000-0005-0000-0000-000008200000}"/>
    <cellStyle name="AggOrangeRBorder 4 2 18" xfId="8201" xr:uid="{00000000-0005-0000-0000-000009200000}"/>
    <cellStyle name="AggOrangeRBorder 4 2 19" xfId="8202" xr:uid="{00000000-0005-0000-0000-00000A200000}"/>
    <cellStyle name="AggOrangeRBorder 4 2 2" xfId="8203" xr:uid="{00000000-0005-0000-0000-00000B200000}"/>
    <cellStyle name="AggOrangeRBorder 4 2 2 10" xfId="8204" xr:uid="{00000000-0005-0000-0000-00000C200000}"/>
    <cellStyle name="AggOrangeRBorder 4 2 2 11" xfId="8205" xr:uid="{00000000-0005-0000-0000-00000D200000}"/>
    <cellStyle name="AggOrangeRBorder 4 2 2 12" xfId="8206" xr:uid="{00000000-0005-0000-0000-00000E200000}"/>
    <cellStyle name="AggOrangeRBorder 4 2 2 13" xfId="8207" xr:uid="{00000000-0005-0000-0000-00000F200000}"/>
    <cellStyle name="AggOrangeRBorder 4 2 2 14" xfId="8208" xr:uid="{00000000-0005-0000-0000-000010200000}"/>
    <cellStyle name="AggOrangeRBorder 4 2 2 15" xfId="8209" xr:uid="{00000000-0005-0000-0000-000011200000}"/>
    <cellStyle name="AggOrangeRBorder 4 2 2 16" xfId="8210" xr:uid="{00000000-0005-0000-0000-000012200000}"/>
    <cellStyle name="AggOrangeRBorder 4 2 2 17" xfId="8211" xr:uid="{00000000-0005-0000-0000-000013200000}"/>
    <cellStyle name="AggOrangeRBorder 4 2 2 18" xfId="8212" xr:uid="{00000000-0005-0000-0000-000014200000}"/>
    <cellStyle name="AggOrangeRBorder 4 2 2 19" xfId="8213" xr:uid="{00000000-0005-0000-0000-000015200000}"/>
    <cellStyle name="AggOrangeRBorder 4 2 2 2" xfId="8214" xr:uid="{00000000-0005-0000-0000-000016200000}"/>
    <cellStyle name="AggOrangeRBorder 4 2 2 20" xfId="8215" xr:uid="{00000000-0005-0000-0000-000017200000}"/>
    <cellStyle name="AggOrangeRBorder 4 2 2 21" xfId="8216" xr:uid="{00000000-0005-0000-0000-000018200000}"/>
    <cellStyle name="AggOrangeRBorder 4 2 2 22" xfId="8217" xr:uid="{00000000-0005-0000-0000-000019200000}"/>
    <cellStyle name="AggOrangeRBorder 4 2 2 23" xfId="8218" xr:uid="{00000000-0005-0000-0000-00001A200000}"/>
    <cellStyle name="AggOrangeRBorder 4 2 2 24" xfId="8219" xr:uid="{00000000-0005-0000-0000-00001B200000}"/>
    <cellStyle name="AggOrangeRBorder 4 2 2 25" xfId="8220" xr:uid="{00000000-0005-0000-0000-00001C200000}"/>
    <cellStyle name="AggOrangeRBorder 4 2 2 26" xfId="8221" xr:uid="{00000000-0005-0000-0000-00001D200000}"/>
    <cellStyle name="AggOrangeRBorder 4 2 2 27" xfId="8222" xr:uid="{00000000-0005-0000-0000-00001E200000}"/>
    <cellStyle name="AggOrangeRBorder 4 2 2 28" xfId="8223" xr:uid="{00000000-0005-0000-0000-00001F200000}"/>
    <cellStyle name="AggOrangeRBorder 4 2 2 29" xfId="8224" xr:uid="{00000000-0005-0000-0000-000020200000}"/>
    <cellStyle name="AggOrangeRBorder 4 2 2 3" xfId="8225" xr:uid="{00000000-0005-0000-0000-000021200000}"/>
    <cellStyle name="AggOrangeRBorder 4 2 2 30" xfId="8226" xr:uid="{00000000-0005-0000-0000-000022200000}"/>
    <cellStyle name="AggOrangeRBorder 4 2 2 31" xfId="8227" xr:uid="{00000000-0005-0000-0000-000023200000}"/>
    <cellStyle name="AggOrangeRBorder 4 2 2 32" xfId="8228" xr:uid="{00000000-0005-0000-0000-000024200000}"/>
    <cellStyle name="AggOrangeRBorder 4 2 2 33" xfId="8229" xr:uid="{00000000-0005-0000-0000-000025200000}"/>
    <cellStyle name="AggOrangeRBorder 4 2 2 34" xfId="8230" xr:uid="{00000000-0005-0000-0000-000026200000}"/>
    <cellStyle name="AggOrangeRBorder 4 2 2 35" xfId="8231" xr:uid="{00000000-0005-0000-0000-000027200000}"/>
    <cellStyle name="AggOrangeRBorder 4 2 2 36" xfId="8232" xr:uid="{00000000-0005-0000-0000-000028200000}"/>
    <cellStyle name="AggOrangeRBorder 4 2 2 37" xfId="8233" xr:uid="{00000000-0005-0000-0000-000029200000}"/>
    <cellStyle name="AggOrangeRBorder 4 2 2 38" xfId="8234" xr:uid="{00000000-0005-0000-0000-00002A200000}"/>
    <cellStyle name="AggOrangeRBorder 4 2 2 39" xfId="8235" xr:uid="{00000000-0005-0000-0000-00002B200000}"/>
    <cellStyle name="AggOrangeRBorder 4 2 2 4" xfId="8236" xr:uid="{00000000-0005-0000-0000-00002C200000}"/>
    <cellStyle name="AggOrangeRBorder 4 2 2 40" xfId="8237" xr:uid="{00000000-0005-0000-0000-00002D200000}"/>
    <cellStyle name="AggOrangeRBorder 4 2 2 41" xfId="8238" xr:uid="{00000000-0005-0000-0000-00002E200000}"/>
    <cellStyle name="AggOrangeRBorder 4 2 2 42" xfId="8239" xr:uid="{00000000-0005-0000-0000-00002F200000}"/>
    <cellStyle name="AggOrangeRBorder 4 2 2 43" xfId="8240" xr:uid="{00000000-0005-0000-0000-000030200000}"/>
    <cellStyle name="AggOrangeRBorder 4 2 2 44" xfId="8241" xr:uid="{00000000-0005-0000-0000-000031200000}"/>
    <cellStyle name="AggOrangeRBorder 4 2 2 45" xfId="8242" xr:uid="{00000000-0005-0000-0000-000032200000}"/>
    <cellStyle name="AggOrangeRBorder 4 2 2 46" xfId="8243" xr:uid="{00000000-0005-0000-0000-000033200000}"/>
    <cellStyle name="AggOrangeRBorder 4 2 2 47" xfId="8244" xr:uid="{00000000-0005-0000-0000-000034200000}"/>
    <cellStyle name="AggOrangeRBorder 4 2 2 48" xfId="8245" xr:uid="{00000000-0005-0000-0000-000035200000}"/>
    <cellStyle name="AggOrangeRBorder 4 2 2 49" xfId="8246" xr:uid="{00000000-0005-0000-0000-000036200000}"/>
    <cellStyle name="AggOrangeRBorder 4 2 2 5" xfId="8247" xr:uid="{00000000-0005-0000-0000-000037200000}"/>
    <cellStyle name="AggOrangeRBorder 4 2 2 50" xfId="8248" xr:uid="{00000000-0005-0000-0000-000038200000}"/>
    <cellStyle name="AggOrangeRBorder 4 2 2 51" xfId="8249" xr:uid="{00000000-0005-0000-0000-000039200000}"/>
    <cellStyle name="AggOrangeRBorder 4 2 2 52" xfId="8250" xr:uid="{00000000-0005-0000-0000-00003A200000}"/>
    <cellStyle name="AggOrangeRBorder 4 2 2 53" xfId="8251" xr:uid="{00000000-0005-0000-0000-00003B200000}"/>
    <cellStyle name="AggOrangeRBorder 4 2 2 54" xfId="8252" xr:uid="{00000000-0005-0000-0000-00003C200000}"/>
    <cellStyle name="AggOrangeRBorder 4 2 2 55" xfId="8253" xr:uid="{00000000-0005-0000-0000-00003D200000}"/>
    <cellStyle name="AggOrangeRBorder 4 2 2 56" xfId="8254" xr:uid="{00000000-0005-0000-0000-00003E200000}"/>
    <cellStyle name="AggOrangeRBorder 4 2 2 57" xfId="8255" xr:uid="{00000000-0005-0000-0000-00003F200000}"/>
    <cellStyle name="AggOrangeRBorder 4 2 2 58" xfId="8256" xr:uid="{00000000-0005-0000-0000-000040200000}"/>
    <cellStyle name="AggOrangeRBorder 4 2 2 59" xfId="8257" xr:uid="{00000000-0005-0000-0000-000041200000}"/>
    <cellStyle name="AggOrangeRBorder 4 2 2 6" xfId="8258" xr:uid="{00000000-0005-0000-0000-000042200000}"/>
    <cellStyle name="AggOrangeRBorder 4 2 2 60" xfId="8259" xr:uid="{00000000-0005-0000-0000-000043200000}"/>
    <cellStyle name="AggOrangeRBorder 4 2 2 61" xfId="8260" xr:uid="{00000000-0005-0000-0000-000044200000}"/>
    <cellStyle name="AggOrangeRBorder 4 2 2 62" xfId="8261" xr:uid="{00000000-0005-0000-0000-000045200000}"/>
    <cellStyle name="AggOrangeRBorder 4 2 2 63" xfId="8262" xr:uid="{00000000-0005-0000-0000-000046200000}"/>
    <cellStyle name="AggOrangeRBorder 4 2 2 64" xfId="8263" xr:uid="{00000000-0005-0000-0000-000047200000}"/>
    <cellStyle name="AggOrangeRBorder 4 2 2 65" xfId="8264" xr:uid="{00000000-0005-0000-0000-000048200000}"/>
    <cellStyle name="AggOrangeRBorder 4 2 2 7" xfId="8265" xr:uid="{00000000-0005-0000-0000-000049200000}"/>
    <cellStyle name="AggOrangeRBorder 4 2 2 8" xfId="8266" xr:uid="{00000000-0005-0000-0000-00004A200000}"/>
    <cellStyle name="AggOrangeRBorder 4 2 2 9" xfId="8267" xr:uid="{00000000-0005-0000-0000-00004B200000}"/>
    <cellStyle name="AggOrangeRBorder 4 2 20" xfId="8268" xr:uid="{00000000-0005-0000-0000-00004C200000}"/>
    <cellStyle name="AggOrangeRBorder 4 2 21" xfId="8269" xr:uid="{00000000-0005-0000-0000-00004D200000}"/>
    <cellStyle name="AggOrangeRBorder 4 2 22" xfId="8270" xr:uid="{00000000-0005-0000-0000-00004E200000}"/>
    <cellStyle name="AggOrangeRBorder 4 2 23" xfId="8271" xr:uid="{00000000-0005-0000-0000-00004F200000}"/>
    <cellStyle name="AggOrangeRBorder 4 2 24" xfId="8272" xr:uid="{00000000-0005-0000-0000-000050200000}"/>
    <cellStyle name="AggOrangeRBorder 4 2 25" xfId="8273" xr:uid="{00000000-0005-0000-0000-000051200000}"/>
    <cellStyle name="AggOrangeRBorder 4 2 26" xfId="8274" xr:uid="{00000000-0005-0000-0000-000052200000}"/>
    <cellStyle name="AggOrangeRBorder 4 2 27" xfId="8275" xr:uid="{00000000-0005-0000-0000-000053200000}"/>
    <cellStyle name="AggOrangeRBorder 4 2 28" xfId="8276" xr:uid="{00000000-0005-0000-0000-000054200000}"/>
    <cellStyle name="AggOrangeRBorder 4 2 29" xfId="8277" xr:uid="{00000000-0005-0000-0000-000055200000}"/>
    <cellStyle name="AggOrangeRBorder 4 2 3" xfId="8278" xr:uid="{00000000-0005-0000-0000-000056200000}"/>
    <cellStyle name="AggOrangeRBorder 4 2 30" xfId="8279" xr:uid="{00000000-0005-0000-0000-000057200000}"/>
    <cellStyle name="AggOrangeRBorder 4 2 31" xfId="8280" xr:uid="{00000000-0005-0000-0000-000058200000}"/>
    <cellStyle name="AggOrangeRBorder 4 2 32" xfId="8281" xr:uid="{00000000-0005-0000-0000-000059200000}"/>
    <cellStyle name="AggOrangeRBorder 4 2 33" xfId="8282" xr:uid="{00000000-0005-0000-0000-00005A200000}"/>
    <cellStyle name="AggOrangeRBorder 4 2 34" xfId="8283" xr:uid="{00000000-0005-0000-0000-00005B200000}"/>
    <cellStyle name="AggOrangeRBorder 4 2 35" xfId="8284" xr:uid="{00000000-0005-0000-0000-00005C200000}"/>
    <cellStyle name="AggOrangeRBorder 4 2 36" xfId="8285" xr:uid="{00000000-0005-0000-0000-00005D200000}"/>
    <cellStyle name="AggOrangeRBorder 4 2 37" xfId="8286" xr:uid="{00000000-0005-0000-0000-00005E200000}"/>
    <cellStyle name="AggOrangeRBorder 4 2 38" xfId="8287" xr:uid="{00000000-0005-0000-0000-00005F200000}"/>
    <cellStyle name="AggOrangeRBorder 4 2 39" xfId="8288" xr:uid="{00000000-0005-0000-0000-000060200000}"/>
    <cellStyle name="AggOrangeRBorder 4 2 4" xfId="8289" xr:uid="{00000000-0005-0000-0000-000061200000}"/>
    <cellStyle name="AggOrangeRBorder 4 2 40" xfId="8290" xr:uid="{00000000-0005-0000-0000-000062200000}"/>
    <cellStyle name="AggOrangeRBorder 4 2 41" xfId="8291" xr:uid="{00000000-0005-0000-0000-000063200000}"/>
    <cellStyle name="AggOrangeRBorder 4 2 42" xfId="8292" xr:uid="{00000000-0005-0000-0000-000064200000}"/>
    <cellStyle name="AggOrangeRBorder 4 2 43" xfId="8293" xr:uid="{00000000-0005-0000-0000-000065200000}"/>
    <cellStyle name="AggOrangeRBorder 4 2 44" xfId="8294" xr:uid="{00000000-0005-0000-0000-000066200000}"/>
    <cellStyle name="AggOrangeRBorder 4 2 45" xfId="8295" xr:uid="{00000000-0005-0000-0000-000067200000}"/>
    <cellStyle name="AggOrangeRBorder 4 2 46" xfId="8296" xr:uid="{00000000-0005-0000-0000-000068200000}"/>
    <cellStyle name="AggOrangeRBorder 4 2 47" xfId="8297" xr:uid="{00000000-0005-0000-0000-000069200000}"/>
    <cellStyle name="AggOrangeRBorder 4 2 48" xfId="8298" xr:uid="{00000000-0005-0000-0000-00006A200000}"/>
    <cellStyle name="AggOrangeRBorder 4 2 49" xfId="8299" xr:uid="{00000000-0005-0000-0000-00006B200000}"/>
    <cellStyle name="AggOrangeRBorder 4 2 5" xfId="8300" xr:uid="{00000000-0005-0000-0000-00006C200000}"/>
    <cellStyle name="AggOrangeRBorder 4 2 50" xfId="8301" xr:uid="{00000000-0005-0000-0000-00006D200000}"/>
    <cellStyle name="AggOrangeRBorder 4 2 51" xfId="8302" xr:uid="{00000000-0005-0000-0000-00006E200000}"/>
    <cellStyle name="AggOrangeRBorder 4 2 52" xfId="8303" xr:uid="{00000000-0005-0000-0000-00006F200000}"/>
    <cellStyle name="AggOrangeRBorder 4 2 53" xfId="8304" xr:uid="{00000000-0005-0000-0000-000070200000}"/>
    <cellStyle name="AggOrangeRBorder 4 2 54" xfId="8305" xr:uid="{00000000-0005-0000-0000-000071200000}"/>
    <cellStyle name="AggOrangeRBorder 4 2 55" xfId="8306" xr:uid="{00000000-0005-0000-0000-000072200000}"/>
    <cellStyle name="AggOrangeRBorder 4 2 56" xfId="8307" xr:uid="{00000000-0005-0000-0000-000073200000}"/>
    <cellStyle name="AggOrangeRBorder 4 2 57" xfId="8308" xr:uid="{00000000-0005-0000-0000-000074200000}"/>
    <cellStyle name="AggOrangeRBorder 4 2 58" xfId="8309" xr:uid="{00000000-0005-0000-0000-000075200000}"/>
    <cellStyle name="AggOrangeRBorder 4 2 59" xfId="8310" xr:uid="{00000000-0005-0000-0000-000076200000}"/>
    <cellStyle name="AggOrangeRBorder 4 2 6" xfId="8311" xr:uid="{00000000-0005-0000-0000-000077200000}"/>
    <cellStyle name="AggOrangeRBorder 4 2 60" xfId="8312" xr:uid="{00000000-0005-0000-0000-000078200000}"/>
    <cellStyle name="AggOrangeRBorder 4 2 61" xfId="8313" xr:uid="{00000000-0005-0000-0000-000079200000}"/>
    <cellStyle name="AggOrangeRBorder 4 2 62" xfId="8314" xr:uid="{00000000-0005-0000-0000-00007A200000}"/>
    <cellStyle name="AggOrangeRBorder 4 2 63" xfId="8315" xr:uid="{00000000-0005-0000-0000-00007B200000}"/>
    <cellStyle name="AggOrangeRBorder 4 2 64" xfId="8316" xr:uid="{00000000-0005-0000-0000-00007C200000}"/>
    <cellStyle name="AggOrangeRBorder 4 2 65" xfId="8317" xr:uid="{00000000-0005-0000-0000-00007D200000}"/>
    <cellStyle name="AggOrangeRBorder 4 2 66" xfId="8318" xr:uid="{00000000-0005-0000-0000-00007E200000}"/>
    <cellStyle name="AggOrangeRBorder 4 2 7" xfId="8319" xr:uid="{00000000-0005-0000-0000-00007F200000}"/>
    <cellStyle name="AggOrangeRBorder 4 2 8" xfId="8320" xr:uid="{00000000-0005-0000-0000-000080200000}"/>
    <cellStyle name="AggOrangeRBorder 4 2 9" xfId="8321" xr:uid="{00000000-0005-0000-0000-000081200000}"/>
    <cellStyle name="AggOrangeRBorder 4 20" xfId="8322" xr:uid="{00000000-0005-0000-0000-000082200000}"/>
    <cellStyle name="AggOrangeRBorder 4 21" xfId="8323" xr:uid="{00000000-0005-0000-0000-000083200000}"/>
    <cellStyle name="AggOrangeRBorder 4 22" xfId="8324" xr:uid="{00000000-0005-0000-0000-000084200000}"/>
    <cellStyle name="AggOrangeRBorder 4 23" xfId="8325" xr:uid="{00000000-0005-0000-0000-000085200000}"/>
    <cellStyle name="AggOrangeRBorder 4 24" xfId="8326" xr:uid="{00000000-0005-0000-0000-000086200000}"/>
    <cellStyle name="AggOrangeRBorder 4 25" xfId="8327" xr:uid="{00000000-0005-0000-0000-000087200000}"/>
    <cellStyle name="AggOrangeRBorder 4 26" xfId="8328" xr:uid="{00000000-0005-0000-0000-000088200000}"/>
    <cellStyle name="AggOrangeRBorder 4 27" xfId="8329" xr:uid="{00000000-0005-0000-0000-000089200000}"/>
    <cellStyle name="AggOrangeRBorder 4 28" xfId="8330" xr:uid="{00000000-0005-0000-0000-00008A200000}"/>
    <cellStyle name="AggOrangeRBorder 4 29" xfId="8331" xr:uid="{00000000-0005-0000-0000-00008B200000}"/>
    <cellStyle name="AggOrangeRBorder 4 3" xfId="8332" xr:uid="{00000000-0005-0000-0000-00008C200000}"/>
    <cellStyle name="AggOrangeRBorder 4 3 10" xfId="8333" xr:uid="{00000000-0005-0000-0000-00008D200000}"/>
    <cellStyle name="AggOrangeRBorder 4 3 11" xfId="8334" xr:uid="{00000000-0005-0000-0000-00008E200000}"/>
    <cellStyle name="AggOrangeRBorder 4 3 12" xfId="8335" xr:uid="{00000000-0005-0000-0000-00008F200000}"/>
    <cellStyle name="AggOrangeRBorder 4 3 13" xfId="8336" xr:uid="{00000000-0005-0000-0000-000090200000}"/>
    <cellStyle name="AggOrangeRBorder 4 3 14" xfId="8337" xr:uid="{00000000-0005-0000-0000-000091200000}"/>
    <cellStyle name="AggOrangeRBorder 4 3 15" xfId="8338" xr:uid="{00000000-0005-0000-0000-000092200000}"/>
    <cellStyle name="AggOrangeRBorder 4 3 16" xfId="8339" xr:uid="{00000000-0005-0000-0000-000093200000}"/>
    <cellStyle name="AggOrangeRBorder 4 3 17" xfId="8340" xr:uid="{00000000-0005-0000-0000-000094200000}"/>
    <cellStyle name="AggOrangeRBorder 4 3 18" xfId="8341" xr:uid="{00000000-0005-0000-0000-000095200000}"/>
    <cellStyle name="AggOrangeRBorder 4 3 19" xfId="8342" xr:uid="{00000000-0005-0000-0000-000096200000}"/>
    <cellStyle name="AggOrangeRBorder 4 3 2" xfId="8343" xr:uid="{00000000-0005-0000-0000-000097200000}"/>
    <cellStyle name="AggOrangeRBorder 4 3 2 10" xfId="8344" xr:uid="{00000000-0005-0000-0000-000098200000}"/>
    <cellStyle name="AggOrangeRBorder 4 3 2 11" xfId="8345" xr:uid="{00000000-0005-0000-0000-000099200000}"/>
    <cellStyle name="AggOrangeRBorder 4 3 2 12" xfId="8346" xr:uid="{00000000-0005-0000-0000-00009A200000}"/>
    <cellStyle name="AggOrangeRBorder 4 3 2 13" xfId="8347" xr:uid="{00000000-0005-0000-0000-00009B200000}"/>
    <cellStyle name="AggOrangeRBorder 4 3 2 14" xfId="8348" xr:uid="{00000000-0005-0000-0000-00009C200000}"/>
    <cellStyle name="AggOrangeRBorder 4 3 2 15" xfId="8349" xr:uid="{00000000-0005-0000-0000-00009D200000}"/>
    <cellStyle name="AggOrangeRBorder 4 3 2 16" xfId="8350" xr:uid="{00000000-0005-0000-0000-00009E200000}"/>
    <cellStyle name="AggOrangeRBorder 4 3 2 17" xfId="8351" xr:uid="{00000000-0005-0000-0000-00009F200000}"/>
    <cellStyle name="AggOrangeRBorder 4 3 2 18" xfId="8352" xr:uid="{00000000-0005-0000-0000-0000A0200000}"/>
    <cellStyle name="AggOrangeRBorder 4 3 2 19" xfId="8353" xr:uid="{00000000-0005-0000-0000-0000A1200000}"/>
    <cellStyle name="AggOrangeRBorder 4 3 2 2" xfId="8354" xr:uid="{00000000-0005-0000-0000-0000A2200000}"/>
    <cellStyle name="AggOrangeRBorder 4 3 2 20" xfId="8355" xr:uid="{00000000-0005-0000-0000-0000A3200000}"/>
    <cellStyle name="AggOrangeRBorder 4 3 2 21" xfId="8356" xr:uid="{00000000-0005-0000-0000-0000A4200000}"/>
    <cellStyle name="AggOrangeRBorder 4 3 2 22" xfId="8357" xr:uid="{00000000-0005-0000-0000-0000A5200000}"/>
    <cellStyle name="AggOrangeRBorder 4 3 2 23" xfId="8358" xr:uid="{00000000-0005-0000-0000-0000A6200000}"/>
    <cellStyle name="AggOrangeRBorder 4 3 2 24" xfId="8359" xr:uid="{00000000-0005-0000-0000-0000A7200000}"/>
    <cellStyle name="AggOrangeRBorder 4 3 2 25" xfId="8360" xr:uid="{00000000-0005-0000-0000-0000A8200000}"/>
    <cellStyle name="AggOrangeRBorder 4 3 2 26" xfId="8361" xr:uid="{00000000-0005-0000-0000-0000A9200000}"/>
    <cellStyle name="AggOrangeRBorder 4 3 2 27" xfId="8362" xr:uid="{00000000-0005-0000-0000-0000AA200000}"/>
    <cellStyle name="AggOrangeRBorder 4 3 2 28" xfId="8363" xr:uid="{00000000-0005-0000-0000-0000AB200000}"/>
    <cellStyle name="AggOrangeRBorder 4 3 2 29" xfId="8364" xr:uid="{00000000-0005-0000-0000-0000AC200000}"/>
    <cellStyle name="AggOrangeRBorder 4 3 2 3" xfId="8365" xr:uid="{00000000-0005-0000-0000-0000AD200000}"/>
    <cellStyle name="AggOrangeRBorder 4 3 2 30" xfId="8366" xr:uid="{00000000-0005-0000-0000-0000AE200000}"/>
    <cellStyle name="AggOrangeRBorder 4 3 2 31" xfId="8367" xr:uid="{00000000-0005-0000-0000-0000AF200000}"/>
    <cellStyle name="AggOrangeRBorder 4 3 2 32" xfId="8368" xr:uid="{00000000-0005-0000-0000-0000B0200000}"/>
    <cellStyle name="AggOrangeRBorder 4 3 2 33" xfId="8369" xr:uid="{00000000-0005-0000-0000-0000B1200000}"/>
    <cellStyle name="AggOrangeRBorder 4 3 2 34" xfId="8370" xr:uid="{00000000-0005-0000-0000-0000B2200000}"/>
    <cellStyle name="AggOrangeRBorder 4 3 2 35" xfId="8371" xr:uid="{00000000-0005-0000-0000-0000B3200000}"/>
    <cellStyle name="AggOrangeRBorder 4 3 2 36" xfId="8372" xr:uid="{00000000-0005-0000-0000-0000B4200000}"/>
    <cellStyle name="AggOrangeRBorder 4 3 2 37" xfId="8373" xr:uid="{00000000-0005-0000-0000-0000B5200000}"/>
    <cellStyle name="AggOrangeRBorder 4 3 2 38" xfId="8374" xr:uid="{00000000-0005-0000-0000-0000B6200000}"/>
    <cellStyle name="AggOrangeRBorder 4 3 2 39" xfId="8375" xr:uid="{00000000-0005-0000-0000-0000B7200000}"/>
    <cellStyle name="AggOrangeRBorder 4 3 2 4" xfId="8376" xr:uid="{00000000-0005-0000-0000-0000B8200000}"/>
    <cellStyle name="AggOrangeRBorder 4 3 2 40" xfId="8377" xr:uid="{00000000-0005-0000-0000-0000B9200000}"/>
    <cellStyle name="AggOrangeRBorder 4 3 2 41" xfId="8378" xr:uid="{00000000-0005-0000-0000-0000BA200000}"/>
    <cellStyle name="AggOrangeRBorder 4 3 2 42" xfId="8379" xr:uid="{00000000-0005-0000-0000-0000BB200000}"/>
    <cellStyle name="AggOrangeRBorder 4 3 2 43" xfId="8380" xr:uid="{00000000-0005-0000-0000-0000BC200000}"/>
    <cellStyle name="AggOrangeRBorder 4 3 2 44" xfId="8381" xr:uid="{00000000-0005-0000-0000-0000BD200000}"/>
    <cellStyle name="AggOrangeRBorder 4 3 2 45" xfId="8382" xr:uid="{00000000-0005-0000-0000-0000BE200000}"/>
    <cellStyle name="AggOrangeRBorder 4 3 2 46" xfId="8383" xr:uid="{00000000-0005-0000-0000-0000BF200000}"/>
    <cellStyle name="AggOrangeRBorder 4 3 2 47" xfId="8384" xr:uid="{00000000-0005-0000-0000-0000C0200000}"/>
    <cellStyle name="AggOrangeRBorder 4 3 2 48" xfId="8385" xr:uid="{00000000-0005-0000-0000-0000C1200000}"/>
    <cellStyle name="AggOrangeRBorder 4 3 2 49" xfId="8386" xr:uid="{00000000-0005-0000-0000-0000C2200000}"/>
    <cellStyle name="AggOrangeRBorder 4 3 2 5" xfId="8387" xr:uid="{00000000-0005-0000-0000-0000C3200000}"/>
    <cellStyle name="AggOrangeRBorder 4 3 2 50" xfId="8388" xr:uid="{00000000-0005-0000-0000-0000C4200000}"/>
    <cellStyle name="AggOrangeRBorder 4 3 2 51" xfId="8389" xr:uid="{00000000-0005-0000-0000-0000C5200000}"/>
    <cellStyle name="AggOrangeRBorder 4 3 2 52" xfId="8390" xr:uid="{00000000-0005-0000-0000-0000C6200000}"/>
    <cellStyle name="AggOrangeRBorder 4 3 2 53" xfId="8391" xr:uid="{00000000-0005-0000-0000-0000C7200000}"/>
    <cellStyle name="AggOrangeRBorder 4 3 2 54" xfId="8392" xr:uid="{00000000-0005-0000-0000-0000C8200000}"/>
    <cellStyle name="AggOrangeRBorder 4 3 2 55" xfId="8393" xr:uid="{00000000-0005-0000-0000-0000C9200000}"/>
    <cellStyle name="AggOrangeRBorder 4 3 2 56" xfId="8394" xr:uid="{00000000-0005-0000-0000-0000CA200000}"/>
    <cellStyle name="AggOrangeRBorder 4 3 2 57" xfId="8395" xr:uid="{00000000-0005-0000-0000-0000CB200000}"/>
    <cellStyle name="AggOrangeRBorder 4 3 2 58" xfId="8396" xr:uid="{00000000-0005-0000-0000-0000CC200000}"/>
    <cellStyle name="AggOrangeRBorder 4 3 2 59" xfId="8397" xr:uid="{00000000-0005-0000-0000-0000CD200000}"/>
    <cellStyle name="AggOrangeRBorder 4 3 2 6" xfId="8398" xr:uid="{00000000-0005-0000-0000-0000CE200000}"/>
    <cellStyle name="AggOrangeRBorder 4 3 2 60" xfId="8399" xr:uid="{00000000-0005-0000-0000-0000CF200000}"/>
    <cellStyle name="AggOrangeRBorder 4 3 2 61" xfId="8400" xr:uid="{00000000-0005-0000-0000-0000D0200000}"/>
    <cellStyle name="AggOrangeRBorder 4 3 2 62" xfId="8401" xr:uid="{00000000-0005-0000-0000-0000D1200000}"/>
    <cellStyle name="AggOrangeRBorder 4 3 2 63" xfId="8402" xr:uid="{00000000-0005-0000-0000-0000D2200000}"/>
    <cellStyle name="AggOrangeRBorder 4 3 2 64" xfId="8403" xr:uid="{00000000-0005-0000-0000-0000D3200000}"/>
    <cellStyle name="AggOrangeRBorder 4 3 2 65" xfId="8404" xr:uid="{00000000-0005-0000-0000-0000D4200000}"/>
    <cellStyle name="AggOrangeRBorder 4 3 2 7" xfId="8405" xr:uid="{00000000-0005-0000-0000-0000D5200000}"/>
    <cellStyle name="AggOrangeRBorder 4 3 2 8" xfId="8406" xr:uid="{00000000-0005-0000-0000-0000D6200000}"/>
    <cellStyle name="AggOrangeRBorder 4 3 2 9" xfId="8407" xr:uid="{00000000-0005-0000-0000-0000D7200000}"/>
    <cellStyle name="AggOrangeRBorder 4 3 20" xfId="8408" xr:uid="{00000000-0005-0000-0000-0000D8200000}"/>
    <cellStyle name="AggOrangeRBorder 4 3 21" xfId="8409" xr:uid="{00000000-0005-0000-0000-0000D9200000}"/>
    <cellStyle name="AggOrangeRBorder 4 3 22" xfId="8410" xr:uid="{00000000-0005-0000-0000-0000DA200000}"/>
    <cellStyle name="AggOrangeRBorder 4 3 23" xfId="8411" xr:uid="{00000000-0005-0000-0000-0000DB200000}"/>
    <cellStyle name="AggOrangeRBorder 4 3 24" xfId="8412" xr:uid="{00000000-0005-0000-0000-0000DC200000}"/>
    <cellStyle name="AggOrangeRBorder 4 3 25" xfId="8413" xr:uid="{00000000-0005-0000-0000-0000DD200000}"/>
    <cellStyle name="AggOrangeRBorder 4 3 26" xfId="8414" xr:uid="{00000000-0005-0000-0000-0000DE200000}"/>
    <cellStyle name="AggOrangeRBorder 4 3 27" xfId="8415" xr:uid="{00000000-0005-0000-0000-0000DF200000}"/>
    <cellStyle name="AggOrangeRBorder 4 3 28" xfId="8416" xr:uid="{00000000-0005-0000-0000-0000E0200000}"/>
    <cellStyle name="AggOrangeRBorder 4 3 29" xfId="8417" xr:uid="{00000000-0005-0000-0000-0000E1200000}"/>
    <cellStyle name="AggOrangeRBorder 4 3 3" xfId="8418" xr:uid="{00000000-0005-0000-0000-0000E2200000}"/>
    <cellStyle name="AggOrangeRBorder 4 3 30" xfId="8419" xr:uid="{00000000-0005-0000-0000-0000E3200000}"/>
    <cellStyle name="AggOrangeRBorder 4 3 31" xfId="8420" xr:uid="{00000000-0005-0000-0000-0000E4200000}"/>
    <cellStyle name="AggOrangeRBorder 4 3 32" xfId="8421" xr:uid="{00000000-0005-0000-0000-0000E5200000}"/>
    <cellStyle name="AggOrangeRBorder 4 3 33" xfId="8422" xr:uid="{00000000-0005-0000-0000-0000E6200000}"/>
    <cellStyle name="AggOrangeRBorder 4 3 34" xfId="8423" xr:uid="{00000000-0005-0000-0000-0000E7200000}"/>
    <cellStyle name="AggOrangeRBorder 4 3 35" xfId="8424" xr:uid="{00000000-0005-0000-0000-0000E8200000}"/>
    <cellStyle name="AggOrangeRBorder 4 3 36" xfId="8425" xr:uid="{00000000-0005-0000-0000-0000E9200000}"/>
    <cellStyle name="AggOrangeRBorder 4 3 37" xfId="8426" xr:uid="{00000000-0005-0000-0000-0000EA200000}"/>
    <cellStyle name="AggOrangeRBorder 4 3 38" xfId="8427" xr:uid="{00000000-0005-0000-0000-0000EB200000}"/>
    <cellStyle name="AggOrangeRBorder 4 3 39" xfId="8428" xr:uid="{00000000-0005-0000-0000-0000EC200000}"/>
    <cellStyle name="AggOrangeRBorder 4 3 4" xfId="8429" xr:uid="{00000000-0005-0000-0000-0000ED200000}"/>
    <cellStyle name="AggOrangeRBorder 4 3 40" xfId="8430" xr:uid="{00000000-0005-0000-0000-0000EE200000}"/>
    <cellStyle name="AggOrangeRBorder 4 3 41" xfId="8431" xr:uid="{00000000-0005-0000-0000-0000EF200000}"/>
    <cellStyle name="AggOrangeRBorder 4 3 42" xfId="8432" xr:uid="{00000000-0005-0000-0000-0000F0200000}"/>
    <cellStyle name="AggOrangeRBorder 4 3 43" xfId="8433" xr:uid="{00000000-0005-0000-0000-0000F1200000}"/>
    <cellStyle name="AggOrangeRBorder 4 3 44" xfId="8434" xr:uid="{00000000-0005-0000-0000-0000F2200000}"/>
    <cellStyle name="AggOrangeRBorder 4 3 45" xfId="8435" xr:uid="{00000000-0005-0000-0000-0000F3200000}"/>
    <cellStyle name="AggOrangeRBorder 4 3 46" xfId="8436" xr:uid="{00000000-0005-0000-0000-0000F4200000}"/>
    <cellStyle name="AggOrangeRBorder 4 3 47" xfId="8437" xr:uid="{00000000-0005-0000-0000-0000F5200000}"/>
    <cellStyle name="AggOrangeRBorder 4 3 48" xfId="8438" xr:uid="{00000000-0005-0000-0000-0000F6200000}"/>
    <cellStyle name="AggOrangeRBorder 4 3 49" xfId="8439" xr:uid="{00000000-0005-0000-0000-0000F7200000}"/>
    <cellStyle name="AggOrangeRBorder 4 3 5" xfId="8440" xr:uid="{00000000-0005-0000-0000-0000F8200000}"/>
    <cellStyle name="AggOrangeRBorder 4 3 50" xfId="8441" xr:uid="{00000000-0005-0000-0000-0000F9200000}"/>
    <cellStyle name="AggOrangeRBorder 4 3 51" xfId="8442" xr:uid="{00000000-0005-0000-0000-0000FA200000}"/>
    <cellStyle name="AggOrangeRBorder 4 3 52" xfId="8443" xr:uid="{00000000-0005-0000-0000-0000FB200000}"/>
    <cellStyle name="AggOrangeRBorder 4 3 53" xfId="8444" xr:uid="{00000000-0005-0000-0000-0000FC200000}"/>
    <cellStyle name="AggOrangeRBorder 4 3 54" xfId="8445" xr:uid="{00000000-0005-0000-0000-0000FD200000}"/>
    <cellStyle name="AggOrangeRBorder 4 3 55" xfId="8446" xr:uid="{00000000-0005-0000-0000-0000FE200000}"/>
    <cellStyle name="AggOrangeRBorder 4 3 56" xfId="8447" xr:uid="{00000000-0005-0000-0000-0000FF200000}"/>
    <cellStyle name="AggOrangeRBorder 4 3 57" xfId="8448" xr:uid="{00000000-0005-0000-0000-000000210000}"/>
    <cellStyle name="AggOrangeRBorder 4 3 58" xfId="8449" xr:uid="{00000000-0005-0000-0000-000001210000}"/>
    <cellStyle name="AggOrangeRBorder 4 3 59" xfId="8450" xr:uid="{00000000-0005-0000-0000-000002210000}"/>
    <cellStyle name="AggOrangeRBorder 4 3 6" xfId="8451" xr:uid="{00000000-0005-0000-0000-000003210000}"/>
    <cellStyle name="AggOrangeRBorder 4 3 60" xfId="8452" xr:uid="{00000000-0005-0000-0000-000004210000}"/>
    <cellStyle name="AggOrangeRBorder 4 3 61" xfId="8453" xr:uid="{00000000-0005-0000-0000-000005210000}"/>
    <cellStyle name="AggOrangeRBorder 4 3 62" xfId="8454" xr:uid="{00000000-0005-0000-0000-000006210000}"/>
    <cellStyle name="AggOrangeRBorder 4 3 63" xfId="8455" xr:uid="{00000000-0005-0000-0000-000007210000}"/>
    <cellStyle name="AggOrangeRBorder 4 3 64" xfId="8456" xr:uid="{00000000-0005-0000-0000-000008210000}"/>
    <cellStyle name="AggOrangeRBorder 4 3 65" xfId="8457" xr:uid="{00000000-0005-0000-0000-000009210000}"/>
    <cellStyle name="AggOrangeRBorder 4 3 66" xfId="8458" xr:uid="{00000000-0005-0000-0000-00000A210000}"/>
    <cellStyle name="AggOrangeRBorder 4 3 7" xfId="8459" xr:uid="{00000000-0005-0000-0000-00000B210000}"/>
    <cellStyle name="AggOrangeRBorder 4 3 8" xfId="8460" xr:uid="{00000000-0005-0000-0000-00000C210000}"/>
    <cellStyle name="AggOrangeRBorder 4 3 9" xfId="8461" xr:uid="{00000000-0005-0000-0000-00000D210000}"/>
    <cellStyle name="AggOrangeRBorder 4 30" xfId="8462" xr:uid="{00000000-0005-0000-0000-00000E210000}"/>
    <cellStyle name="AggOrangeRBorder 4 31" xfId="8463" xr:uid="{00000000-0005-0000-0000-00000F210000}"/>
    <cellStyle name="AggOrangeRBorder 4 32" xfId="8464" xr:uid="{00000000-0005-0000-0000-000010210000}"/>
    <cellStyle name="AggOrangeRBorder 4 33" xfId="8465" xr:uid="{00000000-0005-0000-0000-000011210000}"/>
    <cellStyle name="AggOrangeRBorder 4 34" xfId="8466" xr:uid="{00000000-0005-0000-0000-000012210000}"/>
    <cellStyle name="AggOrangeRBorder 4 35" xfId="8467" xr:uid="{00000000-0005-0000-0000-000013210000}"/>
    <cellStyle name="AggOrangeRBorder 4 36" xfId="8468" xr:uid="{00000000-0005-0000-0000-000014210000}"/>
    <cellStyle name="AggOrangeRBorder 4 37" xfId="8469" xr:uid="{00000000-0005-0000-0000-000015210000}"/>
    <cellStyle name="AggOrangeRBorder 4 38" xfId="8470" xr:uid="{00000000-0005-0000-0000-000016210000}"/>
    <cellStyle name="AggOrangeRBorder 4 39" xfId="8471" xr:uid="{00000000-0005-0000-0000-000017210000}"/>
    <cellStyle name="AggOrangeRBorder 4 4" xfId="8472" xr:uid="{00000000-0005-0000-0000-000018210000}"/>
    <cellStyle name="AggOrangeRBorder 4 4 10" xfId="8473" xr:uid="{00000000-0005-0000-0000-000019210000}"/>
    <cellStyle name="AggOrangeRBorder 4 4 11" xfId="8474" xr:uid="{00000000-0005-0000-0000-00001A210000}"/>
    <cellStyle name="AggOrangeRBorder 4 4 12" xfId="8475" xr:uid="{00000000-0005-0000-0000-00001B210000}"/>
    <cellStyle name="AggOrangeRBorder 4 4 13" xfId="8476" xr:uid="{00000000-0005-0000-0000-00001C210000}"/>
    <cellStyle name="AggOrangeRBorder 4 4 14" xfId="8477" xr:uid="{00000000-0005-0000-0000-00001D210000}"/>
    <cellStyle name="AggOrangeRBorder 4 4 15" xfId="8478" xr:uid="{00000000-0005-0000-0000-00001E210000}"/>
    <cellStyle name="AggOrangeRBorder 4 4 16" xfId="8479" xr:uid="{00000000-0005-0000-0000-00001F210000}"/>
    <cellStyle name="AggOrangeRBorder 4 4 17" xfId="8480" xr:uid="{00000000-0005-0000-0000-000020210000}"/>
    <cellStyle name="AggOrangeRBorder 4 4 18" xfId="8481" xr:uid="{00000000-0005-0000-0000-000021210000}"/>
    <cellStyle name="AggOrangeRBorder 4 4 19" xfId="8482" xr:uid="{00000000-0005-0000-0000-000022210000}"/>
    <cellStyle name="AggOrangeRBorder 4 4 2" xfId="8483" xr:uid="{00000000-0005-0000-0000-000023210000}"/>
    <cellStyle name="AggOrangeRBorder 4 4 2 10" xfId="8484" xr:uid="{00000000-0005-0000-0000-000024210000}"/>
    <cellStyle name="AggOrangeRBorder 4 4 2 11" xfId="8485" xr:uid="{00000000-0005-0000-0000-000025210000}"/>
    <cellStyle name="AggOrangeRBorder 4 4 2 12" xfId="8486" xr:uid="{00000000-0005-0000-0000-000026210000}"/>
    <cellStyle name="AggOrangeRBorder 4 4 2 13" xfId="8487" xr:uid="{00000000-0005-0000-0000-000027210000}"/>
    <cellStyle name="AggOrangeRBorder 4 4 2 14" xfId="8488" xr:uid="{00000000-0005-0000-0000-000028210000}"/>
    <cellStyle name="AggOrangeRBorder 4 4 2 15" xfId="8489" xr:uid="{00000000-0005-0000-0000-000029210000}"/>
    <cellStyle name="AggOrangeRBorder 4 4 2 16" xfId="8490" xr:uid="{00000000-0005-0000-0000-00002A210000}"/>
    <cellStyle name="AggOrangeRBorder 4 4 2 17" xfId="8491" xr:uid="{00000000-0005-0000-0000-00002B210000}"/>
    <cellStyle name="AggOrangeRBorder 4 4 2 18" xfId="8492" xr:uid="{00000000-0005-0000-0000-00002C210000}"/>
    <cellStyle name="AggOrangeRBorder 4 4 2 19" xfId="8493" xr:uid="{00000000-0005-0000-0000-00002D210000}"/>
    <cellStyle name="AggOrangeRBorder 4 4 2 2" xfId="8494" xr:uid="{00000000-0005-0000-0000-00002E210000}"/>
    <cellStyle name="AggOrangeRBorder 4 4 2 20" xfId="8495" xr:uid="{00000000-0005-0000-0000-00002F210000}"/>
    <cellStyle name="AggOrangeRBorder 4 4 2 21" xfId="8496" xr:uid="{00000000-0005-0000-0000-000030210000}"/>
    <cellStyle name="AggOrangeRBorder 4 4 2 22" xfId="8497" xr:uid="{00000000-0005-0000-0000-000031210000}"/>
    <cellStyle name="AggOrangeRBorder 4 4 2 23" xfId="8498" xr:uid="{00000000-0005-0000-0000-000032210000}"/>
    <cellStyle name="AggOrangeRBorder 4 4 2 24" xfId="8499" xr:uid="{00000000-0005-0000-0000-000033210000}"/>
    <cellStyle name="AggOrangeRBorder 4 4 2 25" xfId="8500" xr:uid="{00000000-0005-0000-0000-000034210000}"/>
    <cellStyle name="AggOrangeRBorder 4 4 2 26" xfId="8501" xr:uid="{00000000-0005-0000-0000-000035210000}"/>
    <cellStyle name="AggOrangeRBorder 4 4 2 27" xfId="8502" xr:uid="{00000000-0005-0000-0000-000036210000}"/>
    <cellStyle name="AggOrangeRBorder 4 4 2 28" xfId="8503" xr:uid="{00000000-0005-0000-0000-000037210000}"/>
    <cellStyle name="AggOrangeRBorder 4 4 2 29" xfId="8504" xr:uid="{00000000-0005-0000-0000-000038210000}"/>
    <cellStyle name="AggOrangeRBorder 4 4 2 3" xfId="8505" xr:uid="{00000000-0005-0000-0000-000039210000}"/>
    <cellStyle name="AggOrangeRBorder 4 4 2 30" xfId="8506" xr:uid="{00000000-0005-0000-0000-00003A210000}"/>
    <cellStyle name="AggOrangeRBorder 4 4 2 31" xfId="8507" xr:uid="{00000000-0005-0000-0000-00003B210000}"/>
    <cellStyle name="AggOrangeRBorder 4 4 2 32" xfId="8508" xr:uid="{00000000-0005-0000-0000-00003C210000}"/>
    <cellStyle name="AggOrangeRBorder 4 4 2 33" xfId="8509" xr:uid="{00000000-0005-0000-0000-00003D210000}"/>
    <cellStyle name="AggOrangeRBorder 4 4 2 34" xfId="8510" xr:uid="{00000000-0005-0000-0000-00003E210000}"/>
    <cellStyle name="AggOrangeRBorder 4 4 2 35" xfId="8511" xr:uid="{00000000-0005-0000-0000-00003F210000}"/>
    <cellStyle name="AggOrangeRBorder 4 4 2 36" xfId="8512" xr:uid="{00000000-0005-0000-0000-000040210000}"/>
    <cellStyle name="AggOrangeRBorder 4 4 2 37" xfId="8513" xr:uid="{00000000-0005-0000-0000-000041210000}"/>
    <cellStyle name="AggOrangeRBorder 4 4 2 38" xfId="8514" xr:uid="{00000000-0005-0000-0000-000042210000}"/>
    <cellStyle name="AggOrangeRBorder 4 4 2 39" xfId="8515" xr:uid="{00000000-0005-0000-0000-000043210000}"/>
    <cellStyle name="AggOrangeRBorder 4 4 2 4" xfId="8516" xr:uid="{00000000-0005-0000-0000-000044210000}"/>
    <cellStyle name="AggOrangeRBorder 4 4 2 40" xfId="8517" xr:uid="{00000000-0005-0000-0000-000045210000}"/>
    <cellStyle name="AggOrangeRBorder 4 4 2 41" xfId="8518" xr:uid="{00000000-0005-0000-0000-000046210000}"/>
    <cellStyle name="AggOrangeRBorder 4 4 2 42" xfId="8519" xr:uid="{00000000-0005-0000-0000-000047210000}"/>
    <cellStyle name="AggOrangeRBorder 4 4 2 43" xfId="8520" xr:uid="{00000000-0005-0000-0000-000048210000}"/>
    <cellStyle name="AggOrangeRBorder 4 4 2 44" xfId="8521" xr:uid="{00000000-0005-0000-0000-000049210000}"/>
    <cellStyle name="AggOrangeRBorder 4 4 2 45" xfId="8522" xr:uid="{00000000-0005-0000-0000-00004A210000}"/>
    <cellStyle name="AggOrangeRBorder 4 4 2 46" xfId="8523" xr:uid="{00000000-0005-0000-0000-00004B210000}"/>
    <cellStyle name="AggOrangeRBorder 4 4 2 47" xfId="8524" xr:uid="{00000000-0005-0000-0000-00004C210000}"/>
    <cellStyle name="AggOrangeRBorder 4 4 2 48" xfId="8525" xr:uid="{00000000-0005-0000-0000-00004D210000}"/>
    <cellStyle name="AggOrangeRBorder 4 4 2 49" xfId="8526" xr:uid="{00000000-0005-0000-0000-00004E210000}"/>
    <cellStyle name="AggOrangeRBorder 4 4 2 5" xfId="8527" xr:uid="{00000000-0005-0000-0000-00004F210000}"/>
    <cellStyle name="AggOrangeRBorder 4 4 2 50" xfId="8528" xr:uid="{00000000-0005-0000-0000-000050210000}"/>
    <cellStyle name="AggOrangeRBorder 4 4 2 51" xfId="8529" xr:uid="{00000000-0005-0000-0000-000051210000}"/>
    <cellStyle name="AggOrangeRBorder 4 4 2 52" xfId="8530" xr:uid="{00000000-0005-0000-0000-000052210000}"/>
    <cellStyle name="AggOrangeRBorder 4 4 2 53" xfId="8531" xr:uid="{00000000-0005-0000-0000-000053210000}"/>
    <cellStyle name="AggOrangeRBorder 4 4 2 54" xfId="8532" xr:uid="{00000000-0005-0000-0000-000054210000}"/>
    <cellStyle name="AggOrangeRBorder 4 4 2 55" xfId="8533" xr:uid="{00000000-0005-0000-0000-000055210000}"/>
    <cellStyle name="AggOrangeRBorder 4 4 2 56" xfId="8534" xr:uid="{00000000-0005-0000-0000-000056210000}"/>
    <cellStyle name="AggOrangeRBorder 4 4 2 57" xfId="8535" xr:uid="{00000000-0005-0000-0000-000057210000}"/>
    <cellStyle name="AggOrangeRBorder 4 4 2 58" xfId="8536" xr:uid="{00000000-0005-0000-0000-000058210000}"/>
    <cellStyle name="AggOrangeRBorder 4 4 2 59" xfId="8537" xr:uid="{00000000-0005-0000-0000-000059210000}"/>
    <cellStyle name="AggOrangeRBorder 4 4 2 6" xfId="8538" xr:uid="{00000000-0005-0000-0000-00005A210000}"/>
    <cellStyle name="AggOrangeRBorder 4 4 2 60" xfId="8539" xr:uid="{00000000-0005-0000-0000-00005B210000}"/>
    <cellStyle name="AggOrangeRBorder 4 4 2 61" xfId="8540" xr:uid="{00000000-0005-0000-0000-00005C210000}"/>
    <cellStyle name="AggOrangeRBorder 4 4 2 62" xfId="8541" xr:uid="{00000000-0005-0000-0000-00005D210000}"/>
    <cellStyle name="AggOrangeRBorder 4 4 2 63" xfId="8542" xr:uid="{00000000-0005-0000-0000-00005E210000}"/>
    <cellStyle name="AggOrangeRBorder 4 4 2 64" xfId="8543" xr:uid="{00000000-0005-0000-0000-00005F210000}"/>
    <cellStyle name="AggOrangeRBorder 4 4 2 65" xfId="8544" xr:uid="{00000000-0005-0000-0000-000060210000}"/>
    <cellStyle name="AggOrangeRBorder 4 4 2 7" xfId="8545" xr:uid="{00000000-0005-0000-0000-000061210000}"/>
    <cellStyle name="AggOrangeRBorder 4 4 2 8" xfId="8546" xr:uid="{00000000-0005-0000-0000-000062210000}"/>
    <cellStyle name="AggOrangeRBorder 4 4 2 9" xfId="8547" xr:uid="{00000000-0005-0000-0000-000063210000}"/>
    <cellStyle name="AggOrangeRBorder 4 4 20" xfId="8548" xr:uid="{00000000-0005-0000-0000-000064210000}"/>
    <cellStyle name="AggOrangeRBorder 4 4 21" xfId="8549" xr:uid="{00000000-0005-0000-0000-000065210000}"/>
    <cellStyle name="AggOrangeRBorder 4 4 22" xfId="8550" xr:uid="{00000000-0005-0000-0000-000066210000}"/>
    <cellStyle name="AggOrangeRBorder 4 4 23" xfId="8551" xr:uid="{00000000-0005-0000-0000-000067210000}"/>
    <cellStyle name="AggOrangeRBorder 4 4 24" xfId="8552" xr:uid="{00000000-0005-0000-0000-000068210000}"/>
    <cellStyle name="AggOrangeRBorder 4 4 25" xfId="8553" xr:uid="{00000000-0005-0000-0000-000069210000}"/>
    <cellStyle name="AggOrangeRBorder 4 4 26" xfId="8554" xr:uid="{00000000-0005-0000-0000-00006A210000}"/>
    <cellStyle name="AggOrangeRBorder 4 4 27" xfId="8555" xr:uid="{00000000-0005-0000-0000-00006B210000}"/>
    <cellStyle name="AggOrangeRBorder 4 4 28" xfId="8556" xr:uid="{00000000-0005-0000-0000-00006C210000}"/>
    <cellStyle name="AggOrangeRBorder 4 4 29" xfId="8557" xr:uid="{00000000-0005-0000-0000-00006D210000}"/>
    <cellStyle name="AggOrangeRBorder 4 4 3" xfId="8558" xr:uid="{00000000-0005-0000-0000-00006E210000}"/>
    <cellStyle name="AggOrangeRBorder 4 4 30" xfId="8559" xr:uid="{00000000-0005-0000-0000-00006F210000}"/>
    <cellStyle name="AggOrangeRBorder 4 4 31" xfId="8560" xr:uid="{00000000-0005-0000-0000-000070210000}"/>
    <cellStyle name="AggOrangeRBorder 4 4 32" xfId="8561" xr:uid="{00000000-0005-0000-0000-000071210000}"/>
    <cellStyle name="AggOrangeRBorder 4 4 33" xfId="8562" xr:uid="{00000000-0005-0000-0000-000072210000}"/>
    <cellStyle name="AggOrangeRBorder 4 4 34" xfId="8563" xr:uid="{00000000-0005-0000-0000-000073210000}"/>
    <cellStyle name="AggOrangeRBorder 4 4 35" xfId="8564" xr:uid="{00000000-0005-0000-0000-000074210000}"/>
    <cellStyle name="AggOrangeRBorder 4 4 36" xfId="8565" xr:uid="{00000000-0005-0000-0000-000075210000}"/>
    <cellStyle name="AggOrangeRBorder 4 4 37" xfId="8566" xr:uid="{00000000-0005-0000-0000-000076210000}"/>
    <cellStyle name="AggOrangeRBorder 4 4 38" xfId="8567" xr:uid="{00000000-0005-0000-0000-000077210000}"/>
    <cellStyle name="AggOrangeRBorder 4 4 39" xfId="8568" xr:uid="{00000000-0005-0000-0000-000078210000}"/>
    <cellStyle name="AggOrangeRBorder 4 4 4" xfId="8569" xr:uid="{00000000-0005-0000-0000-000079210000}"/>
    <cellStyle name="AggOrangeRBorder 4 4 40" xfId="8570" xr:uid="{00000000-0005-0000-0000-00007A210000}"/>
    <cellStyle name="AggOrangeRBorder 4 4 41" xfId="8571" xr:uid="{00000000-0005-0000-0000-00007B210000}"/>
    <cellStyle name="AggOrangeRBorder 4 4 42" xfId="8572" xr:uid="{00000000-0005-0000-0000-00007C210000}"/>
    <cellStyle name="AggOrangeRBorder 4 4 43" xfId="8573" xr:uid="{00000000-0005-0000-0000-00007D210000}"/>
    <cellStyle name="AggOrangeRBorder 4 4 44" xfId="8574" xr:uid="{00000000-0005-0000-0000-00007E210000}"/>
    <cellStyle name="AggOrangeRBorder 4 4 45" xfId="8575" xr:uid="{00000000-0005-0000-0000-00007F210000}"/>
    <cellStyle name="AggOrangeRBorder 4 4 46" xfId="8576" xr:uid="{00000000-0005-0000-0000-000080210000}"/>
    <cellStyle name="AggOrangeRBorder 4 4 47" xfId="8577" xr:uid="{00000000-0005-0000-0000-000081210000}"/>
    <cellStyle name="AggOrangeRBorder 4 4 48" xfId="8578" xr:uid="{00000000-0005-0000-0000-000082210000}"/>
    <cellStyle name="AggOrangeRBorder 4 4 49" xfId="8579" xr:uid="{00000000-0005-0000-0000-000083210000}"/>
    <cellStyle name="AggOrangeRBorder 4 4 5" xfId="8580" xr:uid="{00000000-0005-0000-0000-000084210000}"/>
    <cellStyle name="AggOrangeRBorder 4 4 50" xfId="8581" xr:uid="{00000000-0005-0000-0000-000085210000}"/>
    <cellStyle name="AggOrangeRBorder 4 4 51" xfId="8582" xr:uid="{00000000-0005-0000-0000-000086210000}"/>
    <cellStyle name="AggOrangeRBorder 4 4 52" xfId="8583" xr:uid="{00000000-0005-0000-0000-000087210000}"/>
    <cellStyle name="AggOrangeRBorder 4 4 53" xfId="8584" xr:uid="{00000000-0005-0000-0000-000088210000}"/>
    <cellStyle name="AggOrangeRBorder 4 4 54" xfId="8585" xr:uid="{00000000-0005-0000-0000-000089210000}"/>
    <cellStyle name="AggOrangeRBorder 4 4 55" xfId="8586" xr:uid="{00000000-0005-0000-0000-00008A210000}"/>
    <cellStyle name="AggOrangeRBorder 4 4 56" xfId="8587" xr:uid="{00000000-0005-0000-0000-00008B210000}"/>
    <cellStyle name="AggOrangeRBorder 4 4 57" xfId="8588" xr:uid="{00000000-0005-0000-0000-00008C210000}"/>
    <cellStyle name="AggOrangeRBorder 4 4 58" xfId="8589" xr:uid="{00000000-0005-0000-0000-00008D210000}"/>
    <cellStyle name="AggOrangeRBorder 4 4 59" xfId="8590" xr:uid="{00000000-0005-0000-0000-00008E210000}"/>
    <cellStyle name="AggOrangeRBorder 4 4 6" xfId="8591" xr:uid="{00000000-0005-0000-0000-00008F210000}"/>
    <cellStyle name="AggOrangeRBorder 4 4 60" xfId="8592" xr:uid="{00000000-0005-0000-0000-000090210000}"/>
    <cellStyle name="AggOrangeRBorder 4 4 61" xfId="8593" xr:uid="{00000000-0005-0000-0000-000091210000}"/>
    <cellStyle name="AggOrangeRBorder 4 4 62" xfId="8594" xr:uid="{00000000-0005-0000-0000-000092210000}"/>
    <cellStyle name="AggOrangeRBorder 4 4 63" xfId="8595" xr:uid="{00000000-0005-0000-0000-000093210000}"/>
    <cellStyle name="AggOrangeRBorder 4 4 64" xfId="8596" xr:uid="{00000000-0005-0000-0000-000094210000}"/>
    <cellStyle name="AggOrangeRBorder 4 4 65" xfId="8597" xr:uid="{00000000-0005-0000-0000-000095210000}"/>
    <cellStyle name="AggOrangeRBorder 4 4 66" xfId="8598" xr:uid="{00000000-0005-0000-0000-000096210000}"/>
    <cellStyle name="AggOrangeRBorder 4 4 7" xfId="8599" xr:uid="{00000000-0005-0000-0000-000097210000}"/>
    <cellStyle name="AggOrangeRBorder 4 4 8" xfId="8600" xr:uid="{00000000-0005-0000-0000-000098210000}"/>
    <cellStyle name="AggOrangeRBorder 4 4 9" xfId="8601" xr:uid="{00000000-0005-0000-0000-000099210000}"/>
    <cellStyle name="AggOrangeRBorder 4 40" xfId="8602" xr:uid="{00000000-0005-0000-0000-00009A210000}"/>
    <cellStyle name="AggOrangeRBorder 4 41" xfId="8603" xr:uid="{00000000-0005-0000-0000-00009B210000}"/>
    <cellStyle name="AggOrangeRBorder 4 42" xfId="8604" xr:uid="{00000000-0005-0000-0000-00009C210000}"/>
    <cellStyle name="AggOrangeRBorder 4 43" xfId="8605" xr:uid="{00000000-0005-0000-0000-00009D210000}"/>
    <cellStyle name="AggOrangeRBorder 4 44" xfId="8606" xr:uid="{00000000-0005-0000-0000-00009E210000}"/>
    <cellStyle name="AggOrangeRBorder 4 45" xfId="8607" xr:uid="{00000000-0005-0000-0000-00009F210000}"/>
    <cellStyle name="AggOrangeRBorder 4 46" xfId="8608" xr:uid="{00000000-0005-0000-0000-0000A0210000}"/>
    <cellStyle name="AggOrangeRBorder 4 47" xfId="8609" xr:uid="{00000000-0005-0000-0000-0000A1210000}"/>
    <cellStyle name="AggOrangeRBorder 4 48" xfId="8610" xr:uid="{00000000-0005-0000-0000-0000A2210000}"/>
    <cellStyle name="AggOrangeRBorder 4 49" xfId="8611" xr:uid="{00000000-0005-0000-0000-0000A3210000}"/>
    <cellStyle name="AggOrangeRBorder 4 5" xfId="8612" xr:uid="{00000000-0005-0000-0000-0000A4210000}"/>
    <cellStyle name="AggOrangeRBorder 4 5 2" xfId="8613" xr:uid="{00000000-0005-0000-0000-0000A5210000}"/>
    <cellStyle name="AggOrangeRBorder 4 5 3" xfId="8614" xr:uid="{00000000-0005-0000-0000-0000A6210000}"/>
    <cellStyle name="AggOrangeRBorder 4 5 4" xfId="8615" xr:uid="{00000000-0005-0000-0000-0000A7210000}"/>
    <cellStyle name="AggOrangeRBorder 4 5 5" xfId="8616" xr:uid="{00000000-0005-0000-0000-0000A8210000}"/>
    <cellStyle name="AggOrangeRBorder 4 5 6" xfId="8617" xr:uid="{00000000-0005-0000-0000-0000A9210000}"/>
    <cellStyle name="AggOrangeRBorder 4 50" xfId="8618" xr:uid="{00000000-0005-0000-0000-0000AA210000}"/>
    <cellStyle name="AggOrangeRBorder 4 51" xfId="8619" xr:uid="{00000000-0005-0000-0000-0000AB210000}"/>
    <cellStyle name="AggOrangeRBorder 4 52" xfId="8620" xr:uid="{00000000-0005-0000-0000-0000AC210000}"/>
    <cellStyle name="AggOrangeRBorder 4 53" xfId="8621" xr:uid="{00000000-0005-0000-0000-0000AD210000}"/>
    <cellStyle name="AggOrangeRBorder 4 54" xfId="8622" xr:uid="{00000000-0005-0000-0000-0000AE210000}"/>
    <cellStyle name="AggOrangeRBorder 4 55" xfId="8623" xr:uid="{00000000-0005-0000-0000-0000AF210000}"/>
    <cellStyle name="AggOrangeRBorder 4 56" xfId="8624" xr:uid="{00000000-0005-0000-0000-0000B0210000}"/>
    <cellStyle name="AggOrangeRBorder 4 57" xfId="8625" xr:uid="{00000000-0005-0000-0000-0000B1210000}"/>
    <cellStyle name="AggOrangeRBorder 4 58" xfId="8626" xr:uid="{00000000-0005-0000-0000-0000B2210000}"/>
    <cellStyle name="AggOrangeRBorder 4 59" xfId="8627" xr:uid="{00000000-0005-0000-0000-0000B3210000}"/>
    <cellStyle name="AggOrangeRBorder 4 6" xfId="8628" xr:uid="{00000000-0005-0000-0000-0000B4210000}"/>
    <cellStyle name="AggOrangeRBorder 4 60" xfId="8629" xr:uid="{00000000-0005-0000-0000-0000B5210000}"/>
    <cellStyle name="AggOrangeRBorder 4 61" xfId="8630" xr:uid="{00000000-0005-0000-0000-0000B6210000}"/>
    <cellStyle name="AggOrangeRBorder 4 62" xfId="8631" xr:uid="{00000000-0005-0000-0000-0000B7210000}"/>
    <cellStyle name="AggOrangeRBorder 4 63" xfId="8632" xr:uid="{00000000-0005-0000-0000-0000B8210000}"/>
    <cellStyle name="AggOrangeRBorder 4 64" xfId="8633" xr:uid="{00000000-0005-0000-0000-0000B9210000}"/>
    <cellStyle name="AggOrangeRBorder 4 65" xfId="8634" xr:uid="{00000000-0005-0000-0000-0000BA210000}"/>
    <cellStyle name="AggOrangeRBorder 4 66" xfId="8635" xr:uid="{00000000-0005-0000-0000-0000BB210000}"/>
    <cellStyle name="AggOrangeRBorder 4 67" xfId="8636" xr:uid="{00000000-0005-0000-0000-0000BC210000}"/>
    <cellStyle name="AggOrangeRBorder 4 68" xfId="8637" xr:uid="{00000000-0005-0000-0000-0000BD210000}"/>
    <cellStyle name="AggOrangeRBorder 4 69" xfId="8638" xr:uid="{00000000-0005-0000-0000-0000BE210000}"/>
    <cellStyle name="AggOrangeRBorder 4 7" xfId="8639" xr:uid="{00000000-0005-0000-0000-0000BF210000}"/>
    <cellStyle name="AggOrangeRBorder 4 8" xfId="8640" xr:uid="{00000000-0005-0000-0000-0000C0210000}"/>
    <cellStyle name="AggOrangeRBorder 4 9" xfId="8641" xr:uid="{00000000-0005-0000-0000-0000C1210000}"/>
    <cellStyle name="AggOrangeRBorder 5" xfId="8642" xr:uid="{00000000-0005-0000-0000-0000C2210000}"/>
    <cellStyle name="AggOrangeRBorder 5 2" xfId="8643" xr:uid="{00000000-0005-0000-0000-0000C3210000}"/>
    <cellStyle name="AggOrangeRBorder 5 3" xfId="8644" xr:uid="{00000000-0005-0000-0000-0000C4210000}"/>
    <cellStyle name="AggOrangeRBorder 5 4" xfId="8645" xr:uid="{00000000-0005-0000-0000-0000C5210000}"/>
    <cellStyle name="AggOrangeRBorder 5 5" xfId="8646" xr:uid="{00000000-0005-0000-0000-0000C6210000}"/>
    <cellStyle name="AggOrangeRBorder 5 6" xfId="8647" xr:uid="{00000000-0005-0000-0000-0000C7210000}"/>
    <cellStyle name="AggOrangeRBorder_CRFReport-template" xfId="8648" xr:uid="{00000000-0005-0000-0000-0000C8210000}"/>
    <cellStyle name="Akzent1" xfId="8649" xr:uid="{00000000-0005-0000-0000-0000C9210000}"/>
    <cellStyle name="Akzent2" xfId="8650" xr:uid="{00000000-0005-0000-0000-0000CA210000}"/>
    <cellStyle name="Akzent3" xfId="8651" xr:uid="{00000000-0005-0000-0000-0000CB210000}"/>
    <cellStyle name="Akzent4" xfId="8652" xr:uid="{00000000-0005-0000-0000-0000CC210000}"/>
    <cellStyle name="Akzent5" xfId="8653" xr:uid="{00000000-0005-0000-0000-0000CD210000}"/>
    <cellStyle name="Akzent6" xfId="8654" xr:uid="{00000000-0005-0000-0000-0000CE210000}"/>
    <cellStyle name="Ausgabe" xfId="8655" xr:uid="{00000000-0005-0000-0000-0000CF210000}"/>
    <cellStyle name="Ausgabe 2" xfId="8656" xr:uid="{00000000-0005-0000-0000-0000D0210000}"/>
    <cellStyle name="Ausgabe 2 10" xfId="8657" xr:uid="{00000000-0005-0000-0000-0000D1210000}"/>
    <cellStyle name="Ausgabe 2 11" xfId="8658" xr:uid="{00000000-0005-0000-0000-0000D2210000}"/>
    <cellStyle name="Ausgabe 2 12" xfId="8659" xr:uid="{00000000-0005-0000-0000-0000D3210000}"/>
    <cellStyle name="Ausgabe 2 13" xfId="8660" xr:uid="{00000000-0005-0000-0000-0000D4210000}"/>
    <cellStyle name="Ausgabe 2 14" xfId="8661" xr:uid="{00000000-0005-0000-0000-0000D5210000}"/>
    <cellStyle name="Ausgabe 2 15" xfId="8662" xr:uid="{00000000-0005-0000-0000-0000D6210000}"/>
    <cellStyle name="Ausgabe 2 16" xfId="8663" xr:uid="{00000000-0005-0000-0000-0000D7210000}"/>
    <cellStyle name="Ausgabe 2 17" xfId="8664" xr:uid="{00000000-0005-0000-0000-0000D8210000}"/>
    <cellStyle name="Ausgabe 2 18" xfId="8665" xr:uid="{00000000-0005-0000-0000-0000D9210000}"/>
    <cellStyle name="Ausgabe 2 19" xfId="8666" xr:uid="{00000000-0005-0000-0000-0000DA210000}"/>
    <cellStyle name="Ausgabe 2 2" xfId="8667" xr:uid="{00000000-0005-0000-0000-0000DB210000}"/>
    <cellStyle name="Ausgabe 2 2 10" xfId="8668" xr:uid="{00000000-0005-0000-0000-0000DC210000}"/>
    <cellStyle name="Ausgabe 2 2 11" xfId="8669" xr:uid="{00000000-0005-0000-0000-0000DD210000}"/>
    <cellStyle name="Ausgabe 2 2 12" xfId="8670" xr:uid="{00000000-0005-0000-0000-0000DE210000}"/>
    <cellStyle name="Ausgabe 2 2 13" xfId="8671" xr:uid="{00000000-0005-0000-0000-0000DF210000}"/>
    <cellStyle name="Ausgabe 2 2 14" xfId="8672" xr:uid="{00000000-0005-0000-0000-0000E0210000}"/>
    <cellStyle name="Ausgabe 2 2 15" xfId="8673" xr:uid="{00000000-0005-0000-0000-0000E1210000}"/>
    <cellStyle name="Ausgabe 2 2 16" xfId="8674" xr:uid="{00000000-0005-0000-0000-0000E2210000}"/>
    <cellStyle name="Ausgabe 2 2 17" xfId="8675" xr:uid="{00000000-0005-0000-0000-0000E3210000}"/>
    <cellStyle name="Ausgabe 2 2 18" xfId="8676" xr:uid="{00000000-0005-0000-0000-0000E4210000}"/>
    <cellStyle name="Ausgabe 2 2 19" xfId="8677" xr:uid="{00000000-0005-0000-0000-0000E5210000}"/>
    <cellStyle name="Ausgabe 2 2 2" xfId="8678" xr:uid="{00000000-0005-0000-0000-0000E6210000}"/>
    <cellStyle name="Ausgabe 2 2 2 10" xfId="8679" xr:uid="{00000000-0005-0000-0000-0000E7210000}"/>
    <cellStyle name="Ausgabe 2 2 2 11" xfId="8680" xr:uid="{00000000-0005-0000-0000-0000E8210000}"/>
    <cellStyle name="Ausgabe 2 2 2 12" xfId="8681" xr:uid="{00000000-0005-0000-0000-0000E9210000}"/>
    <cellStyle name="Ausgabe 2 2 2 13" xfId="8682" xr:uid="{00000000-0005-0000-0000-0000EA210000}"/>
    <cellStyle name="Ausgabe 2 2 2 14" xfId="8683" xr:uid="{00000000-0005-0000-0000-0000EB210000}"/>
    <cellStyle name="Ausgabe 2 2 2 15" xfId="8684" xr:uid="{00000000-0005-0000-0000-0000EC210000}"/>
    <cellStyle name="Ausgabe 2 2 2 16" xfId="8685" xr:uid="{00000000-0005-0000-0000-0000ED210000}"/>
    <cellStyle name="Ausgabe 2 2 2 17" xfId="8686" xr:uid="{00000000-0005-0000-0000-0000EE210000}"/>
    <cellStyle name="Ausgabe 2 2 2 18" xfId="8687" xr:uid="{00000000-0005-0000-0000-0000EF210000}"/>
    <cellStyle name="Ausgabe 2 2 2 19" xfId="8688" xr:uid="{00000000-0005-0000-0000-0000F0210000}"/>
    <cellStyle name="Ausgabe 2 2 2 2" xfId="8689" xr:uid="{00000000-0005-0000-0000-0000F1210000}"/>
    <cellStyle name="Ausgabe 2 2 2 20" xfId="8690" xr:uid="{00000000-0005-0000-0000-0000F2210000}"/>
    <cellStyle name="Ausgabe 2 2 2 21" xfId="8691" xr:uid="{00000000-0005-0000-0000-0000F3210000}"/>
    <cellStyle name="Ausgabe 2 2 2 22" xfId="8692" xr:uid="{00000000-0005-0000-0000-0000F4210000}"/>
    <cellStyle name="Ausgabe 2 2 2 23" xfId="8693" xr:uid="{00000000-0005-0000-0000-0000F5210000}"/>
    <cellStyle name="Ausgabe 2 2 2 24" xfId="8694" xr:uid="{00000000-0005-0000-0000-0000F6210000}"/>
    <cellStyle name="Ausgabe 2 2 2 25" xfId="8695" xr:uid="{00000000-0005-0000-0000-0000F7210000}"/>
    <cellStyle name="Ausgabe 2 2 2 26" xfId="8696" xr:uid="{00000000-0005-0000-0000-0000F8210000}"/>
    <cellStyle name="Ausgabe 2 2 2 27" xfId="8697" xr:uid="{00000000-0005-0000-0000-0000F9210000}"/>
    <cellStyle name="Ausgabe 2 2 2 28" xfId="8698" xr:uid="{00000000-0005-0000-0000-0000FA210000}"/>
    <cellStyle name="Ausgabe 2 2 2 29" xfId="8699" xr:uid="{00000000-0005-0000-0000-0000FB210000}"/>
    <cellStyle name="Ausgabe 2 2 2 3" xfId="8700" xr:uid="{00000000-0005-0000-0000-0000FC210000}"/>
    <cellStyle name="Ausgabe 2 2 2 30" xfId="8701" xr:uid="{00000000-0005-0000-0000-0000FD210000}"/>
    <cellStyle name="Ausgabe 2 2 2 31" xfId="8702" xr:uid="{00000000-0005-0000-0000-0000FE210000}"/>
    <cellStyle name="Ausgabe 2 2 2 32" xfId="8703" xr:uid="{00000000-0005-0000-0000-0000FF210000}"/>
    <cellStyle name="Ausgabe 2 2 2 33" xfId="8704" xr:uid="{00000000-0005-0000-0000-000000220000}"/>
    <cellStyle name="Ausgabe 2 2 2 34" xfId="8705" xr:uid="{00000000-0005-0000-0000-000001220000}"/>
    <cellStyle name="Ausgabe 2 2 2 35" xfId="8706" xr:uid="{00000000-0005-0000-0000-000002220000}"/>
    <cellStyle name="Ausgabe 2 2 2 36" xfId="8707" xr:uid="{00000000-0005-0000-0000-000003220000}"/>
    <cellStyle name="Ausgabe 2 2 2 37" xfId="8708" xr:uid="{00000000-0005-0000-0000-000004220000}"/>
    <cellStyle name="Ausgabe 2 2 2 38" xfId="8709" xr:uid="{00000000-0005-0000-0000-000005220000}"/>
    <cellStyle name="Ausgabe 2 2 2 39" xfId="8710" xr:uid="{00000000-0005-0000-0000-000006220000}"/>
    <cellStyle name="Ausgabe 2 2 2 4" xfId="8711" xr:uid="{00000000-0005-0000-0000-000007220000}"/>
    <cellStyle name="Ausgabe 2 2 2 40" xfId="8712" xr:uid="{00000000-0005-0000-0000-000008220000}"/>
    <cellStyle name="Ausgabe 2 2 2 41" xfId="8713" xr:uid="{00000000-0005-0000-0000-000009220000}"/>
    <cellStyle name="Ausgabe 2 2 2 42" xfId="8714" xr:uid="{00000000-0005-0000-0000-00000A220000}"/>
    <cellStyle name="Ausgabe 2 2 2 43" xfId="8715" xr:uid="{00000000-0005-0000-0000-00000B220000}"/>
    <cellStyle name="Ausgabe 2 2 2 44" xfId="8716" xr:uid="{00000000-0005-0000-0000-00000C220000}"/>
    <cellStyle name="Ausgabe 2 2 2 45" xfId="8717" xr:uid="{00000000-0005-0000-0000-00000D220000}"/>
    <cellStyle name="Ausgabe 2 2 2 46" xfId="8718" xr:uid="{00000000-0005-0000-0000-00000E220000}"/>
    <cellStyle name="Ausgabe 2 2 2 47" xfId="8719" xr:uid="{00000000-0005-0000-0000-00000F220000}"/>
    <cellStyle name="Ausgabe 2 2 2 48" xfId="8720" xr:uid="{00000000-0005-0000-0000-000010220000}"/>
    <cellStyle name="Ausgabe 2 2 2 49" xfId="8721" xr:uid="{00000000-0005-0000-0000-000011220000}"/>
    <cellStyle name="Ausgabe 2 2 2 5" xfId="8722" xr:uid="{00000000-0005-0000-0000-000012220000}"/>
    <cellStyle name="Ausgabe 2 2 2 50" xfId="8723" xr:uid="{00000000-0005-0000-0000-000013220000}"/>
    <cellStyle name="Ausgabe 2 2 2 51" xfId="8724" xr:uid="{00000000-0005-0000-0000-000014220000}"/>
    <cellStyle name="Ausgabe 2 2 2 52" xfId="8725" xr:uid="{00000000-0005-0000-0000-000015220000}"/>
    <cellStyle name="Ausgabe 2 2 2 53" xfId="8726" xr:uid="{00000000-0005-0000-0000-000016220000}"/>
    <cellStyle name="Ausgabe 2 2 2 54" xfId="8727" xr:uid="{00000000-0005-0000-0000-000017220000}"/>
    <cellStyle name="Ausgabe 2 2 2 55" xfId="8728" xr:uid="{00000000-0005-0000-0000-000018220000}"/>
    <cellStyle name="Ausgabe 2 2 2 56" xfId="8729" xr:uid="{00000000-0005-0000-0000-000019220000}"/>
    <cellStyle name="Ausgabe 2 2 2 57" xfId="8730" xr:uid="{00000000-0005-0000-0000-00001A220000}"/>
    <cellStyle name="Ausgabe 2 2 2 58" xfId="8731" xr:uid="{00000000-0005-0000-0000-00001B220000}"/>
    <cellStyle name="Ausgabe 2 2 2 59" xfId="8732" xr:uid="{00000000-0005-0000-0000-00001C220000}"/>
    <cellStyle name="Ausgabe 2 2 2 6" xfId="8733" xr:uid="{00000000-0005-0000-0000-00001D220000}"/>
    <cellStyle name="Ausgabe 2 2 2 60" xfId="8734" xr:uid="{00000000-0005-0000-0000-00001E220000}"/>
    <cellStyle name="Ausgabe 2 2 2 61" xfId="8735" xr:uid="{00000000-0005-0000-0000-00001F220000}"/>
    <cellStyle name="Ausgabe 2 2 2 62" xfId="8736" xr:uid="{00000000-0005-0000-0000-000020220000}"/>
    <cellStyle name="Ausgabe 2 2 2 63" xfId="8737" xr:uid="{00000000-0005-0000-0000-000021220000}"/>
    <cellStyle name="Ausgabe 2 2 2 64" xfId="8738" xr:uid="{00000000-0005-0000-0000-000022220000}"/>
    <cellStyle name="Ausgabe 2 2 2 65" xfId="8739" xr:uid="{00000000-0005-0000-0000-000023220000}"/>
    <cellStyle name="Ausgabe 2 2 2 7" xfId="8740" xr:uid="{00000000-0005-0000-0000-000024220000}"/>
    <cellStyle name="Ausgabe 2 2 2 8" xfId="8741" xr:uid="{00000000-0005-0000-0000-000025220000}"/>
    <cellStyle name="Ausgabe 2 2 2 9" xfId="8742" xr:uid="{00000000-0005-0000-0000-000026220000}"/>
    <cellStyle name="Ausgabe 2 2 20" xfId="8743" xr:uid="{00000000-0005-0000-0000-000027220000}"/>
    <cellStyle name="Ausgabe 2 2 21" xfId="8744" xr:uid="{00000000-0005-0000-0000-000028220000}"/>
    <cellStyle name="Ausgabe 2 2 22" xfId="8745" xr:uid="{00000000-0005-0000-0000-000029220000}"/>
    <cellStyle name="Ausgabe 2 2 23" xfId="8746" xr:uid="{00000000-0005-0000-0000-00002A220000}"/>
    <cellStyle name="Ausgabe 2 2 24" xfId="8747" xr:uid="{00000000-0005-0000-0000-00002B220000}"/>
    <cellStyle name="Ausgabe 2 2 25" xfId="8748" xr:uid="{00000000-0005-0000-0000-00002C220000}"/>
    <cellStyle name="Ausgabe 2 2 26" xfId="8749" xr:uid="{00000000-0005-0000-0000-00002D220000}"/>
    <cellStyle name="Ausgabe 2 2 27" xfId="8750" xr:uid="{00000000-0005-0000-0000-00002E220000}"/>
    <cellStyle name="Ausgabe 2 2 28" xfId="8751" xr:uid="{00000000-0005-0000-0000-00002F220000}"/>
    <cellStyle name="Ausgabe 2 2 29" xfId="8752" xr:uid="{00000000-0005-0000-0000-000030220000}"/>
    <cellStyle name="Ausgabe 2 2 3" xfId="8753" xr:uid="{00000000-0005-0000-0000-000031220000}"/>
    <cellStyle name="Ausgabe 2 2 30" xfId="8754" xr:uid="{00000000-0005-0000-0000-000032220000}"/>
    <cellStyle name="Ausgabe 2 2 31" xfId="8755" xr:uid="{00000000-0005-0000-0000-000033220000}"/>
    <cellStyle name="Ausgabe 2 2 32" xfId="8756" xr:uid="{00000000-0005-0000-0000-000034220000}"/>
    <cellStyle name="Ausgabe 2 2 33" xfId="8757" xr:uid="{00000000-0005-0000-0000-000035220000}"/>
    <cellStyle name="Ausgabe 2 2 34" xfId="8758" xr:uid="{00000000-0005-0000-0000-000036220000}"/>
    <cellStyle name="Ausgabe 2 2 35" xfId="8759" xr:uid="{00000000-0005-0000-0000-000037220000}"/>
    <cellStyle name="Ausgabe 2 2 36" xfId="8760" xr:uid="{00000000-0005-0000-0000-000038220000}"/>
    <cellStyle name="Ausgabe 2 2 37" xfId="8761" xr:uid="{00000000-0005-0000-0000-000039220000}"/>
    <cellStyle name="Ausgabe 2 2 38" xfId="8762" xr:uid="{00000000-0005-0000-0000-00003A220000}"/>
    <cellStyle name="Ausgabe 2 2 39" xfId="8763" xr:uid="{00000000-0005-0000-0000-00003B220000}"/>
    <cellStyle name="Ausgabe 2 2 4" xfId="8764" xr:uid="{00000000-0005-0000-0000-00003C220000}"/>
    <cellStyle name="Ausgabe 2 2 40" xfId="8765" xr:uid="{00000000-0005-0000-0000-00003D220000}"/>
    <cellStyle name="Ausgabe 2 2 41" xfId="8766" xr:uid="{00000000-0005-0000-0000-00003E220000}"/>
    <cellStyle name="Ausgabe 2 2 42" xfId="8767" xr:uid="{00000000-0005-0000-0000-00003F220000}"/>
    <cellStyle name="Ausgabe 2 2 43" xfId="8768" xr:uid="{00000000-0005-0000-0000-000040220000}"/>
    <cellStyle name="Ausgabe 2 2 44" xfId="8769" xr:uid="{00000000-0005-0000-0000-000041220000}"/>
    <cellStyle name="Ausgabe 2 2 45" xfId="8770" xr:uid="{00000000-0005-0000-0000-000042220000}"/>
    <cellStyle name="Ausgabe 2 2 46" xfId="8771" xr:uid="{00000000-0005-0000-0000-000043220000}"/>
    <cellStyle name="Ausgabe 2 2 47" xfId="8772" xr:uid="{00000000-0005-0000-0000-000044220000}"/>
    <cellStyle name="Ausgabe 2 2 48" xfId="8773" xr:uid="{00000000-0005-0000-0000-000045220000}"/>
    <cellStyle name="Ausgabe 2 2 49" xfId="8774" xr:uid="{00000000-0005-0000-0000-000046220000}"/>
    <cellStyle name="Ausgabe 2 2 5" xfId="8775" xr:uid="{00000000-0005-0000-0000-000047220000}"/>
    <cellStyle name="Ausgabe 2 2 50" xfId="8776" xr:uid="{00000000-0005-0000-0000-000048220000}"/>
    <cellStyle name="Ausgabe 2 2 51" xfId="8777" xr:uid="{00000000-0005-0000-0000-000049220000}"/>
    <cellStyle name="Ausgabe 2 2 52" xfId="8778" xr:uid="{00000000-0005-0000-0000-00004A220000}"/>
    <cellStyle name="Ausgabe 2 2 53" xfId="8779" xr:uid="{00000000-0005-0000-0000-00004B220000}"/>
    <cellStyle name="Ausgabe 2 2 54" xfId="8780" xr:uid="{00000000-0005-0000-0000-00004C220000}"/>
    <cellStyle name="Ausgabe 2 2 55" xfId="8781" xr:uid="{00000000-0005-0000-0000-00004D220000}"/>
    <cellStyle name="Ausgabe 2 2 56" xfId="8782" xr:uid="{00000000-0005-0000-0000-00004E220000}"/>
    <cellStyle name="Ausgabe 2 2 57" xfId="8783" xr:uid="{00000000-0005-0000-0000-00004F220000}"/>
    <cellStyle name="Ausgabe 2 2 58" xfId="8784" xr:uid="{00000000-0005-0000-0000-000050220000}"/>
    <cellStyle name="Ausgabe 2 2 59" xfId="8785" xr:uid="{00000000-0005-0000-0000-000051220000}"/>
    <cellStyle name="Ausgabe 2 2 6" xfId="8786" xr:uid="{00000000-0005-0000-0000-000052220000}"/>
    <cellStyle name="Ausgabe 2 2 60" xfId="8787" xr:uid="{00000000-0005-0000-0000-000053220000}"/>
    <cellStyle name="Ausgabe 2 2 61" xfId="8788" xr:uid="{00000000-0005-0000-0000-000054220000}"/>
    <cellStyle name="Ausgabe 2 2 62" xfId="8789" xr:uid="{00000000-0005-0000-0000-000055220000}"/>
    <cellStyle name="Ausgabe 2 2 63" xfId="8790" xr:uid="{00000000-0005-0000-0000-000056220000}"/>
    <cellStyle name="Ausgabe 2 2 64" xfId="8791" xr:uid="{00000000-0005-0000-0000-000057220000}"/>
    <cellStyle name="Ausgabe 2 2 65" xfId="8792" xr:uid="{00000000-0005-0000-0000-000058220000}"/>
    <cellStyle name="Ausgabe 2 2 66" xfId="8793" xr:uid="{00000000-0005-0000-0000-000059220000}"/>
    <cellStyle name="Ausgabe 2 2 7" xfId="8794" xr:uid="{00000000-0005-0000-0000-00005A220000}"/>
    <cellStyle name="Ausgabe 2 2 8" xfId="8795" xr:uid="{00000000-0005-0000-0000-00005B220000}"/>
    <cellStyle name="Ausgabe 2 2 9" xfId="8796" xr:uid="{00000000-0005-0000-0000-00005C220000}"/>
    <cellStyle name="Ausgabe 2 20" xfId="8797" xr:uid="{00000000-0005-0000-0000-00005D220000}"/>
    <cellStyle name="Ausgabe 2 21" xfId="8798" xr:uid="{00000000-0005-0000-0000-00005E220000}"/>
    <cellStyle name="Ausgabe 2 22" xfId="8799" xr:uid="{00000000-0005-0000-0000-00005F220000}"/>
    <cellStyle name="Ausgabe 2 23" xfId="8800" xr:uid="{00000000-0005-0000-0000-000060220000}"/>
    <cellStyle name="Ausgabe 2 24" xfId="8801" xr:uid="{00000000-0005-0000-0000-000061220000}"/>
    <cellStyle name="Ausgabe 2 25" xfId="8802" xr:uid="{00000000-0005-0000-0000-000062220000}"/>
    <cellStyle name="Ausgabe 2 26" xfId="8803" xr:uid="{00000000-0005-0000-0000-000063220000}"/>
    <cellStyle name="Ausgabe 2 27" xfId="8804" xr:uid="{00000000-0005-0000-0000-000064220000}"/>
    <cellStyle name="Ausgabe 2 28" xfId="8805" xr:uid="{00000000-0005-0000-0000-000065220000}"/>
    <cellStyle name="Ausgabe 2 29" xfId="8806" xr:uid="{00000000-0005-0000-0000-000066220000}"/>
    <cellStyle name="Ausgabe 2 3" xfId="8807" xr:uid="{00000000-0005-0000-0000-000067220000}"/>
    <cellStyle name="Ausgabe 2 3 10" xfId="8808" xr:uid="{00000000-0005-0000-0000-000068220000}"/>
    <cellStyle name="Ausgabe 2 3 11" xfId="8809" xr:uid="{00000000-0005-0000-0000-000069220000}"/>
    <cellStyle name="Ausgabe 2 3 12" xfId="8810" xr:uid="{00000000-0005-0000-0000-00006A220000}"/>
    <cellStyle name="Ausgabe 2 3 13" xfId="8811" xr:uid="{00000000-0005-0000-0000-00006B220000}"/>
    <cellStyle name="Ausgabe 2 3 14" xfId="8812" xr:uid="{00000000-0005-0000-0000-00006C220000}"/>
    <cellStyle name="Ausgabe 2 3 15" xfId="8813" xr:uid="{00000000-0005-0000-0000-00006D220000}"/>
    <cellStyle name="Ausgabe 2 3 16" xfId="8814" xr:uid="{00000000-0005-0000-0000-00006E220000}"/>
    <cellStyle name="Ausgabe 2 3 17" xfId="8815" xr:uid="{00000000-0005-0000-0000-00006F220000}"/>
    <cellStyle name="Ausgabe 2 3 18" xfId="8816" xr:uid="{00000000-0005-0000-0000-000070220000}"/>
    <cellStyle name="Ausgabe 2 3 19" xfId="8817" xr:uid="{00000000-0005-0000-0000-000071220000}"/>
    <cellStyle name="Ausgabe 2 3 2" xfId="8818" xr:uid="{00000000-0005-0000-0000-000072220000}"/>
    <cellStyle name="Ausgabe 2 3 2 10" xfId="8819" xr:uid="{00000000-0005-0000-0000-000073220000}"/>
    <cellStyle name="Ausgabe 2 3 2 11" xfId="8820" xr:uid="{00000000-0005-0000-0000-000074220000}"/>
    <cellStyle name="Ausgabe 2 3 2 12" xfId="8821" xr:uid="{00000000-0005-0000-0000-000075220000}"/>
    <cellStyle name="Ausgabe 2 3 2 13" xfId="8822" xr:uid="{00000000-0005-0000-0000-000076220000}"/>
    <cellStyle name="Ausgabe 2 3 2 14" xfId="8823" xr:uid="{00000000-0005-0000-0000-000077220000}"/>
    <cellStyle name="Ausgabe 2 3 2 15" xfId="8824" xr:uid="{00000000-0005-0000-0000-000078220000}"/>
    <cellStyle name="Ausgabe 2 3 2 16" xfId="8825" xr:uid="{00000000-0005-0000-0000-000079220000}"/>
    <cellStyle name="Ausgabe 2 3 2 17" xfId="8826" xr:uid="{00000000-0005-0000-0000-00007A220000}"/>
    <cellStyle name="Ausgabe 2 3 2 18" xfId="8827" xr:uid="{00000000-0005-0000-0000-00007B220000}"/>
    <cellStyle name="Ausgabe 2 3 2 19" xfId="8828" xr:uid="{00000000-0005-0000-0000-00007C220000}"/>
    <cellStyle name="Ausgabe 2 3 2 2" xfId="8829" xr:uid="{00000000-0005-0000-0000-00007D220000}"/>
    <cellStyle name="Ausgabe 2 3 2 20" xfId="8830" xr:uid="{00000000-0005-0000-0000-00007E220000}"/>
    <cellStyle name="Ausgabe 2 3 2 21" xfId="8831" xr:uid="{00000000-0005-0000-0000-00007F220000}"/>
    <cellStyle name="Ausgabe 2 3 2 22" xfId="8832" xr:uid="{00000000-0005-0000-0000-000080220000}"/>
    <cellStyle name="Ausgabe 2 3 2 23" xfId="8833" xr:uid="{00000000-0005-0000-0000-000081220000}"/>
    <cellStyle name="Ausgabe 2 3 2 24" xfId="8834" xr:uid="{00000000-0005-0000-0000-000082220000}"/>
    <cellStyle name="Ausgabe 2 3 2 25" xfId="8835" xr:uid="{00000000-0005-0000-0000-000083220000}"/>
    <cellStyle name="Ausgabe 2 3 2 26" xfId="8836" xr:uid="{00000000-0005-0000-0000-000084220000}"/>
    <cellStyle name="Ausgabe 2 3 2 27" xfId="8837" xr:uid="{00000000-0005-0000-0000-000085220000}"/>
    <cellStyle name="Ausgabe 2 3 2 28" xfId="8838" xr:uid="{00000000-0005-0000-0000-000086220000}"/>
    <cellStyle name="Ausgabe 2 3 2 29" xfId="8839" xr:uid="{00000000-0005-0000-0000-000087220000}"/>
    <cellStyle name="Ausgabe 2 3 2 3" xfId="8840" xr:uid="{00000000-0005-0000-0000-000088220000}"/>
    <cellStyle name="Ausgabe 2 3 2 30" xfId="8841" xr:uid="{00000000-0005-0000-0000-000089220000}"/>
    <cellStyle name="Ausgabe 2 3 2 31" xfId="8842" xr:uid="{00000000-0005-0000-0000-00008A220000}"/>
    <cellStyle name="Ausgabe 2 3 2 32" xfId="8843" xr:uid="{00000000-0005-0000-0000-00008B220000}"/>
    <cellStyle name="Ausgabe 2 3 2 33" xfId="8844" xr:uid="{00000000-0005-0000-0000-00008C220000}"/>
    <cellStyle name="Ausgabe 2 3 2 34" xfId="8845" xr:uid="{00000000-0005-0000-0000-00008D220000}"/>
    <cellStyle name="Ausgabe 2 3 2 35" xfId="8846" xr:uid="{00000000-0005-0000-0000-00008E220000}"/>
    <cellStyle name="Ausgabe 2 3 2 36" xfId="8847" xr:uid="{00000000-0005-0000-0000-00008F220000}"/>
    <cellStyle name="Ausgabe 2 3 2 37" xfId="8848" xr:uid="{00000000-0005-0000-0000-000090220000}"/>
    <cellStyle name="Ausgabe 2 3 2 38" xfId="8849" xr:uid="{00000000-0005-0000-0000-000091220000}"/>
    <cellStyle name="Ausgabe 2 3 2 39" xfId="8850" xr:uid="{00000000-0005-0000-0000-000092220000}"/>
    <cellStyle name="Ausgabe 2 3 2 4" xfId="8851" xr:uid="{00000000-0005-0000-0000-000093220000}"/>
    <cellStyle name="Ausgabe 2 3 2 40" xfId="8852" xr:uid="{00000000-0005-0000-0000-000094220000}"/>
    <cellStyle name="Ausgabe 2 3 2 41" xfId="8853" xr:uid="{00000000-0005-0000-0000-000095220000}"/>
    <cellStyle name="Ausgabe 2 3 2 42" xfId="8854" xr:uid="{00000000-0005-0000-0000-000096220000}"/>
    <cellStyle name="Ausgabe 2 3 2 43" xfId="8855" xr:uid="{00000000-0005-0000-0000-000097220000}"/>
    <cellStyle name="Ausgabe 2 3 2 44" xfId="8856" xr:uid="{00000000-0005-0000-0000-000098220000}"/>
    <cellStyle name="Ausgabe 2 3 2 45" xfId="8857" xr:uid="{00000000-0005-0000-0000-000099220000}"/>
    <cellStyle name="Ausgabe 2 3 2 46" xfId="8858" xr:uid="{00000000-0005-0000-0000-00009A220000}"/>
    <cellStyle name="Ausgabe 2 3 2 47" xfId="8859" xr:uid="{00000000-0005-0000-0000-00009B220000}"/>
    <cellStyle name="Ausgabe 2 3 2 48" xfId="8860" xr:uid="{00000000-0005-0000-0000-00009C220000}"/>
    <cellStyle name="Ausgabe 2 3 2 49" xfId="8861" xr:uid="{00000000-0005-0000-0000-00009D220000}"/>
    <cellStyle name="Ausgabe 2 3 2 5" xfId="8862" xr:uid="{00000000-0005-0000-0000-00009E220000}"/>
    <cellStyle name="Ausgabe 2 3 2 50" xfId="8863" xr:uid="{00000000-0005-0000-0000-00009F220000}"/>
    <cellStyle name="Ausgabe 2 3 2 51" xfId="8864" xr:uid="{00000000-0005-0000-0000-0000A0220000}"/>
    <cellStyle name="Ausgabe 2 3 2 52" xfId="8865" xr:uid="{00000000-0005-0000-0000-0000A1220000}"/>
    <cellStyle name="Ausgabe 2 3 2 53" xfId="8866" xr:uid="{00000000-0005-0000-0000-0000A2220000}"/>
    <cellStyle name="Ausgabe 2 3 2 54" xfId="8867" xr:uid="{00000000-0005-0000-0000-0000A3220000}"/>
    <cellStyle name="Ausgabe 2 3 2 55" xfId="8868" xr:uid="{00000000-0005-0000-0000-0000A4220000}"/>
    <cellStyle name="Ausgabe 2 3 2 56" xfId="8869" xr:uid="{00000000-0005-0000-0000-0000A5220000}"/>
    <cellStyle name="Ausgabe 2 3 2 57" xfId="8870" xr:uid="{00000000-0005-0000-0000-0000A6220000}"/>
    <cellStyle name="Ausgabe 2 3 2 58" xfId="8871" xr:uid="{00000000-0005-0000-0000-0000A7220000}"/>
    <cellStyle name="Ausgabe 2 3 2 59" xfId="8872" xr:uid="{00000000-0005-0000-0000-0000A8220000}"/>
    <cellStyle name="Ausgabe 2 3 2 6" xfId="8873" xr:uid="{00000000-0005-0000-0000-0000A9220000}"/>
    <cellStyle name="Ausgabe 2 3 2 60" xfId="8874" xr:uid="{00000000-0005-0000-0000-0000AA220000}"/>
    <cellStyle name="Ausgabe 2 3 2 61" xfId="8875" xr:uid="{00000000-0005-0000-0000-0000AB220000}"/>
    <cellStyle name="Ausgabe 2 3 2 62" xfId="8876" xr:uid="{00000000-0005-0000-0000-0000AC220000}"/>
    <cellStyle name="Ausgabe 2 3 2 63" xfId="8877" xr:uid="{00000000-0005-0000-0000-0000AD220000}"/>
    <cellStyle name="Ausgabe 2 3 2 64" xfId="8878" xr:uid="{00000000-0005-0000-0000-0000AE220000}"/>
    <cellStyle name="Ausgabe 2 3 2 65" xfId="8879" xr:uid="{00000000-0005-0000-0000-0000AF220000}"/>
    <cellStyle name="Ausgabe 2 3 2 7" xfId="8880" xr:uid="{00000000-0005-0000-0000-0000B0220000}"/>
    <cellStyle name="Ausgabe 2 3 2 8" xfId="8881" xr:uid="{00000000-0005-0000-0000-0000B1220000}"/>
    <cellStyle name="Ausgabe 2 3 2 9" xfId="8882" xr:uid="{00000000-0005-0000-0000-0000B2220000}"/>
    <cellStyle name="Ausgabe 2 3 20" xfId="8883" xr:uid="{00000000-0005-0000-0000-0000B3220000}"/>
    <cellStyle name="Ausgabe 2 3 21" xfId="8884" xr:uid="{00000000-0005-0000-0000-0000B4220000}"/>
    <cellStyle name="Ausgabe 2 3 22" xfId="8885" xr:uid="{00000000-0005-0000-0000-0000B5220000}"/>
    <cellStyle name="Ausgabe 2 3 23" xfId="8886" xr:uid="{00000000-0005-0000-0000-0000B6220000}"/>
    <cellStyle name="Ausgabe 2 3 24" xfId="8887" xr:uid="{00000000-0005-0000-0000-0000B7220000}"/>
    <cellStyle name="Ausgabe 2 3 25" xfId="8888" xr:uid="{00000000-0005-0000-0000-0000B8220000}"/>
    <cellStyle name="Ausgabe 2 3 26" xfId="8889" xr:uid="{00000000-0005-0000-0000-0000B9220000}"/>
    <cellStyle name="Ausgabe 2 3 27" xfId="8890" xr:uid="{00000000-0005-0000-0000-0000BA220000}"/>
    <cellStyle name="Ausgabe 2 3 28" xfId="8891" xr:uid="{00000000-0005-0000-0000-0000BB220000}"/>
    <cellStyle name="Ausgabe 2 3 29" xfId="8892" xr:uid="{00000000-0005-0000-0000-0000BC220000}"/>
    <cellStyle name="Ausgabe 2 3 3" xfId="8893" xr:uid="{00000000-0005-0000-0000-0000BD220000}"/>
    <cellStyle name="Ausgabe 2 3 30" xfId="8894" xr:uid="{00000000-0005-0000-0000-0000BE220000}"/>
    <cellStyle name="Ausgabe 2 3 31" xfId="8895" xr:uid="{00000000-0005-0000-0000-0000BF220000}"/>
    <cellStyle name="Ausgabe 2 3 32" xfId="8896" xr:uid="{00000000-0005-0000-0000-0000C0220000}"/>
    <cellStyle name="Ausgabe 2 3 33" xfId="8897" xr:uid="{00000000-0005-0000-0000-0000C1220000}"/>
    <cellStyle name="Ausgabe 2 3 34" xfId="8898" xr:uid="{00000000-0005-0000-0000-0000C2220000}"/>
    <cellStyle name="Ausgabe 2 3 35" xfId="8899" xr:uid="{00000000-0005-0000-0000-0000C3220000}"/>
    <cellStyle name="Ausgabe 2 3 36" xfId="8900" xr:uid="{00000000-0005-0000-0000-0000C4220000}"/>
    <cellStyle name="Ausgabe 2 3 37" xfId="8901" xr:uid="{00000000-0005-0000-0000-0000C5220000}"/>
    <cellStyle name="Ausgabe 2 3 38" xfId="8902" xr:uid="{00000000-0005-0000-0000-0000C6220000}"/>
    <cellStyle name="Ausgabe 2 3 39" xfId="8903" xr:uid="{00000000-0005-0000-0000-0000C7220000}"/>
    <cellStyle name="Ausgabe 2 3 4" xfId="8904" xr:uid="{00000000-0005-0000-0000-0000C8220000}"/>
    <cellStyle name="Ausgabe 2 3 40" xfId="8905" xr:uid="{00000000-0005-0000-0000-0000C9220000}"/>
    <cellStyle name="Ausgabe 2 3 41" xfId="8906" xr:uid="{00000000-0005-0000-0000-0000CA220000}"/>
    <cellStyle name="Ausgabe 2 3 42" xfId="8907" xr:uid="{00000000-0005-0000-0000-0000CB220000}"/>
    <cellStyle name="Ausgabe 2 3 43" xfId="8908" xr:uid="{00000000-0005-0000-0000-0000CC220000}"/>
    <cellStyle name="Ausgabe 2 3 44" xfId="8909" xr:uid="{00000000-0005-0000-0000-0000CD220000}"/>
    <cellStyle name="Ausgabe 2 3 45" xfId="8910" xr:uid="{00000000-0005-0000-0000-0000CE220000}"/>
    <cellStyle name="Ausgabe 2 3 46" xfId="8911" xr:uid="{00000000-0005-0000-0000-0000CF220000}"/>
    <cellStyle name="Ausgabe 2 3 47" xfId="8912" xr:uid="{00000000-0005-0000-0000-0000D0220000}"/>
    <cellStyle name="Ausgabe 2 3 48" xfId="8913" xr:uid="{00000000-0005-0000-0000-0000D1220000}"/>
    <cellStyle name="Ausgabe 2 3 49" xfId="8914" xr:uid="{00000000-0005-0000-0000-0000D2220000}"/>
    <cellStyle name="Ausgabe 2 3 5" xfId="8915" xr:uid="{00000000-0005-0000-0000-0000D3220000}"/>
    <cellStyle name="Ausgabe 2 3 50" xfId="8916" xr:uid="{00000000-0005-0000-0000-0000D4220000}"/>
    <cellStyle name="Ausgabe 2 3 51" xfId="8917" xr:uid="{00000000-0005-0000-0000-0000D5220000}"/>
    <cellStyle name="Ausgabe 2 3 52" xfId="8918" xr:uid="{00000000-0005-0000-0000-0000D6220000}"/>
    <cellStyle name="Ausgabe 2 3 53" xfId="8919" xr:uid="{00000000-0005-0000-0000-0000D7220000}"/>
    <cellStyle name="Ausgabe 2 3 54" xfId="8920" xr:uid="{00000000-0005-0000-0000-0000D8220000}"/>
    <cellStyle name="Ausgabe 2 3 55" xfId="8921" xr:uid="{00000000-0005-0000-0000-0000D9220000}"/>
    <cellStyle name="Ausgabe 2 3 56" xfId="8922" xr:uid="{00000000-0005-0000-0000-0000DA220000}"/>
    <cellStyle name="Ausgabe 2 3 57" xfId="8923" xr:uid="{00000000-0005-0000-0000-0000DB220000}"/>
    <cellStyle name="Ausgabe 2 3 58" xfId="8924" xr:uid="{00000000-0005-0000-0000-0000DC220000}"/>
    <cellStyle name="Ausgabe 2 3 59" xfId="8925" xr:uid="{00000000-0005-0000-0000-0000DD220000}"/>
    <cellStyle name="Ausgabe 2 3 6" xfId="8926" xr:uid="{00000000-0005-0000-0000-0000DE220000}"/>
    <cellStyle name="Ausgabe 2 3 60" xfId="8927" xr:uid="{00000000-0005-0000-0000-0000DF220000}"/>
    <cellStyle name="Ausgabe 2 3 61" xfId="8928" xr:uid="{00000000-0005-0000-0000-0000E0220000}"/>
    <cellStyle name="Ausgabe 2 3 62" xfId="8929" xr:uid="{00000000-0005-0000-0000-0000E1220000}"/>
    <cellStyle name="Ausgabe 2 3 63" xfId="8930" xr:uid="{00000000-0005-0000-0000-0000E2220000}"/>
    <cellStyle name="Ausgabe 2 3 64" xfId="8931" xr:uid="{00000000-0005-0000-0000-0000E3220000}"/>
    <cellStyle name="Ausgabe 2 3 65" xfId="8932" xr:uid="{00000000-0005-0000-0000-0000E4220000}"/>
    <cellStyle name="Ausgabe 2 3 66" xfId="8933" xr:uid="{00000000-0005-0000-0000-0000E5220000}"/>
    <cellStyle name="Ausgabe 2 3 7" xfId="8934" xr:uid="{00000000-0005-0000-0000-0000E6220000}"/>
    <cellStyle name="Ausgabe 2 3 8" xfId="8935" xr:uid="{00000000-0005-0000-0000-0000E7220000}"/>
    <cellStyle name="Ausgabe 2 3 9" xfId="8936" xr:uid="{00000000-0005-0000-0000-0000E8220000}"/>
    <cellStyle name="Ausgabe 2 30" xfId="8937" xr:uid="{00000000-0005-0000-0000-0000E9220000}"/>
    <cellStyle name="Ausgabe 2 31" xfId="8938" xr:uid="{00000000-0005-0000-0000-0000EA220000}"/>
    <cellStyle name="Ausgabe 2 32" xfId="8939" xr:uid="{00000000-0005-0000-0000-0000EB220000}"/>
    <cellStyle name="Ausgabe 2 33" xfId="8940" xr:uid="{00000000-0005-0000-0000-0000EC220000}"/>
    <cellStyle name="Ausgabe 2 4" xfId="8941" xr:uid="{00000000-0005-0000-0000-0000ED220000}"/>
    <cellStyle name="Ausgabe 2 4 10" xfId="8942" xr:uid="{00000000-0005-0000-0000-0000EE220000}"/>
    <cellStyle name="Ausgabe 2 4 11" xfId="8943" xr:uid="{00000000-0005-0000-0000-0000EF220000}"/>
    <cellStyle name="Ausgabe 2 4 12" xfId="8944" xr:uid="{00000000-0005-0000-0000-0000F0220000}"/>
    <cellStyle name="Ausgabe 2 4 13" xfId="8945" xr:uid="{00000000-0005-0000-0000-0000F1220000}"/>
    <cellStyle name="Ausgabe 2 4 14" xfId="8946" xr:uid="{00000000-0005-0000-0000-0000F2220000}"/>
    <cellStyle name="Ausgabe 2 4 15" xfId="8947" xr:uid="{00000000-0005-0000-0000-0000F3220000}"/>
    <cellStyle name="Ausgabe 2 4 16" xfId="8948" xr:uid="{00000000-0005-0000-0000-0000F4220000}"/>
    <cellStyle name="Ausgabe 2 4 17" xfId="8949" xr:uid="{00000000-0005-0000-0000-0000F5220000}"/>
    <cellStyle name="Ausgabe 2 4 18" xfId="8950" xr:uid="{00000000-0005-0000-0000-0000F6220000}"/>
    <cellStyle name="Ausgabe 2 4 19" xfId="8951" xr:uid="{00000000-0005-0000-0000-0000F7220000}"/>
    <cellStyle name="Ausgabe 2 4 2" xfId="8952" xr:uid="{00000000-0005-0000-0000-0000F8220000}"/>
    <cellStyle name="Ausgabe 2 4 20" xfId="8953" xr:uid="{00000000-0005-0000-0000-0000F9220000}"/>
    <cellStyle name="Ausgabe 2 4 21" xfId="8954" xr:uid="{00000000-0005-0000-0000-0000FA220000}"/>
    <cellStyle name="Ausgabe 2 4 22" xfId="8955" xr:uid="{00000000-0005-0000-0000-0000FB220000}"/>
    <cellStyle name="Ausgabe 2 4 23" xfId="8956" xr:uid="{00000000-0005-0000-0000-0000FC220000}"/>
    <cellStyle name="Ausgabe 2 4 24" xfId="8957" xr:uid="{00000000-0005-0000-0000-0000FD220000}"/>
    <cellStyle name="Ausgabe 2 4 25" xfId="8958" xr:uid="{00000000-0005-0000-0000-0000FE220000}"/>
    <cellStyle name="Ausgabe 2 4 26" xfId="8959" xr:uid="{00000000-0005-0000-0000-0000FF220000}"/>
    <cellStyle name="Ausgabe 2 4 27" xfId="8960" xr:uid="{00000000-0005-0000-0000-000000230000}"/>
    <cellStyle name="Ausgabe 2 4 28" xfId="8961" xr:uid="{00000000-0005-0000-0000-000001230000}"/>
    <cellStyle name="Ausgabe 2 4 29" xfId="8962" xr:uid="{00000000-0005-0000-0000-000002230000}"/>
    <cellStyle name="Ausgabe 2 4 3" xfId="8963" xr:uid="{00000000-0005-0000-0000-000003230000}"/>
    <cellStyle name="Ausgabe 2 4 30" xfId="8964" xr:uid="{00000000-0005-0000-0000-000004230000}"/>
    <cellStyle name="Ausgabe 2 4 31" xfId="8965" xr:uid="{00000000-0005-0000-0000-000005230000}"/>
    <cellStyle name="Ausgabe 2 4 32" xfId="8966" xr:uid="{00000000-0005-0000-0000-000006230000}"/>
    <cellStyle name="Ausgabe 2 4 33" xfId="8967" xr:uid="{00000000-0005-0000-0000-000007230000}"/>
    <cellStyle name="Ausgabe 2 4 34" xfId="8968" xr:uid="{00000000-0005-0000-0000-000008230000}"/>
    <cellStyle name="Ausgabe 2 4 35" xfId="8969" xr:uid="{00000000-0005-0000-0000-000009230000}"/>
    <cellStyle name="Ausgabe 2 4 36" xfId="8970" xr:uid="{00000000-0005-0000-0000-00000A230000}"/>
    <cellStyle name="Ausgabe 2 4 37" xfId="8971" xr:uid="{00000000-0005-0000-0000-00000B230000}"/>
    <cellStyle name="Ausgabe 2 4 38" xfId="8972" xr:uid="{00000000-0005-0000-0000-00000C230000}"/>
    <cellStyle name="Ausgabe 2 4 39" xfId="8973" xr:uid="{00000000-0005-0000-0000-00000D230000}"/>
    <cellStyle name="Ausgabe 2 4 4" xfId="8974" xr:uid="{00000000-0005-0000-0000-00000E230000}"/>
    <cellStyle name="Ausgabe 2 4 40" xfId="8975" xr:uid="{00000000-0005-0000-0000-00000F230000}"/>
    <cellStyle name="Ausgabe 2 4 41" xfId="8976" xr:uid="{00000000-0005-0000-0000-000010230000}"/>
    <cellStyle name="Ausgabe 2 4 42" xfId="8977" xr:uid="{00000000-0005-0000-0000-000011230000}"/>
    <cellStyle name="Ausgabe 2 4 43" xfId="8978" xr:uid="{00000000-0005-0000-0000-000012230000}"/>
    <cellStyle name="Ausgabe 2 4 44" xfId="8979" xr:uid="{00000000-0005-0000-0000-000013230000}"/>
    <cellStyle name="Ausgabe 2 4 45" xfId="8980" xr:uid="{00000000-0005-0000-0000-000014230000}"/>
    <cellStyle name="Ausgabe 2 4 46" xfId="8981" xr:uid="{00000000-0005-0000-0000-000015230000}"/>
    <cellStyle name="Ausgabe 2 4 47" xfId="8982" xr:uid="{00000000-0005-0000-0000-000016230000}"/>
    <cellStyle name="Ausgabe 2 4 48" xfId="8983" xr:uid="{00000000-0005-0000-0000-000017230000}"/>
    <cellStyle name="Ausgabe 2 4 49" xfId="8984" xr:uid="{00000000-0005-0000-0000-000018230000}"/>
    <cellStyle name="Ausgabe 2 4 5" xfId="8985" xr:uid="{00000000-0005-0000-0000-000019230000}"/>
    <cellStyle name="Ausgabe 2 4 50" xfId="8986" xr:uid="{00000000-0005-0000-0000-00001A230000}"/>
    <cellStyle name="Ausgabe 2 4 51" xfId="8987" xr:uid="{00000000-0005-0000-0000-00001B230000}"/>
    <cellStyle name="Ausgabe 2 4 52" xfId="8988" xr:uid="{00000000-0005-0000-0000-00001C230000}"/>
    <cellStyle name="Ausgabe 2 4 53" xfId="8989" xr:uid="{00000000-0005-0000-0000-00001D230000}"/>
    <cellStyle name="Ausgabe 2 4 54" xfId="8990" xr:uid="{00000000-0005-0000-0000-00001E230000}"/>
    <cellStyle name="Ausgabe 2 4 55" xfId="8991" xr:uid="{00000000-0005-0000-0000-00001F230000}"/>
    <cellStyle name="Ausgabe 2 4 56" xfId="8992" xr:uid="{00000000-0005-0000-0000-000020230000}"/>
    <cellStyle name="Ausgabe 2 4 57" xfId="8993" xr:uid="{00000000-0005-0000-0000-000021230000}"/>
    <cellStyle name="Ausgabe 2 4 58" xfId="8994" xr:uid="{00000000-0005-0000-0000-000022230000}"/>
    <cellStyle name="Ausgabe 2 4 59" xfId="8995" xr:uid="{00000000-0005-0000-0000-000023230000}"/>
    <cellStyle name="Ausgabe 2 4 6" xfId="8996" xr:uid="{00000000-0005-0000-0000-000024230000}"/>
    <cellStyle name="Ausgabe 2 4 60" xfId="8997" xr:uid="{00000000-0005-0000-0000-000025230000}"/>
    <cellStyle name="Ausgabe 2 4 61" xfId="8998" xr:uid="{00000000-0005-0000-0000-000026230000}"/>
    <cellStyle name="Ausgabe 2 4 62" xfId="8999" xr:uid="{00000000-0005-0000-0000-000027230000}"/>
    <cellStyle name="Ausgabe 2 4 63" xfId="9000" xr:uid="{00000000-0005-0000-0000-000028230000}"/>
    <cellStyle name="Ausgabe 2 4 64" xfId="9001" xr:uid="{00000000-0005-0000-0000-000029230000}"/>
    <cellStyle name="Ausgabe 2 4 65" xfId="9002" xr:uid="{00000000-0005-0000-0000-00002A230000}"/>
    <cellStyle name="Ausgabe 2 4 7" xfId="9003" xr:uid="{00000000-0005-0000-0000-00002B230000}"/>
    <cellStyle name="Ausgabe 2 4 8" xfId="9004" xr:uid="{00000000-0005-0000-0000-00002C230000}"/>
    <cellStyle name="Ausgabe 2 4 9" xfId="9005" xr:uid="{00000000-0005-0000-0000-00002D230000}"/>
    <cellStyle name="Ausgabe 2 5" xfId="9006" xr:uid="{00000000-0005-0000-0000-00002E230000}"/>
    <cellStyle name="Ausgabe 2 6" xfId="9007" xr:uid="{00000000-0005-0000-0000-00002F230000}"/>
    <cellStyle name="Ausgabe 2 7" xfId="9008" xr:uid="{00000000-0005-0000-0000-000030230000}"/>
    <cellStyle name="Ausgabe 2 8" xfId="9009" xr:uid="{00000000-0005-0000-0000-000031230000}"/>
    <cellStyle name="Ausgabe 2 9" xfId="9010" xr:uid="{00000000-0005-0000-0000-000032230000}"/>
    <cellStyle name="Ausgabe 3" xfId="9011" xr:uid="{00000000-0005-0000-0000-000033230000}"/>
    <cellStyle name="Ausgabe 3 10" xfId="9012" xr:uid="{00000000-0005-0000-0000-000034230000}"/>
    <cellStyle name="Ausgabe 3 11" xfId="9013" xr:uid="{00000000-0005-0000-0000-000035230000}"/>
    <cellStyle name="Ausgabe 3 12" xfId="9014" xr:uid="{00000000-0005-0000-0000-000036230000}"/>
    <cellStyle name="Ausgabe 3 13" xfId="9015" xr:uid="{00000000-0005-0000-0000-000037230000}"/>
    <cellStyle name="Ausgabe 3 14" xfId="9016" xr:uid="{00000000-0005-0000-0000-000038230000}"/>
    <cellStyle name="Ausgabe 3 15" xfId="9017" xr:uid="{00000000-0005-0000-0000-000039230000}"/>
    <cellStyle name="Ausgabe 3 16" xfId="9018" xr:uid="{00000000-0005-0000-0000-00003A230000}"/>
    <cellStyle name="Ausgabe 3 17" xfId="9019" xr:uid="{00000000-0005-0000-0000-00003B230000}"/>
    <cellStyle name="Ausgabe 3 18" xfId="9020" xr:uid="{00000000-0005-0000-0000-00003C230000}"/>
    <cellStyle name="Ausgabe 3 19" xfId="9021" xr:uid="{00000000-0005-0000-0000-00003D230000}"/>
    <cellStyle name="Ausgabe 3 2" xfId="9022" xr:uid="{00000000-0005-0000-0000-00003E230000}"/>
    <cellStyle name="Ausgabe 3 2 10" xfId="9023" xr:uid="{00000000-0005-0000-0000-00003F230000}"/>
    <cellStyle name="Ausgabe 3 2 11" xfId="9024" xr:uid="{00000000-0005-0000-0000-000040230000}"/>
    <cellStyle name="Ausgabe 3 2 12" xfId="9025" xr:uid="{00000000-0005-0000-0000-000041230000}"/>
    <cellStyle name="Ausgabe 3 2 13" xfId="9026" xr:uid="{00000000-0005-0000-0000-000042230000}"/>
    <cellStyle name="Ausgabe 3 2 14" xfId="9027" xr:uid="{00000000-0005-0000-0000-000043230000}"/>
    <cellStyle name="Ausgabe 3 2 15" xfId="9028" xr:uid="{00000000-0005-0000-0000-000044230000}"/>
    <cellStyle name="Ausgabe 3 2 16" xfId="9029" xr:uid="{00000000-0005-0000-0000-000045230000}"/>
    <cellStyle name="Ausgabe 3 2 17" xfId="9030" xr:uid="{00000000-0005-0000-0000-000046230000}"/>
    <cellStyle name="Ausgabe 3 2 18" xfId="9031" xr:uid="{00000000-0005-0000-0000-000047230000}"/>
    <cellStyle name="Ausgabe 3 2 19" xfId="9032" xr:uid="{00000000-0005-0000-0000-000048230000}"/>
    <cellStyle name="Ausgabe 3 2 2" xfId="9033" xr:uid="{00000000-0005-0000-0000-000049230000}"/>
    <cellStyle name="Ausgabe 3 2 2 10" xfId="9034" xr:uid="{00000000-0005-0000-0000-00004A230000}"/>
    <cellStyle name="Ausgabe 3 2 2 11" xfId="9035" xr:uid="{00000000-0005-0000-0000-00004B230000}"/>
    <cellStyle name="Ausgabe 3 2 2 12" xfId="9036" xr:uid="{00000000-0005-0000-0000-00004C230000}"/>
    <cellStyle name="Ausgabe 3 2 2 13" xfId="9037" xr:uid="{00000000-0005-0000-0000-00004D230000}"/>
    <cellStyle name="Ausgabe 3 2 2 14" xfId="9038" xr:uid="{00000000-0005-0000-0000-00004E230000}"/>
    <cellStyle name="Ausgabe 3 2 2 15" xfId="9039" xr:uid="{00000000-0005-0000-0000-00004F230000}"/>
    <cellStyle name="Ausgabe 3 2 2 16" xfId="9040" xr:uid="{00000000-0005-0000-0000-000050230000}"/>
    <cellStyle name="Ausgabe 3 2 2 17" xfId="9041" xr:uid="{00000000-0005-0000-0000-000051230000}"/>
    <cellStyle name="Ausgabe 3 2 2 18" xfId="9042" xr:uid="{00000000-0005-0000-0000-000052230000}"/>
    <cellStyle name="Ausgabe 3 2 2 19" xfId="9043" xr:uid="{00000000-0005-0000-0000-000053230000}"/>
    <cellStyle name="Ausgabe 3 2 2 2" xfId="9044" xr:uid="{00000000-0005-0000-0000-000054230000}"/>
    <cellStyle name="Ausgabe 3 2 2 20" xfId="9045" xr:uid="{00000000-0005-0000-0000-000055230000}"/>
    <cellStyle name="Ausgabe 3 2 2 21" xfId="9046" xr:uid="{00000000-0005-0000-0000-000056230000}"/>
    <cellStyle name="Ausgabe 3 2 2 22" xfId="9047" xr:uid="{00000000-0005-0000-0000-000057230000}"/>
    <cellStyle name="Ausgabe 3 2 2 23" xfId="9048" xr:uid="{00000000-0005-0000-0000-000058230000}"/>
    <cellStyle name="Ausgabe 3 2 2 24" xfId="9049" xr:uid="{00000000-0005-0000-0000-000059230000}"/>
    <cellStyle name="Ausgabe 3 2 2 25" xfId="9050" xr:uid="{00000000-0005-0000-0000-00005A230000}"/>
    <cellStyle name="Ausgabe 3 2 2 26" xfId="9051" xr:uid="{00000000-0005-0000-0000-00005B230000}"/>
    <cellStyle name="Ausgabe 3 2 2 27" xfId="9052" xr:uid="{00000000-0005-0000-0000-00005C230000}"/>
    <cellStyle name="Ausgabe 3 2 2 28" xfId="9053" xr:uid="{00000000-0005-0000-0000-00005D230000}"/>
    <cellStyle name="Ausgabe 3 2 2 29" xfId="9054" xr:uid="{00000000-0005-0000-0000-00005E230000}"/>
    <cellStyle name="Ausgabe 3 2 2 3" xfId="9055" xr:uid="{00000000-0005-0000-0000-00005F230000}"/>
    <cellStyle name="Ausgabe 3 2 2 30" xfId="9056" xr:uid="{00000000-0005-0000-0000-000060230000}"/>
    <cellStyle name="Ausgabe 3 2 2 31" xfId="9057" xr:uid="{00000000-0005-0000-0000-000061230000}"/>
    <cellStyle name="Ausgabe 3 2 2 32" xfId="9058" xr:uid="{00000000-0005-0000-0000-000062230000}"/>
    <cellStyle name="Ausgabe 3 2 2 33" xfId="9059" xr:uid="{00000000-0005-0000-0000-000063230000}"/>
    <cellStyle name="Ausgabe 3 2 2 34" xfId="9060" xr:uid="{00000000-0005-0000-0000-000064230000}"/>
    <cellStyle name="Ausgabe 3 2 2 35" xfId="9061" xr:uid="{00000000-0005-0000-0000-000065230000}"/>
    <cellStyle name="Ausgabe 3 2 2 36" xfId="9062" xr:uid="{00000000-0005-0000-0000-000066230000}"/>
    <cellStyle name="Ausgabe 3 2 2 37" xfId="9063" xr:uid="{00000000-0005-0000-0000-000067230000}"/>
    <cellStyle name="Ausgabe 3 2 2 38" xfId="9064" xr:uid="{00000000-0005-0000-0000-000068230000}"/>
    <cellStyle name="Ausgabe 3 2 2 39" xfId="9065" xr:uid="{00000000-0005-0000-0000-000069230000}"/>
    <cellStyle name="Ausgabe 3 2 2 4" xfId="9066" xr:uid="{00000000-0005-0000-0000-00006A230000}"/>
    <cellStyle name="Ausgabe 3 2 2 40" xfId="9067" xr:uid="{00000000-0005-0000-0000-00006B230000}"/>
    <cellStyle name="Ausgabe 3 2 2 41" xfId="9068" xr:uid="{00000000-0005-0000-0000-00006C230000}"/>
    <cellStyle name="Ausgabe 3 2 2 42" xfId="9069" xr:uid="{00000000-0005-0000-0000-00006D230000}"/>
    <cellStyle name="Ausgabe 3 2 2 43" xfId="9070" xr:uid="{00000000-0005-0000-0000-00006E230000}"/>
    <cellStyle name="Ausgabe 3 2 2 44" xfId="9071" xr:uid="{00000000-0005-0000-0000-00006F230000}"/>
    <cellStyle name="Ausgabe 3 2 2 45" xfId="9072" xr:uid="{00000000-0005-0000-0000-000070230000}"/>
    <cellStyle name="Ausgabe 3 2 2 46" xfId="9073" xr:uid="{00000000-0005-0000-0000-000071230000}"/>
    <cellStyle name="Ausgabe 3 2 2 47" xfId="9074" xr:uid="{00000000-0005-0000-0000-000072230000}"/>
    <cellStyle name="Ausgabe 3 2 2 48" xfId="9075" xr:uid="{00000000-0005-0000-0000-000073230000}"/>
    <cellStyle name="Ausgabe 3 2 2 49" xfId="9076" xr:uid="{00000000-0005-0000-0000-000074230000}"/>
    <cellStyle name="Ausgabe 3 2 2 5" xfId="9077" xr:uid="{00000000-0005-0000-0000-000075230000}"/>
    <cellStyle name="Ausgabe 3 2 2 50" xfId="9078" xr:uid="{00000000-0005-0000-0000-000076230000}"/>
    <cellStyle name="Ausgabe 3 2 2 51" xfId="9079" xr:uid="{00000000-0005-0000-0000-000077230000}"/>
    <cellStyle name="Ausgabe 3 2 2 52" xfId="9080" xr:uid="{00000000-0005-0000-0000-000078230000}"/>
    <cellStyle name="Ausgabe 3 2 2 53" xfId="9081" xr:uid="{00000000-0005-0000-0000-000079230000}"/>
    <cellStyle name="Ausgabe 3 2 2 54" xfId="9082" xr:uid="{00000000-0005-0000-0000-00007A230000}"/>
    <cellStyle name="Ausgabe 3 2 2 55" xfId="9083" xr:uid="{00000000-0005-0000-0000-00007B230000}"/>
    <cellStyle name="Ausgabe 3 2 2 56" xfId="9084" xr:uid="{00000000-0005-0000-0000-00007C230000}"/>
    <cellStyle name="Ausgabe 3 2 2 57" xfId="9085" xr:uid="{00000000-0005-0000-0000-00007D230000}"/>
    <cellStyle name="Ausgabe 3 2 2 58" xfId="9086" xr:uid="{00000000-0005-0000-0000-00007E230000}"/>
    <cellStyle name="Ausgabe 3 2 2 59" xfId="9087" xr:uid="{00000000-0005-0000-0000-00007F230000}"/>
    <cellStyle name="Ausgabe 3 2 2 6" xfId="9088" xr:uid="{00000000-0005-0000-0000-000080230000}"/>
    <cellStyle name="Ausgabe 3 2 2 60" xfId="9089" xr:uid="{00000000-0005-0000-0000-000081230000}"/>
    <cellStyle name="Ausgabe 3 2 2 61" xfId="9090" xr:uid="{00000000-0005-0000-0000-000082230000}"/>
    <cellStyle name="Ausgabe 3 2 2 62" xfId="9091" xr:uid="{00000000-0005-0000-0000-000083230000}"/>
    <cellStyle name="Ausgabe 3 2 2 63" xfId="9092" xr:uid="{00000000-0005-0000-0000-000084230000}"/>
    <cellStyle name="Ausgabe 3 2 2 64" xfId="9093" xr:uid="{00000000-0005-0000-0000-000085230000}"/>
    <cellStyle name="Ausgabe 3 2 2 65" xfId="9094" xr:uid="{00000000-0005-0000-0000-000086230000}"/>
    <cellStyle name="Ausgabe 3 2 2 7" xfId="9095" xr:uid="{00000000-0005-0000-0000-000087230000}"/>
    <cellStyle name="Ausgabe 3 2 2 8" xfId="9096" xr:uid="{00000000-0005-0000-0000-000088230000}"/>
    <cellStyle name="Ausgabe 3 2 2 9" xfId="9097" xr:uid="{00000000-0005-0000-0000-000089230000}"/>
    <cellStyle name="Ausgabe 3 2 20" xfId="9098" xr:uid="{00000000-0005-0000-0000-00008A230000}"/>
    <cellStyle name="Ausgabe 3 2 21" xfId="9099" xr:uid="{00000000-0005-0000-0000-00008B230000}"/>
    <cellStyle name="Ausgabe 3 2 22" xfId="9100" xr:uid="{00000000-0005-0000-0000-00008C230000}"/>
    <cellStyle name="Ausgabe 3 2 23" xfId="9101" xr:uid="{00000000-0005-0000-0000-00008D230000}"/>
    <cellStyle name="Ausgabe 3 2 24" xfId="9102" xr:uid="{00000000-0005-0000-0000-00008E230000}"/>
    <cellStyle name="Ausgabe 3 2 25" xfId="9103" xr:uid="{00000000-0005-0000-0000-00008F230000}"/>
    <cellStyle name="Ausgabe 3 2 26" xfId="9104" xr:uid="{00000000-0005-0000-0000-000090230000}"/>
    <cellStyle name="Ausgabe 3 2 27" xfId="9105" xr:uid="{00000000-0005-0000-0000-000091230000}"/>
    <cellStyle name="Ausgabe 3 2 28" xfId="9106" xr:uid="{00000000-0005-0000-0000-000092230000}"/>
    <cellStyle name="Ausgabe 3 2 29" xfId="9107" xr:uid="{00000000-0005-0000-0000-000093230000}"/>
    <cellStyle name="Ausgabe 3 2 3" xfId="9108" xr:uid="{00000000-0005-0000-0000-000094230000}"/>
    <cellStyle name="Ausgabe 3 2 30" xfId="9109" xr:uid="{00000000-0005-0000-0000-000095230000}"/>
    <cellStyle name="Ausgabe 3 2 31" xfId="9110" xr:uid="{00000000-0005-0000-0000-000096230000}"/>
    <cellStyle name="Ausgabe 3 2 32" xfId="9111" xr:uid="{00000000-0005-0000-0000-000097230000}"/>
    <cellStyle name="Ausgabe 3 2 33" xfId="9112" xr:uid="{00000000-0005-0000-0000-000098230000}"/>
    <cellStyle name="Ausgabe 3 2 34" xfId="9113" xr:uid="{00000000-0005-0000-0000-000099230000}"/>
    <cellStyle name="Ausgabe 3 2 35" xfId="9114" xr:uid="{00000000-0005-0000-0000-00009A230000}"/>
    <cellStyle name="Ausgabe 3 2 36" xfId="9115" xr:uid="{00000000-0005-0000-0000-00009B230000}"/>
    <cellStyle name="Ausgabe 3 2 37" xfId="9116" xr:uid="{00000000-0005-0000-0000-00009C230000}"/>
    <cellStyle name="Ausgabe 3 2 38" xfId="9117" xr:uid="{00000000-0005-0000-0000-00009D230000}"/>
    <cellStyle name="Ausgabe 3 2 39" xfId="9118" xr:uid="{00000000-0005-0000-0000-00009E230000}"/>
    <cellStyle name="Ausgabe 3 2 4" xfId="9119" xr:uid="{00000000-0005-0000-0000-00009F230000}"/>
    <cellStyle name="Ausgabe 3 2 40" xfId="9120" xr:uid="{00000000-0005-0000-0000-0000A0230000}"/>
    <cellStyle name="Ausgabe 3 2 41" xfId="9121" xr:uid="{00000000-0005-0000-0000-0000A1230000}"/>
    <cellStyle name="Ausgabe 3 2 42" xfId="9122" xr:uid="{00000000-0005-0000-0000-0000A2230000}"/>
    <cellStyle name="Ausgabe 3 2 43" xfId="9123" xr:uid="{00000000-0005-0000-0000-0000A3230000}"/>
    <cellStyle name="Ausgabe 3 2 44" xfId="9124" xr:uid="{00000000-0005-0000-0000-0000A4230000}"/>
    <cellStyle name="Ausgabe 3 2 45" xfId="9125" xr:uid="{00000000-0005-0000-0000-0000A5230000}"/>
    <cellStyle name="Ausgabe 3 2 46" xfId="9126" xr:uid="{00000000-0005-0000-0000-0000A6230000}"/>
    <cellStyle name="Ausgabe 3 2 47" xfId="9127" xr:uid="{00000000-0005-0000-0000-0000A7230000}"/>
    <cellStyle name="Ausgabe 3 2 48" xfId="9128" xr:uid="{00000000-0005-0000-0000-0000A8230000}"/>
    <cellStyle name="Ausgabe 3 2 49" xfId="9129" xr:uid="{00000000-0005-0000-0000-0000A9230000}"/>
    <cellStyle name="Ausgabe 3 2 5" xfId="9130" xr:uid="{00000000-0005-0000-0000-0000AA230000}"/>
    <cellStyle name="Ausgabe 3 2 50" xfId="9131" xr:uid="{00000000-0005-0000-0000-0000AB230000}"/>
    <cellStyle name="Ausgabe 3 2 51" xfId="9132" xr:uid="{00000000-0005-0000-0000-0000AC230000}"/>
    <cellStyle name="Ausgabe 3 2 52" xfId="9133" xr:uid="{00000000-0005-0000-0000-0000AD230000}"/>
    <cellStyle name="Ausgabe 3 2 53" xfId="9134" xr:uid="{00000000-0005-0000-0000-0000AE230000}"/>
    <cellStyle name="Ausgabe 3 2 54" xfId="9135" xr:uid="{00000000-0005-0000-0000-0000AF230000}"/>
    <cellStyle name="Ausgabe 3 2 55" xfId="9136" xr:uid="{00000000-0005-0000-0000-0000B0230000}"/>
    <cellStyle name="Ausgabe 3 2 56" xfId="9137" xr:uid="{00000000-0005-0000-0000-0000B1230000}"/>
    <cellStyle name="Ausgabe 3 2 57" xfId="9138" xr:uid="{00000000-0005-0000-0000-0000B2230000}"/>
    <cellStyle name="Ausgabe 3 2 58" xfId="9139" xr:uid="{00000000-0005-0000-0000-0000B3230000}"/>
    <cellStyle name="Ausgabe 3 2 59" xfId="9140" xr:uid="{00000000-0005-0000-0000-0000B4230000}"/>
    <cellStyle name="Ausgabe 3 2 6" xfId="9141" xr:uid="{00000000-0005-0000-0000-0000B5230000}"/>
    <cellStyle name="Ausgabe 3 2 60" xfId="9142" xr:uid="{00000000-0005-0000-0000-0000B6230000}"/>
    <cellStyle name="Ausgabe 3 2 61" xfId="9143" xr:uid="{00000000-0005-0000-0000-0000B7230000}"/>
    <cellStyle name="Ausgabe 3 2 62" xfId="9144" xr:uid="{00000000-0005-0000-0000-0000B8230000}"/>
    <cellStyle name="Ausgabe 3 2 63" xfId="9145" xr:uid="{00000000-0005-0000-0000-0000B9230000}"/>
    <cellStyle name="Ausgabe 3 2 64" xfId="9146" xr:uid="{00000000-0005-0000-0000-0000BA230000}"/>
    <cellStyle name="Ausgabe 3 2 65" xfId="9147" xr:uid="{00000000-0005-0000-0000-0000BB230000}"/>
    <cellStyle name="Ausgabe 3 2 66" xfId="9148" xr:uid="{00000000-0005-0000-0000-0000BC230000}"/>
    <cellStyle name="Ausgabe 3 2 7" xfId="9149" xr:uid="{00000000-0005-0000-0000-0000BD230000}"/>
    <cellStyle name="Ausgabe 3 2 8" xfId="9150" xr:uid="{00000000-0005-0000-0000-0000BE230000}"/>
    <cellStyle name="Ausgabe 3 2 9" xfId="9151" xr:uid="{00000000-0005-0000-0000-0000BF230000}"/>
    <cellStyle name="Ausgabe 3 20" xfId="9152" xr:uid="{00000000-0005-0000-0000-0000C0230000}"/>
    <cellStyle name="Ausgabe 3 21" xfId="9153" xr:uid="{00000000-0005-0000-0000-0000C1230000}"/>
    <cellStyle name="Ausgabe 3 22" xfId="9154" xr:uid="{00000000-0005-0000-0000-0000C2230000}"/>
    <cellStyle name="Ausgabe 3 23" xfId="9155" xr:uid="{00000000-0005-0000-0000-0000C3230000}"/>
    <cellStyle name="Ausgabe 3 24" xfId="9156" xr:uid="{00000000-0005-0000-0000-0000C4230000}"/>
    <cellStyle name="Ausgabe 3 25" xfId="9157" xr:uid="{00000000-0005-0000-0000-0000C5230000}"/>
    <cellStyle name="Ausgabe 3 26" xfId="9158" xr:uid="{00000000-0005-0000-0000-0000C6230000}"/>
    <cellStyle name="Ausgabe 3 27" xfId="9159" xr:uid="{00000000-0005-0000-0000-0000C7230000}"/>
    <cellStyle name="Ausgabe 3 28" xfId="9160" xr:uid="{00000000-0005-0000-0000-0000C8230000}"/>
    <cellStyle name="Ausgabe 3 29" xfId="9161" xr:uid="{00000000-0005-0000-0000-0000C9230000}"/>
    <cellStyle name="Ausgabe 3 3" xfId="9162" xr:uid="{00000000-0005-0000-0000-0000CA230000}"/>
    <cellStyle name="Ausgabe 3 3 10" xfId="9163" xr:uid="{00000000-0005-0000-0000-0000CB230000}"/>
    <cellStyle name="Ausgabe 3 3 11" xfId="9164" xr:uid="{00000000-0005-0000-0000-0000CC230000}"/>
    <cellStyle name="Ausgabe 3 3 12" xfId="9165" xr:uid="{00000000-0005-0000-0000-0000CD230000}"/>
    <cellStyle name="Ausgabe 3 3 13" xfId="9166" xr:uid="{00000000-0005-0000-0000-0000CE230000}"/>
    <cellStyle name="Ausgabe 3 3 14" xfId="9167" xr:uid="{00000000-0005-0000-0000-0000CF230000}"/>
    <cellStyle name="Ausgabe 3 3 15" xfId="9168" xr:uid="{00000000-0005-0000-0000-0000D0230000}"/>
    <cellStyle name="Ausgabe 3 3 16" xfId="9169" xr:uid="{00000000-0005-0000-0000-0000D1230000}"/>
    <cellStyle name="Ausgabe 3 3 17" xfId="9170" xr:uid="{00000000-0005-0000-0000-0000D2230000}"/>
    <cellStyle name="Ausgabe 3 3 18" xfId="9171" xr:uid="{00000000-0005-0000-0000-0000D3230000}"/>
    <cellStyle name="Ausgabe 3 3 19" xfId="9172" xr:uid="{00000000-0005-0000-0000-0000D4230000}"/>
    <cellStyle name="Ausgabe 3 3 2" xfId="9173" xr:uid="{00000000-0005-0000-0000-0000D5230000}"/>
    <cellStyle name="Ausgabe 3 3 2 10" xfId="9174" xr:uid="{00000000-0005-0000-0000-0000D6230000}"/>
    <cellStyle name="Ausgabe 3 3 2 11" xfId="9175" xr:uid="{00000000-0005-0000-0000-0000D7230000}"/>
    <cellStyle name="Ausgabe 3 3 2 12" xfId="9176" xr:uid="{00000000-0005-0000-0000-0000D8230000}"/>
    <cellStyle name="Ausgabe 3 3 2 13" xfId="9177" xr:uid="{00000000-0005-0000-0000-0000D9230000}"/>
    <cellStyle name="Ausgabe 3 3 2 14" xfId="9178" xr:uid="{00000000-0005-0000-0000-0000DA230000}"/>
    <cellStyle name="Ausgabe 3 3 2 15" xfId="9179" xr:uid="{00000000-0005-0000-0000-0000DB230000}"/>
    <cellStyle name="Ausgabe 3 3 2 16" xfId="9180" xr:uid="{00000000-0005-0000-0000-0000DC230000}"/>
    <cellStyle name="Ausgabe 3 3 2 17" xfId="9181" xr:uid="{00000000-0005-0000-0000-0000DD230000}"/>
    <cellStyle name="Ausgabe 3 3 2 18" xfId="9182" xr:uid="{00000000-0005-0000-0000-0000DE230000}"/>
    <cellStyle name="Ausgabe 3 3 2 19" xfId="9183" xr:uid="{00000000-0005-0000-0000-0000DF230000}"/>
    <cellStyle name="Ausgabe 3 3 2 2" xfId="9184" xr:uid="{00000000-0005-0000-0000-0000E0230000}"/>
    <cellStyle name="Ausgabe 3 3 2 20" xfId="9185" xr:uid="{00000000-0005-0000-0000-0000E1230000}"/>
    <cellStyle name="Ausgabe 3 3 2 21" xfId="9186" xr:uid="{00000000-0005-0000-0000-0000E2230000}"/>
    <cellStyle name="Ausgabe 3 3 2 22" xfId="9187" xr:uid="{00000000-0005-0000-0000-0000E3230000}"/>
    <cellStyle name="Ausgabe 3 3 2 23" xfId="9188" xr:uid="{00000000-0005-0000-0000-0000E4230000}"/>
    <cellStyle name="Ausgabe 3 3 2 24" xfId="9189" xr:uid="{00000000-0005-0000-0000-0000E5230000}"/>
    <cellStyle name="Ausgabe 3 3 2 25" xfId="9190" xr:uid="{00000000-0005-0000-0000-0000E6230000}"/>
    <cellStyle name="Ausgabe 3 3 2 26" xfId="9191" xr:uid="{00000000-0005-0000-0000-0000E7230000}"/>
    <cellStyle name="Ausgabe 3 3 2 27" xfId="9192" xr:uid="{00000000-0005-0000-0000-0000E8230000}"/>
    <cellStyle name="Ausgabe 3 3 2 28" xfId="9193" xr:uid="{00000000-0005-0000-0000-0000E9230000}"/>
    <cellStyle name="Ausgabe 3 3 2 29" xfId="9194" xr:uid="{00000000-0005-0000-0000-0000EA230000}"/>
    <cellStyle name="Ausgabe 3 3 2 3" xfId="9195" xr:uid="{00000000-0005-0000-0000-0000EB230000}"/>
    <cellStyle name="Ausgabe 3 3 2 30" xfId="9196" xr:uid="{00000000-0005-0000-0000-0000EC230000}"/>
    <cellStyle name="Ausgabe 3 3 2 31" xfId="9197" xr:uid="{00000000-0005-0000-0000-0000ED230000}"/>
    <cellStyle name="Ausgabe 3 3 2 32" xfId="9198" xr:uid="{00000000-0005-0000-0000-0000EE230000}"/>
    <cellStyle name="Ausgabe 3 3 2 33" xfId="9199" xr:uid="{00000000-0005-0000-0000-0000EF230000}"/>
    <cellStyle name="Ausgabe 3 3 2 34" xfId="9200" xr:uid="{00000000-0005-0000-0000-0000F0230000}"/>
    <cellStyle name="Ausgabe 3 3 2 35" xfId="9201" xr:uid="{00000000-0005-0000-0000-0000F1230000}"/>
    <cellStyle name="Ausgabe 3 3 2 36" xfId="9202" xr:uid="{00000000-0005-0000-0000-0000F2230000}"/>
    <cellStyle name="Ausgabe 3 3 2 37" xfId="9203" xr:uid="{00000000-0005-0000-0000-0000F3230000}"/>
    <cellStyle name="Ausgabe 3 3 2 38" xfId="9204" xr:uid="{00000000-0005-0000-0000-0000F4230000}"/>
    <cellStyle name="Ausgabe 3 3 2 39" xfId="9205" xr:uid="{00000000-0005-0000-0000-0000F5230000}"/>
    <cellStyle name="Ausgabe 3 3 2 4" xfId="9206" xr:uid="{00000000-0005-0000-0000-0000F6230000}"/>
    <cellStyle name="Ausgabe 3 3 2 40" xfId="9207" xr:uid="{00000000-0005-0000-0000-0000F7230000}"/>
    <cellStyle name="Ausgabe 3 3 2 41" xfId="9208" xr:uid="{00000000-0005-0000-0000-0000F8230000}"/>
    <cellStyle name="Ausgabe 3 3 2 42" xfId="9209" xr:uid="{00000000-0005-0000-0000-0000F9230000}"/>
    <cellStyle name="Ausgabe 3 3 2 43" xfId="9210" xr:uid="{00000000-0005-0000-0000-0000FA230000}"/>
    <cellStyle name="Ausgabe 3 3 2 44" xfId="9211" xr:uid="{00000000-0005-0000-0000-0000FB230000}"/>
    <cellStyle name="Ausgabe 3 3 2 45" xfId="9212" xr:uid="{00000000-0005-0000-0000-0000FC230000}"/>
    <cellStyle name="Ausgabe 3 3 2 46" xfId="9213" xr:uid="{00000000-0005-0000-0000-0000FD230000}"/>
    <cellStyle name="Ausgabe 3 3 2 47" xfId="9214" xr:uid="{00000000-0005-0000-0000-0000FE230000}"/>
    <cellStyle name="Ausgabe 3 3 2 48" xfId="9215" xr:uid="{00000000-0005-0000-0000-0000FF230000}"/>
    <cellStyle name="Ausgabe 3 3 2 49" xfId="9216" xr:uid="{00000000-0005-0000-0000-000000240000}"/>
    <cellStyle name="Ausgabe 3 3 2 5" xfId="9217" xr:uid="{00000000-0005-0000-0000-000001240000}"/>
    <cellStyle name="Ausgabe 3 3 2 50" xfId="9218" xr:uid="{00000000-0005-0000-0000-000002240000}"/>
    <cellStyle name="Ausgabe 3 3 2 51" xfId="9219" xr:uid="{00000000-0005-0000-0000-000003240000}"/>
    <cellStyle name="Ausgabe 3 3 2 52" xfId="9220" xr:uid="{00000000-0005-0000-0000-000004240000}"/>
    <cellStyle name="Ausgabe 3 3 2 53" xfId="9221" xr:uid="{00000000-0005-0000-0000-000005240000}"/>
    <cellStyle name="Ausgabe 3 3 2 54" xfId="9222" xr:uid="{00000000-0005-0000-0000-000006240000}"/>
    <cellStyle name="Ausgabe 3 3 2 55" xfId="9223" xr:uid="{00000000-0005-0000-0000-000007240000}"/>
    <cellStyle name="Ausgabe 3 3 2 56" xfId="9224" xr:uid="{00000000-0005-0000-0000-000008240000}"/>
    <cellStyle name="Ausgabe 3 3 2 57" xfId="9225" xr:uid="{00000000-0005-0000-0000-000009240000}"/>
    <cellStyle name="Ausgabe 3 3 2 58" xfId="9226" xr:uid="{00000000-0005-0000-0000-00000A240000}"/>
    <cellStyle name="Ausgabe 3 3 2 59" xfId="9227" xr:uid="{00000000-0005-0000-0000-00000B240000}"/>
    <cellStyle name="Ausgabe 3 3 2 6" xfId="9228" xr:uid="{00000000-0005-0000-0000-00000C240000}"/>
    <cellStyle name="Ausgabe 3 3 2 60" xfId="9229" xr:uid="{00000000-0005-0000-0000-00000D240000}"/>
    <cellStyle name="Ausgabe 3 3 2 61" xfId="9230" xr:uid="{00000000-0005-0000-0000-00000E240000}"/>
    <cellStyle name="Ausgabe 3 3 2 62" xfId="9231" xr:uid="{00000000-0005-0000-0000-00000F240000}"/>
    <cellStyle name="Ausgabe 3 3 2 63" xfId="9232" xr:uid="{00000000-0005-0000-0000-000010240000}"/>
    <cellStyle name="Ausgabe 3 3 2 64" xfId="9233" xr:uid="{00000000-0005-0000-0000-000011240000}"/>
    <cellStyle name="Ausgabe 3 3 2 65" xfId="9234" xr:uid="{00000000-0005-0000-0000-000012240000}"/>
    <cellStyle name="Ausgabe 3 3 2 7" xfId="9235" xr:uid="{00000000-0005-0000-0000-000013240000}"/>
    <cellStyle name="Ausgabe 3 3 2 8" xfId="9236" xr:uid="{00000000-0005-0000-0000-000014240000}"/>
    <cellStyle name="Ausgabe 3 3 2 9" xfId="9237" xr:uid="{00000000-0005-0000-0000-000015240000}"/>
    <cellStyle name="Ausgabe 3 3 20" xfId="9238" xr:uid="{00000000-0005-0000-0000-000016240000}"/>
    <cellStyle name="Ausgabe 3 3 21" xfId="9239" xr:uid="{00000000-0005-0000-0000-000017240000}"/>
    <cellStyle name="Ausgabe 3 3 22" xfId="9240" xr:uid="{00000000-0005-0000-0000-000018240000}"/>
    <cellStyle name="Ausgabe 3 3 23" xfId="9241" xr:uid="{00000000-0005-0000-0000-000019240000}"/>
    <cellStyle name="Ausgabe 3 3 24" xfId="9242" xr:uid="{00000000-0005-0000-0000-00001A240000}"/>
    <cellStyle name="Ausgabe 3 3 25" xfId="9243" xr:uid="{00000000-0005-0000-0000-00001B240000}"/>
    <cellStyle name="Ausgabe 3 3 26" xfId="9244" xr:uid="{00000000-0005-0000-0000-00001C240000}"/>
    <cellStyle name="Ausgabe 3 3 27" xfId="9245" xr:uid="{00000000-0005-0000-0000-00001D240000}"/>
    <cellStyle name="Ausgabe 3 3 28" xfId="9246" xr:uid="{00000000-0005-0000-0000-00001E240000}"/>
    <cellStyle name="Ausgabe 3 3 29" xfId="9247" xr:uid="{00000000-0005-0000-0000-00001F240000}"/>
    <cellStyle name="Ausgabe 3 3 3" xfId="9248" xr:uid="{00000000-0005-0000-0000-000020240000}"/>
    <cellStyle name="Ausgabe 3 3 30" xfId="9249" xr:uid="{00000000-0005-0000-0000-000021240000}"/>
    <cellStyle name="Ausgabe 3 3 31" xfId="9250" xr:uid="{00000000-0005-0000-0000-000022240000}"/>
    <cellStyle name="Ausgabe 3 3 32" xfId="9251" xr:uid="{00000000-0005-0000-0000-000023240000}"/>
    <cellStyle name="Ausgabe 3 3 33" xfId="9252" xr:uid="{00000000-0005-0000-0000-000024240000}"/>
    <cellStyle name="Ausgabe 3 3 34" xfId="9253" xr:uid="{00000000-0005-0000-0000-000025240000}"/>
    <cellStyle name="Ausgabe 3 3 35" xfId="9254" xr:uid="{00000000-0005-0000-0000-000026240000}"/>
    <cellStyle name="Ausgabe 3 3 36" xfId="9255" xr:uid="{00000000-0005-0000-0000-000027240000}"/>
    <cellStyle name="Ausgabe 3 3 37" xfId="9256" xr:uid="{00000000-0005-0000-0000-000028240000}"/>
    <cellStyle name="Ausgabe 3 3 38" xfId="9257" xr:uid="{00000000-0005-0000-0000-000029240000}"/>
    <cellStyle name="Ausgabe 3 3 39" xfId="9258" xr:uid="{00000000-0005-0000-0000-00002A240000}"/>
    <cellStyle name="Ausgabe 3 3 4" xfId="9259" xr:uid="{00000000-0005-0000-0000-00002B240000}"/>
    <cellStyle name="Ausgabe 3 3 40" xfId="9260" xr:uid="{00000000-0005-0000-0000-00002C240000}"/>
    <cellStyle name="Ausgabe 3 3 41" xfId="9261" xr:uid="{00000000-0005-0000-0000-00002D240000}"/>
    <cellStyle name="Ausgabe 3 3 42" xfId="9262" xr:uid="{00000000-0005-0000-0000-00002E240000}"/>
    <cellStyle name="Ausgabe 3 3 43" xfId="9263" xr:uid="{00000000-0005-0000-0000-00002F240000}"/>
    <cellStyle name="Ausgabe 3 3 44" xfId="9264" xr:uid="{00000000-0005-0000-0000-000030240000}"/>
    <cellStyle name="Ausgabe 3 3 45" xfId="9265" xr:uid="{00000000-0005-0000-0000-000031240000}"/>
    <cellStyle name="Ausgabe 3 3 46" xfId="9266" xr:uid="{00000000-0005-0000-0000-000032240000}"/>
    <cellStyle name="Ausgabe 3 3 47" xfId="9267" xr:uid="{00000000-0005-0000-0000-000033240000}"/>
    <cellStyle name="Ausgabe 3 3 48" xfId="9268" xr:uid="{00000000-0005-0000-0000-000034240000}"/>
    <cellStyle name="Ausgabe 3 3 49" xfId="9269" xr:uid="{00000000-0005-0000-0000-000035240000}"/>
    <cellStyle name="Ausgabe 3 3 5" xfId="9270" xr:uid="{00000000-0005-0000-0000-000036240000}"/>
    <cellStyle name="Ausgabe 3 3 50" xfId="9271" xr:uid="{00000000-0005-0000-0000-000037240000}"/>
    <cellStyle name="Ausgabe 3 3 51" xfId="9272" xr:uid="{00000000-0005-0000-0000-000038240000}"/>
    <cellStyle name="Ausgabe 3 3 52" xfId="9273" xr:uid="{00000000-0005-0000-0000-000039240000}"/>
    <cellStyle name="Ausgabe 3 3 53" xfId="9274" xr:uid="{00000000-0005-0000-0000-00003A240000}"/>
    <cellStyle name="Ausgabe 3 3 54" xfId="9275" xr:uid="{00000000-0005-0000-0000-00003B240000}"/>
    <cellStyle name="Ausgabe 3 3 55" xfId="9276" xr:uid="{00000000-0005-0000-0000-00003C240000}"/>
    <cellStyle name="Ausgabe 3 3 56" xfId="9277" xr:uid="{00000000-0005-0000-0000-00003D240000}"/>
    <cellStyle name="Ausgabe 3 3 57" xfId="9278" xr:uid="{00000000-0005-0000-0000-00003E240000}"/>
    <cellStyle name="Ausgabe 3 3 58" xfId="9279" xr:uid="{00000000-0005-0000-0000-00003F240000}"/>
    <cellStyle name="Ausgabe 3 3 59" xfId="9280" xr:uid="{00000000-0005-0000-0000-000040240000}"/>
    <cellStyle name="Ausgabe 3 3 6" xfId="9281" xr:uid="{00000000-0005-0000-0000-000041240000}"/>
    <cellStyle name="Ausgabe 3 3 60" xfId="9282" xr:uid="{00000000-0005-0000-0000-000042240000}"/>
    <cellStyle name="Ausgabe 3 3 61" xfId="9283" xr:uid="{00000000-0005-0000-0000-000043240000}"/>
    <cellStyle name="Ausgabe 3 3 62" xfId="9284" xr:uid="{00000000-0005-0000-0000-000044240000}"/>
    <cellStyle name="Ausgabe 3 3 63" xfId="9285" xr:uid="{00000000-0005-0000-0000-000045240000}"/>
    <cellStyle name="Ausgabe 3 3 64" xfId="9286" xr:uid="{00000000-0005-0000-0000-000046240000}"/>
    <cellStyle name="Ausgabe 3 3 65" xfId="9287" xr:uid="{00000000-0005-0000-0000-000047240000}"/>
    <cellStyle name="Ausgabe 3 3 66" xfId="9288" xr:uid="{00000000-0005-0000-0000-000048240000}"/>
    <cellStyle name="Ausgabe 3 3 7" xfId="9289" xr:uid="{00000000-0005-0000-0000-000049240000}"/>
    <cellStyle name="Ausgabe 3 3 8" xfId="9290" xr:uid="{00000000-0005-0000-0000-00004A240000}"/>
    <cellStyle name="Ausgabe 3 3 9" xfId="9291" xr:uid="{00000000-0005-0000-0000-00004B240000}"/>
    <cellStyle name="Ausgabe 3 30" xfId="9292" xr:uid="{00000000-0005-0000-0000-00004C240000}"/>
    <cellStyle name="Ausgabe 3 31" xfId="9293" xr:uid="{00000000-0005-0000-0000-00004D240000}"/>
    <cellStyle name="Ausgabe 3 32" xfId="9294" xr:uid="{00000000-0005-0000-0000-00004E240000}"/>
    <cellStyle name="Ausgabe 3 33" xfId="9295" xr:uid="{00000000-0005-0000-0000-00004F240000}"/>
    <cellStyle name="Ausgabe 3 4" xfId="9296" xr:uid="{00000000-0005-0000-0000-000050240000}"/>
    <cellStyle name="Ausgabe 3 4 10" xfId="9297" xr:uid="{00000000-0005-0000-0000-000051240000}"/>
    <cellStyle name="Ausgabe 3 4 11" xfId="9298" xr:uid="{00000000-0005-0000-0000-000052240000}"/>
    <cellStyle name="Ausgabe 3 4 12" xfId="9299" xr:uid="{00000000-0005-0000-0000-000053240000}"/>
    <cellStyle name="Ausgabe 3 4 13" xfId="9300" xr:uid="{00000000-0005-0000-0000-000054240000}"/>
    <cellStyle name="Ausgabe 3 4 14" xfId="9301" xr:uid="{00000000-0005-0000-0000-000055240000}"/>
    <cellStyle name="Ausgabe 3 4 15" xfId="9302" xr:uid="{00000000-0005-0000-0000-000056240000}"/>
    <cellStyle name="Ausgabe 3 4 16" xfId="9303" xr:uid="{00000000-0005-0000-0000-000057240000}"/>
    <cellStyle name="Ausgabe 3 4 17" xfId="9304" xr:uid="{00000000-0005-0000-0000-000058240000}"/>
    <cellStyle name="Ausgabe 3 4 18" xfId="9305" xr:uid="{00000000-0005-0000-0000-000059240000}"/>
    <cellStyle name="Ausgabe 3 4 19" xfId="9306" xr:uid="{00000000-0005-0000-0000-00005A240000}"/>
    <cellStyle name="Ausgabe 3 4 2" xfId="9307" xr:uid="{00000000-0005-0000-0000-00005B240000}"/>
    <cellStyle name="Ausgabe 3 4 20" xfId="9308" xr:uid="{00000000-0005-0000-0000-00005C240000}"/>
    <cellStyle name="Ausgabe 3 4 21" xfId="9309" xr:uid="{00000000-0005-0000-0000-00005D240000}"/>
    <cellStyle name="Ausgabe 3 4 22" xfId="9310" xr:uid="{00000000-0005-0000-0000-00005E240000}"/>
    <cellStyle name="Ausgabe 3 4 23" xfId="9311" xr:uid="{00000000-0005-0000-0000-00005F240000}"/>
    <cellStyle name="Ausgabe 3 4 24" xfId="9312" xr:uid="{00000000-0005-0000-0000-000060240000}"/>
    <cellStyle name="Ausgabe 3 4 25" xfId="9313" xr:uid="{00000000-0005-0000-0000-000061240000}"/>
    <cellStyle name="Ausgabe 3 4 26" xfId="9314" xr:uid="{00000000-0005-0000-0000-000062240000}"/>
    <cellStyle name="Ausgabe 3 4 27" xfId="9315" xr:uid="{00000000-0005-0000-0000-000063240000}"/>
    <cellStyle name="Ausgabe 3 4 28" xfId="9316" xr:uid="{00000000-0005-0000-0000-000064240000}"/>
    <cellStyle name="Ausgabe 3 4 29" xfId="9317" xr:uid="{00000000-0005-0000-0000-000065240000}"/>
    <cellStyle name="Ausgabe 3 4 3" xfId="9318" xr:uid="{00000000-0005-0000-0000-000066240000}"/>
    <cellStyle name="Ausgabe 3 4 30" xfId="9319" xr:uid="{00000000-0005-0000-0000-000067240000}"/>
    <cellStyle name="Ausgabe 3 4 31" xfId="9320" xr:uid="{00000000-0005-0000-0000-000068240000}"/>
    <cellStyle name="Ausgabe 3 4 32" xfId="9321" xr:uid="{00000000-0005-0000-0000-000069240000}"/>
    <cellStyle name="Ausgabe 3 4 33" xfId="9322" xr:uid="{00000000-0005-0000-0000-00006A240000}"/>
    <cellStyle name="Ausgabe 3 4 34" xfId="9323" xr:uid="{00000000-0005-0000-0000-00006B240000}"/>
    <cellStyle name="Ausgabe 3 4 35" xfId="9324" xr:uid="{00000000-0005-0000-0000-00006C240000}"/>
    <cellStyle name="Ausgabe 3 4 36" xfId="9325" xr:uid="{00000000-0005-0000-0000-00006D240000}"/>
    <cellStyle name="Ausgabe 3 4 37" xfId="9326" xr:uid="{00000000-0005-0000-0000-00006E240000}"/>
    <cellStyle name="Ausgabe 3 4 38" xfId="9327" xr:uid="{00000000-0005-0000-0000-00006F240000}"/>
    <cellStyle name="Ausgabe 3 4 39" xfId="9328" xr:uid="{00000000-0005-0000-0000-000070240000}"/>
    <cellStyle name="Ausgabe 3 4 4" xfId="9329" xr:uid="{00000000-0005-0000-0000-000071240000}"/>
    <cellStyle name="Ausgabe 3 4 40" xfId="9330" xr:uid="{00000000-0005-0000-0000-000072240000}"/>
    <cellStyle name="Ausgabe 3 4 41" xfId="9331" xr:uid="{00000000-0005-0000-0000-000073240000}"/>
    <cellStyle name="Ausgabe 3 4 42" xfId="9332" xr:uid="{00000000-0005-0000-0000-000074240000}"/>
    <cellStyle name="Ausgabe 3 4 43" xfId="9333" xr:uid="{00000000-0005-0000-0000-000075240000}"/>
    <cellStyle name="Ausgabe 3 4 44" xfId="9334" xr:uid="{00000000-0005-0000-0000-000076240000}"/>
    <cellStyle name="Ausgabe 3 4 45" xfId="9335" xr:uid="{00000000-0005-0000-0000-000077240000}"/>
    <cellStyle name="Ausgabe 3 4 46" xfId="9336" xr:uid="{00000000-0005-0000-0000-000078240000}"/>
    <cellStyle name="Ausgabe 3 4 47" xfId="9337" xr:uid="{00000000-0005-0000-0000-000079240000}"/>
    <cellStyle name="Ausgabe 3 4 48" xfId="9338" xr:uid="{00000000-0005-0000-0000-00007A240000}"/>
    <cellStyle name="Ausgabe 3 4 49" xfId="9339" xr:uid="{00000000-0005-0000-0000-00007B240000}"/>
    <cellStyle name="Ausgabe 3 4 5" xfId="9340" xr:uid="{00000000-0005-0000-0000-00007C240000}"/>
    <cellStyle name="Ausgabe 3 4 50" xfId="9341" xr:uid="{00000000-0005-0000-0000-00007D240000}"/>
    <cellStyle name="Ausgabe 3 4 51" xfId="9342" xr:uid="{00000000-0005-0000-0000-00007E240000}"/>
    <cellStyle name="Ausgabe 3 4 52" xfId="9343" xr:uid="{00000000-0005-0000-0000-00007F240000}"/>
    <cellStyle name="Ausgabe 3 4 53" xfId="9344" xr:uid="{00000000-0005-0000-0000-000080240000}"/>
    <cellStyle name="Ausgabe 3 4 54" xfId="9345" xr:uid="{00000000-0005-0000-0000-000081240000}"/>
    <cellStyle name="Ausgabe 3 4 55" xfId="9346" xr:uid="{00000000-0005-0000-0000-000082240000}"/>
    <cellStyle name="Ausgabe 3 4 56" xfId="9347" xr:uid="{00000000-0005-0000-0000-000083240000}"/>
    <cellStyle name="Ausgabe 3 4 57" xfId="9348" xr:uid="{00000000-0005-0000-0000-000084240000}"/>
    <cellStyle name="Ausgabe 3 4 58" xfId="9349" xr:uid="{00000000-0005-0000-0000-000085240000}"/>
    <cellStyle name="Ausgabe 3 4 59" xfId="9350" xr:uid="{00000000-0005-0000-0000-000086240000}"/>
    <cellStyle name="Ausgabe 3 4 6" xfId="9351" xr:uid="{00000000-0005-0000-0000-000087240000}"/>
    <cellStyle name="Ausgabe 3 4 60" xfId="9352" xr:uid="{00000000-0005-0000-0000-000088240000}"/>
    <cellStyle name="Ausgabe 3 4 61" xfId="9353" xr:uid="{00000000-0005-0000-0000-000089240000}"/>
    <cellStyle name="Ausgabe 3 4 62" xfId="9354" xr:uid="{00000000-0005-0000-0000-00008A240000}"/>
    <cellStyle name="Ausgabe 3 4 63" xfId="9355" xr:uid="{00000000-0005-0000-0000-00008B240000}"/>
    <cellStyle name="Ausgabe 3 4 64" xfId="9356" xr:uid="{00000000-0005-0000-0000-00008C240000}"/>
    <cellStyle name="Ausgabe 3 4 65" xfId="9357" xr:uid="{00000000-0005-0000-0000-00008D240000}"/>
    <cellStyle name="Ausgabe 3 4 7" xfId="9358" xr:uid="{00000000-0005-0000-0000-00008E240000}"/>
    <cellStyle name="Ausgabe 3 4 8" xfId="9359" xr:uid="{00000000-0005-0000-0000-00008F240000}"/>
    <cellStyle name="Ausgabe 3 4 9" xfId="9360" xr:uid="{00000000-0005-0000-0000-000090240000}"/>
    <cellStyle name="Ausgabe 3 5" xfId="9361" xr:uid="{00000000-0005-0000-0000-000091240000}"/>
    <cellStyle name="Ausgabe 3 6" xfId="9362" xr:uid="{00000000-0005-0000-0000-000092240000}"/>
    <cellStyle name="Ausgabe 3 7" xfId="9363" xr:uid="{00000000-0005-0000-0000-000093240000}"/>
    <cellStyle name="Ausgabe 3 8" xfId="9364" xr:uid="{00000000-0005-0000-0000-000094240000}"/>
    <cellStyle name="Ausgabe 3 9" xfId="9365" xr:uid="{00000000-0005-0000-0000-000095240000}"/>
    <cellStyle name="Ausgabe 4" xfId="9366" xr:uid="{00000000-0005-0000-0000-000096240000}"/>
    <cellStyle name="Ausgabe 4 10" xfId="9367" xr:uid="{00000000-0005-0000-0000-000097240000}"/>
    <cellStyle name="Ausgabe 4 11" xfId="9368" xr:uid="{00000000-0005-0000-0000-000098240000}"/>
    <cellStyle name="Ausgabe 4 12" xfId="9369" xr:uid="{00000000-0005-0000-0000-000099240000}"/>
    <cellStyle name="Ausgabe 4 13" xfId="9370" xr:uid="{00000000-0005-0000-0000-00009A240000}"/>
    <cellStyle name="Ausgabe 4 14" xfId="9371" xr:uid="{00000000-0005-0000-0000-00009B240000}"/>
    <cellStyle name="Ausgabe 4 15" xfId="9372" xr:uid="{00000000-0005-0000-0000-00009C240000}"/>
    <cellStyle name="Ausgabe 4 16" xfId="9373" xr:uid="{00000000-0005-0000-0000-00009D240000}"/>
    <cellStyle name="Ausgabe 4 17" xfId="9374" xr:uid="{00000000-0005-0000-0000-00009E240000}"/>
    <cellStyle name="Ausgabe 4 18" xfId="9375" xr:uid="{00000000-0005-0000-0000-00009F240000}"/>
    <cellStyle name="Ausgabe 4 19" xfId="9376" xr:uid="{00000000-0005-0000-0000-0000A0240000}"/>
    <cellStyle name="Ausgabe 4 2" xfId="9377" xr:uid="{00000000-0005-0000-0000-0000A1240000}"/>
    <cellStyle name="Ausgabe 4 2 10" xfId="9378" xr:uid="{00000000-0005-0000-0000-0000A2240000}"/>
    <cellStyle name="Ausgabe 4 2 11" xfId="9379" xr:uid="{00000000-0005-0000-0000-0000A3240000}"/>
    <cellStyle name="Ausgabe 4 2 12" xfId="9380" xr:uid="{00000000-0005-0000-0000-0000A4240000}"/>
    <cellStyle name="Ausgabe 4 2 13" xfId="9381" xr:uid="{00000000-0005-0000-0000-0000A5240000}"/>
    <cellStyle name="Ausgabe 4 2 14" xfId="9382" xr:uid="{00000000-0005-0000-0000-0000A6240000}"/>
    <cellStyle name="Ausgabe 4 2 15" xfId="9383" xr:uid="{00000000-0005-0000-0000-0000A7240000}"/>
    <cellStyle name="Ausgabe 4 2 16" xfId="9384" xr:uid="{00000000-0005-0000-0000-0000A8240000}"/>
    <cellStyle name="Ausgabe 4 2 17" xfId="9385" xr:uid="{00000000-0005-0000-0000-0000A9240000}"/>
    <cellStyle name="Ausgabe 4 2 18" xfId="9386" xr:uid="{00000000-0005-0000-0000-0000AA240000}"/>
    <cellStyle name="Ausgabe 4 2 19" xfId="9387" xr:uid="{00000000-0005-0000-0000-0000AB240000}"/>
    <cellStyle name="Ausgabe 4 2 2" xfId="9388" xr:uid="{00000000-0005-0000-0000-0000AC240000}"/>
    <cellStyle name="Ausgabe 4 2 20" xfId="9389" xr:uid="{00000000-0005-0000-0000-0000AD240000}"/>
    <cellStyle name="Ausgabe 4 2 21" xfId="9390" xr:uid="{00000000-0005-0000-0000-0000AE240000}"/>
    <cellStyle name="Ausgabe 4 2 22" xfId="9391" xr:uid="{00000000-0005-0000-0000-0000AF240000}"/>
    <cellStyle name="Ausgabe 4 2 23" xfId="9392" xr:uid="{00000000-0005-0000-0000-0000B0240000}"/>
    <cellStyle name="Ausgabe 4 2 24" xfId="9393" xr:uid="{00000000-0005-0000-0000-0000B1240000}"/>
    <cellStyle name="Ausgabe 4 2 25" xfId="9394" xr:uid="{00000000-0005-0000-0000-0000B2240000}"/>
    <cellStyle name="Ausgabe 4 2 26" xfId="9395" xr:uid="{00000000-0005-0000-0000-0000B3240000}"/>
    <cellStyle name="Ausgabe 4 2 27" xfId="9396" xr:uid="{00000000-0005-0000-0000-0000B4240000}"/>
    <cellStyle name="Ausgabe 4 2 28" xfId="9397" xr:uid="{00000000-0005-0000-0000-0000B5240000}"/>
    <cellStyle name="Ausgabe 4 2 29" xfId="9398" xr:uid="{00000000-0005-0000-0000-0000B6240000}"/>
    <cellStyle name="Ausgabe 4 2 3" xfId="9399" xr:uid="{00000000-0005-0000-0000-0000B7240000}"/>
    <cellStyle name="Ausgabe 4 2 30" xfId="9400" xr:uid="{00000000-0005-0000-0000-0000B8240000}"/>
    <cellStyle name="Ausgabe 4 2 31" xfId="9401" xr:uid="{00000000-0005-0000-0000-0000B9240000}"/>
    <cellStyle name="Ausgabe 4 2 32" xfId="9402" xr:uid="{00000000-0005-0000-0000-0000BA240000}"/>
    <cellStyle name="Ausgabe 4 2 33" xfId="9403" xr:uid="{00000000-0005-0000-0000-0000BB240000}"/>
    <cellStyle name="Ausgabe 4 2 34" xfId="9404" xr:uid="{00000000-0005-0000-0000-0000BC240000}"/>
    <cellStyle name="Ausgabe 4 2 35" xfId="9405" xr:uid="{00000000-0005-0000-0000-0000BD240000}"/>
    <cellStyle name="Ausgabe 4 2 36" xfId="9406" xr:uid="{00000000-0005-0000-0000-0000BE240000}"/>
    <cellStyle name="Ausgabe 4 2 37" xfId="9407" xr:uid="{00000000-0005-0000-0000-0000BF240000}"/>
    <cellStyle name="Ausgabe 4 2 38" xfId="9408" xr:uid="{00000000-0005-0000-0000-0000C0240000}"/>
    <cellStyle name="Ausgabe 4 2 39" xfId="9409" xr:uid="{00000000-0005-0000-0000-0000C1240000}"/>
    <cellStyle name="Ausgabe 4 2 4" xfId="9410" xr:uid="{00000000-0005-0000-0000-0000C2240000}"/>
    <cellStyle name="Ausgabe 4 2 40" xfId="9411" xr:uid="{00000000-0005-0000-0000-0000C3240000}"/>
    <cellStyle name="Ausgabe 4 2 41" xfId="9412" xr:uid="{00000000-0005-0000-0000-0000C4240000}"/>
    <cellStyle name="Ausgabe 4 2 42" xfId="9413" xr:uid="{00000000-0005-0000-0000-0000C5240000}"/>
    <cellStyle name="Ausgabe 4 2 43" xfId="9414" xr:uid="{00000000-0005-0000-0000-0000C6240000}"/>
    <cellStyle name="Ausgabe 4 2 44" xfId="9415" xr:uid="{00000000-0005-0000-0000-0000C7240000}"/>
    <cellStyle name="Ausgabe 4 2 45" xfId="9416" xr:uid="{00000000-0005-0000-0000-0000C8240000}"/>
    <cellStyle name="Ausgabe 4 2 46" xfId="9417" xr:uid="{00000000-0005-0000-0000-0000C9240000}"/>
    <cellStyle name="Ausgabe 4 2 47" xfId="9418" xr:uid="{00000000-0005-0000-0000-0000CA240000}"/>
    <cellStyle name="Ausgabe 4 2 48" xfId="9419" xr:uid="{00000000-0005-0000-0000-0000CB240000}"/>
    <cellStyle name="Ausgabe 4 2 49" xfId="9420" xr:uid="{00000000-0005-0000-0000-0000CC240000}"/>
    <cellStyle name="Ausgabe 4 2 5" xfId="9421" xr:uid="{00000000-0005-0000-0000-0000CD240000}"/>
    <cellStyle name="Ausgabe 4 2 50" xfId="9422" xr:uid="{00000000-0005-0000-0000-0000CE240000}"/>
    <cellStyle name="Ausgabe 4 2 51" xfId="9423" xr:uid="{00000000-0005-0000-0000-0000CF240000}"/>
    <cellStyle name="Ausgabe 4 2 52" xfId="9424" xr:uid="{00000000-0005-0000-0000-0000D0240000}"/>
    <cellStyle name="Ausgabe 4 2 53" xfId="9425" xr:uid="{00000000-0005-0000-0000-0000D1240000}"/>
    <cellStyle name="Ausgabe 4 2 54" xfId="9426" xr:uid="{00000000-0005-0000-0000-0000D2240000}"/>
    <cellStyle name="Ausgabe 4 2 55" xfId="9427" xr:uid="{00000000-0005-0000-0000-0000D3240000}"/>
    <cellStyle name="Ausgabe 4 2 56" xfId="9428" xr:uid="{00000000-0005-0000-0000-0000D4240000}"/>
    <cellStyle name="Ausgabe 4 2 57" xfId="9429" xr:uid="{00000000-0005-0000-0000-0000D5240000}"/>
    <cellStyle name="Ausgabe 4 2 58" xfId="9430" xr:uid="{00000000-0005-0000-0000-0000D6240000}"/>
    <cellStyle name="Ausgabe 4 2 59" xfId="9431" xr:uid="{00000000-0005-0000-0000-0000D7240000}"/>
    <cellStyle name="Ausgabe 4 2 6" xfId="9432" xr:uid="{00000000-0005-0000-0000-0000D8240000}"/>
    <cellStyle name="Ausgabe 4 2 60" xfId="9433" xr:uid="{00000000-0005-0000-0000-0000D9240000}"/>
    <cellStyle name="Ausgabe 4 2 61" xfId="9434" xr:uid="{00000000-0005-0000-0000-0000DA240000}"/>
    <cellStyle name="Ausgabe 4 2 62" xfId="9435" xr:uid="{00000000-0005-0000-0000-0000DB240000}"/>
    <cellStyle name="Ausgabe 4 2 63" xfId="9436" xr:uid="{00000000-0005-0000-0000-0000DC240000}"/>
    <cellStyle name="Ausgabe 4 2 64" xfId="9437" xr:uid="{00000000-0005-0000-0000-0000DD240000}"/>
    <cellStyle name="Ausgabe 4 2 65" xfId="9438" xr:uid="{00000000-0005-0000-0000-0000DE240000}"/>
    <cellStyle name="Ausgabe 4 2 7" xfId="9439" xr:uid="{00000000-0005-0000-0000-0000DF240000}"/>
    <cellStyle name="Ausgabe 4 2 8" xfId="9440" xr:uid="{00000000-0005-0000-0000-0000E0240000}"/>
    <cellStyle name="Ausgabe 4 2 9" xfId="9441" xr:uid="{00000000-0005-0000-0000-0000E1240000}"/>
    <cellStyle name="Ausgabe 4 20" xfId="9442" xr:uid="{00000000-0005-0000-0000-0000E2240000}"/>
    <cellStyle name="Ausgabe 4 21" xfId="9443" xr:uid="{00000000-0005-0000-0000-0000E3240000}"/>
    <cellStyle name="Ausgabe 4 22" xfId="9444" xr:uid="{00000000-0005-0000-0000-0000E4240000}"/>
    <cellStyle name="Ausgabe 4 23" xfId="9445" xr:uid="{00000000-0005-0000-0000-0000E5240000}"/>
    <cellStyle name="Ausgabe 4 24" xfId="9446" xr:uid="{00000000-0005-0000-0000-0000E6240000}"/>
    <cellStyle name="Ausgabe 4 25" xfId="9447" xr:uid="{00000000-0005-0000-0000-0000E7240000}"/>
    <cellStyle name="Ausgabe 4 26" xfId="9448" xr:uid="{00000000-0005-0000-0000-0000E8240000}"/>
    <cellStyle name="Ausgabe 4 27" xfId="9449" xr:uid="{00000000-0005-0000-0000-0000E9240000}"/>
    <cellStyle name="Ausgabe 4 28" xfId="9450" xr:uid="{00000000-0005-0000-0000-0000EA240000}"/>
    <cellStyle name="Ausgabe 4 29" xfId="9451" xr:uid="{00000000-0005-0000-0000-0000EB240000}"/>
    <cellStyle name="Ausgabe 4 3" xfId="9452" xr:uid="{00000000-0005-0000-0000-0000EC240000}"/>
    <cellStyle name="Ausgabe 4 30" xfId="9453" xr:uid="{00000000-0005-0000-0000-0000ED240000}"/>
    <cellStyle name="Ausgabe 4 31" xfId="9454" xr:uid="{00000000-0005-0000-0000-0000EE240000}"/>
    <cellStyle name="Ausgabe 4 32" xfId="9455" xr:uid="{00000000-0005-0000-0000-0000EF240000}"/>
    <cellStyle name="Ausgabe 4 33" xfId="9456" xr:uid="{00000000-0005-0000-0000-0000F0240000}"/>
    <cellStyle name="Ausgabe 4 34" xfId="9457" xr:uid="{00000000-0005-0000-0000-0000F1240000}"/>
    <cellStyle name="Ausgabe 4 35" xfId="9458" xr:uid="{00000000-0005-0000-0000-0000F2240000}"/>
    <cellStyle name="Ausgabe 4 36" xfId="9459" xr:uid="{00000000-0005-0000-0000-0000F3240000}"/>
    <cellStyle name="Ausgabe 4 37" xfId="9460" xr:uid="{00000000-0005-0000-0000-0000F4240000}"/>
    <cellStyle name="Ausgabe 4 38" xfId="9461" xr:uid="{00000000-0005-0000-0000-0000F5240000}"/>
    <cellStyle name="Ausgabe 4 39" xfId="9462" xr:uid="{00000000-0005-0000-0000-0000F6240000}"/>
    <cellStyle name="Ausgabe 4 4" xfId="9463" xr:uid="{00000000-0005-0000-0000-0000F7240000}"/>
    <cellStyle name="Ausgabe 4 40" xfId="9464" xr:uid="{00000000-0005-0000-0000-0000F8240000}"/>
    <cellStyle name="Ausgabe 4 41" xfId="9465" xr:uid="{00000000-0005-0000-0000-0000F9240000}"/>
    <cellStyle name="Ausgabe 4 42" xfId="9466" xr:uid="{00000000-0005-0000-0000-0000FA240000}"/>
    <cellStyle name="Ausgabe 4 43" xfId="9467" xr:uid="{00000000-0005-0000-0000-0000FB240000}"/>
    <cellStyle name="Ausgabe 4 44" xfId="9468" xr:uid="{00000000-0005-0000-0000-0000FC240000}"/>
    <cellStyle name="Ausgabe 4 45" xfId="9469" xr:uid="{00000000-0005-0000-0000-0000FD240000}"/>
    <cellStyle name="Ausgabe 4 46" xfId="9470" xr:uid="{00000000-0005-0000-0000-0000FE240000}"/>
    <cellStyle name="Ausgabe 4 47" xfId="9471" xr:uid="{00000000-0005-0000-0000-0000FF240000}"/>
    <cellStyle name="Ausgabe 4 48" xfId="9472" xr:uid="{00000000-0005-0000-0000-000000250000}"/>
    <cellStyle name="Ausgabe 4 49" xfId="9473" xr:uid="{00000000-0005-0000-0000-000001250000}"/>
    <cellStyle name="Ausgabe 4 5" xfId="9474" xr:uid="{00000000-0005-0000-0000-000002250000}"/>
    <cellStyle name="Ausgabe 4 50" xfId="9475" xr:uid="{00000000-0005-0000-0000-000003250000}"/>
    <cellStyle name="Ausgabe 4 51" xfId="9476" xr:uid="{00000000-0005-0000-0000-000004250000}"/>
    <cellStyle name="Ausgabe 4 52" xfId="9477" xr:uid="{00000000-0005-0000-0000-000005250000}"/>
    <cellStyle name="Ausgabe 4 53" xfId="9478" xr:uid="{00000000-0005-0000-0000-000006250000}"/>
    <cellStyle name="Ausgabe 4 54" xfId="9479" xr:uid="{00000000-0005-0000-0000-000007250000}"/>
    <cellStyle name="Ausgabe 4 55" xfId="9480" xr:uid="{00000000-0005-0000-0000-000008250000}"/>
    <cellStyle name="Ausgabe 4 56" xfId="9481" xr:uid="{00000000-0005-0000-0000-000009250000}"/>
    <cellStyle name="Ausgabe 4 57" xfId="9482" xr:uid="{00000000-0005-0000-0000-00000A250000}"/>
    <cellStyle name="Ausgabe 4 58" xfId="9483" xr:uid="{00000000-0005-0000-0000-00000B250000}"/>
    <cellStyle name="Ausgabe 4 59" xfId="9484" xr:uid="{00000000-0005-0000-0000-00000C250000}"/>
    <cellStyle name="Ausgabe 4 6" xfId="9485" xr:uid="{00000000-0005-0000-0000-00000D250000}"/>
    <cellStyle name="Ausgabe 4 60" xfId="9486" xr:uid="{00000000-0005-0000-0000-00000E250000}"/>
    <cellStyle name="Ausgabe 4 61" xfId="9487" xr:uid="{00000000-0005-0000-0000-00000F250000}"/>
    <cellStyle name="Ausgabe 4 62" xfId="9488" xr:uid="{00000000-0005-0000-0000-000010250000}"/>
    <cellStyle name="Ausgabe 4 63" xfId="9489" xr:uid="{00000000-0005-0000-0000-000011250000}"/>
    <cellStyle name="Ausgabe 4 64" xfId="9490" xr:uid="{00000000-0005-0000-0000-000012250000}"/>
    <cellStyle name="Ausgabe 4 65" xfId="9491" xr:uid="{00000000-0005-0000-0000-000013250000}"/>
    <cellStyle name="Ausgabe 4 66" xfId="9492" xr:uid="{00000000-0005-0000-0000-000014250000}"/>
    <cellStyle name="Ausgabe 4 7" xfId="9493" xr:uid="{00000000-0005-0000-0000-000015250000}"/>
    <cellStyle name="Ausgabe 4 8" xfId="9494" xr:uid="{00000000-0005-0000-0000-000016250000}"/>
    <cellStyle name="Ausgabe 4 9" xfId="9495" xr:uid="{00000000-0005-0000-0000-000017250000}"/>
    <cellStyle name="Ausgabe 5" xfId="9496" xr:uid="{00000000-0005-0000-0000-000018250000}"/>
    <cellStyle name="Ausgabe 5 10" xfId="9497" xr:uid="{00000000-0005-0000-0000-000019250000}"/>
    <cellStyle name="Ausgabe 5 11" xfId="9498" xr:uid="{00000000-0005-0000-0000-00001A250000}"/>
    <cellStyle name="Ausgabe 5 12" xfId="9499" xr:uid="{00000000-0005-0000-0000-00001B250000}"/>
    <cellStyle name="Ausgabe 5 13" xfId="9500" xr:uid="{00000000-0005-0000-0000-00001C250000}"/>
    <cellStyle name="Ausgabe 5 14" xfId="9501" xr:uid="{00000000-0005-0000-0000-00001D250000}"/>
    <cellStyle name="Ausgabe 5 15" xfId="9502" xr:uid="{00000000-0005-0000-0000-00001E250000}"/>
    <cellStyle name="Ausgabe 5 16" xfId="9503" xr:uid="{00000000-0005-0000-0000-00001F250000}"/>
    <cellStyle name="Ausgabe 5 17" xfId="9504" xr:uid="{00000000-0005-0000-0000-000020250000}"/>
    <cellStyle name="Ausgabe 5 18" xfId="9505" xr:uid="{00000000-0005-0000-0000-000021250000}"/>
    <cellStyle name="Ausgabe 5 19" xfId="9506" xr:uid="{00000000-0005-0000-0000-000022250000}"/>
    <cellStyle name="Ausgabe 5 2" xfId="9507" xr:uid="{00000000-0005-0000-0000-000023250000}"/>
    <cellStyle name="Ausgabe 5 2 10" xfId="9508" xr:uid="{00000000-0005-0000-0000-000024250000}"/>
    <cellStyle name="Ausgabe 5 2 11" xfId="9509" xr:uid="{00000000-0005-0000-0000-000025250000}"/>
    <cellStyle name="Ausgabe 5 2 12" xfId="9510" xr:uid="{00000000-0005-0000-0000-000026250000}"/>
    <cellStyle name="Ausgabe 5 2 13" xfId="9511" xr:uid="{00000000-0005-0000-0000-000027250000}"/>
    <cellStyle name="Ausgabe 5 2 14" xfId="9512" xr:uid="{00000000-0005-0000-0000-000028250000}"/>
    <cellStyle name="Ausgabe 5 2 15" xfId="9513" xr:uid="{00000000-0005-0000-0000-000029250000}"/>
    <cellStyle name="Ausgabe 5 2 16" xfId="9514" xr:uid="{00000000-0005-0000-0000-00002A250000}"/>
    <cellStyle name="Ausgabe 5 2 17" xfId="9515" xr:uid="{00000000-0005-0000-0000-00002B250000}"/>
    <cellStyle name="Ausgabe 5 2 18" xfId="9516" xr:uid="{00000000-0005-0000-0000-00002C250000}"/>
    <cellStyle name="Ausgabe 5 2 19" xfId="9517" xr:uid="{00000000-0005-0000-0000-00002D250000}"/>
    <cellStyle name="Ausgabe 5 2 2" xfId="9518" xr:uid="{00000000-0005-0000-0000-00002E250000}"/>
    <cellStyle name="Ausgabe 5 2 20" xfId="9519" xr:uid="{00000000-0005-0000-0000-00002F250000}"/>
    <cellStyle name="Ausgabe 5 2 21" xfId="9520" xr:uid="{00000000-0005-0000-0000-000030250000}"/>
    <cellStyle name="Ausgabe 5 2 22" xfId="9521" xr:uid="{00000000-0005-0000-0000-000031250000}"/>
    <cellStyle name="Ausgabe 5 2 23" xfId="9522" xr:uid="{00000000-0005-0000-0000-000032250000}"/>
    <cellStyle name="Ausgabe 5 2 24" xfId="9523" xr:uid="{00000000-0005-0000-0000-000033250000}"/>
    <cellStyle name="Ausgabe 5 2 25" xfId="9524" xr:uid="{00000000-0005-0000-0000-000034250000}"/>
    <cellStyle name="Ausgabe 5 2 26" xfId="9525" xr:uid="{00000000-0005-0000-0000-000035250000}"/>
    <cellStyle name="Ausgabe 5 2 27" xfId="9526" xr:uid="{00000000-0005-0000-0000-000036250000}"/>
    <cellStyle name="Ausgabe 5 2 28" xfId="9527" xr:uid="{00000000-0005-0000-0000-000037250000}"/>
    <cellStyle name="Ausgabe 5 2 29" xfId="9528" xr:uid="{00000000-0005-0000-0000-000038250000}"/>
    <cellStyle name="Ausgabe 5 2 3" xfId="9529" xr:uid="{00000000-0005-0000-0000-000039250000}"/>
    <cellStyle name="Ausgabe 5 2 30" xfId="9530" xr:uid="{00000000-0005-0000-0000-00003A250000}"/>
    <cellStyle name="Ausgabe 5 2 31" xfId="9531" xr:uid="{00000000-0005-0000-0000-00003B250000}"/>
    <cellStyle name="Ausgabe 5 2 32" xfId="9532" xr:uid="{00000000-0005-0000-0000-00003C250000}"/>
    <cellStyle name="Ausgabe 5 2 33" xfId="9533" xr:uid="{00000000-0005-0000-0000-00003D250000}"/>
    <cellStyle name="Ausgabe 5 2 34" xfId="9534" xr:uid="{00000000-0005-0000-0000-00003E250000}"/>
    <cellStyle name="Ausgabe 5 2 35" xfId="9535" xr:uid="{00000000-0005-0000-0000-00003F250000}"/>
    <cellStyle name="Ausgabe 5 2 36" xfId="9536" xr:uid="{00000000-0005-0000-0000-000040250000}"/>
    <cellStyle name="Ausgabe 5 2 37" xfId="9537" xr:uid="{00000000-0005-0000-0000-000041250000}"/>
    <cellStyle name="Ausgabe 5 2 38" xfId="9538" xr:uid="{00000000-0005-0000-0000-000042250000}"/>
    <cellStyle name="Ausgabe 5 2 39" xfId="9539" xr:uid="{00000000-0005-0000-0000-000043250000}"/>
    <cellStyle name="Ausgabe 5 2 4" xfId="9540" xr:uid="{00000000-0005-0000-0000-000044250000}"/>
    <cellStyle name="Ausgabe 5 2 40" xfId="9541" xr:uid="{00000000-0005-0000-0000-000045250000}"/>
    <cellStyle name="Ausgabe 5 2 41" xfId="9542" xr:uid="{00000000-0005-0000-0000-000046250000}"/>
    <cellStyle name="Ausgabe 5 2 42" xfId="9543" xr:uid="{00000000-0005-0000-0000-000047250000}"/>
    <cellStyle name="Ausgabe 5 2 43" xfId="9544" xr:uid="{00000000-0005-0000-0000-000048250000}"/>
    <cellStyle name="Ausgabe 5 2 44" xfId="9545" xr:uid="{00000000-0005-0000-0000-000049250000}"/>
    <cellStyle name="Ausgabe 5 2 45" xfId="9546" xr:uid="{00000000-0005-0000-0000-00004A250000}"/>
    <cellStyle name="Ausgabe 5 2 46" xfId="9547" xr:uid="{00000000-0005-0000-0000-00004B250000}"/>
    <cellStyle name="Ausgabe 5 2 47" xfId="9548" xr:uid="{00000000-0005-0000-0000-00004C250000}"/>
    <cellStyle name="Ausgabe 5 2 48" xfId="9549" xr:uid="{00000000-0005-0000-0000-00004D250000}"/>
    <cellStyle name="Ausgabe 5 2 49" xfId="9550" xr:uid="{00000000-0005-0000-0000-00004E250000}"/>
    <cellStyle name="Ausgabe 5 2 5" xfId="9551" xr:uid="{00000000-0005-0000-0000-00004F250000}"/>
    <cellStyle name="Ausgabe 5 2 50" xfId="9552" xr:uid="{00000000-0005-0000-0000-000050250000}"/>
    <cellStyle name="Ausgabe 5 2 51" xfId="9553" xr:uid="{00000000-0005-0000-0000-000051250000}"/>
    <cellStyle name="Ausgabe 5 2 52" xfId="9554" xr:uid="{00000000-0005-0000-0000-000052250000}"/>
    <cellStyle name="Ausgabe 5 2 53" xfId="9555" xr:uid="{00000000-0005-0000-0000-000053250000}"/>
    <cellStyle name="Ausgabe 5 2 54" xfId="9556" xr:uid="{00000000-0005-0000-0000-000054250000}"/>
    <cellStyle name="Ausgabe 5 2 55" xfId="9557" xr:uid="{00000000-0005-0000-0000-000055250000}"/>
    <cellStyle name="Ausgabe 5 2 56" xfId="9558" xr:uid="{00000000-0005-0000-0000-000056250000}"/>
    <cellStyle name="Ausgabe 5 2 57" xfId="9559" xr:uid="{00000000-0005-0000-0000-000057250000}"/>
    <cellStyle name="Ausgabe 5 2 58" xfId="9560" xr:uid="{00000000-0005-0000-0000-000058250000}"/>
    <cellStyle name="Ausgabe 5 2 59" xfId="9561" xr:uid="{00000000-0005-0000-0000-000059250000}"/>
    <cellStyle name="Ausgabe 5 2 6" xfId="9562" xr:uid="{00000000-0005-0000-0000-00005A250000}"/>
    <cellStyle name="Ausgabe 5 2 60" xfId="9563" xr:uid="{00000000-0005-0000-0000-00005B250000}"/>
    <cellStyle name="Ausgabe 5 2 61" xfId="9564" xr:uid="{00000000-0005-0000-0000-00005C250000}"/>
    <cellStyle name="Ausgabe 5 2 62" xfId="9565" xr:uid="{00000000-0005-0000-0000-00005D250000}"/>
    <cellStyle name="Ausgabe 5 2 63" xfId="9566" xr:uid="{00000000-0005-0000-0000-00005E250000}"/>
    <cellStyle name="Ausgabe 5 2 64" xfId="9567" xr:uid="{00000000-0005-0000-0000-00005F250000}"/>
    <cellStyle name="Ausgabe 5 2 65" xfId="9568" xr:uid="{00000000-0005-0000-0000-000060250000}"/>
    <cellStyle name="Ausgabe 5 2 7" xfId="9569" xr:uid="{00000000-0005-0000-0000-000061250000}"/>
    <cellStyle name="Ausgabe 5 2 8" xfId="9570" xr:uid="{00000000-0005-0000-0000-000062250000}"/>
    <cellStyle name="Ausgabe 5 2 9" xfId="9571" xr:uid="{00000000-0005-0000-0000-000063250000}"/>
    <cellStyle name="Ausgabe 5 20" xfId="9572" xr:uid="{00000000-0005-0000-0000-000064250000}"/>
    <cellStyle name="Ausgabe 5 21" xfId="9573" xr:uid="{00000000-0005-0000-0000-000065250000}"/>
    <cellStyle name="Ausgabe 5 22" xfId="9574" xr:uid="{00000000-0005-0000-0000-000066250000}"/>
    <cellStyle name="Ausgabe 5 23" xfId="9575" xr:uid="{00000000-0005-0000-0000-000067250000}"/>
    <cellStyle name="Ausgabe 5 24" xfId="9576" xr:uid="{00000000-0005-0000-0000-000068250000}"/>
    <cellStyle name="Ausgabe 5 25" xfId="9577" xr:uid="{00000000-0005-0000-0000-000069250000}"/>
    <cellStyle name="Ausgabe 5 26" xfId="9578" xr:uid="{00000000-0005-0000-0000-00006A250000}"/>
    <cellStyle name="Ausgabe 5 27" xfId="9579" xr:uid="{00000000-0005-0000-0000-00006B250000}"/>
    <cellStyle name="Ausgabe 5 28" xfId="9580" xr:uid="{00000000-0005-0000-0000-00006C250000}"/>
    <cellStyle name="Ausgabe 5 29" xfId="9581" xr:uid="{00000000-0005-0000-0000-00006D250000}"/>
    <cellStyle name="Ausgabe 5 3" xfId="9582" xr:uid="{00000000-0005-0000-0000-00006E250000}"/>
    <cellStyle name="Ausgabe 5 30" xfId="9583" xr:uid="{00000000-0005-0000-0000-00006F250000}"/>
    <cellStyle name="Ausgabe 5 31" xfId="9584" xr:uid="{00000000-0005-0000-0000-000070250000}"/>
    <cellStyle name="Ausgabe 5 32" xfId="9585" xr:uid="{00000000-0005-0000-0000-000071250000}"/>
    <cellStyle name="Ausgabe 5 33" xfId="9586" xr:uid="{00000000-0005-0000-0000-000072250000}"/>
    <cellStyle name="Ausgabe 5 34" xfId="9587" xr:uid="{00000000-0005-0000-0000-000073250000}"/>
    <cellStyle name="Ausgabe 5 35" xfId="9588" xr:uid="{00000000-0005-0000-0000-000074250000}"/>
    <cellStyle name="Ausgabe 5 36" xfId="9589" xr:uid="{00000000-0005-0000-0000-000075250000}"/>
    <cellStyle name="Ausgabe 5 37" xfId="9590" xr:uid="{00000000-0005-0000-0000-000076250000}"/>
    <cellStyle name="Ausgabe 5 38" xfId="9591" xr:uid="{00000000-0005-0000-0000-000077250000}"/>
    <cellStyle name="Ausgabe 5 39" xfId="9592" xr:uid="{00000000-0005-0000-0000-000078250000}"/>
    <cellStyle name="Ausgabe 5 4" xfId="9593" xr:uid="{00000000-0005-0000-0000-000079250000}"/>
    <cellStyle name="Ausgabe 5 40" xfId="9594" xr:uid="{00000000-0005-0000-0000-00007A250000}"/>
    <cellStyle name="Ausgabe 5 41" xfId="9595" xr:uid="{00000000-0005-0000-0000-00007B250000}"/>
    <cellStyle name="Ausgabe 5 42" xfId="9596" xr:uid="{00000000-0005-0000-0000-00007C250000}"/>
    <cellStyle name="Ausgabe 5 43" xfId="9597" xr:uid="{00000000-0005-0000-0000-00007D250000}"/>
    <cellStyle name="Ausgabe 5 44" xfId="9598" xr:uid="{00000000-0005-0000-0000-00007E250000}"/>
    <cellStyle name="Ausgabe 5 45" xfId="9599" xr:uid="{00000000-0005-0000-0000-00007F250000}"/>
    <cellStyle name="Ausgabe 5 46" xfId="9600" xr:uid="{00000000-0005-0000-0000-000080250000}"/>
    <cellStyle name="Ausgabe 5 47" xfId="9601" xr:uid="{00000000-0005-0000-0000-000081250000}"/>
    <cellStyle name="Ausgabe 5 48" xfId="9602" xr:uid="{00000000-0005-0000-0000-000082250000}"/>
    <cellStyle name="Ausgabe 5 49" xfId="9603" xr:uid="{00000000-0005-0000-0000-000083250000}"/>
    <cellStyle name="Ausgabe 5 5" xfId="9604" xr:uid="{00000000-0005-0000-0000-000084250000}"/>
    <cellStyle name="Ausgabe 5 50" xfId="9605" xr:uid="{00000000-0005-0000-0000-000085250000}"/>
    <cellStyle name="Ausgabe 5 51" xfId="9606" xr:uid="{00000000-0005-0000-0000-000086250000}"/>
    <cellStyle name="Ausgabe 5 52" xfId="9607" xr:uid="{00000000-0005-0000-0000-000087250000}"/>
    <cellStyle name="Ausgabe 5 53" xfId="9608" xr:uid="{00000000-0005-0000-0000-000088250000}"/>
    <cellStyle name="Ausgabe 5 54" xfId="9609" xr:uid="{00000000-0005-0000-0000-000089250000}"/>
    <cellStyle name="Ausgabe 5 55" xfId="9610" xr:uid="{00000000-0005-0000-0000-00008A250000}"/>
    <cellStyle name="Ausgabe 5 56" xfId="9611" xr:uid="{00000000-0005-0000-0000-00008B250000}"/>
    <cellStyle name="Ausgabe 5 57" xfId="9612" xr:uid="{00000000-0005-0000-0000-00008C250000}"/>
    <cellStyle name="Ausgabe 5 58" xfId="9613" xr:uid="{00000000-0005-0000-0000-00008D250000}"/>
    <cellStyle name="Ausgabe 5 59" xfId="9614" xr:uid="{00000000-0005-0000-0000-00008E250000}"/>
    <cellStyle name="Ausgabe 5 6" xfId="9615" xr:uid="{00000000-0005-0000-0000-00008F250000}"/>
    <cellStyle name="Ausgabe 5 60" xfId="9616" xr:uid="{00000000-0005-0000-0000-000090250000}"/>
    <cellStyle name="Ausgabe 5 61" xfId="9617" xr:uid="{00000000-0005-0000-0000-000091250000}"/>
    <cellStyle name="Ausgabe 5 62" xfId="9618" xr:uid="{00000000-0005-0000-0000-000092250000}"/>
    <cellStyle name="Ausgabe 5 63" xfId="9619" xr:uid="{00000000-0005-0000-0000-000093250000}"/>
    <cellStyle name="Ausgabe 5 64" xfId="9620" xr:uid="{00000000-0005-0000-0000-000094250000}"/>
    <cellStyle name="Ausgabe 5 65" xfId="9621" xr:uid="{00000000-0005-0000-0000-000095250000}"/>
    <cellStyle name="Ausgabe 5 66" xfId="9622" xr:uid="{00000000-0005-0000-0000-000096250000}"/>
    <cellStyle name="Ausgabe 5 7" xfId="9623" xr:uid="{00000000-0005-0000-0000-000097250000}"/>
    <cellStyle name="Ausgabe 5 8" xfId="9624" xr:uid="{00000000-0005-0000-0000-000098250000}"/>
    <cellStyle name="Ausgabe 5 9" xfId="9625" xr:uid="{00000000-0005-0000-0000-000099250000}"/>
    <cellStyle name="Ausgabe 6" xfId="9626" xr:uid="{00000000-0005-0000-0000-00009A250000}"/>
    <cellStyle name="Ausgabe 6 10" xfId="9627" xr:uid="{00000000-0005-0000-0000-00009B250000}"/>
    <cellStyle name="Ausgabe 6 11" xfId="9628" xr:uid="{00000000-0005-0000-0000-00009C250000}"/>
    <cellStyle name="Ausgabe 6 12" xfId="9629" xr:uid="{00000000-0005-0000-0000-00009D250000}"/>
    <cellStyle name="Ausgabe 6 13" xfId="9630" xr:uid="{00000000-0005-0000-0000-00009E250000}"/>
    <cellStyle name="Ausgabe 6 14" xfId="9631" xr:uid="{00000000-0005-0000-0000-00009F250000}"/>
    <cellStyle name="Ausgabe 6 15" xfId="9632" xr:uid="{00000000-0005-0000-0000-0000A0250000}"/>
    <cellStyle name="Ausgabe 6 16" xfId="9633" xr:uid="{00000000-0005-0000-0000-0000A1250000}"/>
    <cellStyle name="Ausgabe 6 17" xfId="9634" xr:uid="{00000000-0005-0000-0000-0000A2250000}"/>
    <cellStyle name="Ausgabe 6 18" xfId="9635" xr:uid="{00000000-0005-0000-0000-0000A3250000}"/>
    <cellStyle name="Ausgabe 6 19" xfId="9636" xr:uid="{00000000-0005-0000-0000-0000A4250000}"/>
    <cellStyle name="Ausgabe 6 2" xfId="9637" xr:uid="{00000000-0005-0000-0000-0000A5250000}"/>
    <cellStyle name="Ausgabe 6 20" xfId="9638" xr:uid="{00000000-0005-0000-0000-0000A6250000}"/>
    <cellStyle name="Ausgabe 6 21" xfId="9639" xr:uid="{00000000-0005-0000-0000-0000A7250000}"/>
    <cellStyle name="Ausgabe 6 22" xfId="9640" xr:uid="{00000000-0005-0000-0000-0000A8250000}"/>
    <cellStyle name="Ausgabe 6 23" xfId="9641" xr:uid="{00000000-0005-0000-0000-0000A9250000}"/>
    <cellStyle name="Ausgabe 6 24" xfId="9642" xr:uid="{00000000-0005-0000-0000-0000AA250000}"/>
    <cellStyle name="Ausgabe 6 25" xfId="9643" xr:uid="{00000000-0005-0000-0000-0000AB250000}"/>
    <cellStyle name="Ausgabe 6 26" xfId="9644" xr:uid="{00000000-0005-0000-0000-0000AC250000}"/>
    <cellStyle name="Ausgabe 6 27" xfId="9645" xr:uid="{00000000-0005-0000-0000-0000AD250000}"/>
    <cellStyle name="Ausgabe 6 28" xfId="9646" xr:uid="{00000000-0005-0000-0000-0000AE250000}"/>
    <cellStyle name="Ausgabe 6 29" xfId="9647" xr:uid="{00000000-0005-0000-0000-0000AF250000}"/>
    <cellStyle name="Ausgabe 6 3" xfId="9648" xr:uid="{00000000-0005-0000-0000-0000B0250000}"/>
    <cellStyle name="Ausgabe 6 30" xfId="9649" xr:uid="{00000000-0005-0000-0000-0000B1250000}"/>
    <cellStyle name="Ausgabe 6 31" xfId="9650" xr:uid="{00000000-0005-0000-0000-0000B2250000}"/>
    <cellStyle name="Ausgabe 6 32" xfId="9651" xr:uid="{00000000-0005-0000-0000-0000B3250000}"/>
    <cellStyle name="Ausgabe 6 33" xfId="9652" xr:uid="{00000000-0005-0000-0000-0000B4250000}"/>
    <cellStyle name="Ausgabe 6 34" xfId="9653" xr:uid="{00000000-0005-0000-0000-0000B5250000}"/>
    <cellStyle name="Ausgabe 6 35" xfId="9654" xr:uid="{00000000-0005-0000-0000-0000B6250000}"/>
    <cellStyle name="Ausgabe 6 36" xfId="9655" xr:uid="{00000000-0005-0000-0000-0000B7250000}"/>
    <cellStyle name="Ausgabe 6 37" xfId="9656" xr:uid="{00000000-0005-0000-0000-0000B8250000}"/>
    <cellStyle name="Ausgabe 6 38" xfId="9657" xr:uid="{00000000-0005-0000-0000-0000B9250000}"/>
    <cellStyle name="Ausgabe 6 39" xfId="9658" xr:uid="{00000000-0005-0000-0000-0000BA250000}"/>
    <cellStyle name="Ausgabe 6 4" xfId="9659" xr:uid="{00000000-0005-0000-0000-0000BB250000}"/>
    <cellStyle name="Ausgabe 6 40" xfId="9660" xr:uid="{00000000-0005-0000-0000-0000BC250000}"/>
    <cellStyle name="Ausgabe 6 41" xfId="9661" xr:uid="{00000000-0005-0000-0000-0000BD250000}"/>
    <cellStyle name="Ausgabe 6 42" xfId="9662" xr:uid="{00000000-0005-0000-0000-0000BE250000}"/>
    <cellStyle name="Ausgabe 6 43" xfId="9663" xr:uid="{00000000-0005-0000-0000-0000BF250000}"/>
    <cellStyle name="Ausgabe 6 44" xfId="9664" xr:uid="{00000000-0005-0000-0000-0000C0250000}"/>
    <cellStyle name="Ausgabe 6 45" xfId="9665" xr:uid="{00000000-0005-0000-0000-0000C1250000}"/>
    <cellStyle name="Ausgabe 6 46" xfId="9666" xr:uid="{00000000-0005-0000-0000-0000C2250000}"/>
    <cellStyle name="Ausgabe 6 47" xfId="9667" xr:uid="{00000000-0005-0000-0000-0000C3250000}"/>
    <cellStyle name="Ausgabe 6 48" xfId="9668" xr:uid="{00000000-0005-0000-0000-0000C4250000}"/>
    <cellStyle name="Ausgabe 6 49" xfId="9669" xr:uid="{00000000-0005-0000-0000-0000C5250000}"/>
    <cellStyle name="Ausgabe 6 5" xfId="9670" xr:uid="{00000000-0005-0000-0000-0000C6250000}"/>
    <cellStyle name="Ausgabe 6 50" xfId="9671" xr:uid="{00000000-0005-0000-0000-0000C7250000}"/>
    <cellStyle name="Ausgabe 6 51" xfId="9672" xr:uid="{00000000-0005-0000-0000-0000C8250000}"/>
    <cellStyle name="Ausgabe 6 52" xfId="9673" xr:uid="{00000000-0005-0000-0000-0000C9250000}"/>
    <cellStyle name="Ausgabe 6 53" xfId="9674" xr:uid="{00000000-0005-0000-0000-0000CA250000}"/>
    <cellStyle name="Ausgabe 6 54" xfId="9675" xr:uid="{00000000-0005-0000-0000-0000CB250000}"/>
    <cellStyle name="Ausgabe 6 55" xfId="9676" xr:uid="{00000000-0005-0000-0000-0000CC250000}"/>
    <cellStyle name="Ausgabe 6 56" xfId="9677" xr:uid="{00000000-0005-0000-0000-0000CD250000}"/>
    <cellStyle name="Ausgabe 6 57" xfId="9678" xr:uid="{00000000-0005-0000-0000-0000CE250000}"/>
    <cellStyle name="Ausgabe 6 58" xfId="9679" xr:uid="{00000000-0005-0000-0000-0000CF250000}"/>
    <cellStyle name="Ausgabe 6 59" xfId="9680" xr:uid="{00000000-0005-0000-0000-0000D0250000}"/>
    <cellStyle name="Ausgabe 6 6" xfId="9681" xr:uid="{00000000-0005-0000-0000-0000D1250000}"/>
    <cellStyle name="Ausgabe 6 60" xfId="9682" xr:uid="{00000000-0005-0000-0000-0000D2250000}"/>
    <cellStyle name="Ausgabe 6 61" xfId="9683" xr:uid="{00000000-0005-0000-0000-0000D3250000}"/>
    <cellStyle name="Ausgabe 6 62" xfId="9684" xr:uid="{00000000-0005-0000-0000-0000D4250000}"/>
    <cellStyle name="Ausgabe 6 63" xfId="9685" xr:uid="{00000000-0005-0000-0000-0000D5250000}"/>
    <cellStyle name="Ausgabe 6 64" xfId="9686" xr:uid="{00000000-0005-0000-0000-0000D6250000}"/>
    <cellStyle name="Ausgabe 6 65" xfId="9687" xr:uid="{00000000-0005-0000-0000-0000D7250000}"/>
    <cellStyle name="Ausgabe 6 7" xfId="9688" xr:uid="{00000000-0005-0000-0000-0000D8250000}"/>
    <cellStyle name="Ausgabe 6 8" xfId="9689" xr:uid="{00000000-0005-0000-0000-0000D9250000}"/>
    <cellStyle name="Ausgabe 6 9" xfId="9690" xr:uid="{00000000-0005-0000-0000-0000DA250000}"/>
    <cellStyle name="Bad 2" xfId="9691" xr:uid="{00000000-0005-0000-0000-0000DB250000}"/>
    <cellStyle name="Bad 3" xfId="9692" xr:uid="{00000000-0005-0000-0000-0000DC250000}"/>
    <cellStyle name="Bad 4" xfId="9693" xr:uid="{00000000-0005-0000-0000-0000DD250000}"/>
    <cellStyle name="Berechnung" xfId="9694" xr:uid="{00000000-0005-0000-0000-0000DE250000}"/>
    <cellStyle name="Berechnung 2" xfId="9695" xr:uid="{00000000-0005-0000-0000-0000DF250000}"/>
    <cellStyle name="Berechnung 2 10" xfId="9696" xr:uid="{00000000-0005-0000-0000-0000E0250000}"/>
    <cellStyle name="Berechnung 2 11" xfId="9697" xr:uid="{00000000-0005-0000-0000-0000E1250000}"/>
    <cellStyle name="Berechnung 2 12" xfId="9698" xr:uid="{00000000-0005-0000-0000-0000E2250000}"/>
    <cellStyle name="Berechnung 2 13" xfId="9699" xr:uid="{00000000-0005-0000-0000-0000E3250000}"/>
    <cellStyle name="Berechnung 2 14" xfId="9700" xr:uid="{00000000-0005-0000-0000-0000E4250000}"/>
    <cellStyle name="Berechnung 2 15" xfId="9701" xr:uid="{00000000-0005-0000-0000-0000E5250000}"/>
    <cellStyle name="Berechnung 2 16" xfId="9702" xr:uid="{00000000-0005-0000-0000-0000E6250000}"/>
    <cellStyle name="Berechnung 2 17" xfId="9703" xr:uid="{00000000-0005-0000-0000-0000E7250000}"/>
    <cellStyle name="Berechnung 2 18" xfId="9704" xr:uid="{00000000-0005-0000-0000-0000E8250000}"/>
    <cellStyle name="Berechnung 2 19" xfId="9705" xr:uid="{00000000-0005-0000-0000-0000E9250000}"/>
    <cellStyle name="Berechnung 2 2" xfId="9706" xr:uid="{00000000-0005-0000-0000-0000EA250000}"/>
    <cellStyle name="Berechnung 2 2 10" xfId="9707" xr:uid="{00000000-0005-0000-0000-0000EB250000}"/>
    <cellStyle name="Berechnung 2 2 11" xfId="9708" xr:uid="{00000000-0005-0000-0000-0000EC250000}"/>
    <cellStyle name="Berechnung 2 2 12" xfId="9709" xr:uid="{00000000-0005-0000-0000-0000ED250000}"/>
    <cellStyle name="Berechnung 2 2 13" xfId="9710" xr:uid="{00000000-0005-0000-0000-0000EE250000}"/>
    <cellStyle name="Berechnung 2 2 14" xfId="9711" xr:uid="{00000000-0005-0000-0000-0000EF250000}"/>
    <cellStyle name="Berechnung 2 2 15" xfId="9712" xr:uid="{00000000-0005-0000-0000-0000F0250000}"/>
    <cellStyle name="Berechnung 2 2 16" xfId="9713" xr:uid="{00000000-0005-0000-0000-0000F1250000}"/>
    <cellStyle name="Berechnung 2 2 17" xfId="9714" xr:uid="{00000000-0005-0000-0000-0000F2250000}"/>
    <cellStyle name="Berechnung 2 2 18" xfId="9715" xr:uid="{00000000-0005-0000-0000-0000F3250000}"/>
    <cellStyle name="Berechnung 2 2 19" xfId="9716" xr:uid="{00000000-0005-0000-0000-0000F4250000}"/>
    <cellStyle name="Berechnung 2 2 2" xfId="9717" xr:uid="{00000000-0005-0000-0000-0000F5250000}"/>
    <cellStyle name="Berechnung 2 2 2 10" xfId="9718" xr:uid="{00000000-0005-0000-0000-0000F6250000}"/>
    <cellStyle name="Berechnung 2 2 2 11" xfId="9719" xr:uid="{00000000-0005-0000-0000-0000F7250000}"/>
    <cellStyle name="Berechnung 2 2 2 12" xfId="9720" xr:uid="{00000000-0005-0000-0000-0000F8250000}"/>
    <cellStyle name="Berechnung 2 2 2 13" xfId="9721" xr:uid="{00000000-0005-0000-0000-0000F9250000}"/>
    <cellStyle name="Berechnung 2 2 2 14" xfId="9722" xr:uid="{00000000-0005-0000-0000-0000FA250000}"/>
    <cellStyle name="Berechnung 2 2 2 15" xfId="9723" xr:uid="{00000000-0005-0000-0000-0000FB250000}"/>
    <cellStyle name="Berechnung 2 2 2 16" xfId="9724" xr:uid="{00000000-0005-0000-0000-0000FC250000}"/>
    <cellStyle name="Berechnung 2 2 2 17" xfId="9725" xr:uid="{00000000-0005-0000-0000-0000FD250000}"/>
    <cellStyle name="Berechnung 2 2 2 18" xfId="9726" xr:uid="{00000000-0005-0000-0000-0000FE250000}"/>
    <cellStyle name="Berechnung 2 2 2 19" xfId="9727" xr:uid="{00000000-0005-0000-0000-0000FF250000}"/>
    <cellStyle name="Berechnung 2 2 2 2" xfId="9728" xr:uid="{00000000-0005-0000-0000-000000260000}"/>
    <cellStyle name="Berechnung 2 2 2 20" xfId="9729" xr:uid="{00000000-0005-0000-0000-000001260000}"/>
    <cellStyle name="Berechnung 2 2 2 21" xfId="9730" xr:uid="{00000000-0005-0000-0000-000002260000}"/>
    <cellStyle name="Berechnung 2 2 2 22" xfId="9731" xr:uid="{00000000-0005-0000-0000-000003260000}"/>
    <cellStyle name="Berechnung 2 2 2 23" xfId="9732" xr:uid="{00000000-0005-0000-0000-000004260000}"/>
    <cellStyle name="Berechnung 2 2 2 24" xfId="9733" xr:uid="{00000000-0005-0000-0000-000005260000}"/>
    <cellStyle name="Berechnung 2 2 2 25" xfId="9734" xr:uid="{00000000-0005-0000-0000-000006260000}"/>
    <cellStyle name="Berechnung 2 2 2 26" xfId="9735" xr:uid="{00000000-0005-0000-0000-000007260000}"/>
    <cellStyle name="Berechnung 2 2 2 27" xfId="9736" xr:uid="{00000000-0005-0000-0000-000008260000}"/>
    <cellStyle name="Berechnung 2 2 2 28" xfId="9737" xr:uid="{00000000-0005-0000-0000-000009260000}"/>
    <cellStyle name="Berechnung 2 2 2 29" xfId="9738" xr:uid="{00000000-0005-0000-0000-00000A260000}"/>
    <cellStyle name="Berechnung 2 2 2 3" xfId="9739" xr:uid="{00000000-0005-0000-0000-00000B260000}"/>
    <cellStyle name="Berechnung 2 2 2 30" xfId="9740" xr:uid="{00000000-0005-0000-0000-00000C260000}"/>
    <cellStyle name="Berechnung 2 2 2 31" xfId="9741" xr:uid="{00000000-0005-0000-0000-00000D260000}"/>
    <cellStyle name="Berechnung 2 2 2 32" xfId="9742" xr:uid="{00000000-0005-0000-0000-00000E260000}"/>
    <cellStyle name="Berechnung 2 2 2 33" xfId="9743" xr:uid="{00000000-0005-0000-0000-00000F260000}"/>
    <cellStyle name="Berechnung 2 2 2 34" xfId="9744" xr:uid="{00000000-0005-0000-0000-000010260000}"/>
    <cellStyle name="Berechnung 2 2 2 35" xfId="9745" xr:uid="{00000000-0005-0000-0000-000011260000}"/>
    <cellStyle name="Berechnung 2 2 2 36" xfId="9746" xr:uid="{00000000-0005-0000-0000-000012260000}"/>
    <cellStyle name="Berechnung 2 2 2 37" xfId="9747" xr:uid="{00000000-0005-0000-0000-000013260000}"/>
    <cellStyle name="Berechnung 2 2 2 38" xfId="9748" xr:uid="{00000000-0005-0000-0000-000014260000}"/>
    <cellStyle name="Berechnung 2 2 2 39" xfId="9749" xr:uid="{00000000-0005-0000-0000-000015260000}"/>
    <cellStyle name="Berechnung 2 2 2 4" xfId="9750" xr:uid="{00000000-0005-0000-0000-000016260000}"/>
    <cellStyle name="Berechnung 2 2 2 40" xfId="9751" xr:uid="{00000000-0005-0000-0000-000017260000}"/>
    <cellStyle name="Berechnung 2 2 2 41" xfId="9752" xr:uid="{00000000-0005-0000-0000-000018260000}"/>
    <cellStyle name="Berechnung 2 2 2 42" xfId="9753" xr:uid="{00000000-0005-0000-0000-000019260000}"/>
    <cellStyle name="Berechnung 2 2 2 43" xfId="9754" xr:uid="{00000000-0005-0000-0000-00001A260000}"/>
    <cellStyle name="Berechnung 2 2 2 44" xfId="9755" xr:uid="{00000000-0005-0000-0000-00001B260000}"/>
    <cellStyle name="Berechnung 2 2 2 45" xfId="9756" xr:uid="{00000000-0005-0000-0000-00001C260000}"/>
    <cellStyle name="Berechnung 2 2 2 46" xfId="9757" xr:uid="{00000000-0005-0000-0000-00001D260000}"/>
    <cellStyle name="Berechnung 2 2 2 47" xfId="9758" xr:uid="{00000000-0005-0000-0000-00001E260000}"/>
    <cellStyle name="Berechnung 2 2 2 48" xfId="9759" xr:uid="{00000000-0005-0000-0000-00001F260000}"/>
    <cellStyle name="Berechnung 2 2 2 49" xfId="9760" xr:uid="{00000000-0005-0000-0000-000020260000}"/>
    <cellStyle name="Berechnung 2 2 2 5" xfId="9761" xr:uid="{00000000-0005-0000-0000-000021260000}"/>
    <cellStyle name="Berechnung 2 2 2 50" xfId="9762" xr:uid="{00000000-0005-0000-0000-000022260000}"/>
    <cellStyle name="Berechnung 2 2 2 51" xfId="9763" xr:uid="{00000000-0005-0000-0000-000023260000}"/>
    <cellStyle name="Berechnung 2 2 2 52" xfId="9764" xr:uid="{00000000-0005-0000-0000-000024260000}"/>
    <cellStyle name="Berechnung 2 2 2 53" xfId="9765" xr:uid="{00000000-0005-0000-0000-000025260000}"/>
    <cellStyle name="Berechnung 2 2 2 54" xfId="9766" xr:uid="{00000000-0005-0000-0000-000026260000}"/>
    <cellStyle name="Berechnung 2 2 2 55" xfId="9767" xr:uid="{00000000-0005-0000-0000-000027260000}"/>
    <cellStyle name="Berechnung 2 2 2 56" xfId="9768" xr:uid="{00000000-0005-0000-0000-000028260000}"/>
    <cellStyle name="Berechnung 2 2 2 57" xfId="9769" xr:uid="{00000000-0005-0000-0000-000029260000}"/>
    <cellStyle name="Berechnung 2 2 2 58" xfId="9770" xr:uid="{00000000-0005-0000-0000-00002A260000}"/>
    <cellStyle name="Berechnung 2 2 2 59" xfId="9771" xr:uid="{00000000-0005-0000-0000-00002B260000}"/>
    <cellStyle name="Berechnung 2 2 2 6" xfId="9772" xr:uid="{00000000-0005-0000-0000-00002C260000}"/>
    <cellStyle name="Berechnung 2 2 2 60" xfId="9773" xr:uid="{00000000-0005-0000-0000-00002D260000}"/>
    <cellStyle name="Berechnung 2 2 2 61" xfId="9774" xr:uid="{00000000-0005-0000-0000-00002E260000}"/>
    <cellStyle name="Berechnung 2 2 2 62" xfId="9775" xr:uid="{00000000-0005-0000-0000-00002F260000}"/>
    <cellStyle name="Berechnung 2 2 2 63" xfId="9776" xr:uid="{00000000-0005-0000-0000-000030260000}"/>
    <cellStyle name="Berechnung 2 2 2 64" xfId="9777" xr:uid="{00000000-0005-0000-0000-000031260000}"/>
    <cellStyle name="Berechnung 2 2 2 65" xfId="9778" xr:uid="{00000000-0005-0000-0000-000032260000}"/>
    <cellStyle name="Berechnung 2 2 2 7" xfId="9779" xr:uid="{00000000-0005-0000-0000-000033260000}"/>
    <cellStyle name="Berechnung 2 2 2 8" xfId="9780" xr:uid="{00000000-0005-0000-0000-000034260000}"/>
    <cellStyle name="Berechnung 2 2 2 9" xfId="9781" xr:uid="{00000000-0005-0000-0000-000035260000}"/>
    <cellStyle name="Berechnung 2 2 20" xfId="9782" xr:uid="{00000000-0005-0000-0000-000036260000}"/>
    <cellStyle name="Berechnung 2 2 21" xfId="9783" xr:uid="{00000000-0005-0000-0000-000037260000}"/>
    <cellStyle name="Berechnung 2 2 22" xfId="9784" xr:uid="{00000000-0005-0000-0000-000038260000}"/>
    <cellStyle name="Berechnung 2 2 23" xfId="9785" xr:uid="{00000000-0005-0000-0000-000039260000}"/>
    <cellStyle name="Berechnung 2 2 24" xfId="9786" xr:uid="{00000000-0005-0000-0000-00003A260000}"/>
    <cellStyle name="Berechnung 2 2 25" xfId="9787" xr:uid="{00000000-0005-0000-0000-00003B260000}"/>
    <cellStyle name="Berechnung 2 2 26" xfId="9788" xr:uid="{00000000-0005-0000-0000-00003C260000}"/>
    <cellStyle name="Berechnung 2 2 27" xfId="9789" xr:uid="{00000000-0005-0000-0000-00003D260000}"/>
    <cellStyle name="Berechnung 2 2 28" xfId="9790" xr:uid="{00000000-0005-0000-0000-00003E260000}"/>
    <cellStyle name="Berechnung 2 2 29" xfId="9791" xr:uid="{00000000-0005-0000-0000-00003F260000}"/>
    <cellStyle name="Berechnung 2 2 3" xfId="9792" xr:uid="{00000000-0005-0000-0000-000040260000}"/>
    <cellStyle name="Berechnung 2 2 30" xfId="9793" xr:uid="{00000000-0005-0000-0000-000041260000}"/>
    <cellStyle name="Berechnung 2 2 31" xfId="9794" xr:uid="{00000000-0005-0000-0000-000042260000}"/>
    <cellStyle name="Berechnung 2 2 32" xfId="9795" xr:uid="{00000000-0005-0000-0000-000043260000}"/>
    <cellStyle name="Berechnung 2 2 33" xfId="9796" xr:uid="{00000000-0005-0000-0000-000044260000}"/>
    <cellStyle name="Berechnung 2 2 34" xfId="9797" xr:uid="{00000000-0005-0000-0000-000045260000}"/>
    <cellStyle name="Berechnung 2 2 35" xfId="9798" xr:uid="{00000000-0005-0000-0000-000046260000}"/>
    <cellStyle name="Berechnung 2 2 36" xfId="9799" xr:uid="{00000000-0005-0000-0000-000047260000}"/>
    <cellStyle name="Berechnung 2 2 37" xfId="9800" xr:uid="{00000000-0005-0000-0000-000048260000}"/>
    <cellStyle name="Berechnung 2 2 38" xfId="9801" xr:uid="{00000000-0005-0000-0000-000049260000}"/>
    <cellStyle name="Berechnung 2 2 39" xfId="9802" xr:uid="{00000000-0005-0000-0000-00004A260000}"/>
    <cellStyle name="Berechnung 2 2 4" xfId="9803" xr:uid="{00000000-0005-0000-0000-00004B260000}"/>
    <cellStyle name="Berechnung 2 2 40" xfId="9804" xr:uid="{00000000-0005-0000-0000-00004C260000}"/>
    <cellStyle name="Berechnung 2 2 41" xfId="9805" xr:uid="{00000000-0005-0000-0000-00004D260000}"/>
    <cellStyle name="Berechnung 2 2 42" xfId="9806" xr:uid="{00000000-0005-0000-0000-00004E260000}"/>
    <cellStyle name="Berechnung 2 2 43" xfId="9807" xr:uid="{00000000-0005-0000-0000-00004F260000}"/>
    <cellStyle name="Berechnung 2 2 44" xfId="9808" xr:uid="{00000000-0005-0000-0000-000050260000}"/>
    <cellStyle name="Berechnung 2 2 45" xfId="9809" xr:uid="{00000000-0005-0000-0000-000051260000}"/>
    <cellStyle name="Berechnung 2 2 46" xfId="9810" xr:uid="{00000000-0005-0000-0000-000052260000}"/>
    <cellStyle name="Berechnung 2 2 47" xfId="9811" xr:uid="{00000000-0005-0000-0000-000053260000}"/>
    <cellStyle name="Berechnung 2 2 48" xfId="9812" xr:uid="{00000000-0005-0000-0000-000054260000}"/>
    <cellStyle name="Berechnung 2 2 49" xfId="9813" xr:uid="{00000000-0005-0000-0000-000055260000}"/>
    <cellStyle name="Berechnung 2 2 5" xfId="9814" xr:uid="{00000000-0005-0000-0000-000056260000}"/>
    <cellStyle name="Berechnung 2 2 50" xfId="9815" xr:uid="{00000000-0005-0000-0000-000057260000}"/>
    <cellStyle name="Berechnung 2 2 51" xfId="9816" xr:uid="{00000000-0005-0000-0000-000058260000}"/>
    <cellStyle name="Berechnung 2 2 52" xfId="9817" xr:uid="{00000000-0005-0000-0000-000059260000}"/>
    <cellStyle name="Berechnung 2 2 53" xfId="9818" xr:uid="{00000000-0005-0000-0000-00005A260000}"/>
    <cellStyle name="Berechnung 2 2 54" xfId="9819" xr:uid="{00000000-0005-0000-0000-00005B260000}"/>
    <cellStyle name="Berechnung 2 2 55" xfId="9820" xr:uid="{00000000-0005-0000-0000-00005C260000}"/>
    <cellStyle name="Berechnung 2 2 56" xfId="9821" xr:uid="{00000000-0005-0000-0000-00005D260000}"/>
    <cellStyle name="Berechnung 2 2 57" xfId="9822" xr:uid="{00000000-0005-0000-0000-00005E260000}"/>
    <cellStyle name="Berechnung 2 2 58" xfId="9823" xr:uid="{00000000-0005-0000-0000-00005F260000}"/>
    <cellStyle name="Berechnung 2 2 59" xfId="9824" xr:uid="{00000000-0005-0000-0000-000060260000}"/>
    <cellStyle name="Berechnung 2 2 6" xfId="9825" xr:uid="{00000000-0005-0000-0000-000061260000}"/>
    <cellStyle name="Berechnung 2 2 60" xfId="9826" xr:uid="{00000000-0005-0000-0000-000062260000}"/>
    <cellStyle name="Berechnung 2 2 61" xfId="9827" xr:uid="{00000000-0005-0000-0000-000063260000}"/>
    <cellStyle name="Berechnung 2 2 62" xfId="9828" xr:uid="{00000000-0005-0000-0000-000064260000}"/>
    <cellStyle name="Berechnung 2 2 63" xfId="9829" xr:uid="{00000000-0005-0000-0000-000065260000}"/>
    <cellStyle name="Berechnung 2 2 64" xfId="9830" xr:uid="{00000000-0005-0000-0000-000066260000}"/>
    <cellStyle name="Berechnung 2 2 65" xfId="9831" xr:uid="{00000000-0005-0000-0000-000067260000}"/>
    <cellStyle name="Berechnung 2 2 66" xfId="9832" xr:uid="{00000000-0005-0000-0000-000068260000}"/>
    <cellStyle name="Berechnung 2 2 7" xfId="9833" xr:uid="{00000000-0005-0000-0000-000069260000}"/>
    <cellStyle name="Berechnung 2 2 8" xfId="9834" xr:uid="{00000000-0005-0000-0000-00006A260000}"/>
    <cellStyle name="Berechnung 2 2 9" xfId="9835" xr:uid="{00000000-0005-0000-0000-00006B260000}"/>
    <cellStyle name="Berechnung 2 20" xfId="9836" xr:uid="{00000000-0005-0000-0000-00006C260000}"/>
    <cellStyle name="Berechnung 2 21" xfId="9837" xr:uid="{00000000-0005-0000-0000-00006D260000}"/>
    <cellStyle name="Berechnung 2 22" xfId="9838" xr:uid="{00000000-0005-0000-0000-00006E260000}"/>
    <cellStyle name="Berechnung 2 23" xfId="9839" xr:uid="{00000000-0005-0000-0000-00006F260000}"/>
    <cellStyle name="Berechnung 2 24" xfId="9840" xr:uid="{00000000-0005-0000-0000-000070260000}"/>
    <cellStyle name="Berechnung 2 25" xfId="9841" xr:uid="{00000000-0005-0000-0000-000071260000}"/>
    <cellStyle name="Berechnung 2 26" xfId="9842" xr:uid="{00000000-0005-0000-0000-000072260000}"/>
    <cellStyle name="Berechnung 2 27" xfId="9843" xr:uid="{00000000-0005-0000-0000-000073260000}"/>
    <cellStyle name="Berechnung 2 28" xfId="9844" xr:uid="{00000000-0005-0000-0000-000074260000}"/>
    <cellStyle name="Berechnung 2 29" xfId="9845" xr:uid="{00000000-0005-0000-0000-000075260000}"/>
    <cellStyle name="Berechnung 2 3" xfId="9846" xr:uid="{00000000-0005-0000-0000-000076260000}"/>
    <cellStyle name="Berechnung 2 3 10" xfId="9847" xr:uid="{00000000-0005-0000-0000-000077260000}"/>
    <cellStyle name="Berechnung 2 3 11" xfId="9848" xr:uid="{00000000-0005-0000-0000-000078260000}"/>
    <cellStyle name="Berechnung 2 3 12" xfId="9849" xr:uid="{00000000-0005-0000-0000-000079260000}"/>
    <cellStyle name="Berechnung 2 3 13" xfId="9850" xr:uid="{00000000-0005-0000-0000-00007A260000}"/>
    <cellStyle name="Berechnung 2 3 14" xfId="9851" xr:uid="{00000000-0005-0000-0000-00007B260000}"/>
    <cellStyle name="Berechnung 2 3 15" xfId="9852" xr:uid="{00000000-0005-0000-0000-00007C260000}"/>
    <cellStyle name="Berechnung 2 3 16" xfId="9853" xr:uid="{00000000-0005-0000-0000-00007D260000}"/>
    <cellStyle name="Berechnung 2 3 17" xfId="9854" xr:uid="{00000000-0005-0000-0000-00007E260000}"/>
    <cellStyle name="Berechnung 2 3 18" xfId="9855" xr:uid="{00000000-0005-0000-0000-00007F260000}"/>
    <cellStyle name="Berechnung 2 3 19" xfId="9856" xr:uid="{00000000-0005-0000-0000-000080260000}"/>
    <cellStyle name="Berechnung 2 3 2" xfId="9857" xr:uid="{00000000-0005-0000-0000-000081260000}"/>
    <cellStyle name="Berechnung 2 3 2 10" xfId="9858" xr:uid="{00000000-0005-0000-0000-000082260000}"/>
    <cellStyle name="Berechnung 2 3 2 11" xfId="9859" xr:uid="{00000000-0005-0000-0000-000083260000}"/>
    <cellStyle name="Berechnung 2 3 2 12" xfId="9860" xr:uid="{00000000-0005-0000-0000-000084260000}"/>
    <cellStyle name="Berechnung 2 3 2 13" xfId="9861" xr:uid="{00000000-0005-0000-0000-000085260000}"/>
    <cellStyle name="Berechnung 2 3 2 14" xfId="9862" xr:uid="{00000000-0005-0000-0000-000086260000}"/>
    <cellStyle name="Berechnung 2 3 2 15" xfId="9863" xr:uid="{00000000-0005-0000-0000-000087260000}"/>
    <cellStyle name="Berechnung 2 3 2 16" xfId="9864" xr:uid="{00000000-0005-0000-0000-000088260000}"/>
    <cellStyle name="Berechnung 2 3 2 17" xfId="9865" xr:uid="{00000000-0005-0000-0000-000089260000}"/>
    <cellStyle name="Berechnung 2 3 2 18" xfId="9866" xr:uid="{00000000-0005-0000-0000-00008A260000}"/>
    <cellStyle name="Berechnung 2 3 2 19" xfId="9867" xr:uid="{00000000-0005-0000-0000-00008B260000}"/>
    <cellStyle name="Berechnung 2 3 2 2" xfId="9868" xr:uid="{00000000-0005-0000-0000-00008C260000}"/>
    <cellStyle name="Berechnung 2 3 2 20" xfId="9869" xr:uid="{00000000-0005-0000-0000-00008D260000}"/>
    <cellStyle name="Berechnung 2 3 2 21" xfId="9870" xr:uid="{00000000-0005-0000-0000-00008E260000}"/>
    <cellStyle name="Berechnung 2 3 2 22" xfId="9871" xr:uid="{00000000-0005-0000-0000-00008F260000}"/>
    <cellStyle name="Berechnung 2 3 2 23" xfId="9872" xr:uid="{00000000-0005-0000-0000-000090260000}"/>
    <cellStyle name="Berechnung 2 3 2 24" xfId="9873" xr:uid="{00000000-0005-0000-0000-000091260000}"/>
    <cellStyle name="Berechnung 2 3 2 25" xfId="9874" xr:uid="{00000000-0005-0000-0000-000092260000}"/>
    <cellStyle name="Berechnung 2 3 2 26" xfId="9875" xr:uid="{00000000-0005-0000-0000-000093260000}"/>
    <cellStyle name="Berechnung 2 3 2 27" xfId="9876" xr:uid="{00000000-0005-0000-0000-000094260000}"/>
    <cellStyle name="Berechnung 2 3 2 28" xfId="9877" xr:uid="{00000000-0005-0000-0000-000095260000}"/>
    <cellStyle name="Berechnung 2 3 2 29" xfId="9878" xr:uid="{00000000-0005-0000-0000-000096260000}"/>
    <cellStyle name="Berechnung 2 3 2 3" xfId="9879" xr:uid="{00000000-0005-0000-0000-000097260000}"/>
    <cellStyle name="Berechnung 2 3 2 30" xfId="9880" xr:uid="{00000000-0005-0000-0000-000098260000}"/>
    <cellStyle name="Berechnung 2 3 2 31" xfId="9881" xr:uid="{00000000-0005-0000-0000-000099260000}"/>
    <cellStyle name="Berechnung 2 3 2 32" xfId="9882" xr:uid="{00000000-0005-0000-0000-00009A260000}"/>
    <cellStyle name="Berechnung 2 3 2 33" xfId="9883" xr:uid="{00000000-0005-0000-0000-00009B260000}"/>
    <cellStyle name="Berechnung 2 3 2 34" xfId="9884" xr:uid="{00000000-0005-0000-0000-00009C260000}"/>
    <cellStyle name="Berechnung 2 3 2 35" xfId="9885" xr:uid="{00000000-0005-0000-0000-00009D260000}"/>
    <cellStyle name="Berechnung 2 3 2 36" xfId="9886" xr:uid="{00000000-0005-0000-0000-00009E260000}"/>
    <cellStyle name="Berechnung 2 3 2 37" xfId="9887" xr:uid="{00000000-0005-0000-0000-00009F260000}"/>
    <cellStyle name="Berechnung 2 3 2 38" xfId="9888" xr:uid="{00000000-0005-0000-0000-0000A0260000}"/>
    <cellStyle name="Berechnung 2 3 2 39" xfId="9889" xr:uid="{00000000-0005-0000-0000-0000A1260000}"/>
    <cellStyle name="Berechnung 2 3 2 4" xfId="9890" xr:uid="{00000000-0005-0000-0000-0000A2260000}"/>
    <cellStyle name="Berechnung 2 3 2 40" xfId="9891" xr:uid="{00000000-0005-0000-0000-0000A3260000}"/>
    <cellStyle name="Berechnung 2 3 2 41" xfId="9892" xr:uid="{00000000-0005-0000-0000-0000A4260000}"/>
    <cellStyle name="Berechnung 2 3 2 42" xfId="9893" xr:uid="{00000000-0005-0000-0000-0000A5260000}"/>
    <cellStyle name="Berechnung 2 3 2 43" xfId="9894" xr:uid="{00000000-0005-0000-0000-0000A6260000}"/>
    <cellStyle name="Berechnung 2 3 2 44" xfId="9895" xr:uid="{00000000-0005-0000-0000-0000A7260000}"/>
    <cellStyle name="Berechnung 2 3 2 45" xfId="9896" xr:uid="{00000000-0005-0000-0000-0000A8260000}"/>
    <cellStyle name="Berechnung 2 3 2 46" xfId="9897" xr:uid="{00000000-0005-0000-0000-0000A9260000}"/>
    <cellStyle name="Berechnung 2 3 2 47" xfId="9898" xr:uid="{00000000-0005-0000-0000-0000AA260000}"/>
    <cellStyle name="Berechnung 2 3 2 48" xfId="9899" xr:uid="{00000000-0005-0000-0000-0000AB260000}"/>
    <cellStyle name="Berechnung 2 3 2 49" xfId="9900" xr:uid="{00000000-0005-0000-0000-0000AC260000}"/>
    <cellStyle name="Berechnung 2 3 2 5" xfId="9901" xr:uid="{00000000-0005-0000-0000-0000AD260000}"/>
    <cellStyle name="Berechnung 2 3 2 50" xfId="9902" xr:uid="{00000000-0005-0000-0000-0000AE260000}"/>
    <cellStyle name="Berechnung 2 3 2 51" xfId="9903" xr:uid="{00000000-0005-0000-0000-0000AF260000}"/>
    <cellStyle name="Berechnung 2 3 2 52" xfId="9904" xr:uid="{00000000-0005-0000-0000-0000B0260000}"/>
    <cellStyle name="Berechnung 2 3 2 53" xfId="9905" xr:uid="{00000000-0005-0000-0000-0000B1260000}"/>
    <cellStyle name="Berechnung 2 3 2 54" xfId="9906" xr:uid="{00000000-0005-0000-0000-0000B2260000}"/>
    <cellStyle name="Berechnung 2 3 2 55" xfId="9907" xr:uid="{00000000-0005-0000-0000-0000B3260000}"/>
    <cellStyle name="Berechnung 2 3 2 56" xfId="9908" xr:uid="{00000000-0005-0000-0000-0000B4260000}"/>
    <cellStyle name="Berechnung 2 3 2 57" xfId="9909" xr:uid="{00000000-0005-0000-0000-0000B5260000}"/>
    <cellStyle name="Berechnung 2 3 2 58" xfId="9910" xr:uid="{00000000-0005-0000-0000-0000B6260000}"/>
    <cellStyle name="Berechnung 2 3 2 59" xfId="9911" xr:uid="{00000000-0005-0000-0000-0000B7260000}"/>
    <cellStyle name="Berechnung 2 3 2 6" xfId="9912" xr:uid="{00000000-0005-0000-0000-0000B8260000}"/>
    <cellStyle name="Berechnung 2 3 2 60" xfId="9913" xr:uid="{00000000-0005-0000-0000-0000B9260000}"/>
    <cellStyle name="Berechnung 2 3 2 61" xfId="9914" xr:uid="{00000000-0005-0000-0000-0000BA260000}"/>
    <cellStyle name="Berechnung 2 3 2 62" xfId="9915" xr:uid="{00000000-0005-0000-0000-0000BB260000}"/>
    <cellStyle name="Berechnung 2 3 2 63" xfId="9916" xr:uid="{00000000-0005-0000-0000-0000BC260000}"/>
    <cellStyle name="Berechnung 2 3 2 64" xfId="9917" xr:uid="{00000000-0005-0000-0000-0000BD260000}"/>
    <cellStyle name="Berechnung 2 3 2 65" xfId="9918" xr:uid="{00000000-0005-0000-0000-0000BE260000}"/>
    <cellStyle name="Berechnung 2 3 2 7" xfId="9919" xr:uid="{00000000-0005-0000-0000-0000BF260000}"/>
    <cellStyle name="Berechnung 2 3 2 8" xfId="9920" xr:uid="{00000000-0005-0000-0000-0000C0260000}"/>
    <cellStyle name="Berechnung 2 3 2 9" xfId="9921" xr:uid="{00000000-0005-0000-0000-0000C1260000}"/>
    <cellStyle name="Berechnung 2 3 20" xfId="9922" xr:uid="{00000000-0005-0000-0000-0000C2260000}"/>
    <cellStyle name="Berechnung 2 3 21" xfId="9923" xr:uid="{00000000-0005-0000-0000-0000C3260000}"/>
    <cellStyle name="Berechnung 2 3 22" xfId="9924" xr:uid="{00000000-0005-0000-0000-0000C4260000}"/>
    <cellStyle name="Berechnung 2 3 23" xfId="9925" xr:uid="{00000000-0005-0000-0000-0000C5260000}"/>
    <cellStyle name="Berechnung 2 3 24" xfId="9926" xr:uid="{00000000-0005-0000-0000-0000C6260000}"/>
    <cellStyle name="Berechnung 2 3 25" xfId="9927" xr:uid="{00000000-0005-0000-0000-0000C7260000}"/>
    <cellStyle name="Berechnung 2 3 26" xfId="9928" xr:uid="{00000000-0005-0000-0000-0000C8260000}"/>
    <cellStyle name="Berechnung 2 3 27" xfId="9929" xr:uid="{00000000-0005-0000-0000-0000C9260000}"/>
    <cellStyle name="Berechnung 2 3 28" xfId="9930" xr:uid="{00000000-0005-0000-0000-0000CA260000}"/>
    <cellStyle name="Berechnung 2 3 29" xfId="9931" xr:uid="{00000000-0005-0000-0000-0000CB260000}"/>
    <cellStyle name="Berechnung 2 3 3" xfId="9932" xr:uid="{00000000-0005-0000-0000-0000CC260000}"/>
    <cellStyle name="Berechnung 2 3 30" xfId="9933" xr:uid="{00000000-0005-0000-0000-0000CD260000}"/>
    <cellStyle name="Berechnung 2 3 31" xfId="9934" xr:uid="{00000000-0005-0000-0000-0000CE260000}"/>
    <cellStyle name="Berechnung 2 3 32" xfId="9935" xr:uid="{00000000-0005-0000-0000-0000CF260000}"/>
    <cellStyle name="Berechnung 2 3 33" xfId="9936" xr:uid="{00000000-0005-0000-0000-0000D0260000}"/>
    <cellStyle name="Berechnung 2 3 34" xfId="9937" xr:uid="{00000000-0005-0000-0000-0000D1260000}"/>
    <cellStyle name="Berechnung 2 3 35" xfId="9938" xr:uid="{00000000-0005-0000-0000-0000D2260000}"/>
    <cellStyle name="Berechnung 2 3 36" xfId="9939" xr:uid="{00000000-0005-0000-0000-0000D3260000}"/>
    <cellStyle name="Berechnung 2 3 37" xfId="9940" xr:uid="{00000000-0005-0000-0000-0000D4260000}"/>
    <cellStyle name="Berechnung 2 3 38" xfId="9941" xr:uid="{00000000-0005-0000-0000-0000D5260000}"/>
    <cellStyle name="Berechnung 2 3 39" xfId="9942" xr:uid="{00000000-0005-0000-0000-0000D6260000}"/>
    <cellStyle name="Berechnung 2 3 4" xfId="9943" xr:uid="{00000000-0005-0000-0000-0000D7260000}"/>
    <cellStyle name="Berechnung 2 3 40" xfId="9944" xr:uid="{00000000-0005-0000-0000-0000D8260000}"/>
    <cellStyle name="Berechnung 2 3 41" xfId="9945" xr:uid="{00000000-0005-0000-0000-0000D9260000}"/>
    <cellStyle name="Berechnung 2 3 42" xfId="9946" xr:uid="{00000000-0005-0000-0000-0000DA260000}"/>
    <cellStyle name="Berechnung 2 3 43" xfId="9947" xr:uid="{00000000-0005-0000-0000-0000DB260000}"/>
    <cellStyle name="Berechnung 2 3 44" xfId="9948" xr:uid="{00000000-0005-0000-0000-0000DC260000}"/>
    <cellStyle name="Berechnung 2 3 45" xfId="9949" xr:uid="{00000000-0005-0000-0000-0000DD260000}"/>
    <cellStyle name="Berechnung 2 3 46" xfId="9950" xr:uid="{00000000-0005-0000-0000-0000DE260000}"/>
    <cellStyle name="Berechnung 2 3 47" xfId="9951" xr:uid="{00000000-0005-0000-0000-0000DF260000}"/>
    <cellStyle name="Berechnung 2 3 48" xfId="9952" xr:uid="{00000000-0005-0000-0000-0000E0260000}"/>
    <cellStyle name="Berechnung 2 3 49" xfId="9953" xr:uid="{00000000-0005-0000-0000-0000E1260000}"/>
    <cellStyle name="Berechnung 2 3 5" xfId="9954" xr:uid="{00000000-0005-0000-0000-0000E2260000}"/>
    <cellStyle name="Berechnung 2 3 50" xfId="9955" xr:uid="{00000000-0005-0000-0000-0000E3260000}"/>
    <cellStyle name="Berechnung 2 3 51" xfId="9956" xr:uid="{00000000-0005-0000-0000-0000E4260000}"/>
    <cellStyle name="Berechnung 2 3 52" xfId="9957" xr:uid="{00000000-0005-0000-0000-0000E5260000}"/>
    <cellStyle name="Berechnung 2 3 53" xfId="9958" xr:uid="{00000000-0005-0000-0000-0000E6260000}"/>
    <cellStyle name="Berechnung 2 3 54" xfId="9959" xr:uid="{00000000-0005-0000-0000-0000E7260000}"/>
    <cellStyle name="Berechnung 2 3 55" xfId="9960" xr:uid="{00000000-0005-0000-0000-0000E8260000}"/>
    <cellStyle name="Berechnung 2 3 56" xfId="9961" xr:uid="{00000000-0005-0000-0000-0000E9260000}"/>
    <cellStyle name="Berechnung 2 3 57" xfId="9962" xr:uid="{00000000-0005-0000-0000-0000EA260000}"/>
    <cellStyle name="Berechnung 2 3 58" xfId="9963" xr:uid="{00000000-0005-0000-0000-0000EB260000}"/>
    <cellStyle name="Berechnung 2 3 59" xfId="9964" xr:uid="{00000000-0005-0000-0000-0000EC260000}"/>
    <cellStyle name="Berechnung 2 3 6" xfId="9965" xr:uid="{00000000-0005-0000-0000-0000ED260000}"/>
    <cellStyle name="Berechnung 2 3 60" xfId="9966" xr:uid="{00000000-0005-0000-0000-0000EE260000}"/>
    <cellStyle name="Berechnung 2 3 61" xfId="9967" xr:uid="{00000000-0005-0000-0000-0000EF260000}"/>
    <cellStyle name="Berechnung 2 3 62" xfId="9968" xr:uid="{00000000-0005-0000-0000-0000F0260000}"/>
    <cellStyle name="Berechnung 2 3 63" xfId="9969" xr:uid="{00000000-0005-0000-0000-0000F1260000}"/>
    <cellStyle name="Berechnung 2 3 64" xfId="9970" xr:uid="{00000000-0005-0000-0000-0000F2260000}"/>
    <cellStyle name="Berechnung 2 3 65" xfId="9971" xr:uid="{00000000-0005-0000-0000-0000F3260000}"/>
    <cellStyle name="Berechnung 2 3 66" xfId="9972" xr:uid="{00000000-0005-0000-0000-0000F4260000}"/>
    <cellStyle name="Berechnung 2 3 7" xfId="9973" xr:uid="{00000000-0005-0000-0000-0000F5260000}"/>
    <cellStyle name="Berechnung 2 3 8" xfId="9974" xr:uid="{00000000-0005-0000-0000-0000F6260000}"/>
    <cellStyle name="Berechnung 2 3 9" xfId="9975" xr:uid="{00000000-0005-0000-0000-0000F7260000}"/>
    <cellStyle name="Berechnung 2 30" xfId="9976" xr:uid="{00000000-0005-0000-0000-0000F8260000}"/>
    <cellStyle name="Berechnung 2 31" xfId="9977" xr:uid="{00000000-0005-0000-0000-0000F9260000}"/>
    <cellStyle name="Berechnung 2 32" xfId="9978" xr:uid="{00000000-0005-0000-0000-0000FA260000}"/>
    <cellStyle name="Berechnung 2 33" xfId="9979" xr:uid="{00000000-0005-0000-0000-0000FB260000}"/>
    <cellStyle name="Berechnung 2 34" xfId="9980" xr:uid="{00000000-0005-0000-0000-0000FC260000}"/>
    <cellStyle name="Berechnung 2 35" xfId="9981" xr:uid="{00000000-0005-0000-0000-0000FD260000}"/>
    <cellStyle name="Berechnung 2 36" xfId="9982" xr:uid="{00000000-0005-0000-0000-0000FE260000}"/>
    <cellStyle name="Berechnung 2 37" xfId="9983" xr:uid="{00000000-0005-0000-0000-0000FF260000}"/>
    <cellStyle name="Berechnung 2 38" xfId="9984" xr:uid="{00000000-0005-0000-0000-000000270000}"/>
    <cellStyle name="Berechnung 2 39" xfId="9985" xr:uid="{00000000-0005-0000-0000-000001270000}"/>
    <cellStyle name="Berechnung 2 4" xfId="9986" xr:uid="{00000000-0005-0000-0000-000002270000}"/>
    <cellStyle name="Berechnung 2 4 10" xfId="9987" xr:uid="{00000000-0005-0000-0000-000003270000}"/>
    <cellStyle name="Berechnung 2 4 11" xfId="9988" xr:uid="{00000000-0005-0000-0000-000004270000}"/>
    <cellStyle name="Berechnung 2 4 12" xfId="9989" xr:uid="{00000000-0005-0000-0000-000005270000}"/>
    <cellStyle name="Berechnung 2 4 13" xfId="9990" xr:uid="{00000000-0005-0000-0000-000006270000}"/>
    <cellStyle name="Berechnung 2 4 14" xfId="9991" xr:uid="{00000000-0005-0000-0000-000007270000}"/>
    <cellStyle name="Berechnung 2 4 15" xfId="9992" xr:uid="{00000000-0005-0000-0000-000008270000}"/>
    <cellStyle name="Berechnung 2 4 16" xfId="9993" xr:uid="{00000000-0005-0000-0000-000009270000}"/>
    <cellStyle name="Berechnung 2 4 17" xfId="9994" xr:uid="{00000000-0005-0000-0000-00000A270000}"/>
    <cellStyle name="Berechnung 2 4 18" xfId="9995" xr:uid="{00000000-0005-0000-0000-00000B270000}"/>
    <cellStyle name="Berechnung 2 4 19" xfId="9996" xr:uid="{00000000-0005-0000-0000-00000C270000}"/>
    <cellStyle name="Berechnung 2 4 2" xfId="9997" xr:uid="{00000000-0005-0000-0000-00000D270000}"/>
    <cellStyle name="Berechnung 2 4 2 10" xfId="9998" xr:uid="{00000000-0005-0000-0000-00000E270000}"/>
    <cellStyle name="Berechnung 2 4 2 11" xfId="9999" xr:uid="{00000000-0005-0000-0000-00000F270000}"/>
    <cellStyle name="Berechnung 2 4 2 12" xfId="10000" xr:uid="{00000000-0005-0000-0000-000010270000}"/>
    <cellStyle name="Berechnung 2 4 2 13" xfId="10001" xr:uid="{00000000-0005-0000-0000-000011270000}"/>
    <cellStyle name="Berechnung 2 4 2 14" xfId="10002" xr:uid="{00000000-0005-0000-0000-000012270000}"/>
    <cellStyle name="Berechnung 2 4 2 15" xfId="10003" xr:uid="{00000000-0005-0000-0000-000013270000}"/>
    <cellStyle name="Berechnung 2 4 2 16" xfId="10004" xr:uid="{00000000-0005-0000-0000-000014270000}"/>
    <cellStyle name="Berechnung 2 4 2 17" xfId="10005" xr:uid="{00000000-0005-0000-0000-000015270000}"/>
    <cellStyle name="Berechnung 2 4 2 18" xfId="10006" xr:uid="{00000000-0005-0000-0000-000016270000}"/>
    <cellStyle name="Berechnung 2 4 2 19" xfId="10007" xr:uid="{00000000-0005-0000-0000-000017270000}"/>
    <cellStyle name="Berechnung 2 4 2 2" xfId="10008" xr:uid="{00000000-0005-0000-0000-000018270000}"/>
    <cellStyle name="Berechnung 2 4 2 20" xfId="10009" xr:uid="{00000000-0005-0000-0000-000019270000}"/>
    <cellStyle name="Berechnung 2 4 2 21" xfId="10010" xr:uid="{00000000-0005-0000-0000-00001A270000}"/>
    <cellStyle name="Berechnung 2 4 2 22" xfId="10011" xr:uid="{00000000-0005-0000-0000-00001B270000}"/>
    <cellStyle name="Berechnung 2 4 2 23" xfId="10012" xr:uid="{00000000-0005-0000-0000-00001C270000}"/>
    <cellStyle name="Berechnung 2 4 2 24" xfId="10013" xr:uid="{00000000-0005-0000-0000-00001D270000}"/>
    <cellStyle name="Berechnung 2 4 2 25" xfId="10014" xr:uid="{00000000-0005-0000-0000-00001E270000}"/>
    <cellStyle name="Berechnung 2 4 2 26" xfId="10015" xr:uid="{00000000-0005-0000-0000-00001F270000}"/>
    <cellStyle name="Berechnung 2 4 2 27" xfId="10016" xr:uid="{00000000-0005-0000-0000-000020270000}"/>
    <cellStyle name="Berechnung 2 4 2 28" xfId="10017" xr:uid="{00000000-0005-0000-0000-000021270000}"/>
    <cellStyle name="Berechnung 2 4 2 29" xfId="10018" xr:uid="{00000000-0005-0000-0000-000022270000}"/>
    <cellStyle name="Berechnung 2 4 2 3" xfId="10019" xr:uid="{00000000-0005-0000-0000-000023270000}"/>
    <cellStyle name="Berechnung 2 4 2 30" xfId="10020" xr:uid="{00000000-0005-0000-0000-000024270000}"/>
    <cellStyle name="Berechnung 2 4 2 31" xfId="10021" xr:uid="{00000000-0005-0000-0000-000025270000}"/>
    <cellStyle name="Berechnung 2 4 2 32" xfId="10022" xr:uid="{00000000-0005-0000-0000-000026270000}"/>
    <cellStyle name="Berechnung 2 4 2 33" xfId="10023" xr:uid="{00000000-0005-0000-0000-000027270000}"/>
    <cellStyle name="Berechnung 2 4 2 34" xfId="10024" xr:uid="{00000000-0005-0000-0000-000028270000}"/>
    <cellStyle name="Berechnung 2 4 2 35" xfId="10025" xr:uid="{00000000-0005-0000-0000-000029270000}"/>
    <cellStyle name="Berechnung 2 4 2 36" xfId="10026" xr:uid="{00000000-0005-0000-0000-00002A270000}"/>
    <cellStyle name="Berechnung 2 4 2 37" xfId="10027" xr:uid="{00000000-0005-0000-0000-00002B270000}"/>
    <cellStyle name="Berechnung 2 4 2 38" xfId="10028" xr:uid="{00000000-0005-0000-0000-00002C270000}"/>
    <cellStyle name="Berechnung 2 4 2 39" xfId="10029" xr:uid="{00000000-0005-0000-0000-00002D270000}"/>
    <cellStyle name="Berechnung 2 4 2 4" xfId="10030" xr:uid="{00000000-0005-0000-0000-00002E270000}"/>
    <cellStyle name="Berechnung 2 4 2 40" xfId="10031" xr:uid="{00000000-0005-0000-0000-00002F270000}"/>
    <cellStyle name="Berechnung 2 4 2 41" xfId="10032" xr:uid="{00000000-0005-0000-0000-000030270000}"/>
    <cellStyle name="Berechnung 2 4 2 42" xfId="10033" xr:uid="{00000000-0005-0000-0000-000031270000}"/>
    <cellStyle name="Berechnung 2 4 2 43" xfId="10034" xr:uid="{00000000-0005-0000-0000-000032270000}"/>
    <cellStyle name="Berechnung 2 4 2 44" xfId="10035" xr:uid="{00000000-0005-0000-0000-000033270000}"/>
    <cellStyle name="Berechnung 2 4 2 45" xfId="10036" xr:uid="{00000000-0005-0000-0000-000034270000}"/>
    <cellStyle name="Berechnung 2 4 2 46" xfId="10037" xr:uid="{00000000-0005-0000-0000-000035270000}"/>
    <cellStyle name="Berechnung 2 4 2 47" xfId="10038" xr:uid="{00000000-0005-0000-0000-000036270000}"/>
    <cellStyle name="Berechnung 2 4 2 48" xfId="10039" xr:uid="{00000000-0005-0000-0000-000037270000}"/>
    <cellStyle name="Berechnung 2 4 2 49" xfId="10040" xr:uid="{00000000-0005-0000-0000-000038270000}"/>
    <cellStyle name="Berechnung 2 4 2 5" xfId="10041" xr:uid="{00000000-0005-0000-0000-000039270000}"/>
    <cellStyle name="Berechnung 2 4 2 50" xfId="10042" xr:uid="{00000000-0005-0000-0000-00003A270000}"/>
    <cellStyle name="Berechnung 2 4 2 51" xfId="10043" xr:uid="{00000000-0005-0000-0000-00003B270000}"/>
    <cellStyle name="Berechnung 2 4 2 52" xfId="10044" xr:uid="{00000000-0005-0000-0000-00003C270000}"/>
    <cellStyle name="Berechnung 2 4 2 53" xfId="10045" xr:uid="{00000000-0005-0000-0000-00003D270000}"/>
    <cellStyle name="Berechnung 2 4 2 54" xfId="10046" xr:uid="{00000000-0005-0000-0000-00003E270000}"/>
    <cellStyle name="Berechnung 2 4 2 55" xfId="10047" xr:uid="{00000000-0005-0000-0000-00003F270000}"/>
    <cellStyle name="Berechnung 2 4 2 56" xfId="10048" xr:uid="{00000000-0005-0000-0000-000040270000}"/>
    <cellStyle name="Berechnung 2 4 2 57" xfId="10049" xr:uid="{00000000-0005-0000-0000-000041270000}"/>
    <cellStyle name="Berechnung 2 4 2 58" xfId="10050" xr:uid="{00000000-0005-0000-0000-000042270000}"/>
    <cellStyle name="Berechnung 2 4 2 59" xfId="10051" xr:uid="{00000000-0005-0000-0000-000043270000}"/>
    <cellStyle name="Berechnung 2 4 2 6" xfId="10052" xr:uid="{00000000-0005-0000-0000-000044270000}"/>
    <cellStyle name="Berechnung 2 4 2 60" xfId="10053" xr:uid="{00000000-0005-0000-0000-000045270000}"/>
    <cellStyle name="Berechnung 2 4 2 61" xfId="10054" xr:uid="{00000000-0005-0000-0000-000046270000}"/>
    <cellStyle name="Berechnung 2 4 2 62" xfId="10055" xr:uid="{00000000-0005-0000-0000-000047270000}"/>
    <cellStyle name="Berechnung 2 4 2 63" xfId="10056" xr:uid="{00000000-0005-0000-0000-000048270000}"/>
    <cellStyle name="Berechnung 2 4 2 64" xfId="10057" xr:uid="{00000000-0005-0000-0000-000049270000}"/>
    <cellStyle name="Berechnung 2 4 2 65" xfId="10058" xr:uid="{00000000-0005-0000-0000-00004A270000}"/>
    <cellStyle name="Berechnung 2 4 2 7" xfId="10059" xr:uid="{00000000-0005-0000-0000-00004B270000}"/>
    <cellStyle name="Berechnung 2 4 2 8" xfId="10060" xr:uid="{00000000-0005-0000-0000-00004C270000}"/>
    <cellStyle name="Berechnung 2 4 2 9" xfId="10061" xr:uid="{00000000-0005-0000-0000-00004D270000}"/>
    <cellStyle name="Berechnung 2 4 20" xfId="10062" xr:uid="{00000000-0005-0000-0000-00004E270000}"/>
    <cellStyle name="Berechnung 2 4 21" xfId="10063" xr:uid="{00000000-0005-0000-0000-00004F270000}"/>
    <cellStyle name="Berechnung 2 4 22" xfId="10064" xr:uid="{00000000-0005-0000-0000-000050270000}"/>
    <cellStyle name="Berechnung 2 4 23" xfId="10065" xr:uid="{00000000-0005-0000-0000-000051270000}"/>
    <cellStyle name="Berechnung 2 4 24" xfId="10066" xr:uid="{00000000-0005-0000-0000-000052270000}"/>
    <cellStyle name="Berechnung 2 4 25" xfId="10067" xr:uid="{00000000-0005-0000-0000-000053270000}"/>
    <cellStyle name="Berechnung 2 4 26" xfId="10068" xr:uid="{00000000-0005-0000-0000-000054270000}"/>
    <cellStyle name="Berechnung 2 4 27" xfId="10069" xr:uid="{00000000-0005-0000-0000-000055270000}"/>
    <cellStyle name="Berechnung 2 4 28" xfId="10070" xr:uid="{00000000-0005-0000-0000-000056270000}"/>
    <cellStyle name="Berechnung 2 4 29" xfId="10071" xr:uid="{00000000-0005-0000-0000-000057270000}"/>
    <cellStyle name="Berechnung 2 4 3" xfId="10072" xr:uid="{00000000-0005-0000-0000-000058270000}"/>
    <cellStyle name="Berechnung 2 4 30" xfId="10073" xr:uid="{00000000-0005-0000-0000-000059270000}"/>
    <cellStyle name="Berechnung 2 4 31" xfId="10074" xr:uid="{00000000-0005-0000-0000-00005A270000}"/>
    <cellStyle name="Berechnung 2 4 32" xfId="10075" xr:uid="{00000000-0005-0000-0000-00005B270000}"/>
    <cellStyle name="Berechnung 2 4 33" xfId="10076" xr:uid="{00000000-0005-0000-0000-00005C270000}"/>
    <cellStyle name="Berechnung 2 4 34" xfId="10077" xr:uid="{00000000-0005-0000-0000-00005D270000}"/>
    <cellStyle name="Berechnung 2 4 35" xfId="10078" xr:uid="{00000000-0005-0000-0000-00005E270000}"/>
    <cellStyle name="Berechnung 2 4 36" xfId="10079" xr:uid="{00000000-0005-0000-0000-00005F270000}"/>
    <cellStyle name="Berechnung 2 4 37" xfId="10080" xr:uid="{00000000-0005-0000-0000-000060270000}"/>
    <cellStyle name="Berechnung 2 4 38" xfId="10081" xr:uid="{00000000-0005-0000-0000-000061270000}"/>
    <cellStyle name="Berechnung 2 4 39" xfId="10082" xr:uid="{00000000-0005-0000-0000-000062270000}"/>
    <cellStyle name="Berechnung 2 4 4" xfId="10083" xr:uid="{00000000-0005-0000-0000-000063270000}"/>
    <cellStyle name="Berechnung 2 4 40" xfId="10084" xr:uid="{00000000-0005-0000-0000-000064270000}"/>
    <cellStyle name="Berechnung 2 4 41" xfId="10085" xr:uid="{00000000-0005-0000-0000-000065270000}"/>
    <cellStyle name="Berechnung 2 4 42" xfId="10086" xr:uid="{00000000-0005-0000-0000-000066270000}"/>
    <cellStyle name="Berechnung 2 4 43" xfId="10087" xr:uid="{00000000-0005-0000-0000-000067270000}"/>
    <cellStyle name="Berechnung 2 4 44" xfId="10088" xr:uid="{00000000-0005-0000-0000-000068270000}"/>
    <cellStyle name="Berechnung 2 4 45" xfId="10089" xr:uid="{00000000-0005-0000-0000-000069270000}"/>
    <cellStyle name="Berechnung 2 4 46" xfId="10090" xr:uid="{00000000-0005-0000-0000-00006A270000}"/>
    <cellStyle name="Berechnung 2 4 47" xfId="10091" xr:uid="{00000000-0005-0000-0000-00006B270000}"/>
    <cellStyle name="Berechnung 2 4 48" xfId="10092" xr:uid="{00000000-0005-0000-0000-00006C270000}"/>
    <cellStyle name="Berechnung 2 4 49" xfId="10093" xr:uid="{00000000-0005-0000-0000-00006D270000}"/>
    <cellStyle name="Berechnung 2 4 5" xfId="10094" xr:uid="{00000000-0005-0000-0000-00006E270000}"/>
    <cellStyle name="Berechnung 2 4 50" xfId="10095" xr:uid="{00000000-0005-0000-0000-00006F270000}"/>
    <cellStyle name="Berechnung 2 4 51" xfId="10096" xr:uid="{00000000-0005-0000-0000-000070270000}"/>
    <cellStyle name="Berechnung 2 4 52" xfId="10097" xr:uid="{00000000-0005-0000-0000-000071270000}"/>
    <cellStyle name="Berechnung 2 4 53" xfId="10098" xr:uid="{00000000-0005-0000-0000-000072270000}"/>
    <cellStyle name="Berechnung 2 4 54" xfId="10099" xr:uid="{00000000-0005-0000-0000-000073270000}"/>
    <cellStyle name="Berechnung 2 4 55" xfId="10100" xr:uid="{00000000-0005-0000-0000-000074270000}"/>
    <cellStyle name="Berechnung 2 4 56" xfId="10101" xr:uid="{00000000-0005-0000-0000-000075270000}"/>
    <cellStyle name="Berechnung 2 4 57" xfId="10102" xr:uid="{00000000-0005-0000-0000-000076270000}"/>
    <cellStyle name="Berechnung 2 4 58" xfId="10103" xr:uid="{00000000-0005-0000-0000-000077270000}"/>
    <cellStyle name="Berechnung 2 4 59" xfId="10104" xr:uid="{00000000-0005-0000-0000-000078270000}"/>
    <cellStyle name="Berechnung 2 4 6" xfId="10105" xr:uid="{00000000-0005-0000-0000-000079270000}"/>
    <cellStyle name="Berechnung 2 4 60" xfId="10106" xr:uid="{00000000-0005-0000-0000-00007A270000}"/>
    <cellStyle name="Berechnung 2 4 61" xfId="10107" xr:uid="{00000000-0005-0000-0000-00007B270000}"/>
    <cellStyle name="Berechnung 2 4 62" xfId="10108" xr:uid="{00000000-0005-0000-0000-00007C270000}"/>
    <cellStyle name="Berechnung 2 4 63" xfId="10109" xr:uid="{00000000-0005-0000-0000-00007D270000}"/>
    <cellStyle name="Berechnung 2 4 64" xfId="10110" xr:uid="{00000000-0005-0000-0000-00007E270000}"/>
    <cellStyle name="Berechnung 2 4 65" xfId="10111" xr:uid="{00000000-0005-0000-0000-00007F270000}"/>
    <cellStyle name="Berechnung 2 4 66" xfId="10112" xr:uid="{00000000-0005-0000-0000-000080270000}"/>
    <cellStyle name="Berechnung 2 4 7" xfId="10113" xr:uid="{00000000-0005-0000-0000-000081270000}"/>
    <cellStyle name="Berechnung 2 4 8" xfId="10114" xr:uid="{00000000-0005-0000-0000-000082270000}"/>
    <cellStyle name="Berechnung 2 4 9" xfId="10115" xr:uid="{00000000-0005-0000-0000-000083270000}"/>
    <cellStyle name="Berechnung 2 40" xfId="10116" xr:uid="{00000000-0005-0000-0000-000084270000}"/>
    <cellStyle name="Berechnung 2 41" xfId="10117" xr:uid="{00000000-0005-0000-0000-000085270000}"/>
    <cellStyle name="Berechnung 2 42" xfId="10118" xr:uid="{00000000-0005-0000-0000-000086270000}"/>
    <cellStyle name="Berechnung 2 43" xfId="10119" xr:uid="{00000000-0005-0000-0000-000087270000}"/>
    <cellStyle name="Berechnung 2 44" xfId="10120" xr:uid="{00000000-0005-0000-0000-000088270000}"/>
    <cellStyle name="Berechnung 2 45" xfId="10121" xr:uid="{00000000-0005-0000-0000-000089270000}"/>
    <cellStyle name="Berechnung 2 46" xfId="10122" xr:uid="{00000000-0005-0000-0000-00008A270000}"/>
    <cellStyle name="Berechnung 2 47" xfId="10123" xr:uid="{00000000-0005-0000-0000-00008B270000}"/>
    <cellStyle name="Berechnung 2 48" xfId="10124" xr:uid="{00000000-0005-0000-0000-00008C270000}"/>
    <cellStyle name="Berechnung 2 49" xfId="10125" xr:uid="{00000000-0005-0000-0000-00008D270000}"/>
    <cellStyle name="Berechnung 2 5" xfId="10126" xr:uid="{00000000-0005-0000-0000-00008E270000}"/>
    <cellStyle name="Berechnung 2 5 10" xfId="10127" xr:uid="{00000000-0005-0000-0000-00008F270000}"/>
    <cellStyle name="Berechnung 2 5 11" xfId="10128" xr:uid="{00000000-0005-0000-0000-000090270000}"/>
    <cellStyle name="Berechnung 2 5 12" xfId="10129" xr:uid="{00000000-0005-0000-0000-000091270000}"/>
    <cellStyle name="Berechnung 2 5 13" xfId="10130" xr:uid="{00000000-0005-0000-0000-000092270000}"/>
    <cellStyle name="Berechnung 2 5 14" xfId="10131" xr:uid="{00000000-0005-0000-0000-000093270000}"/>
    <cellStyle name="Berechnung 2 5 15" xfId="10132" xr:uid="{00000000-0005-0000-0000-000094270000}"/>
    <cellStyle name="Berechnung 2 5 16" xfId="10133" xr:uid="{00000000-0005-0000-0000-000095270000}"/>
    <cellStyle name="Berechnung 2 5 17" xfId="10134" xr:uid="{00000000-0005-0000-0000-000096270000}"/>
    <cellStyle name="Berechnung 2 5 18" xfId="10135" xr:uid="{00000000-0005-0000-0000-000097270000}"/>
    <cellStyle name="Berechnung 2 5 19" xfId="10136" xr:uid="{00000000-0005-0000-0000-000098270000}"/>
    <cellStyle name="Berechnung 2 5 2" xfId="10137" xr:uid="{00000000-0005-0000-0000-000099270000}"/>
    <cellStyle name="Berechnung 2 5 20" xfId="10138" xr:uid="{00000000-0005-0000-0000-00009A270000}"/>
    <cellStyle name="Berechnung 2 5 21" xfId="10139" xr:uid="{00000000-0005-0000-0000-00009B270000}"/>
    <cellStyle name="Berechnung 2 5 22" xfId="10140" xr:uid="{00000000-0005-0000-0000-00009C270000}"/>
    <cellStyle name="Berechnung 2 5 23" xfId="10141" xr:uid="{00000000-0005-0000-0000-00009D270000}"/>
    <cellStyle name="Berechnung 2 5 24" xfId="10142" xr:uid="{00000000-0005-0000-0000-00009E270000}"/>
    <cellStyle name="Berechnung 2 5 25" xfId="10143" xr:uid="{00000000-0005-0000-0000-00009F270000}"/>
    <cellStyle name="Berechnung 2 5 26" xfId="10144" xr:uid="{00000000-0005-0000-0000-0000A0270000}"/>
    <cellStyle name="Berechnung 2 5 27" xfId="10145" xr:uid="{00000000-0005-0000-0000-0000A1270000}"/>
    <cellStyle name="Berechnung 2 5 28" xfId="10146" xr:uid="{00000000-0005-0000-0000-0000A2270000}"/>
    <cellStyle name="Berechnung 2 5 29" xfId="10147" xr:uid="{00000000-0005-0000-0000-0000A3270000}"/>
    <cellStyle name="Berechnung 2 5 3" xfId="10148" xr:uid="{00000000-0005-0000-0000-0000A4270000}"/>
    <cellStyle name="Berechnung 2 5 30" xfId="10149" xr:uid="{00000000-0005-0000-0000-0000A5270000}"/>
    <cellStyle name="Berechnung 2 5 31" xfId="10150" xr:uid="{00000000-0005-0000-0000-0000A6270000}"/>
    <cellStyle name="Berechnung 2 5 32" xfId="10151" xr:uid="{00000000-0005-0000-0000-0000A7270000}"/>
    <cellStyle name="Berechnung 2 5 33" xfId="10152" xr:uid="{00000000-0005-0000-0000-0000A8270000}"/>
    <cellStyle name="Berechnung 2 5 34" xfId="10153" xr:uid="{00000000-0005-0000-0000-0000A9270000}"/>
    <cellStyle name="Berechnung 2 5 35" xfId="10154" xr:uid="{00000000-0005-0000-0000-0000AA270000}"/>
    <cellStyle name="Berechnung 2 5 36" xfId="10155" xr:uid="{00000000-0005-0000-0000-0000AB270000}"/>
    <cellStyle name="Berechnung 2 5 37" xfId="10156" xr:uid="{00000000-0005-0000-0000-0000AC270000}"/>
    <cellStyle name="Berechnung 2 5 38" xfId="10157" xr:uid="{00000000-0005-0000-0000-0000AD270000}"/>
    <cellStyle name="Berechnung 2 5 39" xfId="10158" xr:uid="{00000000-0005-0000-0000-0000AE270000}"/>
    <cellStyle name="Berechnung 2 5 4" xfId="10159" xr:uid="{00000000-0005-0000-0000-0000AF270000}"/>
    <cellStyle name="Berechnung 2 5 40" xfId="10160" xr:uid="{00000000-0005-0000-0000-0000B0270000}"/>
    <cellStyle name="Berechnung 2 5 41" xfId="10161" xr:uid="{00000000-0005-0000-0000-0000B1270000}"/>
    <cellStyle name="Berechnung 2 5 42" xfId="10162" xr:uid="{00000000-0005-0000-0000-0000B2270000}"/>
    <cellStyle name="Berechnung 2 5 43" xfId="10163" xr:uid="{00000000-0005-0000-0000-0000B3270000}"/>
    <cellStyle name="Berechnung 2 5 44" xfId="10164" xr:uid="{00000000-0005-0000-0000-0000B4270000}"/>
    <cellStyle name="Berechnung 2 5 45" xfId="10165" xr:uid="{00000000-0005-0000-0000-0000B5270000}"/>
    <cellStyle name="Berechnung 2 5 46" xfId="10166" xr:uid="{00000000-0005-0000-0000-0000B6270000}"/>
    <cellStyle name="Berechnung 2 5 47" xfId="10167" xr:uid="{00000000-0005-0000-0000-0000B7270000}"/>
    <cellStyle name="Berechnung 2 5 48" xfId="10168" xr:uid="{00000000-0005-0000-0000-0000B8270000}"/>
    <cellStyle name="Berechnung 2 5 49" xfId="10169" xr:uid="{00000000-0005-0000-0000-0000B9270000}"/>
    <cellStyle name="Berechnung 2 5 5" xfId="10170" xr:uid="{00000000-0005-0000-0000-0000BA270000}"/>
    <cellStyle name="Berechnung 2 5 50" xfId="10171" xr:uid="{00000000-0005-0000-0000-0000BB270000}"/>
    <cellStyle name="Berechnung 2 5 51" xfId="10172" xr:uid="{00000000-0005-0000-0000-0000BC270000}"/>
    <cellStyle name="Berechnung 2 5 52" xfId="10173" xr:uid="{00000000-0005-0000-0000-0000BD270000}"/>
    <cellStyle name="Berechnung 2 5 53" xfId="10174" xr:uid="{00000000-0005-0000-0000-0000BE270000}"/>
    <cellStyle name="Berechnung 2 5 54" xfId="10175" xr:uid="{00000000-0005-0000-0000-0000BF270000}"/>
    <cellStyle name="Berechnung 2 5 55" xfId="10176" xr:uid="{00000000-0005-0000-0000-0000C0270000}"/>
    <cellStyle name="Berechnung 2 5 56" xfId="10177" xr:uid="{00000000-0005-0000-0000-0000C1270000}"/>
    <cellStyle name="Berechnung 2 5 57" xfId="10178" xr:uid="{00000000-0005-0000-0000-0000C2270000}"/>
    <cellStyle name="Berechnung 2 5 58" xfId="10179" xr:uid="{00000000-0005-0000-0000-0000C3270000}"/>
    <cellStyle name="Berechnung 2 5 59" xfId="10180" xr:uid="{00000000-0005-0000-0000-0000C4270000}"/>
    <cellStyle name="Berechnung 2 5 6" xfId="10181" xr:uid="{00000000-0005-0000-0000-0000C5270000}"/>
    <cellStyle name="Berechnung 2 5 60" xfId="10182" xr:uid="{00000000-0005-0000-0000-0000C6270000}"/>
    <cellStyle name="Berechnung 2 5 61" xfId="10183" xr:uid="{00000000-0005-0000-0000-0000C7270000}"/>
    <cellStyle name="Berechnung 2 5 62" xfId="10184" xr:uid="{00000000-0005-0000-0000-0000C8270000}"/>
    <cellStyle name="Berechnung 2 5 63" xfId="10185" xr:uid="{00000000-0005-0000-0000-0000C9270000}"/>
    <cellStyle name="Berechnung 2 5 64" xfId="10186" xr:uid="{00000000-0005-0000-0000-0000CA270000}"/>
    <cellStyle name="Berechnung 2 5 65" xfId="10187" xr:uid="{00000000-0005-0000-0000-0000CB270000}"/>
    <cellStyle name="Berechnung 2 5 7" xfId="10188" xr:uid="{00000000-0005-0000-0000-0000CC270000}"/>
    <cellStyle name="Berechnung 2 5 8" xfId="10189" xr:uid="{00000000-0005-0000-0000-0000CD270000}"/>
    <cellStyle name="Berechnung 2 5 9" xfId="10190" xr:uid="{00000000-0005-0000-0000-0000CE270000}"/>
    <cellStyle name="Berechnung 2 50" xfId="10191" xr:uid="{00000000-0005-0000-0000-0000CF270000}"/>
    <cellStyle name="Berechnung 2 51" xfId="10192" xr:uid="{00000000-0005-0000-0000-0000D0270000}"/>
    <cellStyle name="Berechnung 2 6" xfId="10193" xr:uid="{00000000-0005-0000-0000-0000D1270000}"/>
    <cellStyle name="Berechnung 2 7" xfId="10194" xr:uid="{00000000-0005-0000-0000-0000D2270000}"/>
    <cellStyle name="Berechnung 2 8" xfId="10195" xr:uid="{00000000-0005-0000-0000-0000D3270000}"/>
    <cellStyle name="Berechnung 2 9" xfId="10196" xr:uid="{00000000-0005-0000-0000-0000D4270000}"/>
    <cellStyle name="Berechnung 3" xfId="10197" xr:uid="{00000000-0005-0000-0000-0000D5270000}"/>
    <cellStyle name="Berechnung 3 10" xfId="10198" xr:uid="{00000000-0005-0000-0000-0000D6270000}"/>
    <cellStyle name="Berechnung 3 11" xfId="10199" xr:uid="{00000000-0005-0000-0000-0000D7270000}"/>
    <cellStyle name="Berechnung 3 12" xfId="10200" xr:uid="{00000000-0005-0000-0000-0000D8270000}"/>
    <cellStyle name="Berechnung 3 13" xfId="10201" xr:uid="{00000000-0005-0000-0000-0000D9270000}"/>
    <cellStyle name="Berechnung 3 14" xfId="10202" xr:uid="{00000000-0005-0000-0000-0000DA270000}"/>
    <cellStyle name="Berechnung 3 15" xfId="10203" xr:uid="{00000000-0005-0000-0000-0000DB270000}"/>
    <cellStyle name="Berechnung 3 16" xfId="10204" xr:uid="{00000000-0005-0000-0000-0000DC270000}"/>
    <cellStyle name="Berechnung 3 17" xfId="10205" xr:uid="{00000000-0005-0000-0000-0000DD270000}"/>
    <cellStyle name="Berechnung 3 18" xfId="10206" xr:uid="{00000000-0005-0000-0000-0000DE270000}"/>
    <cellStyle name="Berechnung 3 19" xfId="10207" xr:uid="{00000000-0005-0000-0000-0000DF270000}"/>
    <cellStyle name="Berechnung 3 2" xfId="10208" xr:uid="{00000000-0005-0000-0000-0000E0270000}"/>
    <cellStyle name="Berechnung 3 2 10" xfId="10209" xr:uid="{00000000-0005-0000-0000-0000E1270000}"/>
    <cellStyle name="Berechnung 3 2 11" xfId="10210" xr:uid="{00000000-0005-0000-0000-0000E2270000}"/>
    <cellStyle name="Berechnung 3 2 12" xfId="10211" xr:uid="{00000000-0005-0000-0000-0000E3270000}"/>
    <cellStyle name="Berechnung 3 2 13" xfId="10212" xr:uid="{00000000-0005-0000-0000-0000E4270000}"/>
    <cellStyle name="Berechnung 3 2 14" xfId="10213" xr:uid="{00000000-0005-0000-0000-0000E5270000}"/>
    <cellStyle name="Berechnung 3 2 15" xfId="10214" xr:uid="{00000000-0005-0000-0000-0000E6270000}"/>
    <cellStyle name="Berechnung 3 2 16" xfId="10215" xr:uid="{00000000-0005-0000-0000-0000E7270000}"/>
    <cellStyle name="Berechnung 3 2 17" xfId="10216" xr:uid="{00000000-0005-0000-0000-0000E8270000}"/>
    <cellStyle name="Berechnung 3 2 18" xfId="10217" xr:uid="{00000000-0005-0000-0000-0000E9270000}"/>
    <cellStyle name="Berechnung 3 2 19" xfId="10218" xr:uid="{00000000-0005-0000-0000-0000EA270000}"/>
    <cellStyle name="Berechnung 3 2 2" xfId="10219" xr:uid="{00000000-0005-0000-0000-0000EB270000}"/>
    <cellStyle name="Berechnung 3 2 2 10" xfId="10220" xr:uid="{00000000-0005-0000-0000-0000EC270000}"/>
    <cellStyle name="Berechnung 3 2 2 11" xfId="10221" xr:uid="{00000000-0005-0000-0000-0000ED270000}"/>
    <cellStyle name="Berechnung 3 2 2 12" xfId="10222" xr:uid="{00000000-0005-0000-0000-0000EE270000}"/>
    <cellStyle name="Berechnung 3 2 2 13" xfId="10223" xr:uid="{00000000-0005-0000-0000-0000EF270000}"/>
    <cellStyle name="Berechnung 3 2 2 14" xfId="10224" xr:uid="{00000000-0005-0000-0000-0000F0270000}"/>
    <cellStyle name="Berechnung 3 2 2 15" xfId="10225" xr:uid="{00000000-0005-0000-0000-0000F1270000}"/>
    <cellStyle name="Berechnung 3 2 2 16" xfId="10226" xr:uid="{00000000-0005-0000-0000-0000F2270000}"/>
    <cellStyle name="Berechnung 3 2 2 17" xfId="10227" xr:uid="{00000000-0005-0000-0000-0000F3270000}"/>
    <cellStyle name="Berechnung 3 2 2 18" xfId="10228" xr:uid="{00000000-0005-0000-0000-0000F4270000}"/>
    <cellStyle name="Berechnung 3 2 2 19" xfId="10229" xr:uid="{00000000-0005-0000-0000-0000F5270000}"/>
    <cellStyle name="Berechnung 3 2 2 2" xfId="10230" xr:uid="{00000000-0005-0000-0000-0000F6270000}"/>
    <cellStyle name="Berechnung 3 2 2 20" xfId="10231" xr:uid="{00000000-0005-0000-0000-0000F7270000}"/>
    <cellStyle name="Berechnung 3 2 2 21" xfId="10232" xr:uid="{00000000-0005-0000-0000-0000F8270000}"/>
    <cellStyle name="Berechnung 3 2 2 22" xfId="10233" xr:uid="{00000000-0005-0000-0000-0000F9270000}"/>
    <cellStyle name="Berechnung 3 2 2 23" xfId="10234" xr:uid="{00000000-0005-0000-0000-0000FA270000}"/>
    <cellStyle name="Berechnung 3 2 2 24" xfId="10235" xr:uid="{00000000-0005-0000-0000-0000FB270000}"/>
    <cellStyle name="Berechnung 3 2 2 25" xfId="10236" xr:uid="{00000000-0005-0000-0000-0000FC270000}"/>
    <cellStyle name="Berechnung 3 2 2 26" xfId="10237" xr:uid="{00000000-0005-0000-0000-0000FD270000}"/>
    <cellStyle name="Berechnung 3 2 2 27" xfId="10238" xr:uid="{00000000-0005-0000-0000-0000FE270000}"/>
    <cellStyle name="Berechnung 3 2 2 28" xfId="10239" xr:uid="{00000000-0005-0000-0000-0000FF270000}"/>
    <cellStyle name="Berechnung 3 2 2 29" xfId="10240" xr:uid="{00000000-0005-0000-0000-000000280000}"/>
    <cellStyle name="Berechnung 3 2 2 3" xfId="10241" xr:uid="{00000000-0005-0000-0000-000001280000}"/>
    <cellStyle name="Berechnung 3 2 2 30" xfId="10242" xr:uid="{00000000-0005-0000-0000-000002280000}"/>
    <cellStyle name="Berechnung 3 2 2 31" xfId="10243" xr:uid="{00000000-0005-0000-0000-000003280000}"/>
    <cellStyle name="Berechnung 3 2 2 32" xfId="10244" xr:uid="{00000000-0005-0000-0000-000004280000}"/>
    <cellStyle name="Berechnung 3 2 2 33" xfId="10245" xr:uid="{00000000-0005-0000-0000-000005280000}"/>
    <cellStyle name="Berechnung 3 2 2 34" xfId="10246" xr:uid="{00000000-0005-0000-0000-000006280000}"/>
    <cellStyle name="Berechnung 3 2 2 35" xfId="10247" xr:uid="{00000000-0005-0000-0000-000007280000}"/>
    <cellStyle name="Berechnung 3 2 2 36" xfId="10248" xr:uid="{00000000-0005-0000-0000-000008280000}"/>
    <cellStyle name="Berechnung 3 2 2 37" xfId="10249" xr:uid="{00000000-0005-0000-0000-000009280000}"/>
    <cellStyle name="Berechnung 3 2 2 38" xfId="10250" xr:uid="{00000000-0005-0000-0000-00000A280000}"/>
    <cellStyle name="Berechnung 3 2 2 39" xfId="10251" xr:uid="{00000000-0005-0000-0000-00000B280000}"/>
    <cellStyle name="Berechnung 3 2 2 4" xfId="10252" xr:uid="{00000000-0005-0000-0000-00000C280000}"/>
    <cellStyle name="Berechnung 3 2 2 40" xfId="10253" xr:uid="{00000000-0005-0000-0000-00000D280000}"/>
    <cellStyle name="Berechnung 3 2 2 41" xfId="10254" xr:uid="{00000000-0005-0000-0000-00000E280000}"/>
    <cellStyle name="Berechnung 3 2 2 42" xfId="10255" xr:uid="{00000000-0005-0000-0000-00000F280000}"/>
    <cellStyle name="Berechnung 3 2 2 43" xfId="10256" xr:uid="{00000000-0005-0000-0000-000010280000}"/>
    <cellStyle name="Berechnung 3 2 2 44" xfId="10257" xr:uid="{00000000-0005-0000-0000-000011280000}"/>
    <cellStyle name="Berechnung 3 2 2 45" xfId="10258" xr:uid="{00000000-0005-0000-0000-000012280000}"/>
    <cellStyle name="Berechnung 3 2 2 46" xfId="10259" xr:uid="{00000000-0005-0000-0000-000013280000}"/>
    <cellStyle name="Berechnung 3 2 2 47" xfId="10260" xr:uid="{00000000-0005-0000-0000-000014280000}"/>
    <cellStyle name="Berechnung 3 2 2 48" xfId="10261" xr:uid="{00000000-0005-0000-0000-000015280000}"/>
    <cellStyle name="Berechnung 3 2 2 49" xfId="10262" xr:uid="{00000000-0005-0000-0000-000016280000}"/>
    <cellStyle name="Berechnung 3 2 2 5" xfId="10263" xr:uid="{00000000-0005-0000-0000-000017280000}"/>
    <cellStyle name="Berechnung 3 2 2 50" xfId="10264" xr:uid="{00000000-0005-0000-0000-000018280000}"/>
    <cellStyle name="Berechnung 3 2 2 51" xfId="10265" xr:uid="{00000000-0005-0000-0000-000019280000}"/>
    <cellStyle name="Berechnung 3 2 2 52" xfId="10266" xr:uid="{00000000-0005-0000-0000-00001A280000}"/>
    <cellStyle name="Berechnung 3 2 2 53" xfId="10267" xr:uid="{00000000-0005-0000-0000-00001B280000}"/>
    <cellStyle name="Berechnung 3 2 2 54" xfId="10268" xr:uid="{00000000-0005-0000-0000-00001C280000}"/>
    <cellStyle name="Berechnung 3 2 2 55" xfId="10269" xr:uid="{00000000-0005-0000-0000-00001D280000}"/>
    <cellStyle name="Berechnung 3 2 2 56" xfId="10270" xr:uid="{00000000-0005-0000-0000-00001E280000}"/>
    <cellStyle name="Berechnung 3 2 2 57" xfId="10271" xr:uid="{00000000-0005-0000-0000-00001F280000}"/>
    <cellStyle name="Berechnung 3 2 2 58" xfId="10272" xr:uid="{00000000-0005-0000-0000-000020280000}"/>
    <cellStyle name="Berechnung 3 2 2 59" xfId="10273" xr:uid="{00000000-0005-0000-0000-000021280000}"/>
    <cellStyle name="Berechnung 3 2 2 6" xfId="10274" xr:uid="{00000000-0005-0000-0000-000022280000}"/>
    <cellStyle name="Berechnung 3 2 2 60" xfId="10275" xr:uid="{00000000-0005-0000-0000-000023280000}"/>
    <cellStyle name="Berechnung 3 2 2 61" xfId="10276" xr:uid="{00000000-0005-0000-0000-000024280000}"/>
    <cellStyle name="Berechnung 3 2 2 62" xfId="10277" xr:uid="{00000000-0005-0000-0000-000025280000}"/>
    <cellStyle name="Berechnung 3 2 2 63" xfId="10278" xr:uid="{00000000-0005-0000-0000-000026280000}"/>
    <cellStyle name="Berechnung 3 2 2 64" xfId="10279" xr:uid="{00000000-0005-0000-0000-000027280000}"/>
    <cellStyle name="Berechnung 3 2 2 65" xfId="10280" xr:uid="{00000000-0005-0000-0000-000028280000}"/>
    <cellStyle name="Berechnung 3 2 2 7" xfId="10281" xr:uid="{00000000-0005-0000-0000-000029280000}"/>
    <cellStyle name="Berechnung 3 2 2 8" xfId="10282" xr:uid="{00000000-0005-0000-0000-00002A280000}"/>
    <cellStyle name="Berechnung 3 2 2 9" xfId="10283" xr:uid="{00000000-0005-0000-0000-00002B280000}"/>
    <cellStyle name="Berechnung 3 2 20" xfId="10284" xr:uid="{00000000-0005-0000-0000-00002C280000}"/>
    <cellStyle name="Berechnung 3 2 21" xfId="10285" xr:uid="{00000000-0005-0000-0000-00002D280000}"/>
    <cellStyle name="Berechnung 3 2 22" xfId="10286" xr:uid="{00000000-0005-0000-0000-00002E280000}"/>
    <cellStyle name="Berechnung 3 2 23" xfId="10287" xr:uid="{00000000-0005-0000-0000-00002F280000}"/>
    <cellStyle name="Berechnung 3 2 24" xfId="10288" xr:uid="{00000000-0005-0000-0000-000030280000}"/>
    <cellStyle name="Berechnung 3 2 25" xfId="10289" xr:uid="{00000000-0005-0000-0000-000031280000}"/>
    <cellStyle name="Berechnung 3 2 26" xfId="10290" xr:uid="{00000000-0005-0000-0000-000032280000}"/>
    <cellStyle name="Berechnung 3 2 27" xfId="10291" xr:uid="{00000000-0005-0000-0000-000033280000}"/>
    <cellStyle name="Berechnung 3 2 28" xfId="10292" xr:uid="{00000000-0005-0000-0000-000034280000}"/>
    <cellStyle name="Berechnung 3 2 29" xfId="10293" xr:uid="{00000000-0005-0000-0000-000035280000}"/>
    <cellStyle name="Berechnung 3 2 3" xfId="10294" xr:uid="{00000000-0005-0000-0000-000036280000}"/>
    <cellStyle name="Berechnung 3 2 30" xfId="10295" xr:uid="{00000000-0005-0000-0000-000037280000}"/>
    <cellStyle name="Berechnung 3 2 31" xfId="10296" xr:uid="{00000000-0005-0000-0000-000038280000}"/>
    <cellStyle name="Berechnung 3 2 32" xfId="10297" xr:uid="{00000000-0005-0000-0000-000039280000}"/>
    <cellStyle name="Berechnung 3 2 33" xfId="10298" xr:uid="{00000000-0005-0000-0000-00003A280000}"/>
    <cellStyle name="Berechnung 3 2 34" xfId="10299" xr:uid="{00000000-0005-0000-0000-00003B280000}"/>
    <cellStyle name="Berechnung 3 2 35" xfId="10300" xr:uid="{00000000-0005-0000-0000-00003C280000}"/>
    <cellStyle name="Berechnung 3 2 36" xfId="10301" xr:uid="{00000000-0005-0000-0000-00003D280000}"/>
    <cellStyle name="Berechnung 3 2 37" xfId="10302" xr:uid="{00000000-0005-0000-0000-00003E280000}"/>
    <cellStyle name="Berechnung 3 2 38" xfId="10303" xr:uid="{00000000-0005-0000-0000-00003F280000}"/>
    <cellStyle name="Berechnung 3 2 39" xfId="10304" xr:uid="{00000000-0005-0000-0000-000040280000}"/>
    <cellStyle name="Berechnung 3 2 4" xfId="10305" xr:uid="{00000000-0005-0000-0000-000041280000}"/>
    <cellStyle name="Berechnung 3 2 40" xfId="10306" xr:uid="{00000000-0005-0000-0000-000042280000}"/>
    <cellStyle name="Berechnung 3 2 41" xfId="10307" xr:uid="{00000000-0005-0000-0000-000043280000}"/>
    <cellStyle name="Berechnung 3 2 42" xfId="10308" xr:uid="{00000000-0005-0000-0000-000044280000}"/>
    <cellStyle name="Berechnung 3 2 43" xfId="10309" xr:uid="{00000000-0005-0000-0000-000045280000}"/>
    <cellStyle name="Berechnung 3 2 44" xfId="10310" xr:uid="{00000000-0005-0000-0000-000046280000}"/>
    <cellStyle name="Berechnung 3 2 45" xfId="10311" xr:uid="{00000000-0005-0000-0000-000047280000}"/>
    <cellStyle name="Berechnung 3 2 46" xfId="10312" xr:uid="{00000000-0005-0000-0000-000048280000}"/>
    <cellStyle name="Berechnung 3 2 47" xfId="10313" xr:uid="{00000000-0005-0000-0000-000049280000}"/>
    <cellStyle name="Berechnung 3 2 48" xfId="10314" xr:uid="{00000000-0005-0000-0000-00004A280000}"/>
    <cellStyle name="Berechnung 3 2 49" xfId="10315" xr:uid="{00000000-0005-0000-0000-00004B280000}"/>
    <cellStyle name="Berechnung 3 2 5" xfId="10316" xr:uid="{00000000-0005-0000-0000-00004C280000}"/>
    <cellStyle name="Berechnung 3 2 50" xfId="10317" xr:uid="{00000000-0005-0000-0000-00004D280000}"/>
    <cellStyle name="Berechnung 3 2 51" xfId="10318" xr:uid="{00000000-0005-0000-0000-00004E280000}"/>
    <cellStyle name="Berechnung 3 2 52" xfId="10319" xr:uid="{00000000-0005-0000-0000-00004F280000}"/>
    <cellStyle name="Berechnung 3 2 53" xfId="10320" xr:uid="{00000000-0005-0000-0000-000050280000}"/>
    <cellStyle name="Berechnung 3 2 54" xfId="10321" xr:uid="{00000000-0005-0000-0000-000051280000}"/>
    <cellStyle name="Berechnung 3 2 55" xfId="10322" xr:uid="{00000000-0005-0000-0000-000052280000}"/>
    <cellStyle name="Berechnung 3 2 56" xfId="10323" xr:uid="{00000000-0005-0000-0000-000053280000}"/>
    <cellStyle name="Berechnung 3 2 57" xfId="10324" xr:uid="{00000000-0005-0000-0000-000054280000}"/>
    <cellStyle name="Berechnung 3 2 58" xfId="10325" xr:uid="{00000000-0005-0000-0000-000055280000}"/>
    <cellStyle name="Berechnung 3 2 59" xfId="10326" xr:uid="{00000000-0005-0000-0000-000056280000}"/>
    <cellStyle name="Berechnung 3 2 6" xfId="10327" xr:uid="{00000000-0005-0000-0000-000057280000}"/>
    <cellStyle name="Berechnung 3 2 60" xfId="10328" xr:uid="{00000000-0005-0000-0000-000058280000}"/>
    <cellStyle name="Berechnung 3 2 61" xfId="10329" xr:uid="{00000000-0005-0000-0000-000059280000}"/>
    <cellStyle name="Berechnung 3 2 62" xfId="10330" xr:uid="{00000000-0005-0000-0000-00005A280000}"/>
    <cellStyle name="Berechnung 3 2 63" xfId="10331" xr:uid="{00000000-0005-0000-0000-00005B280000}"/>
    <cellStyle name="Berechnung 3 2 64" xfId="10332" xr:uid="{00000000-0005-0000-0000-00005C280000}"/>
    <cellStyle name="Berechnung 3 2 65" xfId="10333" xr:uid="{00000000-0005-0000-0000-00005D280000}"/>
    <cellStyle name="Berechnung 3 2 66" xfId="10334" xr:uid="{00000000-0005-0000-0000-00005E280000}"/>
    <cellStyle name="Berechnung 3 2 7" xfId="10335" xr:uid="{00000000-0005-0000-0000-00005F280000}"/>
    <cellStyle name="Berechnung 3 2 8" xfId="10336" xr:uid="{00000000-0005-0000-0000-000060280000}"/>
    <cellStyle name="Berechnung 3 2 9" xfId="10337" xr:uid="{00000000-0005-0000-0000-000061280000}"/>
    <cellStyle name="Berechnung 3 20" xfId="10338" xr:uid="{00000000-0005-0000-0000-000062280000}"/>
    <cellStyle name="Berechnung 3 21" xfId="10339" xr:uid="{00000000-0005-0000-0000-000063280000}"/>
    <cellStyle name="Berechnung 3 22" xfId="10340" xr:uid="{00000000-0005-0000-0000-000064280000}"/>
    <cellStyle name="Berechnung 3 23" xfId="10341" xr:uid="{00000000-0005-0000-0000-000065280000}"/>
    <cellStyle name="Berechnung 3 24" xfId="10342" xr:uid="{00000000-0005-0000-0000-000066280000}"/>
    <cellStyle name="Berechnung 3 25" xfId="10343" xr:uid="{00000000-0005-0000-0000-000067280000}"/>
    <cellStyle name="Berechnung 3 26" xfId="10344" xr:uid="{00000000-0005-0000-0000-000068280000}"/>
    <cellStyle name="Berechnung 3 27" xfId="10345" xr:uid="{00000000-0005-0000-0000-000069280000}"/>
    <cellStyle name="Berechnung 3 28" xfId="10346" xr:uid="{00000000-0005-0000-0000-00006A280000}"/>
    <cellStyle name="Berechnung 3 29" xfId="10347" xr:uid="{00000000-0005-0000-0000-00006B280000}"/>
    <cellStyle name="Berechnung 3 3" xfId="10348" xr:uid="{00000000-0005-0000-0000-00006C280000}"/>
    <cellStyle name="Berechnung 3 3 10" xfId="10349" xr:uid="{00000000-0005-0000-0000-00006D280000}"/>
    <cellStyle name="Berechnung 3 3 11" xfId="10350" xr:uid="{00000000-0005-0000-0000-00006E280000}"/>
    <cellStyle name="Berechnung 3 3 12" xfId="10351" xr:uid="{00000000-0005-0000-0000-00006F280000}"/>
    <cellStyle name="Berechnung 3 3 13" xfId="10352" xr:uid="{00000000-0005-0000-0000-000070280000}"/>
    <cellStyle name="Berechnung 3 3 14" xfId="10353" xr:uid="{00000000-0005-0000-0000-000071280000}"/>
    <cellStyle name="Berechnung 3 3 15" xfId="10354" xr:uid="{00000000-0005-0000-0000-000072280000}"/>
    <cellStyle name="Berechnung 3 3 16" xfId="10355" xr:uid="{00000000-0005-0000-0000-000073280000}"/>
    <cellStyle name="Berechnung 3 3 17" xfId="10356" xr:uid="{00000000-0005-0000-0000-000074280000}"/>
    <cellStyle name="Berechnung 3 3 18" xfId="10357" xr:uid="{00000000-0005-0000-0000-000075280000}"/>
    <cellStyle name="Berechnung 3 3 19" xfId="10358" xr:uid="{00000000-0005-0000-0000-000076280000}"/>
    <cellStyle name="Berechnung 3 3 2" xfId="10359" xr:uid="{00000000-0005-0000-0000-000077280000}"/>
    <cellStyle name="Berechnung 3 3 2 10" xfId="10360" xr:uid="{00000000-0005-0000-0000-000078280000}"/>
    <cellStyle name="Berechnung 3 3 2 11" xfId="10361" xr:uid="{00000000-0005-0000-0000-000079280000}"/>
    <cellStyle name="Berechnung 3 3 2 12" xfId="10362" xr:uid="{00000000-0005-0000-0000-00007A280000}"/>
    <cellStyle name="Berechnung 3 3 2 13" xfId="10363" xr:uid="{00000000-0005-0000-0000-00007B280000}"/>
    <cellStyle name="Berechnung 3 3 2 14" xfId="10364" xr:uid="{00000000-0005-0000-0000-00007C280000}"/>
    <cellStyle name="Berechnung 3 3 2 15" xfId="10365" xr:uid="{00000000-0005-0000-0000-00007D280000}"/>
    <cellStyle name="Berechnung 3 3 2 16" xfId="10366" xr:uid="{00000000-0005-0000-0000-00007E280000}"/>
    <cellStyle name="Berechnung 3 3 2 17" xfId="10367" xr:uid="{00000000-0005-0000-0000-00007F280000}"/>
    <cellStyle name="Berechnung 3 3 2 18" xfId="10368" xr:uid="{00000000-0005-0000-0000-000080280000}"/>
    <cellStyle name="Berechnung 3 3 2 19" xfId="10369" xr:uid="{00000000-0005-0000-0000-000081280000}"/>
    <cellStyle name="Berechnung 3 3 2 2" xfId="10370" xr:uid="{00000000-0005-0000-0000-000082280000}"/>
    <cellStyle name="Berechnung 3 3 2 20" xfId="10371" xr:uid="{00000000-0005-0000-0000-000083280000}"/>
    <cellStyle name="Berechnung 3 3 2 21" xfId="10372" xr:uid="{00000000-0005-0000-0000-000084280000}"/>
    <cellStyle name="Berechnung 3 3 2 22" xfId="10373" xr:uid="{00000000-0005-0000-0000-000085280000}"/>
    <cellStyle name="Berechnung 3 3 2 23" xfId="10374" xr:uid="{00000000-0005-0000-0000-000086280000}"/>
    <cellStyle name="Berechnung 3 3 2 24" xfId="10375" xr:uid="{00000000-0005-0000-0000-000087280000}"/>
    <cellStyle name="Berechnung 3 3 2 25" xfId="10376" xr:uid="{00000000-0005-0000-0000-000088280000}"/>
    <cellStyle name="Berechnung 3 3 2 26" xfId="10377" xr:uid="{00000000-0005-0000-0000-000089280000}"/>
    <cellStyle name="Berechnung 3 3 2 27" xfId="10378" xr:uid="{00000000-0005-0000-0000-00008A280000}"/>
    <cellStyle name="Berechnung 3 3 2 28" xfId="10379" xr:uid="{00000000-0005-0000-0000-00008B280000}"/>
    <cellStyle name="Berechnung 3 3 2 29" xfId="10380" xr:uid="{00000000-0005-0000-0000-00008C280000}"/>
    <cellStyle name="Berechnung 3 3 2 3" xfId="10381" xr:uid="{00000000-0005-0000-0000-00008D280000}"/>
    <cellStyle name="Berechnung 3 3 2 30" xfId="10382" xr:uid="{00000000-0005-0000-0000-00008E280000}"/>
    <cellStyle name="Berechnung 3 3 2 31" xfId="10383" xr:uid="{00000000-0005-0000-0000-00008F280000}"/>
    <cellStyle name="Berechnung 3 3 2 32" xfId="10384" xr:uid="{00000000-0005-0000-0000-000090280000}"/>
    <cellStyle name="Berechnung 3 3 2 33" xfId="10385" xr:uid="{00000000-0005-0000-0000-000091280000}"/>
    <cellStyle name="Berechnung 3 3 2 34" xfId="10386" xr:uid="{00000000-0005-0000-0000-000092280000}"/>
    <cellStyle name="Berechnung 3 3 2 35" xfId="10387" xr:uid="{00000000-0005-0000-0000-000093280000}"/>
    <cellStyle name="Berechnung 3 3 2 36" xfId="10388" xr:uid="{00000000-0005-0000-0000-000094280000}"/>
    <cellStyle name="Berechnung 3 3 2 37" xfId="10389" xr:uid="{00000000-0005-0000-0000-000095280000}"/>
    <cellStyle name="Berechnung 3 3 2 38" xfId="10390" xr:uid="{00000000-0005-0000-0000-000096280000}"/>
    <cellStyle name="Berechnung 3 3 2 39" xfId="10391" xr:uid="{00000000-0005-0000-0000-000097280000}"/>
    <cellStyle name="Berechnung 3 3 2 4" xfId="10392" xr:uid="{00000000-0005-0000-0000-000098280000}"/>
    <cellStyle name="Berechnung 3 3 2 40" xfId="10393" xr:uid="{00000000-0005-0000-0000-000099280000}"/>
    <cellStyle name="Berechnung 3 3 2 41" xfId="10394" xr:uid="{00000000-0005-0000-0000-00009A280000}"/>
    <cellStyle name="Berechnung 3 3 2 42" xfId="10395" xr:uid="{00000000-0005-0000-0000-00009B280000}"/>
    <cellStyle name="Berechnung 3 3 2 43" xfId="10396" xr:uid="{00000000-0005-0000-0000-00009C280000}"/>
    <cellStyle name="Berechnung 3 3 2 44" xfId="10397" xr:uid="{00000000-0005-0000-0000-00009D280000}"/>
    <cellStyle name="Berechnung 3 3 2 45" xfId="10398" xr:uid="{00000000-0005-0000-0000-00009E280000}"/>
    <cellStyle name="Berechnung 3 3 2 46" xfId="10399" xr:uid="{00000000-0005-0000-0000-00009F280000}"/>
    <cellStyle name="Berechnung 3 3 2 47" xfId="10400" xr:uid="{00000000-0005-0000-0000-0000A0280000}"/>
    <cellStyle name="Berechnung 3 3 2 48" xfId="10401" xr:uid="{00000000-0005-0000-0000-0000A1280000}"/>
    <cellStyle name="Berechnung 3 3 2 49" xfId="10402" xr:uid="{00000000-0005-0000-0000-0000A2280000}"/>
    <cellStyle name="Berechnung 3 3 2 5" xfId="10403" xr:uid="{00000000-0005-0000-0000-0000A3280000}"/>
    <cellStyle name="Berechnung 3 3 2 50" xfId="10404" xr:uid="{00000000-0005-0000-0000-0000A4280000}"/>
    <cellStyle name="Berechnung 3 3 2 51" xfId="10405" xr:uid="{00000000-0005-0000-0000-0000A5280000}"/>
    <cellStyle name="Berechnung 3 3 2 52" xfId="10406" xr:uid="{00000000-0005-0000-0000-0000A6280000}"/>
    <cellStyle name="Berechnung 3 3 2 53" xfId="10407" xr:uid="{00000000-0005-0000-0000-0000A7280000}"/>
    <cellStyle name="Berechnung 3 3 2 54" xfId="10408" xr:uid="{00000000-0005-0000-0000-0000A8280000}"/>
    <cellStyle name="Berechnung 3 3 2 55" xfId="10409" xr:uid="{00000000-0005-0000-0000-0000A9280000}"/>
    <cellStyle name="Berechnung 3 3 2 56" xfId="10410" xr:uid="{00000000-0005-0000-0000-0000AA280000}"/>
    <cellStyle name="Berechnung 3 3 2 57" xfId="10411" xr:uid="{00000000-0005-0000-0000-0000AB280000}"/>
    <cellStyle name="Berechnung 3 3 2 58" xfId="10412" xr:uid="{00000000-0005-0000-0000-0000AC280000}"/>
    <cellStyle name="Berechnung 3 3 2 59" xfId="10413" xr:uid="{00000000-0005-0000-0000-0000AD280000}"/>
    <cellStyle name="Berechnung 3 3 2 6" xfId="10414" xr:uid="{00000000-0005-0000-0000-0000AE280000}"/>
    <cellStyle name="Berechnung 3 3 2 60" xfId="10415" xr:uid="{00000000-0005-0000-0000-0000AF280000}"/>
    <cellStyle name="Berechnung 3 3 2 61" xfId="10416" xr:uid="{00000000-0005-0000-0000-0000B0280000}"/>
    <cellStyle name="Berechnung 3 3 2 62" xfId="10417" xr:uid="{00000000-0005-0000-0000-0000B1280000}"/>
    <cellStyle name="Berechnung 3 3 2 63" xfId="10418" xr:uid="{00000000-0005-0000-0000-0000B2280000}"/>
    <cellStyle name="Berechnung 3 3 2 64" xfId="10419" xr:uid="{00000000-0005-0000-0000-0000B3280000}"/>
    <cellStyle name="Berechnung 3 3 2 65" xfId="10420" xr:uid="{00000000-0005-0000-0000-0000B4280000}"/>
    <cellStyle name="Berechnung 3 3 2 7" xfId="10421" xr:uid="{00000000-0005-0000-0000-0000B5280000}"/>
    <cellStyle name="Berechnung 3 3 2 8" xfId="10422" xr:uid="{00000000-0005-0000-0000-0000B6280000}"/>
    <cellStyle name="Berechnung 3 3 2 9" xfId="10423" xr:uid="{00000000-0005-0000-0000-0000B7280000}"/>
    <cellStyle name="Berechnung 3 3 20" xfId="10424" xr:uid="{00000000-0005-0000-0000-0000B8280000}"/>
    <cellStyle name="Berechnung 3 3 21" xfId="10425" xr:uid="{00000000-0005-0000-0000-0000B9280000}"/>
    <cellStyle name="Berechnung 3 3 22" xfId="10426" xr:uid="{00000000-0005-0000-0000-0000BA280000}"/>
    <cellStyle name="Berechnung 3 3 23" xfId="10427" xr:uid="{00000000-0005-0000-0000-0000BB280000}"/>
    <cellStyle name="Berechnung 3 3 24" xfId="10428" xr:uid="{00000000-0005-0000-0000-0000BC280000}"/>
    <cellStyle name="Berechnung 3 3 25" xfId="10429" xr:uid="{00000000-0005-0000-0000-0000BD280000}"/>
    <cellStyle name="Berechnung 3 3 26" xfId="10430" xr:uid="{00000000-0005-0000-0000-0000BE280000}"/>
    <cellStyle name="Berechnung 3 3 27" xfId="10431" xr:uid="{00000000-0005-0000-0000-0000BF280000}"/>
    <cellStyle name="Berechnung 3 3 28" xfId="10432" xr:uid="{00000000-0005-0000-0000-0000C0280000}"/>
    <cellStyle name="Berechnung 3 3 29" xfId="10433" xr:uid="{00000000-0005-0000-0000-0000C1280000}"/>
    <cellStyle name="Berechnung 3 3 3" xfId="10434" xr:uid="{00000000-0005-0000-0000-0000C2280000}"/>
    <cellStyle name="Berechnung 3 3 30" xfId="10435" xr:uid="{00000000-0005-0000-0000-0000C3280000}"/>
    <cellStyle name="Berechnung 3 3 31" xfId="10436" xr:uid="{00000000-0005-0000-0000-0000C4280000}"/>
    <cellStyle name="Berechnung 3 3 32" xfId="10437" xr:uid="{00000000-0005-0000-0000-0000C5280000}"/>
    <cellStyle name="Berechnung 3 3 33" xfId="10438" xr:uid="{00000000-0005-0000-0000-0000C6280000}"/>
    <cellStyle name="Berechnung 3 3 34" xfId="10439" xr:uid="{00000000-0005-0000-0000-0000C7280000}"/>
    <cellStyle name="Berechnung 3 3 35" xfId="10440" xr:uid="{00000000-0005-0000-0000-0000C8280000}"/>
    <cellStyle name="Berechnung 3 3 36" xfId="10441" xr:uid="{00000000-0005-0000-0000-0000C9280000}"/>
    <cellStyle name="Berechnung 3 3 37" xfId="10442" xr:uid="{00000000-0005-0000-0000-0000CA280000}"/>
    <cellStyle name="Berechnung 3 3 38" xfId="10443" xr:uid="{00000000-0005-0000-0000-0000CB280000}"/>
    <cellStyle name="Berechnung 3 3 39" xfId="10444" xr:uid="{00000000-0005-0000-0000-0000CC280000}"/>
    <cellStyle name="Berechnung 3 3 4" xfId="10445" xr:uid="{00000000-0005-0000-0000-0000CD280000}"/>
    <cellStyle name="Berechnung 3 3 40" xfId="10446" xr:uid="{00000000-0005-0000-0000-0000CE280000}"/>
    <cellStyle name="Berechnung 3 3 41" xfId="10447" xr:uid="{00000000-0005-0000-0000-0000CF280000}"/>
    <cellStyle name="Berechnung 3 3 42" xfId="10448" xr:uid="{00000000-0005-0000-0000-0000D0280000}"/>
    <cellStyle name="Berechnung 3 3 43" xfId="10449" xr:uid="{00000000-0005-0000-0000-0000D1280000}"/>
    <cellStyle name="Berechnung 3 3 44" xfId="10450" xr:uid="{00000000-0005-0000-0000-0000D2280000}"/>
    <cellStyle name="Berechnung 3 3 45" xfId="10451" xr:uid="{00000000-0005-0000-0000-0000D3280000}"/>
    <cellStyle name="Berechnung 3 3 46" xfId="10452" xr:uid="{00000000-0005-0000-0000-0000D4280000}"/>
    <cellStyle name="Berechnung 3 3 47" xfId="10453" xr:uid="{00000000-0005-0000-0000-0000D5280000}"/>
    <cellStyle name="Berechnung 3 3 48" xfId="10454" xr:uid="{00000000-0005-0000-0000-0000D6280000}"/>
    <cellStyle name="Berechnung 3 3 49" xfId="10455" xr:uid="{00000000-0005-0000-0000-0000D7280000}"/>
    <cellStyle name="Berechnung 3 3 5" xfId="10456" xr:uid="{00000000-0005-0000-0000-0000D8280000}"/>
    <cellStyle name="Berechnung 3 3 50" xfId="10457" xr:uid="{00000000-0005-0000-0000-0000D9280000}"/>
    <cellStyle name="Berechnung 3 3 51" xfId="10458" xr:uid="{00000000-0005-0000-0000-0000DA280000}"/>
    <cellStyle name="Berechnung 3 3 52" xfId="10459" xr:uid="{00000000-0005-0000-0000-0000DB280000}"/>
    <cellStyle name="Berechnung 3 3 53" xfId="10460" xr:uid="{00000000-0005-0000-0000-0000DC280000}"/>
    <cellStyle name="Berechnung 3 3 54" xfId="10461" xr:uid="{00000000-0005-0000-0000-0000DD280000}"/>
    <cellStyle name="Berechnung 3 3 55" xfId="10462" xr:uid="{00000000-0005-0000-0000-0000DE280000}"/>
    <cellStyle name="Berechnung 3 3 56" xfId="10463" xr:uid="{00000000-0005-0000-0000-0000DF280000}"/>
    <cellStyle name="Berechnung 3 3 57" xfId="10464" xr:uid="{00000000-0005-0000-0000-0000E0280000}"/>
    <cellStyle name="Berechnung 3 3 58" xfId="10465" xr:uid="{00000000-0005-0000-0000-0000E1280000}"/>
    <cellStyle name="Berechnung 3 3 59" xfId="10466" xr:uid="{00000000-0005-0000-0000-0000E2280000}"/>
    <cellStyle name="Berechnung 3 3 6" xfId="10467" xr:uid="{00000000-0005-0000-0000-0000E3280000}"/>
    <cellStyle name="Berechnung 3 3 60" xfId="10468" xr:uid="{00000000-0005-0000-0000-0000E4280000}"/>
    <cellStyle name="Berechnung 3 3 61" xfId="10469" xr:uid="{00000000-0005-0000-0000-0000E5280000}"/>
    <cellStyle name="Berechnung 3 3 62" xfId="10470" xr:uid="{00000000-0005-0000-0000-0000E6280000}"/>
    <cellStyle name="Berechnung 3 3 63" xfId="10471" xr:uid="{00000000-0005-0000-0000-0000E7280000}"/>
    <cellStyle name="Berechnung 3 3 64" xfId="10472" xr:uid="{00000000-0005-0000-0000-0000E8280000}"/>
    <cellStyle name="Berechnung 3 3 65" xfId="10473" xr:uid="{00000000-0005-0000-0000-0000E9280000}"/>
    <cellStyle name="Berechnung 3 3 66" xfId="10474" xr:uid="{00000000-0005-0000-0000-0000EA280000}"/>
    <cellStyle name="Berechnung 3 3 7" xfId="10475" xr:uid="{00000000-0005-0000-0000-0000EB280000}"/>
    <cellStyle name="Berechnung 3 3 8" xfId="10476" xr:uid="{00000000-0005-0000-0000-0000EC280000}"/>
    <cellStyle name="Berechnung 3 3 9" xfId="10477" xr:uid="{00000000-0005-0000-0000-0000ED280000}"/>
    <cellStyle name="Berechnung 3 30" xfId="10478" xr:uid="{00000000-0005-0000-0000-0000EE280000}"/>
    <cellStyle name="Berechnung 3 31" xfId="10479" xr:uid="{00000000-0005-0000-0000-0000EF280000}"/>
    <cellStyle name="Berechnung 3 32" xfId="10480" xr:uid="{00000000-0005-0000-0000-0000F0280000}"/>
    <cellStyle name="Berechnung 3 33" xfId="10481" xr:uid="{00000000-0005-0000-0000-0000F1280000}"/>
    <cellStyle name="Berechnung 3 34" xfId="10482" xr:uid="{00000000-0005-0000-0000-0000F2280000}"/>
    <cellStyle name="Berechnung 3 35" xfId="10483" xr:uid="{00000000-0005-0000-0000-0000F3280000}"/>
    <cellStyle name="Berechnung 3 36" xfId="10484" xr:uid="{00000000-0005-0000-0000-0000F4280000}"/>
    <cellStyle name="Berechnung 3 37" xfId="10485" xr:uid="{00000000-0005-0000-0000-0000F5280000}"/>
    <cellStyle name="Berechnung 3 38" xfId="10486" xr:uid="{00000000-0005-0000-0000-0000F6280000}"/>
    <cellStyle name="Berechnung 3 39" xfId="10487" xr:uid="{00000000-0005-0000-0000-0000F7280000}"/>
    <cellStyle name="Berechnung 3 4" xfId="10488" xr:uid="{00000000-0005-0000-0000-0000F8280000}"/>
    <cellStyle name="Berechnung 3 4 10" xfId="10489" xr:uid="{00000000-0005-0000-0000-0000F9280000}"/>
    <cellStyle name="Berechnung 3 4 11" xfId="10490" xr:uid="{00000000-0005-0000-0000-0000FA280000}"/>
    <cellStyle name="Berechnung 3 4 12" xfId="10491" xr:uid="{00000000-0005-0000-0000-0000FB280000}"/>
    <cellStyle name="Berechnung 3 4 13" xfId="10492" xr:uid="{00000000-0005-0000-0000-0000FC280000}"/>
    <cellStyle name="Berechnung 3 4 14" xfId="10493" xr:uid="{00000000-0005-0000-0000-0000FD280000}"/>
    <cellStyle name="Berechnung 3 4 15" xfId="10494" xr:uid="{00000000-0005-0000-0000-0000FE280000}"/>
    <cellStyle name="Berechnung 3 4 16" xfId="10495" xr:uid="{00000000-0005-0000-0000-0000FF280000}"/>
    <cellStyle name="Berechnung 3 4 17" xfId="10496" xr:uid="{00000000-0005-0000-0000-000000290000}"/>
    <cellStyle name="Berechnung 3 4 18" xfId="10497" xr:uid="{00000000-0005-0000-0000-000001290000}"/>
    <cellStyle name="Berechnung 3 4 19" xfId="10498" xr:uid="{00000000-0005-0000-0000-000002290000}"/>
    <cellStyle name="Berechnung 3 4 2" xfId="10499" xr:uid="{00000000-0005-0000-0000-000003290000}"/>
    <cellStyle name="Berechnung 3 4 2 10" xfId="10500" xr:uid="{00000000-0005-0000-0000-000004290000}"/>
    <cellStyle name="Berechnung 3 4 2 11" xfId="10501" xr:uid="{00000000-0005-0000-0000-000005290000}"/>
    <cellStyle name="Berechnung 3 4 2 12" xfId="10502" xr:uid="{00000000-0005-0000-0000-000006290000}"/>
    <cellStyle name="Berechnung 3 4 2 13" xfId="10503" xr:uid="{00000000-0005-0000-0000-000007290000}"/>
    <cellStyle name="Berechnung 3 4 2 14" xfId="10504" xr:uid="{00000000-0005-0000-0000-000008290000}"/>
    <cellStyle name="Berechnung 3 4 2 15" xfId="10505" xr:uid="{00000000-0005-0000-0000-000009290000}"/>
    <cellStyle name="Berechnung 3 4 2 16" xfId="10506" xr:uid="{00000000-0005-0000-0000-00000A290000}"/>
    <cellStyle name="Berechnung 3 4 2 17" xfId="10507" xr:uid="{00000000-0005-0000-0000-00000B290000}"/>
    <cellStyle name="Berechnung 3 4 2 18" xfId="10508" xr:uid="{00000000-0005-0000-0000-00000C290000}"/>
    <cellStyle name="Berechnung 3 4 2 19" xfId="10509" xr:uid="{00000000-0005-0000-0000-00000D290000}"/>
    <cellStyle name="Berechnung 3 4 2 2" xfId="10510" xr:uid="{00000000-0005-0000-0000-00000E290000}"/>
    <cellStyle name="Berechnung 3 4 2 20" xfId="10511" xr:uid="{00000000-0005-0000-0000-00000F290000}"/>
    <cellStyle name="Berechnung 3 4 2 21" xfId="10512" xr:uid="{00000000-0005-0000-0000-000010290000}"/>
    <cellStyle name="Berechnung 3 4 2 22" xfId="10513" xr:uid="{00000000-0005-0000-0000-000011290000}"/>
    <cellStyle name="Berechnung 3 4 2 23" xfId="10514" xr:uid="{00000000-0005-0000-0000-000012290000}"/>
    <cellStyle name="Berechnung 3 4 2 24" xfId="10515" xr:uid="{00000000-0005-0000-0000-000013290000}"/>
    <cellStyle name="Berechnung 3 4 2 25" xfId="10516" xr:uid="{00000000-0005-0000-0000-000014290000}"/>
    <cellStyle name="Berechnung 3 4 2 26" xfId="10517" xr:uid="{00000000-0005-0000-0000-000015290000}"/>
    <cellStyle name="Berechnung 3 4 2 27" xfId="10518" xr:uid="{00000000-0005-0000-0000-000016290000}"/>
    <cellStyle name="Berechnung 3 4 2 28" xfId="10519" xr:uid="{00000000-0005-0000-0000-000017290000}"/>
    <cellStyle name="Berechnung 3 4 2 29" xfId="10520" xr:uid="{00000000-0005-0000-0000-000018290000}"/>
    <cellStyle name="Berechnung 3 4 2 3" xfId="10521" xr:uid="{00000000-0005-0000-0000-000019290000}"/>
    <cellStyle name="Berechnung 3 4 2 30" xfId="10522" xr:uid="{00000000-0005-0000-0000-00001A290000}"/>
    <cellStyle name="Berechnung 3 4 2 31" xfId="10523" xr:uid="{00000000-0005-0000-0000-00001B290000}"/>
    <cellStyle name="Berechnung 3 4 2 32" xfId="10524" xr:uid="{00000000-0005-0000-0000-00001C290000}"/>
    <cellStyle name="Berechnung 3 4 2 33" xfId="10525" xr:uid="{00000000-0005-0000-0000-00001D290000}"/>
    <cellStyle name="Berechnung 3 4 2 34" xfId="10526" xr:uid="{00000000-0005-0000-0000-00001E290000}"/>
    <cellStyle name="Berechnung 3 4 2 35" xfId="10527" xr:uid="{00000000-0005-0000-0000-00001F290000}"/>
    <cellStyle name="Berechnung 3 4 2 36" xfId="10528" xr:uid="{00000000-0005-0000-0000-000020290000}"/>
    <cellStyle name="Berechnung 3 4 2 37" xfId="10529" xr:uid="{00000000-0005-0000-0000-000021290000}"/>
    <cellStyle name="Berechnung 3 4 2 38" xfId="10530" xr:uid="{00000000-0005-0000-0000-000022290000}"/>
    <cellStyle name="Berechnung 3 4 2 39" xfId="10531" xr:uid="{00000000-0005-0000-0000-000023290000}"/>
    <cellStyle name="Berechnung 3 4 2 4" xfId="10532" xr:uid="{00000000-0005-0000-0000-000024290000}"/>
    <cellStyle name="Berechnung 3 4 2 40" xfId="10533" xr:uid="{00000000-0005-0000-0000-000025290000}"/>
    <cellStyle name="Berechnung 3 4 2 41" xfId="10534" xr:uid="{00000000-0005-0000-0000-000026290000}"/>
    <cellStyle name="Berechnung 3 4 2 42" xfId="10535" xr:uid="{00000000-0005-0000-0000-000027290000}"/>
    <cellStyle name="Berechnung 3 4 2 43" xfId="10536" xr:uid="{00000000-0005-0000-0000-000028290000}"/>
    <cellStyle name="Berechnung 3 4 2 44" xfId="10537" xr:uid="{00000000-0005-0000-0000-000029290000}"/>
    <cellStyle name="Berechnung 3 4 2 45" xfId="10538" xr:uid="{00000000-0005-0000-0000-00002A290000}"/>
    <cellStyle name="Berechnung 3 4 2 46" xfId="10539" xr:uid="{00000000-0005-0000-0000-00002B290000}"/>
    <cellStyle name="Berechnung 3 4 2 47" xfId="10540" xr:uid="{00000000-0005-0000-0000-00002C290000}"/>
    <cellStyle name="Berechnung 3 4 2 48" xfId="10541" xr:uid="{00000000-0005-0000-0000-00002D290000}"/>
    <cellStyle name="Berechnung 3 4 2 49" xfId="10542" xr:uid="{00000000-0005-0000-0000-00002E290000}"/>
    <cellStyle name="Berechnung 3 4 2 5" xfId="10543" xr:uid="{00000000-0005-0000-0000-00002F290000}"/>
    <cellStyle name="Berechnung 3 4 2 50" xfId="10544" xr:uid="{00000000-0005-0000-0000-000030290000}"/>
    <cellStyle name="Berechnung 3 4 2 51" xfId="10545" xr:uid="{00000000-0005-0000-0000-000031290000}"/>
    <cellStyle name="Berechnung 3 4 2 52" xfId="10546" xr:uid="{00000000-0005-0000-0000-000032290000}"/>
    <cellStyle name="Berechnung 3 4 2 53" xfId="10547" xr:uid="{00000000-0005-0000-0000-000033290000}"/>
    <cellStyle name="Berechnung 3 4 2 54" xfId="10548" xr:uid="{00000000-0005-0000-0000-000034290000}"/>
    <cellStyle name="Berechnung 3 4 2 55" xfId="10549" xr:uid="{00000000-0005-0000-0000-000035290000}"/>
    <cellStyle name="Berechnung 3 4 2 56" xfId="10550" xr:uid="{00000000-0005-0000-0000-000036290000}"/>
    <cellStyle name="Berechnung 3 4 2 57" xfId="10551" xr:uid="{00000000-0005-0000-0000-000037290000}"/>
    <cellStyle name="Berechnung 3 4 2 58" xfId="10552" xr:uid="{00000000-0005-0000-0000-000038290000}"/>
    <cellStyle name="Berechnung 3 4 2 59" xfId="10553" xr:uid="{00000000-0005-0000-0000-000039290000}"/>
    <cellStyle name="Berechnung 3 4 2 6" xfId="10554" xr:uid="{00000000-0005-0000-0000-00003A290000}"/>
    <cellStyle name="Berechnung 3 4 2 60" xfId="10555" xr:uid="{00000000-0005-0000-0000-00003B290000}"/>
    <cellStyle name="Berechnung 3 4 2 61" xfId="10556" xr:uid="{00000000-0005-0000-0000-00003C290000}"/>
    <cellStyle name="Berechnung 3 4 2 62" xfId="10557" xr:uid="{00000000-0005-0000-0000-00003D290000}"/>
    <cellStyle name="Berechnung 3 4 2 63" xfId="10558" xr:uid="{00000000-0005-0000-0000-00003E290000}"/>
    <cellStyle name="Berechnung 3 4 2 64" xfId="10559" xr:uid="{00000000-0005-0000-0000-00003F290000}"/>
    <cellStyle name="Berechnung 3 4 2 65" xfId="10560" xr:uid="{00000000-0005-0000-0000-000040290000}"/>
    <cellStyle name="Berechnung 3 4 2 7" xfId="10561" xr:uid="{00000000-0005-0000-0000-000041290000}"/>
    <cellStyle name="Berechnung 3 4 2 8" xfId="10562" xr:uid="{00000000-0005-0000-0000-000042290000}"/>
    <cellStyle name="Berechnung 3 4 2 9" xfId="10563" xr:uid="{00000000-0005-0000-0000-000043290000}"/>
    <cellStyle name="Berechnung 3 4 20" xfId="10564" xr:uid="{00000000-0005-0000-0000-000044290000}"/>
    <cellStyle name="Berechnung 3 4 21" xfId="10565" xr:uid="{00000000-0005-0000-0000-000045290000}"/>
    <cellStyle name="Berechnung 3 4 22" xfId="10566" xr:uid="{00000000-0005-0000-0000-000046290000}"/>
    <cellStyle name="Berechnung 3 4 23" xfId="10567" xr:uid="{00000000-0005-0000-0000-000047290000}"/>
    <cellStyle name="Berechnung 3 4 24" xfId="10568" xr:uid="{00000000-0005-0000-0000-000048290000}"/>
    <cellStyle name="Berechnung 3 4 25" xfId="10569" xr:uid="{00000000-0005-0000-0000-000049290000}"/>
    <cellStyle name="Berechnung 3 4 26" xfId="10570" xr:uid="{00000000-0005-0000-0000-00004A290000}"/>
    <cellStyle name="Berechnung 3 4 27" xfId="10571" xr:uid="{00000000-0005-0000-0000-00004B290000}"/>
    <cellStyle name="Berechnung 3 4 28" xfId="10572" xr:uid="{00000000-0005-0000-0000-00004C290000}"/>
    <cellStyle name="Berechnung 3 4 29" xfId="10573" xr:uid="{00000000-0005-0000-0000-00004D290000}"/>
    <cellStyle name="Berechnung 3 4 3" xfId="10574" xr:uid="{00000000-0005-0000-0000-00004E290000}"/>
    <cellStyle name="Berechnung 3 4 30" xfId="10575" xr:uid="{00000000-0005-0000-0000-00004F290000}"/>
    <cellStyle name="Berechnung 3 4 31" xfId="10576" xr:uid="{00000000-0005-0000-0000-000050290000}"/>
    <cellStyle name="Berechnung 3 4 32" xfId="10577" xr:uid="{00000000-0005-0000-0000-000051290000}"/>
    <cellStyle name="Berechnung 3 4 33" xfId="10578" xr:uid="{00000000-0005-0000-0000-000052290000}"/>
    <cellStyle name="Berechnung 3 4 34" xfId="10579" xr:uid="{00000000-0005-0000-0000-000053290000}"/>
    <cellStyle name="Berechnung 3 4 35" xfId="10580" xr:uid="{00000000-0005-0000-0000-000054290000}"/>
    <cellStyle name="Berechnung 3 4 36" xfId="10581" xr:uid="{00000000-0005-0000-0000-000055290000}"/>
    <cellStyle name="Berechnung 3 4 37" xfId="10582" xr:uid="{00000000-0005-0000-0000-000056290000}"/>
    <cellStyle name="Berechnung 3 4 38" xfId="10583" xr:uid="{00000000-0005-0000-0000-000057290000}"/>
    <cellStyle name="Berechnung 3 4 39" xfId="10584" xr:uid="{00000000-0005-0000-0000-000058290000}"/>
    <cellStyle name="Berechnung 3 4 4" xfId="10585" xr:uid="{00000000-0005-0000-0000-000059290000}"/>
    <cellStyle name="Berechnung 3 4 40" xfId="10586" xr:uid="{00000000-0005-0000-0000-00005A290000}"/>
    <cellStyle name="Berechnung 3 4 41" xfId="10587" xr:uid="{00000000-0005-0000-0000-00005B290000}"/>
    <cellStyle name="Berechnung 3 4 42" xfId="10588" xr:uid="{00000000-0005-0000-0000-00005C290000}"/>
    <cellStyle name="Berechnung 3 4 43" xfId="10589" xr:uid="{00000000-0005-0000-0000-00005D290000}"/>
    <cellStyle name="Berechnung 3 4 44" xfId="10590" xr:uid="{00000000-0005-0000-0000-00005E290000}"/>
    <cellStyle name="Berechnung 3 4 45" xfId="10591" xr:uid="{00000000-0005-0000-0000-00005F290000}"/>
    <cellStyle name="Berechnung 3 4 46" xfId="10592" xr:uid="{00000000-0005-0000-0000-000060290000}"/>
    <cellStyle name="Berechnung 3 4 47" xfId="10593" xr:uid="{00000000-0005-0000-0000-000061290000}"/>
    <cellStyle name="Berechnung 3 4 48" xfId="10594" xr:uid="{00000000-0005-0000-0000-000062290000}"/>
    <cellStyle name="Berechnung 3 4 49" xfId="10595" xr:uid="{00000000-0005-0000-0000-000063290000}"/>
    <cellStyle name="Berechnung 3 4 5" xfId="10596" xr:uid="{00000000-0005-0000-0000-000064290000}"/>
    <cellStyle name="Berechnung 3 4 50" xfId="10597" xr:uid="{00000000-0005-0000-0000-000065290000}"/>
    <cellStyle name="Berechnung 3 4 51" xfId="10598" xr:uid="{00000000-0005-0000-0000-000066290000}"/>
    <cellStyle name="Berechnung 3 4 52" xfId="10599" xr:uid="{00000000-0005-0000-0000-000067290000}"/>
    <cellStyle name="Berechnung 3 4 53" xfId="10600" xr:uid="{00000000-0005-0000-0000-000068290000}"/>
    <cellStyle name="Berechnung 3 4 54" xfId="10601" xr:uid="{00000000-0005-0000-0000-000069290000}"/>
    <cellStyle name="Berechnung 3 4 55" xfId="10602" xr:uid="{00000000-0005-0000-0000-00006A290000}"/>
    <cellStyle name="Berechnung 3 4 56" xfId="10603" xr:uid="{00000000-0005-0000-0000-00006B290000}"/>
    <cellStyle name="Berechnung 3 4 57" xfId="10604" xr:uid="{00000000-0005-0000-0000-00006C290000}"/>
    <cellStyle name="Berechnung 3 4 58" xfId="10605" xr:uid="{00000000-0005-0000-0000-00006D290000}"/>
    <cellStyle name="Berechnung 3 4 59" xfId="10606" xr:uid="{00000000-0005-0000-0000-00006E290000}"/>
    <cellStyle name="Berechnung 3 4 6" xfId="10607" xr:uid="{00000000-0005-0000-0000-00006F290000}"/>
    <cellStyle name="Berechnung 3 4 60" xfId="10608" xr:uid="{00000000-0005-0000-0000-000070290000}"/>
    <cellStyle name="Berechnung 3 4 61" xfId="10609" xr:uid="{00000000-0005-0000-0000-000071290000}"/>
    <cellStyle name="Berechnung 3 4 62" xfId="10610" xr:uid="{00000000-0005-0000-0000-000072290000}"/>
    <cellStyle name="Berechnung 3 4 63" xfId="10611" xr:uid="{00000000-0005-0000-0000-000073290000}"/>
    <cellStyle name="Berechnung 3 4 64" xfId="10612" xr:uid="{00000000-0005-0000-0000-000074290000}"/>
    <cellStyle name="Berechnung 3 4 65" xfId="10613" xr:uid="{00000000-0005-0000-0000-000075290000}"/>
    <cellStyle name="Berechnung 3 4 66" xfId="10614" xr:uid="{00000000-0005-0000-0000-000076290000}"/>
    <cellStyle name="Berechnung 3 4 7" xfId="10615" xr:uid="{00000000-0005-0000-0000-000077290000}"/>
    <cellStyle name="Berechnung 3 4 8" xfId="10616" xr:uid="{00000000-0005-0000-0000-000078290000}"/>
    <cellStyle name="Berechnung 3 4 9" xfId="10617" xr:uid="{00000000-0005-0000-0000-000079290000}"/>
    <cellStyle name="Berechnung 3 40" xfId="10618" xr:uid="{00000000-0005-0000-0000-00007A290000}"/>
    <cellStyle name="Berechnung 3 41" xfId="10619" xr:uid="{00000000-0005-0000-0000-00007B290000}"/>
    <cellStyle name="Berechnung 3 42" xfId="10620" xr:uid="{00000000-0005-0000-0000-00007C290000}"/>
    <cellStyle name="Berechnung 3 43" xfId="10621" xr:uid="{00000000-0005-0000-0000-00007D290000}"/>
    <cellStyle name="Berechnung 3 44" xfId="10622" xr:uid="{00000000-0005-0000-0000-00007E290000}"/>
    <cellStyle name="Berechnung 3 45" xfId="10623" xr:uid="{00000000-0005-0000-0000-00007F290000}"/>
    <cellStyle name="Berechnung 3 46" xfId="10624" xr:uid="{00000000-0005-0000-0000-000080290000}"/>
    <cellStyle name="Berechnung 3 47" xfId="10625" xr:uid="{00000000-0005-0000-0000-000081290000}"/>
    <cellStyle name="Berechnung 3 48" xfId="10626" xr:uid="{00000000-0005-0000-0000-000082290000}"/>
    <cellStyle name="Berechnung 3 49" xfId="10627" xr:uid="{00000000-0005-0000-0000-000083290000}"/>
    <cellStyle name="Berechnung 3 5" xfId="10628" xr:uid="{00000000-0005-0000-0000-000084290000}"/>
    <cellStyle name="Berechnung 3 5 10" xfId="10629" xr:uid="{00000000-0005-0000-0000-000085290000}"/>
    <cellStyle name="Berechnung 3 5 11" xfId="10630" xr:uid="{00000000-0005-0000-0000-000086290000}"/>
    <cellStyle name="Berechnung 3 5 12" xfId="10631" xr:uid="{00000000-0005-0000-0000-000087290000}"/>
    <cellStyle name="Berechnung 3 5 13" xfId="10632" xr:uid="{00000000-0005-0000-0000-000088290000}"/>
    <cellStyle name="Berechnung 3 5 14" xfId="10633" xr:uid="{00000000-0005-0000-0000-000089290000}"/>
    <cellStyle name="Berechnung 3 5 15" xfId="10634" xr:uid="{00000000-0005-0000-0000-00008A290000}"/>
    <cellStyle name="Berechnung 3 5 16" xfId="10635" xr:uid="{00000000-0005-0000-0000-00008B290000}"/>
    <cellStyle name="Berechnung 3 5 17" xfId="10636" xr:uid="{00000000-0005-0000-0000-00008C290000}"/>
    <cellStyle name="Berechnung 3 5 18" xfId="10637" xr:uid="{00000000-0005-0000-0000-00008D290000}"/>
    <cellStyle name="Berechnung 3 5 19" xfId="10638" xr:uid="{00000000-0005-0000-0000-00008E290000}"/>
    <cellStyle name="Berechnung 3 5 2" xfId="10639" xr:uid="{00000000-0005-0000-0000-00008F290000}"/>
    <cellStyle name="Berechnung 3 5 20" xfId="10640" xr:uid="{00000000-0005-0000-0000-000090290000}"/>
    <cellStyle name="Berechnung 3 5 21" xfId="10641" xr:uid="{00000000-0005-0000-0000-000091290000}"/>
    <cellStyle name="Berechnung 3 5 22" xfId="10642" xr:uid="{00000000-0005-0000-0000-000092290000}"/>
    <cellStyle name="Berechnung 3 5 23" xfId="10643" xr:uid="{00000000-0005-0000-0000-000093290000}"/>
    <cellStyle name="Berechnung 3 5 24" xfId="10644" xr:uid="{00000000-0005-0000-0000-000094290000}"/>
    <cellStyle name="Berechnung 3 5 25" xfId="10645" xr:uid="{00000000-0005-0000-0000-000095290000}"/>
    <cellStyle name="Berechnung 3 5 26" xfId="10646" xr:uid="{00000000-0005-0000-0000-000096290000}"/>
    <cellStyle name="Berechnung 3 5 27" xfId="10647" xr:uid="{00000000-0005-0000-0000-000097290000}"/>
    <cellStyle name="Berechnung 3 5 28" xfId="10648" xr:uid="{00000000-0005-0000-0000-000098290000}"/>
    <cellStyle name="Berechnung 3 5 29" xfId="10649" xr:uid="{00000000-0005-0000-0000-000099290000}"/>
    <cellStyle name="Berechnung 3 5 3" xfId="10650" xr:uid="{00000000-0005-0000-0000-00009A290000}"/>
    <cellStyle name="Berechnung 3 5 30" xfId="10651" xr:uid="{00000000-0005-0000-0000-00009B290000}"/>
    <cellStyle name="Berechnung 3 5 31" xfId="10652" xr:uid="{00000000-0005-0000-0000-00009C290000}"/>
    <cellStyle name="Berechnung 3 5 32" xfId="10653" xr:uid="{00000000-0005-0000-0000-00009D290000}"/>
    <cellStyle name="Berechnung 3 5 33" xfId="10654" xr:uid="{00000000-0005-0000-0000-00009E290000}"/>
    <cellStyle name="Berechnung 3 5 34" xfId="10655" xr:uid="{00000000-0005-0000-0000-00009F290000}"/>
    <cellStyle name="Berechnung 3 5 35" xfId="10656" xr:uid="{00000000-0005-0000-0000-0000A0290000}"/>
    <cellStyle name="Berechnung 3 5 36" xfId="10657" xr:uid="{00000000-0005-0000-0000-0000A1290000}"/>
    <cellStyle name="Berechnung 3 5 37" xfId="10658" xr:uid="{00000000-0005-0000-0000-0000A2290000}"/>
    <cellStyle name="Berechnung 3 5 38" xfId="10659" xr:uid="{00000000-0005-0000-0000-0000A3290000}"/>
    <cellStyle name="Berechnung 3 5 39" xfId="10660" xr:uid="{00000000-0005-0000-0000-0000A4290000}"/>
    <cellStyle name="Berechnung 3 5 4" xfId="10661" xr:uid="{00000000-0005-0000-0000-0000A5290000}"/>
    <cellStyle name="Berechnung 3 5 40" xfId="10662" xr:uid="{00000000-0005-0000-0000-0000A6290000}"/>
    <cellStyle name="Berechnung 3 5 41" xfId="10663" xr:uid="{00000000-0005-0000-0000-0000A7290000}"/>
    <cellStyle name="Berechnung 3 5 42" xfId="10664" xr:uid="{00000000-0005-0000-0000-0000A8290000}"/>
    <cellStyle name="Berechnung 3 5 43" xfId="10665" xr:uid="{00000000-0005-0000-0000-0000A9290000}"/>
    <cellStyle name="Berechnung 3 5 44" xfId="10666" xr:uid="{00000000-0005-0000-0000-0000AA290000}"/>
    <cellStyle name="Berechnung 3 5 45" xfId="10667" xr:uid="{00000000-0005-0000-0000-0000AB290000}"/>
    <cellStyle name="Berechnung 3 5 46" xfId="10668" xr:uid="{00000000-0005-0000-0000-0000AC290000}"/>
    <cellStyle name="Berechnung 3 5 47" xfId="10669" xr:uid="{00000000-0005-0000-0000-0000AD290000}"/>
    <cellStyle name="Berechnung 3 5 48" xfId="10670" xr:uid="{00000000-0005-0000-0000-0000AE290000}"/>
    <cellStyle name="Berechnung 3 5 49" xfId="10671" xr:uid="{00000000-0005-0000-0000-0000AF290000}"/>
    <cellStyle name="Berechnung 3 5 5" xfId="10672" xr:uid="{00000000-0005-0000-0000-0000B0290000}"/>
    <cellStyle name="Berechnung 3 5 50" xfId="10673" xr:uid="{00000000-0005-0000-0000-0000B1290000}"/>
    <cellStyle name="Berechnung 3 5 51" xfId="10674" xr:uid="{00000000-0005-0000-0000-0000B2290000}"/>
    <cellStyle name="Berechnung 3 5 52" xfId="10675" xr:uid="{00000000-0005-0000-0000-0000B3290000}"/>
    <cellStyle name="Berechnung 3 5 53" xfId="10676" xr:uid="{00000000-0005-0000-0000-0000B4290000}"/>
    <cellStyle name="Berechnung 3 5 54" xfId="10677" xr:uid="{00000000-0005-0000-0000-0000B5290000}"/>
    <cellStyle name="Berechnung 3 5 55" xfId="10678" xr:uid="{00000000-0005-0000-0000-0000B6290000}"/>
    <cellStyle name="Berechnung 3 5 56" xfId="10679" xr:uid="{00000000-0005-0000-0000-0000B7290000}"/>
    <cellStyle name="Berechnung 3 5 57" xfId="10680" xr:uid="{00000000-0005-0000-0000-0000B8290000}"/>
    <cellStyle name="Berechnung 3 5 58" xfId="10681" xr:uid="{00000000-0005-0000-0000-0000B9290000}"/>
    <cellStyle name="Berechnung 3 5 59" xfId="10682" xr:uid="{00000000-0005-0000-0000-0000BA290000}"/>
    <cellStyle name="Berechnung 3 5 6" xfId="10683" xr:uid="{00000000-0005-0000-0000-0000BB290000}"/>
    <cellStyle name="Berechnung 3 5 60" xfId="10684" xr:uid="{00000000-0005-0000-0000-0000BC290000}"/>
    <cellStyle name="Berechnung 3 5 61" xfId="10685" xr:uid="{00000000-0005-0000-0000-0000BD290000}"/>
    <cellStyle name="Berechnung 3 5 62" xfId="10686" xr:uid="{00000000-0005-0000-0000-0000BE290000}"/>
    <cellStyle name="Berechnung 3 5 63" xfId="10687" xr:uid="{00000000-0005-0000-0000-0000BF290000}"/>
    <cellStyle name="Berechnung 3 5 64" xfId="10688" xr:uid="{00000000-0005-0000-0000-0000C0290000}"/>
    <cellStyle name="Berechnung 3 5 65" xfId="10689" xr:uid="{00000000-0005-0000-0000-0000C1290000}"/>
    <cellStyle name="Berechnung 3 5 7" xfId="10690" xr:uid="{00000000-0005-0000-0000-0000C2290000}"/>
    <cellStyle name="Berechnung 3 5 8" xfId="10691" xr:uid="{00000000-0005-0000-0000-0000C3290000}"/>
    <cellStyle name="Berechnung 3 5 9" xfId="10692" xr:uid="{00000000-0005-0000-0000-0000C4290000}"/>
    <cellStyle name="Berechnung 3 50" xfId="10693" xr:uid="{00000000-0005-0000-0000-0000C5290000}"/>
    <cellStyle name="Berechnung 3 51" xfId="10694" xr:uid="{00000000-0005-0000-0000-0000C6290000}"/>
    <cellStyle name="Berechnung 3 6" xfId="10695" xr:uid="{00000000-0005-0000-0000-0000C7290000}"/>
    <cellStyle name="Berechnung 3 7" xfId="10696" xr:uid="{00000000-0005-0000-0000-0000C8290000}"/>
    <cellStyle name="Berechnung 3 8" xfId="10697" xr:uid="{00000000-0005-0000-0000-0000C9290000}"/>
    <cellStyle name="Berechnung 3 9" xfId="10698" xr:uid="{00000000-0005-0000-0000-0000CA290000}"/>
    <cellStyle name="Berechnung 4" xfId="10699" xr:uid="{00000000-0005-0000-0000-0000CB290000}"/>
    <cellStyle name="Berechnung 4 10" xfId="10700" xr:uid="{00000000-0005-0000-0000-0000CC290000}"/>
    <cellStyle name="Berechnung 4 11" xfId="10701" xr:uid="{00000000-0005-0000-0000-0000CD290000}"/>
    <cellStyle name="Berechnung 4 12" xfId="10702" xr:uid="{00000000-0005-0000-0000-0000CE290000}"/>
    <cellStyle name="Berechnung 4 13" xfId="10703" xr:uid="{00000000-0005-0000-0000-0000CF290000}"/>
    <cellStyle name="Berechnung 4 14" xfId="10704" xr:uid="{00000000-0005-0000-0000-0000D0290000}"/>
    <cellStyle name="Berechnung 4 15" xfId="10705" xr:uid="{00000000-0005-0000-0000-0000D1290000}"/>
    <cellStyle name="Berechnung 4 16" xfId="10706" xr:uid="{00000000-0005-0000-0000-0000D2290000}"/>
    <cellStyle name="Berechnung 4 17" xfId="10707" xr:uid="{00000000-0005-0000-0000-0000D3290000}"/>
    <cellStyle name="Berechnung 4 18" xfId="10708" xr:uid="{00000000-0005-0000-0000-0000D4290000}"/>
    <cellStyle name="Berechnung 4 19" xfId="10709" xr:uid="{00000000-0005-0000-0000-0000D5290000}"/>
    <cellStyle name="Berechnung 4 2" xfId="10710" xr:uid="{00000000-0005-0000-0000-0000D6290000}"/>
    <cellStyle name="Berechnung 4 2 10" xfId="10711" xr:uid="{00000000-0005-0000-0000-0000D7290000}"/>
    <cellStyle name="Berechnung 4 2 11" xfId="10712" xr:uid="{00000000-0005-0000-0000-0000D8290000}"/>
    <cellStyle name="Berechnung 4 2 12" xfId="10713" xr:uid="{00000000-0005-0000-0000-0000D9290000}"/>
    <cellStyle name="Berechnung 4 2 13" xfId="10714" xr:uid="{00000000-0005-0000-0000-0000DA290000}"/>
    <cellStyle name="Berechnung 4 2 14" xfId="10715" xr:uid="{00000000-0005-0000-0000-0000DB290000}"/>
    <cellStyle name="Berechnung 4 2 15" xfId="10716" xr:uid="{00000000-0005-0000-0000-0000DC290000}"/>
    <cellStyle name="Berechnung 4 2 16" xfId="10717" xr:uid="{00000000-0005-0000-0000-0000DD290000}"/>
    <cellStyle name="Berechnung 4 2 17" xfId="10718" xr:uid="{00000000-0005-0000-0000-0000DE290000}"/>
    <cellStyle name="Berechnung 4 2 18" xfId="10719" xr:uid="{00000000-0005-0000-0000-0000DF290000}"/>
    <cellStyle name="Berechnung 4 2 19" xfId="10720" xr:uid="{00000000-0005-0000-0000-0000E0290000}"/>
    <cellStyle name="Berechnung 4 2 2" xfId="10721" xr:uid="{00000000-0005-0000-0000-0000E1290000}"/>
    <cellStyle name="Berechnung 4 2 20" xfId="10722" xr:uid="{00000000-0005-0000-0000-0000E2290000}"/>
    <cellStyle name="Berechnung 4 2 21" xfId="10723" xr:uid="{00000000-0005-0000-0000-0000E3290000}"/>
    <cellStyle name="Berechnung 4 2 22" xfId="10724" xr:uid="{00000000-0005-0000-0000-0000E4290000}"/>
    <cellStyle name="Berechnung 4 2 23" xfId="10725" xr:uid="{00000000-0005-0000-0000-0000E5290000}"/>
    <cellStyle name="Berechnung 4 2 24" xfId="10726" xr:uid="{00000000-0005-0000-0000-0000E6290000}"/>
    <cellStyle name="Berechnung 4 2 25" xfId="10727" xr:uid="{00000000-0005-0000-0000-0000E7290000}"/>
    <cellStyle name="Berechnung 4 2 26" xfId="10728" xr:uid="{00000000-0005-0000-0000-0000E8290000}"/>
    <cellStyle name="Berechnung 4 2 27" xfId="10729" xr:uid="{00000000-0005-0000-0000-0000E9290000}"/>
    <cellStyle name="Berechnung 4 2 28" xfId="10730" xr:uid="{00000000-0005-0000-0000-0000EA290000}"/>
    <cellStyle name="Berechnung 4 2 29" xfId="10731" xr:uid="{00000000-0005-0000-0000-0000EB290000}"/>
    <cellStyle name="Berechnung 4 2 3" xfId="10732" xr:uid="{00000000-0005-0000-0000-0000EC290000}"/>
    <cellStyle name="Berechnung 4 2 30" xfId="10733" xr:uid="{00000000-0005-0000-0000-0000ED290000}"/>
    <cellStyle name="Berechnung 4 2 31" xfId="10734" xr:uid="{00000000-0005-0000-0000-0000EE290000}"/>
    <cellStyle name="Berechnung 4 2 32" xfId="10735" xr:uid="{00000000-0005-0000-0000-0000EF290000}"/>
    <cellStyle name="Berechnung 4 2 33" xfId="10736" xr:uid="{00000000-0005-0000-0000-0000F0290000}"/>
    <cellStyle name="Berechnung 4 2 34" xfId="10737" xr:uid="{00000000-0005-0000-0000-0000F1290000}"/>
    <cellStyle name="Berechnung 4 2 35" xfId="10738" xr:uid="{00000000-0005-0000-0000-0000F2290000}"/>
    <cellStyle name="Berechnung 4 2 36" xfId="10739" xr:uid="{00000000-0005-0000-0000-0000F3290000}"/>
    <cellStyle name="Berechnung 4 2 37" xfId="10740" xr:uid="{00000000-0005-0000-0000-0000F4290000}"/>
    <cellStyle name="Berechnung 4 2 38" xfId="10741" xr:uid="{00000000-0005-0000-0000-0000F5290000}"/>
    <cellStyle name="Berechnung 4 2 39" xfId="10742" xr:uid="{00000000-0005-0000-0000-0000F6290000}"/>
    <cellStyle name="Berechnung 4 2 4" xfId="10743" xr:uid="{00000000-0005-0000-0000-0000F7290000}"/>
    <cellStyle name="Berechnung 4 2 40" xfId="10744" xr:uid="{00000000-0005-0000-0000-0000F8290000}"/>
    <cellStyle name="Berechnung 4 2 41" xfId="10745" xr:uid="{00000000-0005-0000-0000-0000F9290000}"/>
    <cellStyle name="Berechnung 4 2 42" xfId="10746" xr:uid="{00000000-0005-0000-0000-0000FA290000}"/>
    <cellStyle name="Berechnung 4 2 43" xfId="10747" xr:uid="{00000000-0005-0000-0000-0000FB290000}"/>
    <cellStyle name="Berechnung 4 2 44" xfId="10748" xr:uid="{00000000-0005-0000-0000-0000FC290000}"/>
    <cellStyle name="Berechnung 4 2 45" xfId="10749" xr:uid="{00000000-0005-0000-0000-0000FD290000}"/>
    <cellStyle name="Berechnung 4 2 46" xfId="10750" xr:uid="{00000000-0005-0000-0000-0000FE290000}"/>
    <cellStyle name="Berechnung 4 2 47" xfId="10751" xr:uid="{00000000-0005-0000-0000-0000FF290000}"/>
    <cellStyle name="Berechnung 4 2 48" xfId="10752" xr:uid="{00000000-0005-0000-0000-0000002A0000}"/>
    <cellStyle name="Berechnung 4 2 49" xfId="10753" xr:uid="{00000000-0005-0000-0000-0000012A0000}"/>
    <cellStyle name="Berechnung 4 2 5" xfId="10754" xr:uid="{00000000-0005-0000-0000-0000022A0000}"/>
    <cellStyle name="Berechnung 4 2 50" xfId="10755" xr:uid="{00000000-0005-0000-0000-0000032A0000}"/>
    <cellStyle name="Berechnung 4 2 51" xfId="10756" xr:uid="{00000000-0005-0000-0000-0000042A0000}"/>
    <cellStyle name="Berechnung 4 2 52" xfId="10757" xr:uid="{00000000-0005-0000-0000-0000052A0000}"/>
    <cellStyle name="Berechnung 4 2 53" xfId="10758" xr:uid="{00000000-0005-0000-0000-0000062A0000}"/>
    <cellStyle name="Berechnung 4 2 54" xfId="10759" xr:uid="{00000000-0005-0000-0000-0000072A0000}"/>
    <cellStyle name="Berechnung 4 2 55" xfId="10760" xr:uid="{00000000-0005-0000-0000-0000082A0000}"/>
    <cellStyle name="Berechnung 4 2 56" xfId="10761" xr:uid="{00000000-0005-0000-0000-0000092A0000}"/>
    <cellStyle name="Berechnung 4 2 57" xfId="10762" xr:uid="{00000000-0005-0000-0000-00000A2A0000}"/>
    <cellStyle name="Berechnung 4 2 58" xfId="10763" xr:uid="{00000000-0005-0000-0000-00000B2A0000}"/>
    <cellStyle name="Berechnung 4 2 59" xfId="10764" xr:uid="{00000000-0005-0000-0000-00000C2A0000}"/>
    <cellStyle name="Berechnung 4 2 6" xfId="10765" xr:uid="{00000000-0005-0000-0000-00000D2A0000}"/>
    <cellStyle name="Berechnung 4 2 60" xfId="10766" xr:uid="{00000000-0005-0000-0000-00000E2A0000}"/>
    <cellStyle name="Berechnung 4 2 61" xfId="10767" xr:uid="{00000000-0005-0000-0000-00000F2A0000}"/>
    <cellStyle name="Berechnung 4 2 62" xfId="10768" xr:uid="{00000000-0005-0000-0000-0000102A0000}"/>
    <cellStyle name="Berechnung 4 2 63" xfId="10769" xr:uid="{00000000-0005-0000-0000-0000112A0000}"/>
    <cellStyle name="Berechnung 4 2 64" xfId="10770" xr:uid="{00000000-0005-0000-0000-0000122A0000}"/>
    <cellStyle name="Berechnung 4 2 65" xfId="10771" xr:uid="{00000000-0005-0000-0000-0000132A0000}"/>
    <cellStyle name="Berechnung 4 2 7" xfId="10772" xr:uid="{00000000-0005-0000-0000-0000142A0000}"/>
    <cellStyle name="Berechnung 4 2 8" xfId="10773" xr:uid="{00000000-0005-0000-0000-0000152A0000}"/>
    <cellStyle name="Berechnung 4 2 9" xfId="10774" xr:uid="{00000000-0005-0000-0000-0000162A0000}"/>
    <cellStyle name="Berechnung 4 20" xfId="10775" xr:uid="{00000000-0005-0000-0000-0000172A0000}"/>
    <cellStyle name="Berechnung 4 21" xfId="10776" xr:uid="{00000000-0005-0000-0000-0000182A0000}"/>
    <cellStyle name="Berechnung 4 22" xfId="10777" xr:uid="{00000000-0005-0000-0000-0000192A0000}"/>
    <cellStyle name="Berechnung 4 23" xfId="10778" xr:uid="{00000000-0005-0000-0000-00001A2A0000}"/>
    <cellStyle name="Berechnung 4 24" xfId="10779" xr:uid="{00000000-0005-0000-0000-00001B2A0000}"/>
    <cellStyle name="Berechnung 4 25" xfId="10780" xr:uid="{00000000-0005-0000-0000-00001C2A0000}"/>
    <cellStyle name="Berechnung 4 26" xfId="10781" xr:uid="{00000000-0005-0000-0000-00001D2A0000}"/>
    <cellStyle name="Berechnung 4 27" xfId="10782" xr:uid="{00000000-0005-0000-0000-00001E2A0000}"/>
    <cellStyle name="Berechnung 4 28" xfId="10783" xr:uid="{00000000-0005-0000-0000-00001F2A0000}"/>
    <cellStyle name="Berechnung 4 29" xfId="10784" xr:uid="{00000000-0005-0000-0000-0000202A0000}"/>
    <cellStyle name="Berechnung 4 3" xfId="10785" xr:uid="{00000000-0005-0000-0000-0000212A0000}"/>
    <cellStyle name="Berechnung 4 30" xfId="10786" xr:uid="{00000000-0005-0000-0000-0000222A0000}"/>
    <cellStyle name="Berechnung 4 31" xfId="10787" xr:uid="{00000000-0005-0000-0000-0000232A0000}"/>
    <cellStyle name="Berechnung 4 32" xfId="10788" xr:uid="{00000000-0005-0000-0000-0000242A0000}"/>
    <cellStyle name="Berechnung 4 33" xfId="10789" xr:uid="{00000000-0005-0000-0000-0000252A0000}"/>
    <cellStyle name="Berechnung 4 34" xfId="10790" xr:uid="{00000000-0005-0000-0000-0000262A0000}"/>
    <cellStyle name="Berechnung 4 35" xfId="10791" xr:uid="{00000000-0005-0000-0000-0000272A0000}"/>
    <cellStyle name="Berechnung 4 36" xfId="10792" xr:uid="{00000000-0005-0000-0000-0000282A0000}"/>
    <cellStyle name="Berechnung 4 37" xfId="10793" xr:uid="{00000000-0005-0000-0000-0000292A0000}"/>
    <cellStyle name="Berechnung 4 38" xfId="10794" xr:uid="{00000000-0005-0000-0000-00002A2A0000}"/>
    <cellStyle name="Berechnung 4 39" xfId="10795" xr:uid="{00000000-0005-0000-0000-00002B2A0000}"/>
    <cellStyle name="Berechnung 4 4" xfId="10796" xr:uid="{00000000-0005-0000-0000-00002C2A0000}"/>
    <cellStyle name="Berechnung 4 40" xfId="10797" xr:uid="{00000000-0005-0000-0000-00002D2A0000}"/>
    <cellStyle name="Berechnung 4 41" xfId="10798" xr:uid="{00000000-0005-0000-0000-00002E2A0000}"/>
    <cellStyle name="Berechnung 4 42" xfId="10799" xr:uid="{00000000-0005-0000-0000-00002F2A0000}"/>
    <cellStyle name="Berechnung 4 43" xfId="10800" xr:uid="{00000000-0005-0000-0000-0000302A0000}"/>
    <cellStyle name="Berechnung 4 44" xfId="10801" xr:uid="{00000000-0005-0000-0000-0000312A0000}"/>
    <cellStyle name="Berechnung 4 45" xfId="10802" xr:uid="{00000000-0005-0000-0000-0000322A0000}"/>
    <cellStyle name="Berechnung 4 46" xfId="10803" xr:uid="{00000000-0005-0000-0000-0000332A0000}"/>
    <cellStyle name="Berechnung 4 47" xfId="10804" xr:uid="{00000000-0005-0000-0000-0000342A0000}"/>
    <cellStyle name="Berechnung 4 48" xfId="10805" xr:uid="{00000000-0005-0000-0000-0000352A0000}"/>
    <cellStyle name="Berechnung 4 49" xfId="10806" xr:uid="{00000000-0005-0000-0000-0000362A0000}"/>
    <cellStyle name="Berechnung 4 5" xfId="10807" xr:uid="{00000000-0005-0000-0000-0000372A0000}"/>
    <cellStyle name="Berechnung 4 50" xfId="10808" xr:uid="{00000000-0005-0000-0000-0000382A0000}"/>
    <cellStyle name="Berechnung 4 51" xfId="10809" xr:uid="{00000000-0005-0000-0000-0000392A0000}"/>
    <cellStyle name="Berechnung 4 52" xfId="10810" xr:uid="{00000000-0005-0000-0000-00003A2A0000}"/>
    <cellStyle name="Berechnung 4 53" xfId="10811" xr:uid="{00000000-0005-0000-0000-00003B2A0000}"/>
    <cellStyle name="Berechnung 4 54" xfId="10812" xr:uid="{00000000-0005-0000-0000-00003C2A0000}"/>
    <cellStyle name="Berechnung 4 55" xfId="10813" xr:uid="{00000000-0005-0000-0000-00003D2A0000}"/>
    <cellStyle name="Berechnung 4 56" xfId="10814" xr:uid="{00000000-0005-0000-0000-00003E2A0000}"/>
    <cellStyle name="Berechnung 4 57" xfId="10815" xr:uid="{00000000-0005-0000-0000-00003F2A0000}"/>
    <cellStyle name="Berechnung 4 58" xfId="10816" xr:uid="{00000000-0005-0000-0000-0000402A0000}"/>
    <cellStyle name="Berechnung 4 59" xfId="10817" xr:uid="{00000000-0005-0000-0000-0000412A0000}"/>
    <cellStyle name="Berechnung 4 6" xfId="10818" xr:uid="{00000000-0005-0000-0000-0000422A0000}"/>
    <cellStyle name="Berechnung 4 60" xfId="10819" xr:uid="{00000000-0005-0000-0000-0000432A0000}"/>
    <cellStyle name="Berechnung 4 61" xfId="10820" xr:uid="{00000000-0005-0000-0000-0000442A0000}"/>
    <cellStyle name="Berechnung 4 62" xfId="10821" xr:uid="{00000000-0005-0000-0000-0000452A0000}"/>
    <cellStyle name="Berechnung 4 63" xfId="10822" xr:uid="{00000000-0005-0000-0000-0000462A0000}"/>
    <cellStyle name="Berechnung 4 64" xfId="10823" xr:uid="{00000000-0005-0000-0000-0000472A0000}"/>
    <cellStyle name="Berechnung 4 65" xfId="10824" xr:uid="{00000000-0005-0000-0000-0000482A0000}"/>
    <cellStyle name="Berechnung 4 66" xfId="10825" xr:uid="{00000000-0005-0000-0000-0000492A0000}"/>
    <cellStyle name="Berechnung 4 7" xfId="10826" xr:uid="{00000000-0005-0000-0000-00004A2A0000}"/>
    <cellStyle name="Berechnung 4 8" xfId="10827" xr:uid="{00000000-0005-0000-0000-00004B2A0000}"/>
    <cellStyle name="Berechnung 4 9" xfId="10828" xr:uid="{00000000-0005-0000-0000-00004C2A0000}"/>
    <cellStyle name="Berechnung 5" xfId="10829" xr:uid="{00000000-0005-0000-0000-00004D2A0000}"/>
    <cellStyle name="Berechnung 5 10" xfId="10830" xr:uid="{00000000-0005-0000-0000-00004E2A0000}"/>
    <cellStyle name="Berechnung 5 11" xfId="10831" xr:uid="{00000000-0005-0000-0000-00004F2A0000}"/>
    <cellStyle name="Berechnung 5 12" xfId="10832" xr:uid="{00000000-0005-0000-0000-0000502A0000}"/>
    <cellStyle name="Berechnung 5 13" xfId="10833" xr:uid="{00000000-0005-0000-0000-0000512A0000}"/>
    <cellStyle name="Berechnung 5 14" xfId="10834" xr:uid="{00000000-0005-0000-0000-0000522A0000}"/>
    <cellStyle name="Berechnung 5 15" xfId="10835" xr:uid="{00000000-0005-0000-0000-0000532A0000}"/>
    <cellStyle name="Berechnung 5 16" xfId="10836" xr:uid="{00000000-0005-0000-0000-0000542A0000}"/>
    <cellStyle name="Berechnung 5 17" xfId="10837" xr:uid="{00000000-0005-0000-0000-0000552A0000}"/>
    <cellStyle name="Berechnung 5 18" xfId="10838" xr:uid="{00000000-0005-0000-0000-0000562A0000}"/>
    <cellStyle name="Berechnung 5 19" xfId="10839" xr:uid="{00000000-0005-0000-0000-0000572A0000}"/>
    <cellStyle name="Berechnung 5 2" xfId="10840" xr:uid="{00000000-0005-0000-0000-0000582A0000}"/>
    <cellStyle name="Berechnung 5 2 10" xfId="10841" xr:uid="{00000000-0005-0000-0000-0000592A0000}"/>
    <cellStyle name="Berechnung 5 2 11" xfId="10842" xr:uid="{00000000-0005-0000-0000-00005A2A0000}"/>
    <cellStyle name="Berechnung 5 2 12" xfId="10843" xr:uid="{00000000-0005-0000-0000-00005B2A0000}"/>
    <cellStyle name="Berechnung 5 2 13" xfId="10844" xr:uid="{00000000-0005-0000-0000-00005C2A0000}"/>
    <cellStyle name="Berechnung 5 2 14" xfId="10845" xr:uid="{00000000-0005-0000-0000-00005D2A0000}"/>
    <cellStyle name="Berechnung 5 2 15" xfId="10846" xr:uid="{00000000-0005-0000-0000-00005E2A0000}"/>
    <cellStyle name="Berechnung 5 2 16" xfId="10847" xr:uid="{00000000-0005-0000-0000-00005F2A0000}"/>
    <cellStyle name="Berechnung 5 2 17" xfId="10848" xr:uid="{00000000-0005-0000-0000-0000602A0000}"/>
    <cellStyle name="Berechnung 5 2 18" xfId="10849" xr:uid="{00000000-0005-0000-0000-0000612A0000}"/>
    <cellStyle name="Berechnung 5 2 19" xfId="10850" xr:uid="{00000000-0005-0000-0000-0000622A0000}"/>
    <cellStyle name="Berechnung 5 2 2" xfId="10851" xr:uid="{00000000-0005-0000-0000-0000632A0000}"/>
    <cellStyle name="Berechnung 5 2 20" xfId="10852" xr:uid="{00000000-0005-0000-0000-0000642A0000}"/>
    <cellStyle name="Berechnung 5 2 21" xfId="10853" xr:uid="{00000000-0005-0000-0000-0000652A0000}"/>
    <cellStyle name="Berechnung 5 2 22" xfId="10854" xr:uid="{00000000-0005-0000-0000-0000662A0000}"/>
    <cellStyle name="Berechnung 5 2 23" xfId="10855" xr:uid="{00000000-0005-0000-0000-0000672A0000}"/>
    <cellStyle name="Berechnung 5 2 24" xfId="10856" xr:uid="{00000000-0005-0000-0000-0000682A0000}"/>
    <cellStyle name="Berechnung 5 2 25" xfId="10857" xr:uid="{00000000-0005-0000-0000-0000692A0000}"/>
    <cellStyle name="Berechnung 5 2 26" xfId="10858" xr:uid="{00000000-0005-0000-0000-00006A2A0000}"/>
    <cellStyle name="Berechnung 5 2 27" xfId="10859" xr:uid="{00000000-0005-0000-0000-00006B2A0000}"/>
    <cellStyle name="Berechnung 5 2 28" xfId="10860" xr:uid="{00000000-0005-0000-0000-00006C2A0000}"/>
    <cellStyle name="Berechnung 5 2 29" xfId="10861" xr:uid="{00000000-0005-0000-0000-00006D2A0000}"/>
    <cellStyle name="Berechnung 5 2 3" xfId="10862" xr:uid="{00000000-0005-0000-0000-00006E2A0000}"/>
    <cellStyle name="Berechnung 5 2 30" xfId="10863" xr:uid="{00000000-0005-0000-0000-00006F2A0000}"/>
    <cellStyle name="Berechnung 5 2 31" xfId="10864" xr:uid="{00000000-0005-0000-0000-0000702A0000}"/>
    <cellStyle name="Berechnung 5 2 32" xfId="10865" xr:uid="{00000000-0005-0000-0000-0000712A0000}"/>
    <cellStyle name="Berechnung 5 2 33" xfId="10866" xr:uid="{00000000-0005-0000-0000-0000722A0000}"/>
    <cellStyle name="Berechnung 5 2 34" xfId="10867" xr:uid="{00000000-0005-0000-0000-0000732A0000}"/>
    <cellStyle name="Berechnung 5 2 35" xfId="10868" xr:uid="{00000000-0005-0000-0000-0000742A0000}"/>
    <cellStyle name="Berechnung 5 2 36" xfId="10869" xr:uid="{00000000-0005-0000-0000-0000752A0000}"/>
    <cellStyle name="Berechnung 5 2 37" xfId="10870" xr:uid="{00000000-0005-0000-0000-0000762A0000}"/>
    <cellStyle name="Berechnung 5 2 38" xfId="10871" xr:uid="{00000000-0005-0000-0000-0000772A0000}"/>
    <cellStyle name="Berechnung 5 2 39" xfId="10872" xr:uid="{00000000-0005-0000-0000-0000782A0000}"/>
    <cellStyle name="Berechnung 5 2 4" xfId="10873" xr:uid="{00000000-0005-0000-0000-0000792A0000}"/>
    <cellStyle name="Berechnung 5 2 40" xfId="10874" xr:uid="{00000000-0005-0000-0000-00007A2A0000}"/>
    <cellStyle name="Berechnung 5 2 41" xfId="10875" xr:uid="{00000000-0005-0000-0000-00007B2A0000}"/>
    <cellStyle name="Berechnung 5 2 42" xfId="10876" xr:uid="{00000000-0005-0000-0000-00007C2A0000}"/>
    <cellStyle name="Berechnung 5 2 43" xfId="10877" xr:uid="{00000000-0005-0000-0000-00007D2A0000}"/>
    <cellStyle name="Berechnung 5 2 44" xfId="10878" xr:uid="{00000000-0005-0000-0000-00007E2A0000}"/>
    <cellStyle name="Berechnung 5 2 45" xfId="10879" xr:uid="{00000000-0005-0000-0000-00007F2A0000}"/>
    <cellStyle name="Berechnung 5 2 46" xfId="10880" xr:uid="{00000000-0005-0000-0000-0000802A0000}"/>
    <cellStyle name="Berechnung 5 2 47" xfId="10881" xr:uid="{00000000-0005-0000-0000-0000812A0000}"/>
    <cellStyle name="Berechnung 5 2 48" xfId="10882" xr:uid="{00000000-0005-0000-0000-0000822A0000}"/>
    <cellStyle name="Berechnung 5 2 49" xfId="10883" xr:uid="{00000000-0005-0000-0000-0000832A0000}"/>
    <cellStyle name="Berechnung 5 2 5" xfId="10884" xr:uid="{00000000-0005-0000-0000-0000842A0000}"/>
    <cellStyle name="Berechnung 5 2 50" xfId="10885" xr:uid="{00000000-0005-0000-0000-0000852A0000}"/>
    <cellStyle name="Berechnung 5 2 51" xfId="10886" xr:uid="{00000000-0005-0000-0000-0000862A0000}"/>
    <cellStyle name="Berechnung 5 2 52" xfId="10887" xr:uid="{00000000-0005-0000-0000-0000872A0000}"/>
    <cellStyle name="Berechnung 5 2 53" xfId="10888" xr:uid="{00000000-0005-0000-0000-0000882A0000}"/>
    <cellStyle name="Berechnung 5 2 54" xfId="10889" xr:uid="{00000000-0005-0000-0000-0000892A0000}"/>
    <cellStyle name="Berechnung 5 2 55" xfId="10890" xr:uid="{00000000-0005-0000-0000-00008A2A0000}"/>
    <cellStyle name="Berechnung 5 2 56" xfId="10891" xr:uid="{00000000-0005-0000-0000-00008B2A0000}"/>
    <cellStyle name="Berechnung 5 2 57" xfId="10892" xr:uid="{00000000-0005-0000-0000-00008C2A0000}"/>
    <cellStyle name="Berechnung 5 2 58" xfId="10893" xr:uid="{00000000-0005-0000-0000-00008D2A0000}"/>
    <cellStyle name="Berechnung 5 2 59" xfId="10894" xr:uid="{00000000-0005-0000-0000-00008E2A0000}"/>
    <cellStyle name="Berechnung 5 2 6" xfId="10895" xr:uid="{00000000-0005-0000-0000-00008F2A0000}"/>
    <cellStyle name="Berechnung 5 2 60" xfId="10896" xr:uid="{00000000-0005-0000-0000-0000902A0000}"/>
    <cellStyle name="Berechnung 5 2 61" xfId="10897" xr:uid="{00000000-0005-0000-0000-0000912A0000}"/>
    <cellStyle name="Berechnung 5 2 62" xfId="10898" xr:uid="{00000000-0005-0000-0000-0000922A0000}"/>
    <cellStyle name="Berechnung 5 2 63" xfId="10899" xr:uid="{00000000-0005-0000-0000-0000932A0000}"/>
    <cellStyle name="Berechnung 5 2 64" xfId="10900" xr:uid="{00000000-0005-0000-0000-0000942A0000}"/>
    <cellStyle name="Berechnung 5 2 65" xfId="10901" xr:uid="{00000000-0005-0000-0000-0000952A0000}"/>
    <cellStyle name="Berechnung 5 2 7" xfId="10902" xr:uid="{00000000-0005-0000-0000-0000962A0000}"/>
    <cellStyle name="Berechnung 5 2 8" xfId="10903" xr:uid="{00000000-0005-0000-0000-0000972A0000}"/>
    <cellStyle name="Berechnung 5 2 9" xfId="10904" xr:uid="{00000000-0005-0000-0000-0000982A0000}"/>
    <cellStyle name="Berechnung 5 20" xfId="10905" xr:uid="{00000000-0005-0000-0000-0000992A0000}"/>
    <cellStyle name="Berechnung 5 21" xfId="10906" xr:uid="{00000000-0005-0000-0000-00009A2A0000}"/>
    <cellStyle name="Berechnung 5 22" xfId="10907" xr:uid="{00000000-0005-0000-0000-00009B2A0000}"/>
    <cellStyle name="Berechnung 5 23" xfId="10908" xr:uid="{00000000-0005-0000-0000-00009C2A0000}"/>
    <cellStyle name="Berechnung 5 24" xfId="10909" xr:uid="{00000000-0005-0000-0000-00009D2A0000}"/>
    <cellStyle name="Berechnung 5 25" xfId="10910" xr:uid="{00000000-0005-0000-0000-00009E2A0000}"/>
    <cellStyle name="Berechnung 5 26" xfId="10911" xr:uid="{00000000-0005-0000-0000-00009F2A0000}"/>
    <cellStyle name="Berechnung 5 27" xfId="10912" xr:uid="{00000000-0005-0000-0000-0000A02A0000}"/>
    <cellStyle name="Berechnung 5 28" xfId="10913" xr:uid="{00000000-0005-0000-0000-0000A12A0000}"/>
    <cellStyle name="Berechnung 5 29" xfId="10914" xr:uid="{00000000-0005-0000-0000-0000A22A0000}"/>
    <cellStyle name="Berechnung 5 3" xfId="10915" xr:uid="{00000000-0005-0000-0000-0000A32A0000}"/>
    <cellStyle name="Berechnung 5 30" xfId="10916" xr:uid="{00000000-0005-0000-0000-0000A42A0000}"/>
    <cellStyle name="Berechnung 5 31" xfId="10917" xr:uid="{00000000-0005-0000-0000-0000A52A0000}"/>
    <cellStyle name="Berechnung 5 32" xfId="10918" xr:uid="{00000000-0005-0000-0000-0000A62A0000}"/>
    <cellStyle name="Berechnung 5 33" xfId="10919" xr:uid="{00000000-0005-0000-0000-0000A72A0000}"/>
    <cellStyle name="Berechnung 5 34" xfId="10920" xr:uid="{00000000-0005-0000-0000-0000A82A0000}"/>
    <cellStyle name="Berechnung 5 35" xfId="10921" xr:uid="{00000000-0005-0000-0000-0000A92A0000}"/>
    <cellStyle name="Berechnung 5 36" xfId="10922" xr:uid="{00000000-0005-0000-0000-0000AA2A0000}"/>
    <cellStyle name="Berechnung 5 37" xfId="10923" xr:uid="{00000000-0005-0000-0000-0000AB2A0000}"/>
    <cellStyle name="Berechnung 5 38" xfId="10924" xr:uid="{00000000-0005-0000-0000-0000AC2A0000}"/>
    <cellStyle name="Berechnung 5 39" xfId="10925" xr:uid="{00000000-0005-0000-0000-0000AD2A0000}"/>
    <cellStyle name="Berechnung 5 4" xfId="10926" xr:uid="{00000000-0005-0000-0000-0000AE2A0000}"/>
    <cellStyle name="Berechnung 5 40" xfId="10927" xr:uid="{00000000-0005-0000-0000-0000AF2A0000}"/>
    <cellStyle name="Berechnung 5 41" xfId="10928" xr:uid="{00000000-0005-0000-0000-0000B02A0000}"/>
    <cellStyle name="Berechnung 5 42" xfId="10929" xr:uid="{00000000-0005-0000-0000-0000B12A0000}"/>
    <cellStyle name="Berechnung 5 43" xfId="10930" xr:uid="{00000000-0005-0000-0000-0000B22A0000}"/>
    <cellStyle name="Berechnung 5 44" xfId="10931" xr:uid="{00000000-0005-0000-0000-0000B32A0000}"/>
    <cellStyle name="Berechnung 5 45" xfId="10932" xr:uid="{00000000-0005-0000-0000-0000B42A0000}"/>
    <cellStyle name="Berechnung 5 46" xfId="10933" xr:uid="{00000000-0005-0000-0000-0000B52A0000}"/>
    <cellStyle name="Berechnung 5 47" xfId="10934" xr:uid="{00000000-0005-0000-0000-0000B62A0000}"/>
    <cellStyle name="Berechnung 5 48" xfId="10935" xr:uid="{00000000-0005-0000-0000-0000B72A0000}"/>
    <cellStyle name="Berechnung 5 49" xfId="10936" xr:uid="{00000000-0005-0000-0000-0000B82A0000}"/>
    <cellStyle name="Berechnung 5 5" xfId="10937" xr:uid="{00000000-0005-0000-0000-0000B92A0000}"/>
    <cellStyle name="Berechnung 5 50" xfId="10938" xr:uid="{00000000-0005-0000-0000-0000BA2A0000}"/>
    <cellStyle name="Berechnung 5 51" xfId="10939" xr:uid="{00000000-0005-0000-0000-0000BB2A0000}"/>
    <cellStyle name="Berechnung 5 52" xfId="10940" xr:uid="{00000000-0005-0000-0000-0000BC2A0000}"/>
    <cellStyle name="Berechnung 5 53" xfId="10941" xr:uid="{00000000-0005-0000-0000-0000BD2A0000}"/>
    <cellStyle name="Berechnung 5 54" xfId="10942" xr:uid="{00000000-0005-0000-0000-0000BE2A0000}"/>
    <cellStyle name="Berechnung 5 55" xfId="10943" xr:uid="{00000000-0005-0000-0000-0000BF2A0000}"/>
    <cellStyle name="Berechnung 5 56" xfId="10944" xr:uid="{00000000-0005-0000-0000-0000C02A0000}"/>
    <cellStyle name="Berechnung 5 57" xfId="10945" xr:uid="{00000000-0005-0000-0000-0000C12A0000}"/>
    <cellStyle name="Berechnung 5 58" xfId="10946" xr:uid="{00000000-0005-0000-0000-0000C22A0000}"/>
    <cellStyle name="Berechnung 5 59" xfId="10947" xr:uid="{00000000-0005-0000-0000-0000C32A0000}"/>
    <cellStyle name="Berechnung 5 6" xfId="10948" xr:uid="{00000000-0005-0000-0000-0000C42A0000}"/>
    <cellStyle name="Berechnung 5 60" xfId="10949" xr:uid="{00000000-0005-0000-0000-0000C52A0000}"/>
    <cellStyle name="Berechnung 5 61" xfId="10950" xr:uid="{00000000-0005-0000-0000-0000C62A0000}"/>
    <cellStyle name="Berechnung 5 62" xfId="10951" xr:uid="{00000000-0005-0000-0000-0000C72A0000}"/>
    <cellStyle name="Berechnung 5 63" xfId="10952" xr:uid="{00000000-0005-0000-0000-0000C82A0000}"/>
    <cellStyle name="Berechnung 5 64" xfId="10953" xr:uid="{00000000-0005-0000-0000-0000C92A0000}"/>
    <cellStyle name="Berechnung 5 65" xfId="10954" xr:uid="{00000000-0005-0000-0000-0000CA2A0000}"/>
    <cellStyle name="Berechnung 5 66" xfId="10955" xr:uid="{00000000-0005-0000-0000-0000CB2A0000}"/>
    <cellStyle name="Berechnung 5 7" xfId="10956" xr:uid="{00000000-0005-0000-0000-0000CC2A0000}"/>
    <cellStyle name="Berechnung 5 8" xfId="10957" xr:uid="{00000000-0005-0000-0000-0000CD2A0000}"/>
    <cellStyle name="Berechnung 5 9" xfId="10958" xr:uid="{00000000-0005-0000-0000-0000CE2A0000}"/>
    <cellStyle name="Berechnung 6" xfId="10959" xr:uid="{00000000-0005-0000-0000-0000CF2A0000}"/>
    <cellStyle name="Berechnung 6 10" xfId="10960" xr:uid="{00000000-0005-0000-0000-0000D02A0000}"/>
    <cellStyle name="Berechnung 6 11" xfId="10961" xr:uid="{00000000-0005-0000-0000-0000D12A0000}"/>
    <cellStyle name="Berechnung 6 12" xfId="10962" xr:uid="{00000000-0005-0000-0000-0000D22A0000}"/>
    <cellStyle name="Berechnung 6 13" xfId="10963" xr:uid="{00000000-0005-0000-0000-0000D32A0000}"/>
    <cellStyle name="Berechnung 6 14" xfId="10964" xr:uid="{00000000-0005-0000-0000-0000D42A0000}"/>
    <cellStyle name="Berechnung 6 15" xfId="10965" xr:uid="{00000000-0005-0000-0000-0000D52A0000}"/>
    <cellStyle name="Berechnung 6 16" xfId="10966" xr:uid="{00000000-0005-0000-0000-0000D62A0000}"/>
    <cellStyle name="Berechnung 6 17" xfId="10967" xr:uid="{00000000-0005-0000-0000-0000D72A0000}"/>
    <cellStyle name="Berechnung 6 18" xfId="10968" xr:uid="{00000000-0005-0000-0000-0000D82A0000}"/>
    <cellStyle name="Berechnung 6 19" xfId="10969" xr:uid="{00000000-0005-0000-0000-0000D92A0000}"/>
    <cellStyle name="Berechnung 6 2" xfId="10970" xr:uid="{00000000-0005-0000-0000-0000DA2A0000}"/>
    <cellStyle name="Berechnung 6 2 10" xfId="10971" xr:uid="{00000000-0005-0000-0000-0000DB2A0000}"/>
    <cellStyle name="Berechnung 6 2 11" xfId="10972" xr:uid="{00000000-0005-0000-0000-0000DC2A0000}"/>
    <cellStyle name="Berechnung 6 2 12" xfId="10973" xr:uid="{00000000-0005-0000-0000-0000DD2A0000}"/>
    <cellStyle name="Berechnung 6 2 13" xfId="10974" xr:uid="{00000000-0005-0000-0000-0000DE2A0000}"/>
    <cellStyle name="Berechnung 6 2 14" xfId="10975" xr:uid="{00000000-0005-0000-0000-0000DF2A0000}"/>
    <cellStyle name="Berechnung 6 2 15" xfId="10976" xr:uid="{00000000-0005-0000-0000-0000E02A0000}"/>
    <cellStyle name="Berechnung 6 2 16" xfId="10977" xr:uid="{00000000-0005-0000-0000-0000E12A0000}"/>
    <cellStyle name="Berechnung 6 2 17" xfId="10978" xr:uid="{00000000-0005-0000-0000-0000E22A0000}"/>
    <cellStyle name="Berechnung 6 2 18" xfId="10979" xr:uid="{00000000-0005-0000-0000-0000E32A0000}"/>
    <cellStyle name="Berechnung 6 2 19" xfId="10980" xr:uid="{00000000-0005-0000-0000-0000E42A0000}"/>
    <cellStyle name="Berechnung 6 2 2" xfId="10981" xr:uid="{00000000-0005-0000-0000-0000E52A0000}"/>
    <cellStyle name="Berechnung 6 2 20" xfId="10982" xr:uid="{00000000-0005-0000-0000-0000E62A0000}"/>
    <cellStyle name="Berechnung 6 2 21" xfId="10983" xr:uid="{00000000-0005-0000-0000-0000E72A0000}"/>
    <cellStyle name="Berechnung 6 2 22" xfId="10984" xr:uid="{00000000-0005-0000-0000-0000E82A0000}"/>
    <cellStyle name="Berechnung 6 2 23" xfId="10985" xr:uid="{00000000-0005-0000-0000-0000E92A0000}"/>
    <cellStyle name="Berechnung 6 2 24" xfId="10986" xr:uid="{00000000-0005-0000-0000-0000EA2A0000}"/>
    <cellStyle name="Berechnung 6 2 25" xfId="10987" xr:uid="{00000000-0005-0000-0000-0000EB2A0000}"/>
    <cellStyle name="Berechnung 6 2 26" xfId="10988" xr:uid="{00000000-0005-0000-0000-0000EC2A0000}"/>
    <cellStyle name="Berechnung 6 2 27" xfId="10989" xr:uid="{00000000-0005-0000-0000-0000ED2A0000}"/>
    <cellStyle name="Berechnung 6 2 28" xfId="10990" xr:uid="{00000000-0005-0000-0000-0000EE2A0000}"/>
    <cellStyle name="Berechnung 6 2 29" xfId="10991" xr:uid="{00000000-0005-0000-0000-0000EF2A0000}"/>
    <cellStyle name="Berechnung 6 2 3" xfId="10992" xr:uid="{00000000-0005-0000-0000-0000F02A0000}"/>
    <cellStyle name="Berechnung 6 2 30" xfId="10993" xr:uid="{00000000-0005-0000-0000-0000F12A0000}"/>
    <cellStyle name="Berechnung 6 2 31" xfId="10994" xr:uid="{00000000-0005-0000-0000-0000F22A0000}"/>
    <cellStyle name="Berechnung 6 2 32" xfId="10995" xr:uid="{00000000-0005-0000-0000-0000F32A0000}"/>
    <cellStyle name="Berechnung 6 2 33" xfId="10996" xr:uid="{00000000-0005-0000-0000-0000F42A0000}"/>
    <cellStyle name="Berechnung 6 2 34" xfId="10997" xr:uid="{00000000-0005-0000-0000-0000F52A0000}"/>
    <cellStyle name="Berechnung 6 2 35" xfId="10998" xr:uid="{00000000-0005-0000-0000-0000F62A0000}"/>
    <cellStyle name="Berechnung 6 2 36" xfId="10999" xr:uid="{00000000-0005-0000-0000-0000F72A0000}"/>
    <cellStyle name="Berechnung 6 2 37" xfId="11000" xr:uid="{00000000-0005-0000-0000-0000F82A0000}"/>
    <cellStyle name="Berechnung 6 2 38" xfId="11001" xr:uid="{00000000-0005-0000-0000-0000F92A0000}"/>
    <cellStyle name="Berechnung 6 2 39" xfId="11002" xr:uid="{00000000-0005-0000-0000-0000FA2A0000}"/>
    <cellStyle name="Berechnung 6 2 4" xfId="11003" xr:uid="{00000000-0005-0000-0000-0000FB2A0000}"/>
    <cellStyle name="Berechnung 6 2 40" xfId="11004" xr:uid="{00000000-0005-0000-0000-0000FC2A0000}"/>
    <cellStyle name="Berechnung 6 2 41" xfId="11005" xr:uid="{00000000-0005-0000-0000-0000FD2A0000}"/>
    <cellStyle name="Berechnung 6 2 42" xfId="11006" xr:uid="{00000000-0005-0000-0000-0000FE2A0000}"/>
    <cellStyle name="Berechnung 6 2 43" xfId="11007" xr:uid="{00000000-0005-0000-0000-0000FF2A0000}"/>
    <cellStyle name="Berechnung 6 2 44" xfId="11008" xr:uid="{00000000-0005-0000-0000-0000002B0000}"/>
    <cellStyle name="Berechnung 6 2 45" xfId="11009" xr:uid="{00000000-0005-0000-0000-0000012B0000}"/>
    <cellStyle name="Berechnung 6 2 46" xfId="11010" xr:uid="{00000000-0005-0000-0000-0000022B0000}"/>
    <cellStyle name="Berechnung 6 2 47" xfId="11011" xr:uid="{00000000-0005-0000-0000-0000032B0000}"/>
    <cellStyle name="Berechnung 6 2 48" xfId="11012" xr:uid="{00000000-0005-0000-0000-0000042B0000}"/>
    <cellStyle name="Berechnung 6 2 49" xfId="11013" xr:uid="{00000000-0005-0000-0000-0000052B0000}"/>
    <cellStyle name="Berechnung 6 2 5" xfId="11014" xr:uid="{00000000-0005-0000-0000-0000062B0000}"/>
    <cellStyle name="Berechnung 6 2 50" xfId="11015" xr:uid="{00000000-0005-0000-0000-0000072B0000}"/>
    <cellStyle name="Berechnung 6 2 51" xfId="11016" xr:uid="{00000000-0005-0000-0000-0000082B0000}"/>
    <cellStyle name="Berechnung 6 2 52" xfId="11017" xr:uid="{00000000-0005-0000-0000-0000092B0000}"/>
    <cellStyle name="Berechnung 6 2 53" xfId="11018" xr:uid="{00000000-0005-0000-0000-00000A2B0000}"/>
    <cellStyle name="Berechnung 6 2 54" xfId="11019" xr:uid="{00000000-0005-0000-0000-00000B2B0000}"/>
    <cellStyle name="Berechnung 6 2 55" xfId="11020" xr:uid="{00000000-0005-0000-0000-00000C2B0000}"/>
    <cellStyle name="Berechnung 6 2 56" xfId="11021" xr:uid="{00000000-0005-0000-0000-00000D2B0000}"/>
    <cellStyle name="Berechnung 6 2 57" xfId="11022" xr:uid="{00000000-0005-0000-0000-00000E2B0000}"/>
    <cellStyle name="Berechnung 6 2 58" xfId="11023" xr:uid="{00000000-0005-0000-0000-00000F2B0000}"/>
    <cellStyle name="Berechnung 6 2 59" xfId="11024" xr:uid="{00000000-0005-0000-0000-0000102B0000}"/>
    <cellStyle name="Berechnung 6 2 6" xfId="11025" xr:uid="{00000000-0005-0000-0000-0000112B0000}"/>
    <cellStyle name="Berechnung 6 2 60" xfId="11026" xr:uid="{00000000-0005-0000-0000-0000122B0000}"/>
    <cellStyle name="Berechnung 6 2 61" xfId="11027" xr:uid="{00000000-0005-0000-0000-0000132B0000}"/>
    <cellStyle name="Berechnung 6 2 62" xfId="11028" xr:uid="{00000000-0005-0000-0000-0000142B0000}"/>
    <cellStyle name="Berechnung 6 2 63" xfId="11029" xr:uid="{00000000-0005-0000-0000-0000152B0000}"/>
    <cellStyle name="Berechnung 6 2 64" xfId="11030" xr:uid="{00000000-0005-0000-0000-0000162B0000}"/>
    <cellStyle name="Berechnung 6 2 65" xfId="11031" xr:uid="{00000000-0005-0000-0000-0000172B0000}"/>
    <cellStyle name="Berechnung 6 2 7" xfId="11032" xr:uid="{00000000-0005-0000-0000-0000182B0000}"/>
    <cellStyle name="Berechnung 6 2 8" xfId="11033" xr:uid="{00000000-0005-0000-0000-0000192B0000}"/>
    <cellStyle name="Berechnung 6 2 9" xfId="11034" xr:uid="{00000000-0005-0000-0000-00001A2B0000}"/>
    <cellStyle name="Berechnung 6 20" xfId="11035" xr:uid="{00000000-0005-0000-0000-00001B2B0000}"/>
    <cellStyle name="Berechnung 6 21" xfId="11036" xr:uid="{00000000-0005-0000-0000-00001C2B0000}"/>
    <cellStyle name="Berechnung 6 22" xfId="11037" xr:uid="{00000000-0005-0000-0000-00001D2B0000}"/>
    <cellStyle name="Berechnung 6 23" xfId="11038" xr:uid="{00000000-0005-0000-0000-00001E2B0000}"/>
    <cellStyle name="Berechnung 6 24" xfId="11039" xr:uid="{00000000-0005-0000-0000-00001F2B0000}"/>
    <cellStyle name="Berechnung 6 25" xfId="11040" xr:uid="{00000000-0005-0000-0000-0000202B0000}"/>
    <cellStyle name="Berechnung 6 26" xfId="11041" xr:uid="{00000000-0005-0000-0000-0000212B0000}"/>
    <cellStyle name="Berechnung 6 27" xfId="11042" xr:uid="{00000000-0005-0000-0000-0000222B0000}"/>
    <cellStyle name="Berechnung 6 28" xfId="11043" xr:uid="{00000000-0005-0000-0000-0000232B0000}"/>
    <cellStyle name="Berechnung 6 29" xfId="11044" xr:uid="{00000000-0005-0000-0000-0000242B0000}"/>
    <cellStyle name="Berechnung 6 3" xfId="11045" xr:uid="{00000000-0005-0000-0000-0000252B0000}"/>
    <cellStyle name="Berechnung 6 30" xfId="11046" xr:uid="{00000000-0005-0000-0000-0000262B0000}"/>
    <cellStyle name="Berechnung 6 31" xfId="11047" xr:uid="{00000000-0005-0000-0000-0000272B0000}"/>
    <cellStyle name="Berechnung 6 32" xfId="11048" xr:uid="{00000000-0005-0000-0000-0000282B0000}"/>
    <cellStyle name="Berechnung 6 33" xfId="11049" xr:uid="{00000000-0005-0000-0000-0000292B0000}"/>
    <cellStyle name="Berechnung 6 34" xfId="11050" xr:uid="{00000000-0005-0000-0000-00002A2B0000}"/>
    <cellStyle name="Berechnung 6 35" xfId="11051" xr:uid="{00000000-0005-0000-0000-00002B2B0000}"/>
    <cellStyle name="Berechnung 6 36" xfId="11052" xr:uid="{00000000-0005-0000-0000-00002C2B0000}"/>
    <cellStyle name="Berechnung 6 37" xfId="11053" xr:uid="{00000000-0005-0000-0000-00002D2B0000}"/>
    <cellStyle name="Berechnung 6 38" xfId="11054" xr:uid="{00000000-0005-0000-0000-00002E2B0000}"/>
    <cellStyle name="Berechnung 6 39" xfId="11055" xr:uid="{00000000-0005-0000-0000-00002F2B0000}"/>
    <cellStyle name="Berechnung 6 4" xfId="11056" xr:uid="{00000000-0005-0000-0000-0000302B0000}"/>
    <cellStyle name="Berechnung 6 40" xfId="11057" xr:uid="{00000000-0005-0000-0000-0000312B0000}"/>
    <cellStyle name="Berechnung 6 41" xfId="11058" xr:uid="{00000000-0005-0000-0000-0000322B0000}"/>
    <cellStyle name="Berechnung 6 42" xfId="11059" xr:uid="{00000000-0005-0000-0000-0000332B0000}"/>
    <cellStyle name="Berechnung 6 43" xfId="11060" xr:uid="{00000000-0005-0000-0000-0000342B0000}"/>
    <cellStyle name="Berechnung 6 44" xfId="11061" xr:uid="{00000000-0005-0000-0000-0000352B0000}"/>
    <cellStyle name="Berechnung 6 45" xfId="11062" xr:uid="{00000000-0005-0000-0000-0000362B0000}"/>
    <cellStyle name="Berechnung 6 46" xfId="11063" xr:uid="{00000000-0005-0000-0000-0000372B0000}"/>
    <cellStyle name="Berechnung 6 47" xfId="11064" xr:uid="{00000000-0005-0000-0000-0000382B0000}"/>
    <cellStyle name="Berechnung 6 48" xfId="11065" xr:uid="{00000000-0005-0000-0000-0000392B0000}"/>
    <cellStyle name="Berechnung 6 49" xfId="11066" xr:uid="{00000000-0005-0000-0000-00003A2B0000}"/>
    <cellStyle name="Berechnung 6 5" xfId="11067" xr:uid="{00000000-0005-0000-0000-00003B2B0000}"/>
    <cellStyle name="Berechnung 6 50" xfId="11068" xr:uid="{00000000-0005-0000-0000-00003C2B0000}"/>
    <cellStyle name="Berechnung 6 51" xfId="11069" xr:uid="{00000000-0005-0000-0000-00003D2B0000}"/>
    <cellStyle name="Berechnung 6 52" xfId="11070" xr:uid="{00000000-0005-0000-0000-00003E2B0000}"/>
    <cellStyle name="Berechnung 6 53" xfId="11071" xr:uid="{00000000-0005-0000-0000-00003F2B0000}"/>
    <cellStyle name="Berechnung 6 54" xfId="11072" xr:uid="{00000000-0005-0000-0000-0000402B0000}"/>
    <cellStyle name="Berechnung 6 55" xfId="11073" xr:uid="{00000000-0005-0000-0000-0000412B0000}"/>
    <cellStyle name="Berechnung 6 56" xfId="11074" xr:uid="{00000000-0005-0000-0000-0000422B0000}"/>
    <cellStyle name="Berechnung 6 57" xfId="11075" xr:uid="{00000000-0005-0000-0000-0000432B0000}"/>
    <cellStyle name="Berechnung 6 58" xfId="11076" xr:uid="{00000000-0005-0000-0000-0000442B0000}"/>
    <cellStyle name="Berechnung 6 59" xfId="11077" xr:uid="{00000000-0005-0000-0000-0000452B0000}"/>
    <cellStyle name="Berechnung 6 6" xfId="11078" xr:uid="{00000000-0005-0000-0000-0000462B0000}"/>
    <cellStyle name="Berechnung 6 60" xfId="11079" xr:uid="{00000000-0005-0000-0000-0000472B0000}"/>
    <cellStyle name="Berechnung 6 61" xfId="11080" xr:uid="{00000000-0005-0000-0000-0000482B0000}"/>
    <cellStyle name="Berechnung 6 62" xfId="11081" xr:uid="{00000000-0005-0000-0000-0000492B0000}"/>
    <cellStyle name="Berechnung 6 63" xfId="11082" xr:uid="{00000000-0005-0000-0000-00004A2B0000}"/>
    <cellStyle name="Berechnung 6 64" xfId="11083" xr:uid="{00000000-0005-0000-0000-00004B2B0000}"/>
    <cellStyle name="Berechnung 6 65" xfId="11084" xr:uid="{00000000-0005-0000-0000-00004C2B0000}"/>
    <cellStyle name="Berechnung 6 66" xfId="11085" xr:uid="{00000000-0005-0000-0000-00004D2B0000}"/>
    <cellStyle name="Berechnung 6 7" xfId="11086" xr:uid="{00000000-0005-0000-0000-00004E2B0000}"/>
    <cellStyle name="Berechnung 6 8" xfId="11087" xr:uid="{00000000-0005-0000-0000-00004F2B0000}"/>
    <cellStyle name="Berechnung 6 9" xfId="11088" xr:uid="{00000000-0005-0000-0000-0000502B0000}"/>
    <cellStyle name="Berechnung 7" xfId="11089" xr:uid="{00000000-0005-0000-0000-0000512B0000}"/>
    <cellStyle name="Berechnung 7 10" xfId="11090" xr:uid="{00000000-0005-0000-0000-0000522B0000}"/>
    <cellStyle name="Berechnung 7 11" xfId="11091" xr:uid="{00000000-0005-0000-0000-0000532B0000}"/>
    <cellStyle name="Berechnung 7 12" xfId="11092" xr:uid="{00000000-0005-0000-0000-0000542B0000}"/>
    <cellStyle name="Berechnung 7 13" xfId="11093" xr:uid="{00000000-0005-0000-0000-0000552B0000}"/>
    <cellStyle name="Berechnung 7 14" xfId="11094" xr:uid="{00000000-0005-0000-0000-0000562B0000}"/>
    <cellStyle name="Berechnung 7 15" xfId="11095" xr:uid="{00000000-0005-0000-0000-0000572B0000}"/>
    <cellStyle name="Berechnung 7 16" xfId="11096" xr:uid="{00000000-0005-0000-0000-0000582B0000}"/>
    <cellStyle name="Berechnung 7 17" xfId="11097" xr:uid="{00000000-0005-0000-0000-0000592B0000}"/>
    <cellStyle name="Berechnung 7 18" xfId="11098" xr:uid="{00000000-0005-0000-0000-00005A2B0000}"/>
    <cellStyle name="Berechnung 7 19" xfId="11099" xr:uid="{00000000-0005-0000-0000-00005B2B0000}"/>
    <cellStyle name="Berechnung 7 2" xfId="11100" xr:uid="{00000000-0005-0000-0000-00005C2B0000}"/>
    <cellStyle name="Berechnung 7 20" xfId="11101" xr:uid="{00000000-0005-0000-0000-00005D2B0000}"/>
    <cellStyle name="Berechnung 7 21" xfId="11102" xr:uid="{00000000-0005-0000-0000-00005E2B0000}"/>
    <cellStyle name="Berechnung 7 22" xfId="11103" xr:uid="{00000000-0005-0000-0000-00005F2B0000}"/>
    <cellStyle name="Berechnung 7 23" xfId="11104" xr:uid="{00000000-0005-0000-0000-0000602B0000}"/>
    <cellStyle name="Berechnung 7 24" xfId="11105" xr:uid="{00000000-0005-0000-0000-0000612B0000}"/>
    <cellStyle name="Berechnung 7 25" xfId="11106" xr:uid="{00000000-0005-0000-0000-0000622B0000}"/>
    <cellStyle name="Berechnung 7 26" xfId="11107" xr:uid="{00000000-0005-0000-0000-0000632B0000}"/>
    <cellStyle name="Berechnung 7 27" xfId="11108" xr:uid="{00000000-0005-0000-0000-0000642B0000}"/>
    <cellStyle name="Berechnung 7 28" xfId="11109" xr:uid="{00000000-0005-0000-0000-0000652B0000}"/>
    <cellStyle name="Berechnung 7 29" xfId="11110" xr:uid="{00000000-0005-0000-0000-0000662B0000}"/>
    <cellStyle name="Berechnung 7 3" xfId="11111" xr:uid="{00000000-0005-0000-0000-0000672B0000}"/>
    <cellStyle name="Berechnung 7 30" xfId="11112" xr:uid="{00000000-0005-0000-0000-0000682B0000}"/>
    <cellStyle name="Berechnung 7 31" xfId="11113" xr:uid="{00000000-0005-0000-0000-0000692B0000}"/>
    <cellStyle name="Berechnung 7 32" xfId="11114" xr:uid="{00000000-0005-0000-0000-00006A2B0000}"/>
    <cellStyle name="Berechnung 7 33" xfId="11115" xr:uid="{00000000-0005-0000-0000-00006B2B0000}"/>
    <cellStyle name="Berechnung 7 34" xfId="11116" xr:uid="{00000000-0005-0000-0000-00006C2B0000}"/>
    <cellStyle name="Berechnung 7 35" xfId="11117" xr:uid="{00000000-0005-0000-0000-00006D2B0000}"/>
    <cellStyle name="Berechnung 7 36" xfId="11118" xr:uid="{00000000-0005-0000-0000-00006E2B0000}"/>
    <cellStyle name="Berechnung 7 37" xfId="11119" xr:uid="{00000000-0005-0000-0000-00006F2B0000}"/>
    <cellStyle name="Berechnung 7 38" xfId="11120" xr:uid="{00000000-0005-0000-0000-0000702B0000}"/>
    <cellStyle name="Berechnung 7 39" xfId="11121" xr:uid="{00000000-0005-0000-0000-0000712B0000}"/>
    <cellStyle name="Berechnung 7 4" xfId="11122" xr:uid="{00000000-0005-0000-0000-0000722B0000}"/>
    <cellStyle name="Berechnung 7 40" xfId="11123" xr:uid="{00000000-0005-0000-0000-0000732B0000}"/>
    <cellStyle name="Berechnung 7 41" xfId="11124" xr:uid="{00000000-0005-0000-0000-0000742B0000}"/>
    <cellStyle name="Berechnung 7 42" xfId="11125" xr:uid="{00000000-0005-0000-0000-0000752B0000}"/>
    <cellStyle name="Berechnung 7 43" xfId="11126" xr:uid="{00000000-0005-0000-0000-0000762B0000}"/>
    <cellStyle name="Berechnung 7 44" xfId="11127" xr:uid="{00000000-0005-0000-0000-0000772B0000}"/>
    <cellStyle name="Berechnung 7 45" xfId="11128" xr:uid="{00000000-0005-0000-0000-0000782B0000}"/>
    <cellStyle name="Berechnung 7 46" xfId="11129" xr:uid="{00000000-0005-0000-0000-0000792B0000}"/>
    <cellStyle name="Berechnung 7 47" xfId="11130" xr:uid="{00000000-0005-0000-0000-00007A2B0000}"/>
    <cellStyle name="Berechnung 7 48" xfId="11131" xr:uid="{00000000-0005-0000-0000-00007B2B0000}"/>
    <cellStyle name="Berechnung 7 49" xfId="11132" xr:uid="{00000000-0005-0000-0000-00007C2B0000}"/>
    <cellStyle name="Berechnung 7 5" xfId="11133" xr:uid="{00000000-0005-0000-0000-00007D2B0000}"/>
    <cellStyle name="Berechnung 7 50" xfId="11134" xr:uid="{00000000-0005-0000-0000-00007E2B0000}"/>
    <cellStyle name="Berechnung 7 51" xfId="11135" xr:uid="{00000000-0005-0000-0000-00007F2B0000}"/>
    <cellStyle name="Berechnung 7 52" xfId="11136" xr:uid="{00000000-0005-0000-0000-0000802B0000}"/>
    <cellStyle name="Berechnung 7 53" xfId="11137" xr:uid="{00000000-0005-0000-0000-0000812B0000}"/>
    <cellStyle name="Berechnung 7 54" xfId="11138" xr:uid="{00000000-0005-0000-0000-0000822B0000}"/>
    <cellStyle name="Berechnung 7 55" xfId="11139" xr:uid="{00000000-0005-0000-0000-0000832B0000}"/>
    <cellStyle name="Berechnung 7 56" xfId="11140" xr:uid="{00000000-0005-0000-0000-0000842B0000}"/>
    <cellStyle name="Berechnung 7 57" xfId="11141" xr:uid="{00000000-0005-0000-0000-0000852B0000}"/>
    <cellStyle name="Berechnung 7 58" xfId="11142" xr:uid="{00000000-0005-0000-0000-0000862B0000}"/>
    <cellStyle name="Berechnung 7 59" xfId="11143" xr:uid="{00000000-0005-0000-0000-0000872B0000}"/>
    <cellStyle name="Berechnung 7 6" xfId="11144" xr:uid="{00000000-0005-0000-0000-0000882B0000}"/>
    <cellStyle name="Berechnung 7 60" xfId="11145" xr:uid="{00000000-0005-0000-0000-0000892B0000}"/>
    <cellStyle name="Berechnung 7 61" xfId="11146" xr:uid="{00000000-0005-0000-0000-00008A2B0000}"/>
    <cellStyle name="Berechnung 7 62" xfId="11147" xr:uid="{00000000-0005-0000-0000-00008B2B0000}"/>
    <cellStyle name="Berechnung 7 63" xfId="11148" xr:uid="{00000000-0005-0000-0000-00008C2B0000}"/>
    <cellStyle name="Berechnung 7 64" xfId="11149" xr:uid="{00000000-0005-0000-0000-00008D2B0000}"/>
    <cellStyle name="Berechnung 7 65" xfId="11150" xr:uid="{00000000-0005-0000-0000-00008E2B0000}"/>
    <cellStyle name="Berechnung 7 7" xfId="11151" xr:uid="{00000000-0005-0000-0000-00008F2B0000}"/>
    <cellStyle name="Berechnung 7 8" xfId="11152" xr:uid="{00000000-0005-0000-0000-0000902B0000}"/>
    <cellStyle name="Berechnung 7 9" xfId="11153" xr:uid="{00000000-0005-0000-0000-0000912B0000}"/>
    <cellStyle name="Bold GHG Numbers (0.00)" xfId="11154" xr:uid="{00000000-0005-0000-0000-0000922B0000}"/>
    <cellStyle name="Calculation 2" xfId="11155" xr:uid="{00000000-0005-0000-0000-0000932B0000}"/>
    <cellStyle name="Calculation 2 10" xfId="11156" xr:uid="{00000000-0005-0000-0000-0000942B0000}"/>
    <cellStyle name="Calculation 2 11" xfId="11157" xr:uid="{00000000-0005-0000-0000-0000952B0000}"/>
    <cellStyle name="Calculation 2 12" xfId="11158" xr:uid="{00000000-0005-0000-0000-0000962B0000}"/>
    <cellStyle name="Calculation 2 13" xfId="11159" xr:uid="{00000000-0005-0000-0000-0000972B0000}"/>
    <cellStyle name="Calculation 2 14" xfId="11160" xr:uid="{00000000-0005-0000-0000-0000982B0000}"/>
    <cellStyle name="Calculation 2 15" xfId="11161" xr:uid="{00000000-0005-0000-0000-0000992B0000}"/>
    <cellStyle name="Calculation 2 16" xfId="11162" xr:uid="{00000000-0005-0000-0000-00009A2B0000}"/>
    <cellStyle name="Calculation 2 17" xfId="11163" xr:uid="{00000000-0005-0000-0000-00009B2B0000}"/>
    <cellStyle name="Calculation 2 18" xfId="11164" xr:uid="{00000000-0005-0000-0000-00009C2B0000}"/>
    <cellStyle name="Calculation 2 19" xfId="11165" xr:uid="{00000000-0005-0000-0000-00009D2B0000}"/>
    <cellStyle name="Calculation 2 2" xfId="11166" xr:uid="{00000000-0005-0000-0000-00009E2B0000}"/>
    <cellStyle name="Calculation 2 2 10" xfId="11167" xr:uid="{00000000-0005-0000-0000-00009F2B0000}"/>
    <cellStyle name="Calculation 2 2 11" xfId="11168" xr:uid="{00000000-0005-0000-0000-0000A02B0000}"/>
    <cellStyle name="Calculation 2 2 12" xfId="11169" xr:uid="{00000000-0005-0000-0000-0000A12B0000}"/>
    <cellStyle name="Calculation 2 2 13" xfId="11170" xr:uid="{00000000-0005-0000-0000-0000A22B0000}"/>
    <cellStyle name="Calculation 2 2 14" xfId="11171" xr:uid="{00000000-0005-0000-0000-0000A32B0000}"/>
    <cellStyle name="Calculation 2 2 15" xfId="11172" xr:uid="{00000000-0005-0000-0000-0000A42B0000}"/>
    <cellStyle name="Calculation 2 2 16" xfId="11173" xr:uid="{00000000-0005-0000-0000-0000A52B0000}"/>
    <cellStyle name="Calculation 2 2 17" xfId="11174" xr:uid="{00000000-0005-0000-0000-0000A62B0000}"/>
    <cellStyle name="Calculation 2 2 18" xfId="11175" xr:uid="{00000000-0005-0000-0000-0000A72B0000}"/>
    <cellStyle name="Calculation 2 2 19" xfId="11176" xr:uid="{00000000-0005-0000-0000-0000A82B0000}"/>
    <cellStyle name="Calculation 2 2 2" xfId="11177" xr:uid="{00000000-0005-0000-0000-0000A92B0000}"/>
    <cellStyle name="Calculation 2 2 2 10" xfId="11178" xr:uid="{00000000-0005-0000-0000-0000AA2B0000}"/>
    <cellStyle name="Calculation 2 2 2 11" xfId="11179" xr:uid="{00000000-0005-0000-0000-0000AB2B0000}"/>
    <cellStyle name="Calculation 2 2 2 12" xfId="11180" xr:uid="{00000000-0005-0000-0000-0000AC2B0000}"/>
    <cellStyle name="Calculation 2 2 2 13" xfId="11181" xr:uid="{00000000-0005-0000-0000-0000AD2B0000}"/>
    <cellStyle name="Calculation 2 2 2 14" xfId="11182" xr:uid="{00000000-0005-0000-0000-0000AE2B0000}"/>
    <cellStyle name="Calculation 2 2 2 15" xfId="11183" xr:uid="{00000000-0005-0000-0000-0000AF2B0000}"/>
    <cellStyle name="Calculation 2 2 2 16" xfId="11184" xr:uid="{00000000-0005-0000-0000-0000B02B0000}"/>
    <cellStyle name="Calculation 2 2 2 17" xfId="11185" xr:uid="{00000000-0005-0000-0000-0000B12B0000}"/>
    <cellStyle name="Calculation 2 2 2 18" xfId="11186" xr:uid="{00000000-0005-0000-0000-0000B22B0000}"/>
    <cellStyle name="Calculation 2 2 2 19" xfId="11187" xr:uid="{00000000-0005-0000-0000-0000B32B0000}"/>
    <cellStyle name="Calculation 2 2 2 2" xfId="11188" xr:uid="{00000000-0005-0000-0000-0000B42B0000}"/>
    <cellStyle name="Calculation 2 2 2 20" xfId="11189" xr:uid="{00000000-0005-0000-0000-0000B52B0000}"/>
    <cellStyle name="Calculation 2 2 2 21" xfId="11190" xr:uid="{00000000-0005-0000-0000-0000B62B0000}"/>
    <cellStyle name="Calculation 2 2 2 22" xfId="11191" xr:uid="{00000000-0005-0000-0000-0000B72B0000}"/>
    <cellStyle name="Calculation 2 2 2 23" xfId="11192" xr:uid="{00000000-0005-0000-0000-0000B82B0000}"/>
    <cellStyle name="Calculation 2 2 2 24" xfId="11193" xr:uid="{00000000-0005-0000-0000-0000B92B0000}"/>
    <cellStyle name="Calculation 2 2 2 25" xfId="11194" xr:uid="{00000000-0005-0000-0000-0000BA2B0000}"/>
    <cellStyle name="Calculation 2 2 2 26" xfId="11195" xr:uid="{00000000-0005-0000-0000-0000BB2B0000}"/>
    <cellStyle name="Calculation 2 2 2 27" xfId="11196" xr:uid="{00000000-0005-0000-0000-0000BC2B0000}"/>
    <cellStyle name="Calculation 2 2 2 28" xfId="11197" xr:uid="{00000000-0005-0000-0000-0000BD2B0000}"/>
    <cellStyle name="Calculation 2 2 2 29" xfId="11198" xr:uid="{00000000-0005-0000-0000-0000BE2B0000}"/>
    <cellStyle name="Calculation 2 2 2 3" xfId="11199" xr:uid="{00000000-0005-0000-0000-0000BF2B0000}"/>
    <cellStyle name="Calculation 2 2 2 30" xfId="11200" xr:uid="{00000000-0005-0000-0000-0000C02B0000}"/>
    <cellStyle name="Calculation 2 2 2 31" xfId="11201" xr:uid="{00000000-0005-0000-0000-0000C12B0000}"/>
    <cellStyle name="Calculation 2 2 2 32" xfId="11202" xr:uid="{00000000-0005-0000-0000-0000C22B0000}"/>
    <cellStyle name="Calculation 2 2 2 33" xfId="11203" xr:uid="{00000000-0005-0000-0000-0000C32B0000}"/>
    <cellStyle name="Calculation 2 2 2 34" xfId="11204" xr:uid="{00000000-0005-0000-0000-0000C42B0000}"/>
    <cellStyle name="Calculation 2 2 2 35" xfId="11205" xr:uid="{00000000-0005-0000-0000-0000C52B0000}"/>
    <cellStyle name="Calculation 2 2 2 36" xfId="11206" xr:uid="{00000000-0005-0000-0000-0000C62B0000}"/>
    <cellStyle name="Calculation 2 2 2 37" xfId="11207" xr:uid="{00000000-0005-0000-0000-0000C72B0000}"/>
    <cellStyle name="Calculation 2 2 2 38" xfId="11208" xr:uid="{00000000-0005-0000-0000-0000C82B0000}"/>
    <cellStyle name="Calculation 2 2 2 39" xfId="11209" xr:uid="{00000000-0005-0000-0000-0000C92B0000}"/>
    <cellStyle name="Calculation 2 2 2 4" xfId="11210" xr:uid="{00000000-0005-0000-0000-0000CA2B0000}"/>
    <cellStyle name="Calculation 2 2 2 40" xfId="11211" xr:uid="{00000000-0005-0000-0000-0000CB2B0000}"/>
    <cellStyle name="Calculation 2 2 2 41" xfId="11212" xr:uid="{00000000-0005-0000-0000-0000CC2B0000}"/>
    <cellStyle name="Calculation 2 2 2 42" xfId="11213" xr:uid="{00000000-0005-0000-0000-0000CD2B0000}"/>
    <cellStyle name="Calculation 2 2 2 43" xfId="11214" xr:uid="{00000000-0005-0000-0000-0000CE2B0000}"/>
    <cellStyle name="Calculation 2 2 2 44" xfId="11215" xr:uid="{00000000-0005-0000-0000-0000CF2B0000}"/>
    <cellStyle name="Calculation 2 2 2 45" xfId="11216" xr:uid="{00000000-0005-0000-0000-0000D02B0000}"/>
    <cellStyle name="Calculation 2 2 2 46" xfId="11217" xr:uid="{00000000-0005-0000-0000-0000D12B0000}"/>
    <cellStyle name="Calculation 2 2 2 47" xfId="11218" xr:uid="{00000000-0005-0000-0000-0000D22B0000}"/>
    <cellStyle name="Calculation 2 2 2 48" xfId="11219" xr:uid="{00000000-0005-0000-0000-0000D32B0000}"/>
    <cellStyle name="Calculation 2 2 2 49" xfId="11220" xr:uid="{00000000-0005-0000-0000-0000D42B0000}"/>
    <cellStyle name="Calculation 2 2 2 5" xfId="11221" xr:uid="{00000000-0005-0000-0000-0000D52B0000}"/>
    <cellStyle name="Calculation 2 2 2 50" xfId="11222" xr:uid="{00000000-0005-0000-0000-0000D62B0000}"/>
    <cellStyle name="Calculation 2 2 2 51" xfId="11223" xr:uid="{00000000-0005-0000-0000-0000D72B0000}"/>
    <cellStyle name="Calculation 2 2 2 52" xfId="11224" xr:uid="{00000000-0005-0000-0000-0000D82B0000}"/>
    <cellStyle name="Calculation 2 2 2 53" xfId="11225" xr:uid="{00000000-0005-0000-0000-0000D92B0000}"/>
    <cellStyle name="Calculation 2 2 2 54" xfId="11226" xr:uid="{00000000-0005-0000-0000-0000DA2B0000}"/>
    <cellStyle name="Calculation 2 2 2 55" xfId="11227" xr:uid="{00000000-0005-0000-0000-0000DB2B0000}"/>
    <cellStyle name="Calculation 2 2 2 56" xfId="11228" xr:uid="{00000000-0005-0000-0000-0000DC2B0000}"/>
    <cellStyle name="Calculation 2 2 2 57" xfId="11229" xr:uid="{00000000-0005-0000-0000-0000DD2B0000}"/>
    <cellStyle name="Calculation 2 2 2 58" xfId="11230" xr:uid="{00000000-0005-0000-0000-0000DE2B0000}"/>
    <cellStyle name="Calculation 2 2 2 59" xfId="11231" xr:uid="{00000000-0005-0000-0000-0000DF2B0000}"/>
    <cellStyle name="Calculation 2 2 2 6" xfId="11232" xr:uid="{00000000-0005-0000-0000-0000E02B0000}"/>
    <cellStyle name="Calculation 2 2 2 60" xfId="11233" xr:uid="{00000000-0005-0000-0000-0000E12B0000}"/>
    <cellStyle name="Calculation 2 2 2 61" xfId="11234" xr:uid="{00000000-0005-0000-0000-0000E22B0000}"/>
    <cellStyle name="Calculation 2 2 2 62" xfId="11235" xr:uid="{00000000-0005-0000-0000-0000E32B0000}"/>
    <cellStyle name="Calculation 2 2 2 63" xfId="11236" xr:uid="{00000000-0005-0000-0000-0000E42B0000}"/>
    <cellStyle name="Calculation 2 2 2 64" xfId="11237" xr:uid="{00000000-0005-0000-0000-0000E52B0000}"/>
    <cellStyle name="Calculation 2 2 2 65" xfId="11238" xr:uid="{00000000-0005-0000-0000-0000E62B0000}"/>
    <cellStyle name="Calculation 2 2 2 7" xfId="11239" xr:uid="{00000000-0005-0000-0000-0000E72B0000}"/>
    <cellStyle name="Calculation 2 2 2 8" xfId="11240" xr:uid="{00000000-0005-0000-0000-0000E82B0000}"/>
    <cellStyle name="Calculation 2 2 2 9" xfId="11241" xr:uid="{00000000-0005-0000-0000-0000E92B0000}"/>
    <cellStyle name="Calculation 2 2 20" xfId="11242" xr:uid="{00000000-0005-0000-0000-0000EA2B0000}"/>
    <cellStyle name="Calculation 2 2 21" xfId="11243" xr:uid="{00000000-0005-0000-0000-0000EB2B0000}"/>
    <cellStyle name="Calculation 2 2 22" xfId="11244" xr:uid="{00000000-0005-0000-0000-0000EC2B0000}"/>
    <cellStyle name="Calculation 2 2 23" xfId="11245" xr:uid="{00000000-0005-0000-0000-0000ED2B0000}"/>
    <cellStyle name="Calculation 2 2 24" xfId="11246" xr:uid="{00000000-0005-0000-0000-0000EE2B0000}"/>
    <cellStyle name="Calculation 2 2 25" xfId="11247" xr:uid="{00000000-0005-0000-0000-0000EF2B0000}"/>
    <cellStyle name="Calculation 2 2 26" xfId="11248" xr:uid="{00000000-0005-0000-0000-0000F02B0000}"/>
    <cellStyle name="Calculation 2 2 27" xfId="11249" xr:uid="{00000000-0005-0000-0000-0000F12B0000}"/>
    <cellStyle name="Calculation 2 2 28" xfId="11250" xr:uid="{00000000-0005-0000-0000-0000F22B0000}"/>
    <cellStyle name="Calculation 2 2 29" xfId="11251" xr:uid="{00000000-0005-0000-0000-0000F32B0000}"/>
    <cellStyle name="Calculation 2 2 3" xfId="11252" xr:uid="{00000000-0005-0000-0000-0000F42B0000}"/>
    <cellStyle name="Calculation 2 2 30" xfId="11253" xr:uid="{00000000-0005-0000-0000-0000F52B0000}"/>
    <cellStyle name="Calculation 2 2 31" xfId="11254" xr:uid="{00000000-0005-0000-0000-0000F62B0000}"/>
    <cellStyle name="Calculation 2 2 32" xfId="11255" xr:uid="{00000000-0005-0000-0000-0000F72B0000}"/>
    <cellStyle name="Calculation 2 2 33" xfId="11256" xr:uid="{00000000-0005-0000-0000-0000F82B0000}"/>
    <cellStyle name="Calculation 2 2 34" xfId="11257" xr:uid="{00000000-0005-0000-0000-0000F92B0000}"/>
    <cellStyle name="Calculation 2 2 35" xfId="11258" xr:uid="{00000000-0005-0000-0000-0000FA2B0000}"/>
    <cellStyle name="Calculation 2 2 36" xfId="11259" xr:uid="{00000000-0005-0000-0000-0000FB2B0000}"/>
    <cellStyle name="Calculation 2 2 37" xfId="11260" xr:uid="{00000000-0005-0000-0000-0000FC2B0000}"/>
    <cellStyle name="Calculation 2 2 38" xfId="11261" xr:uid="{00000000-0005-0000-0000-0000FD2B0000}"/>
    <cellStyle name="Calculation 2 2 39" xfId="11262" xr:uid="{00000000-0005-0000-0000-0000FE2B0000}"/>
    <cellStyle name="Calculation 2 2 4" xfId="11263" xr:uid="{00000000-0005-0000-0000-0000FF2B0000}"/>
    <cellStyle name="Calculation 2 2 40" xfId="11264" xr:uid="{00000000-0005-0000-0000-0000002C0000}"/>
    <cellStyle name="Calculation 2 2 41" xfId="11265" xr:uid="{00000000-0005-0000-0000-0000012C0000}"/>
    <cellStyle name="Calculation 2 2 42" xfId="11266" xr:uid="{00000000-0005-0000-0000-0000022C0000}"/>
    <cellStyle name="Calculation 2 2 43" xfId="11267" xr:uid="{00000000-0005-0000-0000-0000032C0000}"/>
    <cellStyle name="Calculation 2 2 44" xfId="11268" xr:uid="{00000000-0005-0000-0000-0000042C0000}"/>
    <cellStyle name="Calculation 2 2 45" xfId="11269" xr:uid="{00000000-0005-0000-0000-0000052C0000}"/>
    <cellStyle name="Calculation 2 2 46" xfId="11270" xr:uid="{00000000-0005-0000-0000-0000062C0000}"/>
    <cellStyle name="Calculation 2 2 47" xfId="11271" xr:uid="{00000000-0005-0000-0000-0000072C0000}"/>
    <cellStyle name="Calculation 2 2 48" xfId="11272" xr:uid="{00000000-0005-0000-0000-0000082C0000}"/>
    <cellStyle name="Calculation 2 2 49" xfId="11273" xr:uid="{00000000-0005-0000-0000-0000092C0000}"/>
    <cellStyle name="Calculation 2 2 5" xfId="11274" xr:uid="{00000000-0005-0000-0000-00000A2C0000}"/>
    <cellStyle name="Calculation 2 2 50" xfId="11275" xr:uid="{00000000-0005-0000-0000-00000B2C0000}"/>
    <cellStyle name="Calculation 2 2 51" xfId="11276" xr:uid="{00000000-0005-0000-0000-00000C2C0000}"/>
    <cellStyle name="Calculation 2 2 52" xfId="11277" xr:uid="{00000000-0005-0000-0000-00000D2C0000}"/>
    <cellStyle name="Calculation 2 2 53" xfId="11278" xr:uid="{00000000-0005-0000-0000-00000E2C0000}"/>
    <cellStyle name="Calculation 2 2 54" xfId="11279" xr:uid="{00000000-0005-0000-0000-00000F2C0000}"/>
    <cellStyle name="Calculation 2 2 55" xfId="11280" xr:uid="{00000000-0005-0000-0000-0000102C0000}"/>
    <cellStyle name="Calculation 2 2 56" xfId="11281" xr:uid="{00000000-0005-0000-0000-0000112C0000}"/>
    <cellStyle name="Calculation 2 2 57" xfId="11282" xr:uid="{00000000-0005-0000-0000-0000122C0000}"/>
    <cellStyle name="Calculation 2 2 58" xfId="11283" xr:uid="{00000000-0005-0000-0000-0000132C0000}"/>
    <cellStyle name="Calculation 2 2 59" xfId="11284" xr:uid="{00000000-0005-0000-0000-0000142C0000}"/>
    <cellStyle name="Calculation 2 2 6" xfId="11285" xr:uid="{00000000-0005-0000-0000-0000152C0000}"/>
    <cellStyle name="Calculation 2 2 60" xfId="11286" xr:uid="{00000000-0005-0000-0000-0000162C0000}"/>
    <cellStyle name="Calculation 2 2 61" xfId="11287" xr:uid="{00000000-0005-0000-0000-0000172C0000}"/>
    <cellStyle name="Calculation 2 2 62" xfId="11288" xr:uid="{00000000-0005-0000-0000-0000182C0000}"/>
    <cellStyle name="Calculation 2 2 63" xfId="11289" xr:uid="{00000000-0005-0000-0000-0000192C0000}"/>
    <cellStyle name="Calculation 2 2 64" xfId="11290" xr:uid="{00000000-0005-0000-0000-00001A2C0000}"/>
    <cellStyle name="Calculation 2 2 65" xfId="11291" xr:uid="{00000000-0005-0000-0000-00001B2C0000}"/>
    <cellStyle name="Calculation 2 2 66" xfId="11292" xr:uid="{00000000-0005-0000-0000-00001C2C0000}"/>
    <cellStyle name="Calculation 2 2 7" xfId="11293" xr:uid="{00000000-0005-0000-0000-00001D2C0000}"/>
    <cellStyle name="Calculation 2 2 8" xfId="11294" xr:uid="{00000000-0005-0000-0000-00001E2C0000}"/>
    <cellStyle name="Calculation 2 2 9" xfId="11295" xr:uid="{00000000-0005-0000-0000-00001F2C0000}"/>
    <cellStyle name="Calculation 2 20" xfId="11296" xr:uid="{00000000-0005-0000-0000-0000202C0000}"/>
    <cellStyle name="Calculation 2 21" xfId="11297" xr:uid="{00000000-0005-0000-0000-0000212C0000}"/>
    <cellStyle name="Calculation 2 22" xfId="11298" xr:uid="{00000000-0005-0000-0000-0000222C0000}"/>
    <cellStyle name="Calculation 2 23" xfId="11299" xr:uid="{00000000-0005-0000-0000-0000232C0000}"/>
    <cellStyle name="Calculation 2 24" xfId="11300" xr:uid="{00000000-0005-0000-0000-0000242C0000}"/>
    <cellStyle name="Calculation 2 25" xfId="11301" xr:uid="{00000000-0005-0000-0000-0000252C0000}"/>
    <cellStyle name="Calculation 2 26" xfId="11302" xr:uid="{00000000-0005-0000-0000-0000262C0000}"/>
    <cellStyle name="Calculation 2 27" xfId="11303" xr:uid="{00000000-0005-0000-0000-0000272C0000}"/>
    <cellStyle name="Calculation 2 28" xfId="11304" xr:uid="{00000000-0005-0000-0000-0000282C0000}"/>
    <cellStyle name="Calculation 2 29" xfId="11305" xr:uid="{00000000-0005-0000-0000-0000292C0000}"/>
    <cellStyle name="Calculation 2 3" xfId="11306" xr:uid="{00000000-0005-0000-0000-00002A2C0000}"/>
    <cellStyle name="Calculation 2 3 10" xfId="11307" xr:uid="{00000000-0005-0000-0000-00002B2C0000}"/>
    <cellStyle name="Calculation 2 3 11" xfId="11308" xr:uid="{00000000-0005-0000-0000-00002C2C0000}"/>
    <cellStyle name="Calculation 2 3 12" xfId="11309" xr:uid="{00000000-0005-0000-0000-00002D2C0000}"/>
    <cellStyle name="Calculation 2 3 13" xfId="11310" xr:uid="{00000000-0005-0000-0000-00002E2C0000}"/>
    <cellStyle name="Calculation 2 3 14" xfId="11311" xr:uid="{00000000-0005-0000-0000-00002F2C0000}"/>
    <cellStyle name="Calculation 2 3 15" xfId="11312" xr:uid="{00000000-0005-0000-0000-0000302C0000}"/>
    <cellStyle name="Calculation 2 3 16" xfId="11313" xr:uid="{00000000-0005-0000-0000-0000312C0000}"/>
    <cellStyle name="Calculation 2 3 17" xfId="11314" xr:uid="{00000000-0005-0000-0000-0000322C0000}"/>
    <cellStyle name="Calculation 2 3 18" xfId="11315" xr:uid="{00000000-0005-0000-0000-0000332C0000}"/>
    <cellStyle name="Calculation 2 3 19" xfId="11316" xr:uid="{00000000-0005-0000-0000-0000342C0000}"/>
    <cellStyle name="Calculation 2 3 2" xfId="11317" xr:uid="{00000000-0005-0000-0000-0000352C0000}"/>
    <cellStyle name="Calculation 2 3 2 10" xfId="11318" xr:uid="{00000000-0005-0000-0000-0000362C0000}"/>
    <cellStyle name="Calculation 2 3 2 11" xfId="11319" xr:uid="{00000000-0005-0000-0000-0000372C0000}"/>
    <cellStyle name="Calculation 2 3 2 12" xfId="11320" xr:uid="{00000000-0005-0000-0000-0000382C0000}"/>
    <cellStyle name="Calculation 2 3 2 13" xfId="11321" xr:uid="{00000000-0005-0000-0000-0000392C0000}"/>
    <cellStyle name="Calculation 2 3 2 14" xfId="11322" xr:uid="{00000000-0005-0000-0000-00003A2C0000}"/>
    <cellStyle name="Calculation 2 3 2 15" xfId="11323" xr:uid="{00000000-0005-0000-0000-00003B2C0000}"/>
    <cellStyle name="Calculation 2 3 2 16" xfId="11324" xr:uid="{00000000-0005-0000-0000-00003C2C0000}"/>
    <cellStyle name="Calculation 2 3 2 17" xfId="11325" xr:uid="{00000000-0005-0000-0000-00003D2C0000}"/>
    <cellStyle name="Calculation 2 3 2 18" xfId="11326" xr:uid="{00000000-0005-0000-0000-00003E2C0000}"/>
    <cellStyle name="Calculation 2 3 2 19" xfId="11327" xr:uid="{00000000-0005-0000-0000-00003F2C0000}"/>
    <cellStyle name="Calculation 2 3 2 2" xfId="11328" xr:uid="{00000000-0005-0000-0000-0000402C0000}"/>
    <cellStyle name="Calculation 2 3 2 20" xfId="11329" xr:uid="{00000000-0005-0000-0000-0000412C0000}"/>
    <cellStyle name="Calculation 2 3 2 21" xfId="11330" xr:uid="{00000000-0005-0000-0000-0000422C0000}"/>
    <cellStyle name="Calculation 2 3 2 22" xfId="11331" xr:uid="{00000000-0005-0000-0000-0000432C0000}"/>
    <cellStyle name="Calculation 2 3 2 23" xfId="11332" xr:uid="{00000000-0005-0000-0000-0000442C0000}"/>
    <cellStyle name="Calculation 2 3 2 24" xfId="11333" xr:uid="{00000000-0005-0000-0000-0000452C0000}"/>
    <cellStyle name="Calculation 2 3 2 25" xfId="11334" xr:uid="{00000000-0005-0000-0000-0000462C0000}"/>
    <cellStyle name="Calculation 2 3 2 26" xfId="11335" xr:uid="{00000000-0005-0000-0000-0000472C0000}"/>
    <cellStyle name="Calculation 2 3 2 27" xfId="11336" xr:uid="{00000000-0005-0000-0000-0000482C0000}"/>
    <cellStyle name="Calculation 2 3 2 28" xfId="11337" xr:uid="{00000000-0005-0000-0000-0000492C0000}"/>
    <cellStyle name="Calculation 2 3 2 29" xfId="11338" xr:uid="{00000000-0005-0000-0000-00004A2C0000}"/>
    <cellStyle name="Calculation 2 3 2 3" xfId="11339" xr:uid="{00000000-0005-0000-0000-00004B2C0000}"/>
    <cellStyle name="Calculation 2 3 2 30" xfId="11340" xr:uid="{00000000-0005-0000-0000-00004C2C0000}"/>
    <cellStyle name="Calculation 2 3 2 31" xfId="11341" xr:uid="{00000000-0005-0000-0000-00004D2C0000}"/>
    <cellStyle name="Calculation 2 3 2 32" xfId="11342" xr:uid="{00000000-0005-0000-0000-00004E2C0000}"/>
    <cellStyle name="Calculation 2 3 2 33" xfId="11343" xr:uid="{00000000-0005-0000-0000-00004F2C0000}"/>
    <cellStyle name="Calculation 2 3 2 34" xfId="11344" xr:uid="{00000000-0005-0000-0000-0000502C0000}"/>
    <cellStyle name="Calculation 2 3 2 35" xfId="11345" xr:uid="{00000000-0005-0000-0000-0000512C0000}"/>
    <cellStyle name="Calculation 2 3 2 36" xfId="11346" xr:uid="{00000000-0005-0000-0000-0000522C0000}"/>
    <cellStyle name="Calculation 2 3 2 37" xfId="11347" xr:uid="{00000000-0005-0000-0000-0000532C0000}"/>
    <cellStyle name="Calculation 2 3 2 38" xfId="11348" xr:uid="{00000000-0005-0000-0000-0000542C0000}"/>
    <cellStyle name="Calculation 2 3 2 39" xfId="11349" xr:uid="{00000000-0005-0000-0000-0000552C0000}"/>
    <cellStyle name="Calculation 2 3 2 4" xfId="11350" xr:uid="{00000000-0005-0000-0000-0000562C0000}"/>
    <cellStyle name="Calculation 2 3 2 40" xfId="11351" xr:uid="{00000000-0005-0000-0000-0000572C0000}"/>
    <cellStyle name="Calculation 2 3 2 41" xfId="11352" xr:uid="{00000000-0005-0000-0000-0000582C0000}"/>
    <cellStyle name="Calculation 2 3 2 42" xfId="11353" xr:uid="{00000000-0005-0000-0000-0000592C0000}"/>
    <cellStyle name="Calculation 2 3 2 43" xfId="11354" xr:uid="{00000000-0005-0000-0000-00005A2C0000}"/>
    <cellStyle name="Calculation 2 3 2 44" xfId="11355" xr:uid="{00000000-0005-0000-0000-00005B2C0000}"/>
    <cellStyle name="Calculation 2 3 2 45" xfId="11356" xr:uid="{00000000-0005-0000-0000-00005C2C0000}"/>
    <cellStyle name="Calculation 2 3 2 46" xfId="11357" xr:uid="{00000000-0005-0000-0000-00005D2C0000}"/>
    <cellStyle name="Calculation 2 3 2 47" xfId="11358" xr:uid="{00000000-0005-0000-0000-00005E2C0000}"/>
    <cellStyle name="Calculation 2 3 2 48" xfId="11359" xr:uid="{00000000-0005-0000-0000-00005F2C0000}"/>
    <cellStyle name="Calculation 2 3 2 49" xfId="11360" xr:uid="{00000000-0005-0000-0000-0000602C0000}"/>
    <cellStyle name="Calculation 2 3 2 5" xfId="11361" xr:uid="{00000000-0005-0000-0000-0000612C0000}"/>
    <cellStyle name="Calculation 2 3 2 50" xfId="11362" xr:uid="{00000000-0005-0000-0000-0000622C0000}"/>
    <cellStyle name="Calculation 2 3 2 51" xfId="11363" xr:uid="{00000000-0005-0000-0000-0000632C0000}"/>
    <cellStyle name="Calculation 2 3 2 52" xfId="11364" xr:uid="{00000000-0005-0000-0000-0000642C0000}"/>
    <cellStyle name="Calculation 2 3 2 53" xfId="11365" xr:uid="{00000000-0005-0000-0000-0000652C0000}"/>
    <cellStyle name="Calculation 2 3 2 54" xfId="11366" xr:uid="{00000000-0005-0000-0000-0000662C0000}"/>
    <cellStyle name="Calculation 2 3 2 55" xfId="11367" xr:uid="{00000000-0005-0000-0000-0000672C0000}"/>
    <cellStyle name="Calculation 2 3 2 56" xfId="11368" xr:uid="{00000000-0005-0000-0000-0000682C0000}"/>
    <cellStyle name="Calculation 2 3 2 57" xfId="11369" xr:uid="{00000000-0005-0000-0000-0000692C0000}"/>
    <cellStyle name="Calculation 2 3 2 58" xfId="11370" xr:uid="{00000000-0005-0000-0000-00006A2C0000}"/>
    <cellStyle name="Calculation 2 3 2 59" xfId="11371" xr:uid="{00000000-0005-0000-0000-00006B2C0000}"/>
    <cellStyle name="Calculation 2 3 2 6" xfId="11372" xr:uid="{00000000-0005-0000-0000-00006C2C0000}"/>
    <cellStyle name="Calculation 2 3 2 60" xfId="11373" xr:uid="{00000000-0005-0000-0000-00006D2C0000}"/>
    <cellStyle name="Calculation 2 3 2 61" xfId="11374" xr:uid="{00000000-0005-0000-0000-00006E2C0000}"/>
    <cellStyle name="Calculation 2 3 2 62" xfId="11375" xr:uid="{00000000-0005-0000-0000-00006F2C0000}"/>
    <cellStyle name="Calculation 2 3 2 63" xfId="11376" xr:uid="{00000000-0005-0000-0000-0000702C0000}"/>
    <cellStyle name="Calculation 2 3 2 64" xfId="11377" xr:uid="{00000000-0005-0000-0000-0000712C0000}"/>
    <cellStyle name="Calculation 2 3 2 65" xfId="11378" xr:uid="{00000000-0005-0000-0000-0000722C0000}"/>
    <cellStyle name="Calculation 2 3 2 7" xfId="11379" xr:uid="{00000000-0005-0000-0000-0000732C0000}"/>
    <cellStyle name="Calculation 2 3 2 8" xfId="11380" xr:uid="{00000000-0005-0000-0000-0000742C0000}"/>
    <cellStyle name="Calculation 2 3 2 9" xfId="11381" xr:uid="{00000000-0005-0000-0000-0000752C0000}"/>
    <cellStyle name="Calculation 2 3 20" xfId="11382" xr:uid="{00000000-0005-0000-0000-0000762C0000}"/>
    <cellStyle name="Calculation 2 3 21" xfId="11383" xr:uid="{00000000-0005-0000-0000-0000772C0000}"/>
    <cellStyle name="Calculation 2 3 22" xfId="11384" xr:uid="{00000000-0005-0000-0000-0000782C0000}"/>
    <cellStyle name="Calculation 2 3 23" xfId="11385" xr:uid="{00000000-0005-0000-0000-0000792C0000}"/>
    <cellStyle name="Calculation 2 3 24" xfId="11386" xr:uid="{00000000-0005-0000-0000-00007A2C0000}"/>
    <cellStyle name="Calculation 2 3 25" xfId="11387" xr:uid="{00000000-0005-0000-0000-00007B2C0000}"/>
    <cellStyle name="Calculation 2 3 26" xfId="11388" xr:uid="{00000000-0005-0000-0000-00007C2C0000}"/>
    <cellStyle name="Calculation 2 3 27" xfId="11389" xr:uid="{00000000-0005-0000-0000-00007D2C0000}"/>
    <cellStyle name="Calculation 2 3 28" xfId="11390" xr:uid="{00000000-0005-0000-0000-00007E2C0000}"/>
    <cellStyle name="Calculation 2 3 29" xfId="11391" xr:uid="{00000000-0005-0000-0000-00007F2C0000}"/>
    <cellStyle name="Calculation 2 3 3" xfId="11392" xr:uid="{00000000-0005-0000-0000-0000802C0000}"/>
    <cellStyle name="Calculation 2 3 30" xfId="11393" xr:uid="{00000000-0005-0000-0000-0000812C0000}"/>
    <cellStyle name="Calculation 2 3 31" xfId="11394" xr:uid="{00000000-0005-0000-0000-0000822C0000}"/>
    <cellStyle name="Calculation 2 3 32" xfId="11395" xr:uid="{00000000-0005-0000-0000-0000832C0000}"/>
    <cellStyle name="Calculation 2 3 33" xfId="11396" xr:uid="{00000000-0005-0000-0000-0000842C0000}"/>
    <cellStyle name="Calculation 2 3 34" xfId="11397" xr:uid="{00000000-0005-0000-0000-0000852C0000}"/>
    <cellStyle name="Calculation 2 3 35" xfId="11398" xr:uid="{00000000-0005-0000-0000-0000862C0000}"/>
    <cellStyle name="Calculation 2 3 36" xfId="11399" xr:uid="{00000000-0005-0000-0000-0000872C0000}"/>
    <cellStyle name="Calculation 2 3 37" xfId="11400" xr:uid="{00000000-0005-0000-0000-0000882C0000}"/>
    <cellStyle name="Calculation 2 3 38" xfId="11401" xr:uid="{00000000-0005-0000-0000-0000892C0000}"/>
    <cellStyle name="Calculation 2 3 39" xfId="11402" xr:uid="{00000000-0005-0000-0000-00008A2C0000}"/>
    <cellStyle name="Calculation 2 3 4" xfId="11403" xr:uid="{00000000-0005-0000-0000-00008B2C0000}"/>
    <cellStyle name="Calculation 2 3 40" xfId="11404" xr:uid="{00000000-0005-0000-0000-00008C2C0000}"/>
    <cellStyle name="Calculation 2 3 41" xfId="11405" xr:uid="{00000000-0005-0000-0000-00008D2C0000}"/>
    <cellStyle name="Calculation 2 3 42" xfId="11406" xr:uid="{00000000-0005-0000-0000-00008E2C0000}"/>
    <cellStyle name="Calculation 2 3 43" xfId="11407" xr:uid="{00000000-0005-0000-0000-00008F2C0000}"/>
    <cellStyle name="Calculation 2 3 44" xfId="11408" xr:uid="{00000000-0005-0000-0000-0000902C0000}"/>
    <cellStyle name="Calculation 2 3 45" xfId="11409" xr:uid="{00000000-0005-0000-0000-0000912C0000}"/>
    <cellStyle name="Calculation 2 3 46" xfId="11410" xr:uid="{00000000-0005-0000-0000-0000922C0000}"/>
    <cellStyle name="Calculation 2 3 47" xfId="11411" xr:uid="{00000000-0005-0000-0000-0000932C0000}"/>
    <cellStyle name="Calculation 2 3 48" xfId="11412" xr:uid="{00000000-0005-0000-0000-0000942C0000}"/>
    <cellStyle name="Calculation 2 3 49" xfId="11413" xr:uid="{00000000-0005-0000-0000-0000952C0000}"/>
    <cellStyle name="Calculation 2 3 5" xfId="11414" xr:uid="{00000000-0005-0000-0000-0000962C0000}"/>
    <cellStyle name="Calculation 2 3 50" xfId="11415" xr:uid="{00000000-0005-0000-0000-0000972C0000}"/>
    <cellStyle name="Calculation 2 3 51" xfId="11416" xr:uid="{00000000-0005-0000-0000-0000982C0000}"/>
    <cellStyle name="Calculation 2 3 52" xfId="11417" xr:uid="{00000000-0005-0000-0000-0000992C0000}"/>
    <cellStyle name="Calculation 2 3 53" xfId="11418" xr:uid="{00000000-0005-0000-0000-00009A2C0000}"/>
    <cellStyle name="Calculation 2 3 54" xfId="11419" xr:uid="{00000000-0005-0000-0000-00009B2C0000}"/>
    <cellStyle name="Calculation 2 3 55" xfId="11420" xr:uid="{00000000-0005-0000-0000-00009C2C0000}"/>
    <cellStyle name="Calculation 2 3 56" xfId="11421" xr:uid="{00000000-0005-0000-0000-00009D2C0000}"/>
    <cellStyle name="Calculation 2 3 57" xfId="11422" xr:uid="{00000000-0005-0000-0000-00009E2C0000}"/>
    <cellStyle name="Calculation 2 3 58" xfId="11423" xr:uid="{00000000-0005-0000-0000-00009F2C0000}"/>
    <cellStyle name="Calculation 2 3 59" xfId="11424" xr:uid="{00000000-0005-0000-0000-0000A02C0000}"/>
    <cellStyle name="Calculation 2 3 6" xfId="11425" xr:uid="{00000000-0005-0000-0000-0000A12C0000}"/>
    <cellStyle name="Calculation 2 3 60" xfId="11426" xr:uid="{00000000-0005-0000-0000-0000A22C0000}"/>
    <cellStyle name="Calculation 2 3 61" xfId="11427" xr:uid="{00000000-0005-0000-0000-0000A32C0000}"/>
    <cellStyle name="Calculation 2 3 62" xfId="11428" xr:uid="{00000000-0005-0000-0000-0000A42C0000}"/>
    <cellStyle name="Calculation 2 3 63" xfId="11429" xr:uid="{00000000-0005-0000-0000-0000A52C0000}"/>
    <cellStyle name="Calculation 2 3 64" xfId="11430" xr:uid="{00000000-0005-0000-0000-0000A62C0000}"/>
    <cellStyle name="Calculation 2 3 65" xfId="11431" xr:uid="{00000000-0005-0000-0000-0000A72C0000}"/>
    <cellStyle name="Calculation 2 3 66" xfId="11432" xr:uid="{00000000-0005-0000-0000-0000A82C0000}"/>
    <cellStyle name="Calculation 2 3 7" xfId="11433" xr:uid="{00000000-0005-0000-0000-0000A92C0000}"/>
    <cellStyle name="Calculation 2 3 8" xfId="11434" xr:uid="{00000000-0005-0000-0000-0000AA2C0000}"/>
    <cellStyle name="Calculation 2 3 9" xfId="11435" xr:uid="{00000000-0005-0000-0000-0000AB2C0000}"/>
    <cellStyle name="Calculation 2 30" xfId="11436" xr:uid="{00000000-0005-0000-0000-0000AC2C0000}"/>
    <cellStyle name="Calculation 2 31" xfId="11437" xr:uid="{00000000-0005-0000-0000-0000AD2C0000}"/>
    <cellStyle name="Calculation 2 32" xfId="11438" xr:uid="{00000000-0005-0000-0000-0000AE2C0000}"/>
    <cellStyle name="Calculation 2 33" xfId="11439" xr:uid="{00000000-0005-0000-0000-0000AF2C0000}"/>
    <cellStyle name="Calculation 2 34" xfId="11440" xr:uid="{00000000-0005-0000-0000-0000B02C0000}"/>
    <cellStyle name="Calculation 2 35" xfId="11441" xr:uid="{00000000-0005-0000-0000-0000B12C0000}"/>
    <cellStyle name="Calculation 2 36" xfId="11442" xr:uid="{00000000-0005-0000-0000-0000B22C0000}"/>
    <cellStyle name="Calculation 2 37" xfId="11443" xr:uid="{00000000-0005-0000-0000-0000B32C0000}"/>
    <cellStyle name="Calculation 2 38" xfId="11444" xr:uid="{00000000-0005-0000-0000-0000B42C0000}"/>
    <cellStyle name="Calculation 2 39" xfId="11445" xr:uid="{00000000-0005-0000-0000-0000B52C0000}"/>
    <cellStyle name="Calculation 2 4" xfId="11446" xr:uid="{00000000-0005-0000-0000-0000B62C0000}"/>
    <cellStyle name="Calculation 2 4 10" xfId="11447" xr:uid="{00000000-0005-0000-0000-0000B72C0000}"/>
    <cellStyle name="Calculation 2 4 11" xfId="11448" xr:uid="{00000000-0005-0000-0000-0000B82C0000}"/>
    <cellStyle name="Calculation 2 4 12" xfId="11449" xr:uid="{00000000-0005-0000-0000-0000B92C0000}"/>
    <cellStyle name="Calculation 2 4 13" xfId="11450" xr:uid="{00000000-0005-0000-0000-0000BA2C0000}"/>
    <cellStyle name="Calculation 2 4 14" xfId="11451" xr:uid="{00000000-0005-0000-0000-0000BB2C0000}"/>
    <cellStyle name="Calculation 2 4 15" xfId="11452" xr:uid="{00000000-0005-0000-0000-0000BC2C0000}"/>
    <cellStyle name="Calculation 2 4 16" xfId="11453" xr:uid="{00000000-0005-0000-0000-0000BD2C0000}"/>
    <cellStyle name="Calculation 2 4 17" xfId="11454" xr:uid="{00000000-0005-0000-0000-0000BE2C0000}"/>
    <cellStyle name="Calculation 2 4 18" xfId="11455" xr:uid="{00000000-0005-0000-0000-0000BF2C0000}"/>
    <cellStyle name="Calculation 2 4 19" xfId="11456" xr:uid="{00000000-0005-0000-0000-0000C02C0000}"/>
    <cellStyle name="Calculation 2 4 2" xfId="11457" xr:uid="{00000000-0005-0000-0000-0000C12C0000}"/>
    <cellStyle name="Calculation 2 4 2 10" xfId="11458" xr:uid="{00000000-0005-0000-0000-0000C22C0000}"/>
    <cellStyle name="Calculation 2 4 2 11" xfId="11459" xr:uid="{00000000-0005-0000-0000-0000C32C0000}"/>
    <cellStyle name="Calculation 2 4 2 12" xfId="11460" xr:uid="{00000000-0005-0000-0000-0000C42C0000}"/>
    <cellStyle name="Calculation 2 4 2 13" xfId="11461" xr:uid="{00000000-0005-0000-0000-0000C52C0000}"/>
    <cellStyle name="Calculation 2 4 2 14" xfId="11462" xr:uid="{00000000-0005-0000-0000-0000C62C0000}"/>
    <cellStyle name="Calculation 2 4 2 15" xfId="11463" xr:uid="{00000000-0005-0000-0000-0000C72C0000}"/>
    <cellStyle name="Calculation 2 4 2 16" xfId="11464" xr:uid="{00000000-0005-0000-0000-0000C82C0000}"/>
    <cellStyle name="Calculation 2 4 2 17" xfId="11465" xr:uid="{00000000-0005-0000-0000-0000C92C0000}"/>
    <cellStyle name="Calculation 2 4 2 18" xfId="11466" xr:uid="{00000000-0005-0000-0000-0000CA2C0000}"/>
    <cellStyle name="Calculation 2 4 2 19" xfId="11467" xr:uid="{00000000-0005-0000-0000-0000CB2C0000}"/>
    <cellStyle name="Calculation 2 4 2 2" xfId="11468" xr:uid="{00000000-0005-0000-0000-0000CC2C0000}"/>
    <cellStyle name="Calculation 2 4 2 20" xfId="11469" xr:uid="{00000000-0005-0000-0000-0000CD2C0000}"/>
    <cellStyle name="Calculation 2 4 2 21" xfId="11470" xr:uid="{00000000-0005-0000-0000-0000CE2C0000}"/>
    <cellStyle name="Calculation 2 4 2 22" xfId="11471" xr:uid="{00000000-0005-0000-0000-0000CF2C0000}"/>
    <cellStyle name="Calculation 2 4 2 23" xfId="11472" xr:uid="{00000000-0005-0000-0000-0000D02C0000}"/>
    <cellStyle name="Calculation 2 4 2 24" xfId="11473" xr:uid="{00000000-0005-0000-0000-0000D12C0000}"/>
    <cellStyle name="Calculation 2 4 2 25" xfId="11474" xr:uid="{00000000-0005-0000-0000-0000D22C0000}"/>
    <cellStyle name="Calculation 2 4 2 26" xfId="11475" xr:uid="{00000000-0005-0000-0000-0000D32C0000}"/>
    <cellStyle name="Calculation 2 4 2 27" xfId="11476" xr:uid="{00000000-0005-0000-0000-0000D42C0000}"/>
    <cellStyle name="Calculation 2 4 2 28" xfId="11477" xr:uid="{00000000-0005-0000-0000-0000D52C0000}"/>
    <cellStyle name="Calculation 2 4 2 29" xfId="11478" xr:uid="{00000000-0005-0000-0000-0000D62C0000}"/>
    <cellStyle name="Calculation 2 4 2 3" xfId="11479" xr:uid="{00000000-0005-0000-0000-0000D72C0000}"/>
    <cellStyle name="Calculation 2 4 2 30" xfId="11480" xr:uid="{00000000-0005-0000-0000-0000D82C0000}"/>
    <cellStyle name="Calculation 2 4 2 31" xfId="11481" xr:uid="{00000000-0005-0000-0000-0000D92C0000}"/>
    <cellStyle name="Calculation 2 4 2 32" xfId="11482" xr:uid="{00000000-0005-0000-0000-0000DA2C0000}"/>
    <cellStyle name="Calculation 2 4 2 33" xfId="11483" xr:uid="{00000000-0005-0000-0000-0000DB2C0000}"/>
    <cellStyle name="Calculation 2 4 2 34" xfId="11484" xr:uid="{00000000-0005-0000-0000-0000DC2C0000}"/>
    <cellStyle name="Calculation 2 4 2 35" xfId="11485" xr:uid="{00000000-0005-0000-0000-0000DD2C0000}"/>
    <cellStyle name="Calculation 2 4 2 36" xfId="11486" xr:uid="{00000000-0005-0000-0000-0000DE2C0000}"/>
    <cellStyle name="Calculation 2 4 2 37" xfId="11487" xr:uid="{00000000-0005-0000-0000-0000DF2C0000}"/>
    <cellStyle name="Calculation 2 4 2 38" xfId="11488" xr:uid="{00000000-0005-0000-0000-0000E02C0000}"/>
    <cellStyle name="Calculation 2 4 2 39" xfId="11489" xr:uid="{00000000-0005-0000-0000-0000E12C0000}"/>
    <cellStyle name="Calculation 2 4 2 4" xfId="11490" xr:uid="{00000000-0005-0000-0000-0000E22C0000}"/>
    <cellStyle name="Calculation 2 4 2 40" xfId="11491" xr:uid="{00000000-0005-0000-0000-0000E32C0000}"/>
    <cellStyle name="Calculation 2 4 2 41" xfId="11492" xr:uid="{00000000-0005-0000-0000-0000E42C0000}"/>
    <cellStyle name="Calculation 2 4 2 42" xfId="11493" xr:uid="{00000000-0005-0000-0000-0000E52C0000}"/>
    <cellStyle name="Calculation 2 4 2 43" xfId="11494" xr:uid="{00000000-0005-0000-0000-0000E62C0000}"/>
    <cellStyle name="Calculation 2 4 2 44" xfId="11495" xr:uid="{00000000-0005-0000-0000-0000E72C0000}"/>
    <cellStyle name="Calculation 2 4 2 45" xfId="11496" xr:uid="{00000000-0005-0000-0000-0000E82C0000}"/>
    <cellStyle name="Calculation 2 4 2 46" xfId="11497" xr:uid="{00000000-0005-0000-0000-0000E92C0000}"/>
    <cellStyle name="Calculation 2 4 2 47" xfId="11498" xr:uid="{00000000-0005-0000-0000-0000EA2C0000}"/>
    <cellStyle name="Calculation 2 4 2 48" xfId="11499" xr:uid="{00000000-0005-0000-0000-0000EB2C0000}"/>
    <cellStyle name="Calculation 2 4 2 49" xfId="11500" xr:uid="{00000000-0005-0000-0000-0000EC2C0000}"/>
    <cellStyle name="Calculation 2 4 2 5" xfId="11501" xr:uid="{00000000-0005-0000-0000-0000ED2C0000}"/>
    <cellStyle name="Calculation 2 4 2 50" xfId="11502" xr:uid="{00000000-0005-0000-0000-0000EE2C0000}"/>
    <cellStyle name="Calculation 2 4 2 51" xfId="11503" xr:uid="{00000000-0005-0000-0000-0000EF2C0000}"/>
    <cellStyle name="Calculation 2 4 2 52" xfId="11504" xr:uid="{00000000-0005-0000-0000-0000F02C0000}"/>
    <cellStyle name="Calculation 2 4 2 53" xfId="11505" xr:uid="{00000000-0005-0000-0000-0000F12C0000}"/>
    <cellStyle name="Calculation 2 4 2 54" xfId="11506" xr:uid="{00000000-0005-0000-0000-0000F22C0000}"/>
    <cellStyle name="Calculation 2 4 2 55" xfId="11507" xr:uid="{00000000-0005-0000-0000-0000F32C0000}"/>
    <cellStyle name="Calculation 2 4 2 56" xfId="11508" xr:uid="{00000000-0005-0000-0000-0000F42C0000}"/>
    <cellStyle name="Calculation 2 4 2 57" xfId="11509" xr:uid="{00000000-0005-0000-0000-0000F52C0000}"/>
    <cellStyle name="Calculation 2 4 2 58" xfId="11510" xr:uid="{00000000-0005-0000-0000-0000F62C0000}"/>
    <cellStyle name="Calculation 2 4 2 59" xfId="11511" xr:uid="{00000000-0005-0000-0000-0000F72C0000}"/>
    <cellStyle name="Calculation 2 4 2 6" xfId="11512" xr:uid="{00000000-0005-0000-0000-0000F82C0000}"/>
    <cellStyle name="Calculation 2 4 2 60" xfId="11513" xr:uid="{00000000-0005-0000-0000-0000F92C0000}"/>
    <cellStyle name="Calculation 2 4 2 61" xfId="11514" xr:uid="{00000000-0005-0000-0000-0000FA2C0000}"/>
    <cellStyle name="Calculation 2 4 2 62" xfId="11515" xr:uid="{00000000-0005-0000-0000-0000FB2C0000}"/>
    <cellStyle name="Calculation 2 4 2 63" xfId="11516" xr:uid="{00000000-0005-0000-0000-0000FC2C0000}"/>
    <cellStyle name="Calculation 2 4 2 64" xfId="11517" xr:uid="{00000000-0005-0000-0000-0000FD2C0000}"/>
    <cellStyle name="Calculation 2 4 2 65" xfId="11518" xr:uid="{00000000-0005-0000-0000-0000FE2C0000}"/>
    <cellStyle name="Calculation 2 4 2 7" xfId="11519" xr:uid="{00000000-0005-0000-0000-0000FF2C0000}"/>
    <cellStyle name="Calculation 2 4 2 8" xfId="11520" xr:uid="{00000000-0005-0000-0000-0000002D0000}"/>
    <cellStyle name="Calculation 2 4 2 9" xfId="11521" xr:uid="{00000000-0005-0000-0000-0000012D0000}"/>
    <cellStyle name="Calculation 2 4 20" xfId="11522" xr:uid="{00000000-0005-0000-0000-0000022D0000}"/>
    <cellStyle name="Calculation 2 4 21" xfId="11523" xr:uid="{00000000-0005-0000-0000-0000032D0000}"/>
    <cellStyle name="Calculation 2 4 22" xfId="11524" xr:uid="{00000000-0005-0000-0000-0000042D0000}"/>
    <cellStyle name="Calculation 2 4 23" xfId="11525" xr:uid="{00000000-0005-0000-0000-0000052D0000}"/>
    <cellStyle name="Calculation 2 4 24" xfId="11526" xr:uid="{00000000-0005-0000-0000-0000062D0000}"/>
    <cellStyle name="Calculation 2 4 25" xfId="11527" xr:uid="{00000000-0005-0000-0000-0000072D0000}"/>
    <cellStyle name="Calculation 2 4 26" xfId="11528" xr:uid="{00000000-0005-0000-0000-0000082D0000}"/>
    <cellStyle name="Calculation 2 4 27" xfId="11529" xr:uid="{00000000-0005-0000-0000-0000092D0000}"/>
    <cellStyle name="Calculation 2 4 28" xfId="11530" xr:uid="{00000000-0005-0000-0000-00000A2D0000}"/>
    <cellStyle name="Calculation 2 4 29" xfId="11531" xr:uid="{00000000-0005-0000-0000-00000B2D0000}"/>
    <cellStyle name="Calculation 2 4 3" xfId="11532" xr:uid="{00000000-0005-0000-0000-00000C2D0000}"/>
    <cellStyle name="Calculation 2 4 30" xfId="11533" xr:uid="{00000000-0005-0000-0000-00000D2D0000}"/>
    <cellStyle name="Calculation 2 4 31" xfId="11534" xr:uid="{00000000-0005-0000-0000-00000E2D0000}"/>
    <cellStyle name="Calculation 2 4 32" xfId="11535" xr:uid="{00000000-0005-0000-0000-00000F2D0000}"/>
    <cellStyle name="Calculation 2 4 33" xfId="11536" xr:uid="{00000000-0005-0000-0000-0000102D0000}"/>
    <cellStyle name="Calculation 2 4 34" xfId="11537" xr:uid="{00000000-0005-0000-0000-0000112D0000}"/>
    <cellStyle name="Calculation 2 4 35" xfId="11538" xr:uid="{00000000-0005-0000-0000-0000122D0000}"/>
    <cellStyle name="Calculation 2 4 36" xfId="11539" xr:uid="{00000000-0005-0000-0000-0000132D0000}"/>
    <cellStyle name="Calculation 2 4 37" xfId="11540" xr:uid="{00000000-0005-0000-0000-0000142D0000}"/>
    <cellStyle name="Calculation 2 4 38" xfId="11541" xr:uid="{00000000-0005-0000-0000-0000152D0000}"/>
    <cellStyle name="Calculation 2 4 39" xfId="11542" xr:uid="{00000000-0005-0000-0000-0000162D0000}"/>
    <cellStyle name="Calculation 2 4 4" xfId="11543" xr:uid="{00000000-0005-0000-0000-0000172D0000}"/>
    <cellStyle name="Calculation 2 4 40" xfId="11544" xr:uid="{00000000-0005-0000-0000-0000182D0000}"/>
    <cellStyle name="Calculation 2 4 41" xfId="11545" xr:uid="{00000000-0005-0000-0000-0000192D0000}"/>
    <cellStyle name="Calculation 2 4 42" xfId="11546" xr:uid="{00000000-0005-0000-0000-00001A2D0000}"/>
    <cellStyle name="Calculation 2 4 43" xfId="11547" xr:uid="{00000000-0005-0000-0000-00001B2D0000}"/>
    <cellStyle name="Calculation 2 4 44" xfId="11548" xr:uid="{00000000-0005-0000-0000-00001C2D0000}"/>
    <cellStyle name="Calculation 2 4 45" xfId="11549" xr:uid="{00000000-0005-0000-0000-00001D2D0000}"/>
    <cellStyle name="Calculation 2 4 46" xfId="11550" xr:uid="{00000000-0005-0000-0000-00001E2D0000}"/>
    <cellStyle name="Calculation 2 4 47" xfId="11551" xr:uid="{00000000-0005-0000-0000-00001F2D0000}"/>
    <cellStyle name="Calculation 2 4 48" xfId="11552" xr:uid="{00000000-0005-0000-0000-0000202D0000}"/>
    <cellStyle name="Calculation 2 4 49" xfId="11553" xr:uid="{00000000-0005-0000-0000-0000212D0000}"/>
    <cellStyle name="Calculation 2 4 5" xfId="11554" xr:uid="{00000000-0005-0000-0000-0000222D0000}"/>
    <cellStyle name="Calculation 2 4 50" xfId="11555" xr:uid="{00000000-0005-0000-0000-0000232D0000}"/>
    <cellStyle name="Calculation 2 4 51" xfId="11556" xr:uid="{00000000-0005-0000-0000-0000242D0000}"/>
    <cellStyle name="Calculation 2 4 52" xfId="11557" xr:uid="{00000000-0005-0000-0000-0000252D0000}"/>
    <cellStyle name="Calculation 2 4 53" xfId="11558" xr:uid="{00000000-0005-0000-0000-0000262D0000}"/>
    <cellStyle name="Calculation 2 4 54" xfId="11559" xr:uid="{00000000-0005-0000-0000-0000272D0000}"/>
    <cellStyle name="Calculation 2 4 55" xfId="11560" xr:uid="{00000000-0005-0000-0000-0000282D0000}"/>
    <cellStyle name="Calculation 2 4 56" xfId="11561" xr:uid="{00000000-0005-0000-0000-0000292D0000}"/>
    <cellStyle name="Calculation 2 4 57" xfId="11562" xr:uid="{00000000-0005-0000-0000-00002A2D0000}"/>
    <cellStyle name="Calculation 2 4 58" xfId="11563" xr:uid="{00000000-0005-0000-0000-00002B2D0000}"/>
    <cellStyle name="Calculation 2 4 59" xfId="11564" xr:uid="{00000000-0005-0000-0000-00002C2D0000}"/>
    <cellStyle name="Calculation 2 4 6" xfId="11565" xr:uid="{00000000-0005-0000-0000-00002D2D0000}"/>
    <cellStyle name="Calculation 2 4 60" xfId="11566" xr:uid="{00000000-0005-0000-0000-00002E2D0000}"/>
    <cellStyle name="Calculation 2 4 61" xfId="11567" xr:uid="{00000000-0005-0000-0000-00002F2D0000}"/>
    <cellStyle name="Calculation 2 4 62" xfId="11568" xr:uid="{00000000-0005-0000-0000-0000302D0000}"/>
    <cellStyle name="Calculation 2 4 63" xfId="11569" xr:uid="{00000000-0005-0000-0000-0000312D0000}"/>
    <cellStyle name="Calculation 2 4 64" xfId="11570" xr:uid="{00000000-0005-0000-0000-0000322D0000}"/>
    <cellStyle name="Calculation 2 4 65" xfId="11571" xr:uid="{00000000-0005-0000-0000-0000332D0000}"/>
    <cellStyle name="Calculation 2 4 66" xfId="11572" xr:uid="{00000000-0005-0000-0000-0000342D0000}"/>
    <cellStyle name="Calculation 2 4 7" xfId="11573" xr:uid="{00000000-0005-0000-0000-0000352D0000}"/>
    <cellStyle name="Calculation 2 4 8" xfId="11574" xr:uid="{00000000-0005-0000-0000-0000362D0000}"/>
    <cellStyle name="Calculation 2 4 9" xfId="11575" xr:uid="{00000000-0005-0000-0000-0000372D0000}"/>
    <cellStyle name="Calculation 2 40" xfId="11576" xr:uid="{00000000-0005-0000-0000-0000382D0000}"/>
    <cellStyle name="Calculation 2 41" xfId="11577" xr:uid="{00000000-0005-0000-0000-0000392D0000}"/>
    <cellStyle name="Calculation 2 42" xfId="11578" xr:uid="{00000000-0005-0000-0000-00003A2D0000}"/>
    <cellStyle name="Calculation 2 43" xfId="11579" xr:uid="{00000000-0005-0000-0000-00003B2D0000}"/>
    <cellStyle name="Calculation 2 44" xfId="11580" xr:uid="{00000000-0005-0000-0000-00003C2D0000}"/>
    <cellStyle name="Calculation 2 45" xfId="11581" xr:uid="{00000000-0005-0000-0000-00003D2D0000}"/>
    <cellStyle name="Calculation 2 46" xfId="11582" xr:uid="{00000000-0005-0000-0000-00003E2D0000}"/>
    <cellStyle name="Calculation 2 47" xfId="11583" xr:uid="{00000000-0005-0000-0000-00003F2D0000}"/>
    <cellStyle name="Calculation 2 48" xfId="11584" xr:uid="{00000000-0005-0000-0000-0000402D0000}"/>
    <cellStyle name="Calculation 2 49" xfId="11585" xr:uid="{00000000-0005-0000-0000-0000412D0000}"/>
    <cellStyle name="Calculation 2 5" xfId="11586" xr:uid="{00000000-0005-0000-0000-0000422D0000}"/>
    <cellStyle name="Calculation 2 5 10" xfId="11587" xr:uid="{00000000-0005-0000-0000-0000432D0000}"/>
    <cellStyle name="Calculation 2 5 11" xfId="11588" xr:uid="{00000000-0005-0000-0000-0000442D0000}"/>
    <cellStyle name="Calculation 2 5 12" xfId="11589" xr:uid="{00000000-0005-0000-0000-0000452D0000}"/>
    <cellStyle name="Calculation 2 5 13" xfId="11590" xr:uid="{00000000-0005-0000-0000-0000462D0000}"/>
    <cellStyle name="Calculation 2 5 14" xfId="11591" xr:uid="{00000000-0005-0000-0000-0000472D0000}"/>
    <cellStyle name="Calculation 2 5 15" xfId="11592" xr:uid="{00000000-0005-0000-0000-0000482D0000}"/>
    <cellStyle name="Calculation 2 5 16" xfId="11593" xr:uid="{00000000-0005-0000-0000-0000492D0000}"/>
    <cellStyle name="Calculation 2 5 17" xfId="11594" xr:uid="{00000000-0005-0000-0000-00004A2D0000}"/>
    <cellStyle name="Calculation 2 5 18" xfId="11595" xr:uid="{00000000-0005-0000-0000-00004B2D0000}"/>
    <cellStyle name="Calculation 2 5 19" xfId="11596" xr:uid="{00000000-0005-0000-0000-00004C2D0000}"/>
    <cellStyle name="Calculation 2 5 2" xfId="11597" xr:uid="{00000000-0005-0000-0000-00004D2D0000}"/>
    <cellStyle name="Calculation 2 5 20" xfId="11598" xr:uid="{00000000-0005-0000-0000-00004E2D0000}"/>
    <cellStyle name="Calculation 2 5 21" xfId="11599" xr:uid="{00000000-0005-0000-0000-00004F2D0000}"/>
    <cellStyle name="Calculation 2 5 22" xfId="11600" xr:uid="{00000000-0005-0000-0000-0000502D0000}"/>
    <cellStyle name="Calculation 2 5 23" xfId="11601" xr:uid="{00000000-0005-0000-0000-0000512D0000}"/>
    <cellStyle name="Calculation 2 5 24" xfId="11602" xr:uid="{00000000-0005-0000-0000-0000522D0000}"/>
    <cellStyle name="Calculation 2 5 25" xfId="11603" xr:uid="{00000000-0005-0000-0000-0000532D0000}"/>
    <cellStyle name="Calculation 2 5 26" xfId="11604" xr:uid="{00000000-0005-0000-0000-0000542D0000}"/>
    <cellStyle name="Calculation 2 5 27" xfId="11605" xr:uid="{00000000-0005-0000-0000-0000552D0000}"/>
    <cellStyle name="Calculation 2 5 28" xfId="11606" xr:uid="{00000000-0005-0000-0000-0000562D0000}"/>
    <cellStyle name="Calculation 2 5 29" xfId="11607" xr:uid="{00000000-0005-0000-0000-0000572D0000}"/>
    <cellStyle name="Calculation 2 5 3" xfId="11608" xr:uid="{00000000-0005-0000-0000-0000582D0000}"/>
    <cellStyle name="Calculation 2 5 30" xfId="11609" xr:uid="{00000000-0005-0000-0000-0000592D0000}"/>
    <cellStyle name="Calculation 2 5 31" xfId="11610" xr:uid="{00000000-0005-0000-0000-00005A2D0000}"/>
    <cellStyle name="Calculation 2 5 32" xfId="11611" xr:uid="{00000000-0005-0000-0000-00005B2D0000}"/>
    <cellStyle name="Calculation 2 5 33" xfId="11612" xr:uid="{00000000-0005-0000-0000-00005C2D0000}"/>
    <cellStyle name="Calculation 2 5 34" xfId="11613" xr:uid="{00000000-0005-0000-0000-00005D2D0000}"/>
    <cellStyle name="Calculation 2 5 35" xfId="11614" xr:uid="{00000000-0005-0000-0000-00005E2D0000}"/>
    <cellStyle name="Calculation 2 5 36" xfId="11615" xr:uid="{00000000-0005-0000-0000-00005F2D0000}"/>
    <cellStyle name="Calculation 2 5 37" xfId="11616" xr:uid="{00000000-0005-0000-0000-0000602D0000}"/>
    <cellStyle name="Calculation 2 5 38" xfId="11617" xr:uid="{00000000-0005-0000-0000-0000612D0000}"/>
    <cellStyle name="Calculation 2 5 39" xfId="11618" xr:uid="{00000000-0005-0000-0000-0000622D0000}"/>
    <cellStyle name="Calculation 2 5 4" xfId="11619" xr:uid="{00000000-0005-0000-0000-0000632D0000}"/>
    <cellStyle name="Calculation 2 5 40" xfId="11620" xr:uid="{00000000-0005-0000-0000-0000642D0000}"/>
    <cellStyle name="Calculation 2 5 41" xfId="11621" xr:uid="{00000000-0005-0000-0000-0000652D0000}"/>
    <cellStyle name="Calculation 2 5 42" xfId="11622" xr:uid="{00000000-0005-0000-0000-0000662D0000}"/>
    <cellStyle name="Calculation 2 5 43" xfId="11623" xr:uid="{00000000-0005-0000-0000-0000672D0000}"/>
    <cellStyle name="Calculation 2 5 44" xfId="11624" xr:uid="{00000000-0005-0000-0000-0000682D0000}"/>
    <cellStyle name="Calculation 2 5 45" xfId="11625" xr:uid="{00000000-0005-0000-0000-0000692D0000}"/>
    <cellStyle name="Calculation 2 5 46" xfId="11626" xr:uid="{00000000-0005-0000-0000-00006A2D0000}"/>
    <cellStyle name="Calculation 2 5 47" xfId="11627" xr:uid="{00000000-0005-0000-0000-00006B2D0000}"/>
    <cellStyle name="Calculation 2 5 48" xfId="11628" xr:uid="{00000000-0005-0000-0000-00006C2D0000}"/>
    <cellStyle name="Calculation 2 5 49" xfId="11629" xr:uid="{00000000-0005-0000-0000-00006D2D0000}"/>
    <cellStyle name="Calculation 2 5 5" xfId="11630" xr:uid="{00000000-0005-0000-0000-00006E2D0000}"/>
    <cellStyle name="Calculation 2 5 50" xfId="11631" xr:uid="{00000000-0005-0000-0000-00006F2D0000}"/>
    <cellStyle name="Calculation 2 5 51" xfId="11632" xr:uid="{00000000-0005-0000-0000-0000702D0000}"/>
    <cellStyle name="Calculation 2 5 52" xfId="11633" xr:uid="{00000000-0005-0000-0000-0000712D0000}"/>
    <cellStyle name="Calculation 2 5 53" xfId="11634" xr:uid="{00000000-0005-0000-0000-0000722D0000}"/>
    <cellStyle name="Calculation 2 5 54" xfId="11635" xr:uid="{00000000-0005-0000-0000-0000732D0000}"/>
    <cellStyle name="Calculation 2 5 55" xfId="11636" xr:uid="{00000000-0005-0000-0000-0000742D0000}"/>
    <cellStyle name="Calculation 2 5 56" xfId="11637" xr:uid="{00000000-0005-0000-0000-0000752D0000}"/>
    <cellStyle name="Calculation 2 5 57" xfId="11638" xr:uid="{00000000-0005-0000-0000-0000762D0000}"/>
    <cellStyle name="Calculation 2 5 58" xfId="11639" xr:uid="{00000000-0005-0000-0000-0000772D0000}"/>
    <cellStyle name="Calculation 2 5 59" xfId="11640" xr:uid="{00000000-0005-0000-0000-0000782D0000}"/>
    <cellStyle name="Calculation 2 5 6" xfId="11641" xr:uid="{00000000-0005-0000-0000-0000792D0000}"/>
    <cellStyle name="Calculation 2 5 60" xfId="11642" xr:uid="{00000000-0005-0000-0000-00007A2D0000}"/>
    <cellStyle name="Calculation 2 5 61" xfId="11643" xr:uid="{00000000-0005-0000-0000-00007B2D0000}"/>
    <cellStyle name="Calculation 2 5 62" xfId="11644" xr:uid="{00000000-0005-0000-0000-00007C2D0000}"/>
    <cellStyle name="Calculation 2 5 63" xfId="11645" xr:uid="{00000000-0005-0000-0000-00007D2D0000}"/>
    <cellStyle name="Calculation 2 5 64" xfId="11646" xr:uid="{00000000-0005-0000-0000-00007E2D0000}"/>
    <cellStyle name="Calculation 2 5 65" xfId="11647" xr:uid="{00000000-0005-0000-0000-00007F2D0000}"/>
    <cellStyle name="Calculation 2 5 7" xfId="11648" xr:uid="{00000000-0005-0000-0000-0000802D0000}"/>
    <cellStyle name="Calculation 2 5 8" xfId="11649" xr:uid="{00000000-0005-0000-0000-0000812D0000}"/>
    <cellStyle name="Calculation 2 5 9" xfId="11650" xr:uid="{00000000-0005-0000-0000-0000822D0000}"/>
    <cellStyle name="Calculation 2 50" xfId="11651" xr:uid="{00000000-0005-0000-0000-0000832D0000}"/>
    <cellStyle name="Calculation 2 51" xfId="11652" xr:uid="{00000000-0005-0000-0000-0000842D0000}"/>
    <cellStyle name="Calculation 2 6" xfId="11653" xr:uid="{00000000-0005-0000-0000-0000852D0000}"/>
    <cellStyle name="Calculation 2 7" xfId="11654" xr:uid="{00000000-0005-0000-0000-0000862D0000}"/>
    <cellStyle name="Calculation 2 8" xfId="11655" xr:uid="{00000000-0005-0000-0000-0000872D0000}"/>
    <cellStyle name="Calculation 2 9" xfId="11656" xr:uid="{00000000-0005-0000-0000-0000882D0000}"/>
    <cellStyle name="Calculation 3" xfId="11657" xr:uid="{00000000-0005-0000-0000-0000892D0000}"/>
    <cellStyle name="Calculation 3 10" xfId="11658" xr:uid="{00000000-0005-0000-0000-00008A2D0000}"/>
    <cellStyle name="Calculation 3 11" xfId="11659" xr:uid="{00000000-0005-0000-0000-00008B2D0000}"/>
    <cellStyle name="Calculation 3 12" xfId="11660" xr:uid="{00000000-0005-0000-0000-00008C2D0000}"/>
    <cellStyle name="Calculation 3 13" xfId="11661" xr:uid="{00000000-0005-0000-0000-00008D2D0000}"/>
    <cellStyle name="Calculation 3 14" xfId="11662" xr:uid="{00000000-0005-0000-0000-00008E2D0000}"/>
    <cellStyle name="Calculation 3 15" xfId="11663" xr:uid="{00000000-0005-0000-0000-00008F2D0000}"/>
    <cellStyle name="Calculation 3 16" xfId="11664" xr:uid="{00000000-0005-0000-0000-0000902D0000}"/>
    <cellStyle name="Calculation 3 17" xfId="11665" xr:uid="{00000000-0005-0000-0000-0000912D0000}"/>
    <cellStyle name="Calculation 3 18" xfId="11666" xr:uid="{00000000-0005-0000-0000-0000922D0000}"/>
    <cellStyle name="Calculation 3 19" xfId="11667" xr:uid="{00000000-0005-0000-0000-0000932D0000}"/>
    <cellStyle name="Calculation 3 2" xfId="11668" xr:uid="{00000000-0005-0000-0000-0000942D0000}"/>
    <cellStyle name="Calculation 3 2 10" xfId="11669" xr:uid="{00000000-0005-0000-0000-0000952D0000}"/>
    <cellStyle name="Calculation 3 2 11" xfId="11670" xr:uid="{00000000-0005-0000-0000-0000962D0000}"/>
    <cellStyle name="Calculation 3 2 12" xfId="11671" xr:uid="{00000000-0005-0000-0000-0000972D0000}"/>
    <cellStyle name="Calculation 3 2 13" xfId="11672" xr:uid="{00000000-0005-0000-0000-0000982D0000}"/>
    <cellStyle name="Calculation 3 2 14" xfId="11673" xr:uid="{00000000-0005-0000-0000-0000992D0000}"/>
    <cellStyle name="Calculation 3 2 15" xfId="11674" xr:uid="{00000000-0005-0000-0000-00009A2D0000}"/>
    <cellStyle name="Calculation 3 2 16" xfId="11675" xr:uid="{00000000-0005-0000-0000-00009B2D0000}"/>
    <cellStyle name="Calculation 3 2 17" xfId="11676" xr:uid="{00000000-0005-0000-0000-00009C2D0000}"/>
    <cellStyle name="Calculation 3 2 18" xfId="11677" xr:uid="{00000000-0005-0000-0000-00009D2D0000}"/>
    <cellStyle name="Calculation 3 2 19" xfId="11678" xr:uid="{00000000-0005-0000-0000-00009E2D0000}"/>
    <cellStyle name="Calculation 3 2 2" xfId="11679" xr:uid="{00000000-0005-0000-0000-00009F2D0000}"/>
    <cellStyle name="Calculation 3 2 2 10" xfId="11680" xr:uid="{00000000-0005-0000-0000-0000A02D0000}"/>
    <cellStyle name="Calculation 3 2 2 11" xfId="11681" xr:uid="{00000000-0005-0000-0000-0000A12D0000}"/>
    <cellStyle name="Calculation 3 2 2 12" xfId="11682" xr:uid="{00000000-0005-0000-0000-0000A22D0000}"/>
    <cellStyle name="Calculation 3 2 2 13" xfId="11683" xr:uid="{00000000-0005-0000-0000-0000A32D0000}"/>
    <cellStyle name="Calculation 3 2 2 14" xfId="11684" xr:uid="{00000000-0005-0000-0000-0000A42D0000}"/>
    <cellStyle name="Calculation 3 2 2 15" xfId="11685" xr:uid="{00000000-0005-0000-0000-0000A52D0000}"/>
    <cellStyle name="Calculation 3 2 2 16" xfId="11686" xr:uid="{00000000-0005-0000-0000-0000A62D0000}"/>
    <cellStyle name="Calculation 3 2 2 17" xfId="11687" xr:uid="{00000000-0005-0000-0000-0000A72D0000}"/>
    <cellStyle name="Calculation 3 2 2 18" xfId="11688" xr:uid="{00000000-0005-0000-0000-0000A82D0000}"/>
    <cellStyle name="Calculation 3 2 2 19" xfId="11689" xr:uid="{00000000-0005-0000-0000-0000A92D0000}"/>
    <cellStyle name="Calculation 3 2 2 2" xfId="11690" xr:uid="{00000000-0005-0000-0000-0000AA2D0000}"/>
    <cellStyle name="Calculation 3 2 2 20" xfId="11691" xr:uid="{00000000-0005-0000-0000-0000AB2D0000}"/>
    <cellStyle name="Calculation 3 2 2 21" xfId="11692" xr:uid="{00000000-0005-0000-0000-0000AC2D0000}"/>
    <cellStyle name="Calculation 3 2 2 22" xfId="11693" xr:uid="{00000000-0005-0000-0000-0000AD2D0000}"/>
    <cellStyle name="Calculation 3 2 2 23" xfId="11694" xr:uid="{00000000-0005-0000-0000-0000AE2D0000}"/>
    <cellStyle name="Calculation 3 2 2 24" xfId="11695" xr:uid="{00000000-0005-0000-0000-0000AF2D0000}"/>
    <cellStyle name="Calculation 3 2 2 25" xfId="11696" xr:uid="{00000000-0005-0000-0000-0000B02D0000}"/>
    <cellStyle name="Calculation 3 2 2 26" xfId="11697" xr:uid="{00000000-0005-0000-0000-0000B12D0000}"/>
    <cellStyle name="Calculation 3 2 2 27" xfId="11698" xr:uid="{00000000-0005-0000-0000-0000B22D0000}"/>
    <cellStyle name="Calculation 3 2 2 28" xfId="11699" xr:uid="{00000000-0005-0000-0000-0000B32D0000}"/>
    <cellStyle name="Calculation 3 2 2 29" xfId="11700" xr:uid="{00000000-0005-0000-0000-0000B42D0000}"/>
    <cellStyle name="Calculation 3 2 2 3" xfId="11701" xr:uid="{00000000-0005-0000-0000-0000B52D0000}"/>
    <cellStyle name="Calculation 3 2 2 30" xfId="11702" xr:uid="{00000000-0005-0000-0000-0000B62D0000}"/>
    <cellStyle name="Calculation 3 2 2 31" xfId="11703" xr:uid="{00000000-0005-0000-0000-0000B72D0000}"/>
    <cellStyle name="Calculation 3 2 2 32" xfId="11704" xr:uid="{00000000-0005-0000-0000-0000B82D0000}"/>
    <cellStyle name="Calculation 3 2 2 33" xfId="11705" xr:uid="{00000000-0005-0000-0000-0000B92D0000}"/>
    <cellStyle name="Calculation 3 2 2 34" xfId="11706" xr:uid="{00000000-0005-0000-0000-0000BA2D0000}"/>
    <cellStyle name="Calculation 3 2 2 35" xfId="11707" xr:uid="{00000000-0005-0000-0000-0000BB2D0000}"/>
    <cellStyle name="Calculation 3 2 2 36" xfId="11708" xr:uid="{00000000-0005-0000-0000-0000BC2D0000}"/>
    <cellStyle name="Calculation 3 2 2 37" xfId="11709" xr:uid="{00000000-0005-0000-0000-0000BD2D0000}"/>
    <cellStyle name="Calculation 3 2 2 38" xfId="11710" xr:uid="{00000000-0005-0000-0000-0000BE2D0000}"/>
    <cellStyle name="Calculation 3 2 2 39" xfId="11711" xr:uid="{00000000-0005-0000-0000-0000BF2D0000}"/>
    <cellStyle name="Calculation 3 2 2 4" xfId="11712" xr:uid="{00000000-0005-0000-0000-0000C02D0000}"/>
    <cellStyle name="Calculation 3 2 2 40" xfId="11713" xr:uid="{00000000-0005-0000-0000-0000C12D0000}"/>
    <cellStyle name="Calculation 3 2 2 41" xfId="11714" xr:uid="{00000000-0005-0000-0000-0000C22D0000}"/>
    <cellStyle name="Calculation 3 2 2 42" xfId="11715" xr:uid="{00000000-0005-0000-0000-0000C32D0000}"/>
    <cellStyle name="Calculation 3 2 2 43" xfId="11716" xr:uid="{00000000-0005-0000-0000-0000C42D0000}"/>
    <cellStyle name="Calculation 3 2 2 44" xfId="11717" xr:uid="{00000000-0005-0000-0000-0000C52D0000}"/>
    <cellStyle name="Calculation 3 2 2 45" xfId="11718" xr:uid="{00000000-0005-0000-0000-0000C62D0000}"/>
    <cellStyle name="Calculation 3 2 2 46" xfId="11719" xr:uid="{00000000-0005-0000-0000-0000C72D0000}"/>
    <cellStyle name="Calculation 3 2 2 47" xfId="11720" xr:uid="{00000000-0005-0000-0000-0000C82D0000}"/>
    <cellStyle name="Calculation 3 2 2 48" xfId="11721" xr:uid="{00000000-0005-0000-0000-0000C92D0000}"/>
    <cellStyle name="Calculation 3 2 2 49" xfId="11722" xr:uid="{00000000-0005-0000-0000-0000CA2D0000}"/>
    <cellStyle name="Calculation 3 2 2 5" xfId="11723" xr:uid="{00000000-0005-0000-0000-0000CB2D0000}"/>
    <cellStyle name="Calculation 3 2 2 50" xfId="11724" xr:uid="{00000000-0005-0000-0000-0000CC2D0000}"/>
    <cellStyle name="Calculation 3 2 2 51" xfId="11725" xr:uid="{00000000-0005-0000-0000-0000CD2D0000}"/>
    <cellStyle name="Calculation 3 2 2 52" xfId="11726" xr:uid="{00000000-0005-0000-0000-0000CE2D0000}"/>
    <cellStyle name="Calculation 3 2 2 53" xfId="11727" xr:uid="{00000000-0005-0000-0000-0000CF2D0000}"/>
    <cellStyle name="Calculation 3 2 2 54" xfId="11728" xr:uid="{00000000-0005-0000-0000-0000D02D0000}"/>
    <cellStyle name="Calculation 3 2 2 55" xfId="11729" xr:uid="{00000000-0005-0000-0000-0000D12D0000}"/>
    <cellStyle name="Calculation 3 2 2 56" xfId="11730" xr:uid="{00000000-0005-0000-0000-0000D22D0000}"/>
    <cellStyle name="Calculation 3 2 2 57" xfId="11731" xr:uid="{00000000-0005-0000-0000-0000D32D0000}"/>
    <cellStyle name="Calculation 3 2 2 58" xfId="11732" xr:uid="{00000000-0005-0000-0000-0000D42D0000}"/>
    <cellStyle name="Calculation 3 2 2 59" xfId="11733" xr:uid="{00000000-0005-0000-0000-0000D52D0000}"/>
    <cellStyle name="Calculation 3 2 2 6" xfId="11734" xr:uid="{00000000-0005-0000-0000-0000D62D0000}"/>
    <cellStyle name="Calculation 3 2 2 60" xfId="11735" xr:uid="{00000000-0005-0000-0000-0000D72D0000}"/>
    <cellStyle name="Calculation 3 2 2 61" xfId="11736" xr:uid="{00000000-0005-0000-0000-0000D82D0000}"/>
    <cellStyle name="Calculation 3 2 2 62" xfId="11737" xr:uid="{00000000-0005-0000-0000-0000D92D0000}"/>
    <cellStyle name="Calculation 3 2 2 63" xfId="11738" xr:uid="{00000000-0005-0000-0000-0000DA2D0000}"/>
    <cellStyle name="Calculation 3 2 2 64" xfId="11739" xr:uid="{00000000-0005-0000-0000-0000DB2D0000}"/>
    <cellStyle name="Calculation 3 2 2 65" xfId="11740" xr:uid="{00000000-0005-0000-0000-0000DC2D0000}"/>
    <cellStyle name="Calculation 3 2 2 7" xfId="11741" xr:uid="{00000000-0005-0000-0000-0000DD2D0000}"/>
    <cellStyle name="Calculation 3 2 2 8" xfId="11742" xr:uid="{00000000-0005-0000-0000-0000DE2D0000}"/>
    <cellStyle name="Calculation 3 2 2 9" xfId="11743" xr:uid="{00000000-0005-0000-0000-0000DF2D0000}"/>
    <cellStyle name="Calculation 3 2 20" xfId="11744" xr:uid="{00000000-0005-0000-0000-0000E02D0000}"/>
    <cellStyle name="Calculation 3 2 21" xfId="11745" xr:uid="{00000000-0005-0000-0000-0000E12D0000}"/>
    <cellStyle name="Calculation 3 2 22" xfId="11746" xr:uid="{00000000-0005-0000-0000-0000E22D0000}"/>
    <cellStyle name="Calculation 3 2 23" xfId="11747" xr:uid="{00000000-0005-0000-0000-0000E32D0000}"/>
    <cellStyle name="Calculation 3 2 24" xfId="11748" xr:uid="{00000000-0005-0000-0000-0000E42D0000}"/>
    <cellStyle name="Calculation 3 2 25" xfId="11749" xr:uid="{00000000-0005-0000-0000-0000E52D0000}"/>
    <cellStyle name="Calculation 3 2 26" xfId="11750" xr:uid="{00000000-0005-0000-0000-0000E62D0000}"/>
    <cellStyle name="Calculation 3 2 27" xfId="11751" xr:uid="{00000000-0005-0000-0000-0000E72D0000}"/>
    <cellStyle name="Calculation 3 2 28" xfId="11752" xr:uid="{00000000-0005-0000-0000-0000E82D0000}"/>
    <cellStyle name="Calculation 3 2 29" xfId="11753" xr:uid="{00000000-0005-0000-0000-0000E92D0000}"/>
    <cellStyle name="Calculation 3 2 3" xfId="11754" xr:uid="{00000000-0005-0000-0000-0000EA2D0000}"/>
    <cellStyle name="Calculation 3 2 30" xfId="11755" xr:uid="{00000000-0005-0000-0000-0000EB2D0000}"/>
    <cellStyle name="Calculation 3 2 31" xfId="11756" xr:uid="{00000000-0005-0000-0000-0000EC2D0000}"/>
    <cellStyle name="Calculation 3 2 32" xfId="11757" xr:uid="{00000000-0005-0000-0000-0000ED2D0000}"/>
    <cellStyle name="Calculation 3 2 33" xfId="11758" xr:uid="{00000000-0005-0000-0000-0000EE2D0000}"/>
    <cellStyle name="Calculation 3 2 34" xfId="11759" xr:uid="{00000000-0005-0000-0000-0000EF2D0000}"/>
    <cellStyle name="Calculation 3 2 35" xfId="11760" xr:uid="{00000000-0005-0000-0000-0000F02D0000}"/>
    <cellStyle name="Calculation 3 2 36" xfId="11761" xr:uid="{00000000-0005-0000-0000-0000F12D0000}"/>
    <cellStyle name="Calculation 3 2 37" xfId="11762" xr:uid="{00000000-0005-0000-0000-0000F22D0000}"/>
    <cellStyle name="Calculation 3 2 38" xfId="11763" xr:uid="{00000000-0005-0000-0000-0000F32D0000}"/>
    <cellStyle name="Calculation 3 2 39" xfId="11764" xr:uid="{00000000-0005-0000-0000-0000F42D0000}"/>
    <cellStyle name="Calculation 3 2 4" xfId="11765" xr:uid="{00000000-0005-0000-0000-0000F52D0000}"/>
    <cellStyle name="Calculation 3 2 40" xfId="11766" xr:uid="{00000000-0005-0000-0000-0000F62D0000}"/>
    <cellStyle name="Calculation 3 2 41" xfId="11767" xr:uid="{00000000-0005-0000-0000-0000F72D0000}"/>
    <cellStyle name="Calculation 3 2 42" xfId="11768" xr:uid="{00000000-0005-0000-0000-0000F82D0000}"/>
    <cellStyle name="Calculation 3 2 43" xfId="11769" xr:uid="{00000000-0005-0000-0000-0000F92D0000}"/>
    <cellStyle name="Calculation 3 2 44" xfId="11770" xr:uid="{00000000-0005-0000-0000-0000FA2D0000}"/>
    <cellStyle name="Calculation 3 2 45" xfId="11771" xr:uid="{00000000-0005-0000-0000-0000FB2D0000}"/>
    <cellStyle name="Calculation 3 2 46" xfId="11772" xr:uid="{00000000-0005-0000-0000-0000FC2D0000}"/>
    <cellStyle name="Calculation 3 2 47" xfId="11773" xr:uid="{00000000-0005-0000-0000-0000FD2D0000}"/>
    <cellStyle name="Calculation 3 2 48" xfId="11774" xr:uid="{00000000-0005-0000-0000-0000FE2D0000}"/>
    <cellStyle name="Calculation 3 2 49" xfId="11775" xr:uid="{00000000-0005-0000-0000-0000FF2D0000}"/>
    <cellStyle name="Calculation 3 2 5" xfId="11776" xr:uid="{00000000-0005-0000-0000-0000002E0000}"/>
    <cellStyle name="Calculation 3 2 50" xfId="11777" xr:uid="{00000000-0005-0000-0000-0000012E0000}"/>
    <cellStyle name="Calculation 3 2 51" xfId="11778" xr:uid="{00000000-0005-0000-0000-0000022E0000}"/>
    <cellStyle name="Calculation 3 2 52" xfId="11779" xr:uid="{00000000-0005-0000-0000-0000032E0000}"/>
    <cellStyle name="Calculation 3 2 53" xfId="11780" xr:uid="{00000000-0005-0000-0000-0000042E0000}"/>
    <cellStyle name="Calculation 3 2 54" xfId="11781" xr:uid="{00000000-0005-0000-0000-0000052E0000}"/>
    <cellStyle name="Calculation 3 2 55" xfId="11782" xr:uid="{00000000-0005-0000-0000-0000062E0000}"/>
    <cellStyle name="Calculation 3 2 56" xfId="11783" xr:uid="{00000000-0005-0000-0000-0000072E0000}"/>
    <cellStyle name="Calculation 3 2 57" xfId="11784" xr:uid="{00000000-0005-0000-0000-0000082E0000}"/>
    <cellStyle name="Calculation 3 2 58" xfId="11785" xr:uid="{00000000-0005-0000-0000-0000092E0000}"/>
    <cellStyle name="Calculation 3 2 59" xfId="11786" xr:uid="{00000000-0005-0000-0000-00000A2E0000}"/>
    <cellStyle name="Calculation 3 2 6" xfId="11787" xr:uid="{00000000-0005-0000-0000-00000B2E0000}"/>
    <cellStyle name="Calculation 3 2 60" xfId="11788" xr:uid="{00000000-0005-0000-0000-00000C2E0000}"/>
    <cellStyle name="Calculation 3 2 61" xfId="11789" xr:uid="{00000000-0005-0000-0000-00000D2E0000}"/>
    <cellStyle name="Calculation 3 2 62" xfId="11790" xr:uid="{00000000-0005-0000-0000-00000E2E0000}"/>
    <cellStyle name="Calculation 3 2 63" xfId="11791" xr:uid="{00000000-0005-0000-0000-00000F2E0000}"/>
    <cellStyle name="Calculation 3 2 64" xfId="11792" xr:uid="{00000000-0005-0000-0000-0000102E0000}"/>
    <cellStyle name="Calculation 3 2 65" xfId="11793" xr:uid="{00000000-0005-0000-0000-0000112E0000}"/>
    <cellStyle name="Calculation 3 2 66" xfId="11794" xr:uid="{00000000-0005-0000-0000-0000122E0000}"/>
    <cellStyle name="Calculation 3 2 7" xfId="11795" xr:uid="{00000000-0005-0000-0000-0000132E0000}"/>
    <cellStyle name="Calculation 3 2 8" xfId="11796" xr:uid="{00000000-0005-0000-0000-0000142E0000}"/>
    <cellStyle name="Calculation 3 2 9" xfId="11797" xr:uid="{00000000-0005-0000-0000-0000152E0000}"/>
    <cellStyle name="Calculation 3 20" xfId="11798" xr:uid="{00000000-0005-0000-0000-0000162E0000}"/>
    <cellStyle name="Calculation 3 21" xfId="11799" xr:uid="{00000000-0005-0000-0000-0000172E0000}"/>
    <cellStyle name="Calculation 3 22" xfId="11800" xr:uid="{00000000-0005-0000-0000-0000182E0000}"/>
    <cellStyle name="Calculation 3 23" xfId="11801" xr:uid="{00000000-0005-0000-0000-0000192E0000}"/>
    <cellStyle name="Calculation 3 24" xfId="11802" xr:uid="{00000000-0005-0000-0000-00001A2E0000}"/>
    <cellStyle name="Calculation 3 25" xfId="11803" xr:uid="{00000000-0005-0000-0000-00001B2E0000}"/>
    <cellStyle name="Calculation 3 26" xfId="11804" xr:uid="{00000000-0005-0000-0000-00001C2E0000}"/>
    <cellStyle name="Calculation 3 27" xfId="11805" xr:uid="{00000000-0005-0000-0000-00001D2E0000}"/>
    <cellStyle name="Calculation 3 28" xfId="11806" xr:uid="{00000000-0005-0000-0000-00001E2E0000}"/>
    <cellStyle name="Calculation 3 29" xfId="11807" xr:uid="{00000000-0005-0000-0000-00001F2E0000}"/>
    <cellStyle name="Calculation 3 3" xfId="11808" xr:uid="{00000000-0005-0000-0000-0000202E0000}"/>
    <cellStyle name="Calculation 3 3 10" xfId="11809" xr:uid="{00000000-0005-0000-0000-0000212E0000}"/>
    <cellStyle name="Calculation 3 3 11" xfId="11810" xr:uid="{00000000-0005-0000-0000-0000222E0000}"/>
    <cellStyle name="Calculation 3 3 12" xfId="11811" xr:uid="{00000000-0005-0000-0000-0000232E0000}"/>
    <cellStyle name="Calculation 3 3 13" xfId="11812" xr:uid="{00000000-0005-0000-0000-0000242E0000}"/>
    <cellStyle name="Calculation 3 3 14" xfId="11813" xr:uid="{00000000-0005-0000-0000-0000252E0000}"/>
    <cellStyle name="Calculation 3 3 15" xfId="11814" xr:uid="{00000000-0005-0000-0000-0000262E0000}"/>
    <cellStyle name="Calculation 3 3 16" xfId="11815" xr:uid="{00000000-0005-0000-0000-0000272E0000}"/>
    <cellStyle name="Calculation 3 3 17" xfId="11816" xr:uid="{00000000-0005-0000-0000-0000282E0000}"/>
    <cellStyle name="Calculation 3 3 18" xfId="11817" xr:uid="{00000000-0005-0000-0000-0000292E0000}"/>
    <cellStyle name="Calculation 3 3 19" xfId="11818" xr:uid="{00000000-0005-0000-0000-00002A2E0000}"/>
    <cellStyle name="Calculation 3 3 2" xfId="11819" xr:uid="{00000000-0005-0000-0000-00002B2E0000}"/>
    <cellStyle name="Calculation 3 3 2 10" xfId="11820" xr:uid="{00000000-0005-0000-0000-00002C2E0000}"/>
    <cellStyle name="Calculation 3 3 2 11" xfId="11821" xr:uid="{00000000-0005-0000-0000-00002D2E0000}"/>
    <cellStyle name="Calculation 3 3 2 12" xfId="11822" xr:uid="{00000000-0005-0000-0000-00002E2E0000}"/>
    <cellStyle name="Calculation 3 3 2 13" xfId="11823" xr:uid="{00000000-0005-0000-0000-00002F2E0000}"/>
    <cellStyle name="Calculation 3 3 2 14" xfId="11824" xr:uid="{00000000-0005-0000-0000-0000302E0000}"/>
    <cellStyle name="Calculation 3 3 2 15" xfId="11825" xr:uid="{00000000-0005-0000-0000-0000312E0000}"/>
    <cellStyle name="Calculation 3 3 2 16" xfId="11826" xr:uid="{00000000-0005-0000-0000-0000322E0000}"/>
    <cellStyle name="Calculation 3 3 2 17" xfId="11827" xr:uid="{00000000-0005-0000-0000-0000332E0000}"/>
    <cellStyle name="Calculation 3 3 2 18" xfId="11828" xr:uid="{00000000-0005-0000-0000-0000342E0000}"/>
    <cellStyle name="Calculation 3 3 2 19" xfId="11829" xr:uid="{00000000-0005-0000-0000-0000352E0000}"/>
    <cellStyle name="Calculation 3 3 2 2" xfId="11830" xr:uid="{00000000-0005-0000-0000-0000362E0000}"/>
    <cellStyle name="Calculation 3 3 2 20" xfId="11831" xr:uid="{00000000-0005-0000-0000-0000372E0000}"/>
    <cellStyle name="Calculation 3 3 2 21" xfId="11832" xr:uid="{00000000-0005-0000-0000-0000382E0000}"/>
    <cellStyle name="Calculation 3 3 2 22" xfId="11833" xr:uid="{00000000-0005-0000-0000-0000392E0000}"/>
    <cellStyle name="Calculation 3 3 2 23" xfId="11834" xr:uid="{00000000-0005-0000-0000-00003A2E0000}"/>
    <cellStyle name="Calculation 3 3 2 24" xfId="11835" xr:uid="{00000000-0005-0000-0000-00003B2E0000}"/>
    <cellStyle name="Calculation 3 3 2 25" xfId="11836" xr:uid="{00000000-0005-0000-0000-00003C2E0000}"/>
    <cellStyle name="Calculation 3 3 2 26" xfId="11837" xr:uid="{00000000-0005-0000-0000-00003D2E0000}"/>
    <cellStyle name="Calculation 3 3 2 27" xfId="11838" xr:uid="{00000000-0005-0000-0000-00003E2E0000}"/>
    <cellStyle name="Calculation 3 3 2 28" xfId="11839" xr:uid="{00000000-0005-0000-0000-00003F2E0000}"/>
    <cellStyle name="Calculation 3 3 2 29" xfId="11840" xr:uid="{00000000-0005-0000-0000-0000402E0000}"/>
    <cellStyle name="Calculation 3 3 2 3" xfId="11841" xr:uid="{00000000-0005-0000-0000-0000412E0000}"/>
    <cellStyle name="Calculation 3 3 2 30" xfId="11842" xr:uid="{00000000-0005-0000-0000-0000422E0000}"/>
    <cellStyle name="Calculation 3 3 2 31" xfId="11843" xr:uid="{00000000-0005-0000-0000-0000432E0000}"/>
    <cellStyle name="Calculation 3 3 2 32" xfId="11844" xr:uid="{00000000-0005-0000-0000-0000442E0000}"/>
    <cellStyle name="Calculation 3 3 2 33" xfId="11845" xr:uid="{00000000-0005-0000-0000-0000452E0000}"/>
    <cellStyle name="Calculation 3 3 2 34" xfId="11846" xr:uid="{00000000-0005-0000-0000-0000462E0000}"/>
    <cellStyle name="Calculation 3 3 2 35" xfId="11847" xr:uid="{00000000-0005-0000-0000-0000472E0000}"/>
    <cellStyle name="Calculation 3 3 2 36" xfId="11848" xr:uid="{00000000-0005-0000-0000-0000482E0000}"/>
    <cellStyle name="Calculation 3 3 2 37" xfId="11849" xr:uid="{00000000-0005-0000-0000-0000492E0000}"/>
    <cellStyle name="Calculation 3 3 2 38" xfId="11850" xr:uid="{00000000-0005-0000-0000-00004A2E0000}"/>
    <cellStyle name="Calculation 3 3 2 39" xfId="11851" xr:uid="{00000000-0005-0000-0000-00004B2E0000}"/>
    <cellStyle name="Calculation 3 3 2 4" xfId="11852" xr:uid="{00000000-0005-0000-0000-00004C2E0000}"/>
    <cellStyle name="Calculation 3 3 2 40" xfId="11853" xr:uid="{00000000-0005-0000-0000-00004D2E0000}"/>
    <cellStyle name="Calculation 3 3 2 41" xfId="11854" xr:uid="{00000000-0005-0000-0000-00004E2E0000}"/>
    <cellStyle name="Calculation 3 3 2 42" xfId="11855" xr:uid="{00000000-0005-0000-0000-00004F2E0000}"/>
    <cellStyle name="Calculation 3 3 2 43" xfId="11856" xr:uid="{00000000-0005-0000-0000-0000502E0000}"/>
    <cellStyle name="Calculation 3 3 2 44" xfId="11857" xr:uid="{00000000-0005-0000-0000-0000512E0000}"/>
    <cellStyle name="Calculation 3 3 2 45" xfId="11858" xr:uid="{00000000-0005-0000-0000-0000522E0000}"/>
    <cellStyle name="Calculation 3 3 2 46" xfId="11859" xr:uid="{00000000-0005-0000-0000-0000532E0000}"/>
    <cellStyle name="Calculation 3 3 2 47" xfId="11860" xr:uid="{00000000-0005-0000-0000-0000542E0000}"/>
    <cellStyle name="Calculation 3 3 2 48" xfId="11861" xr:uid="{00000000-0005-0000-0000-0000552E0000}"/>
    <cellStyle name="Calculation 3 3 2 49" xfId="11862" xr:uid="{00000000-0005-0000-0000-0000562E0000}"/>
    <cellStyle name="Calculation 3 3 2 5" xfId="11863" xr:uid="{00000000-0005-0000-0000-0000572E0000}"/>
    <cellStyle name="Calculation 3 3 2 50" xfId="11864" xr:uid="{00000000-0005-0000-0000-0000582E0000}"/>
    <cellStyle name="Calculation 3 3 2 51" xfId="11865" xr:uid="{00000000-0005-0000-0000-0000592E0000}"/>
    <cellStyle name="Calculation 3 3 2 52" xfId="11866" xr:uid="{00000000-0005-0000-0000-00005A2E0000}"/>
    <cellStyle name="Calculation 3 3 2 53" xfId="11867" xr:uid="{00000000-0005-0000-0000-00005B2E0000}"/>
    <cellStyle name="Calculation 3 3 2 54" xfId="11868" xr:uid="{00000000-0005-0000-0000-00005C2E0000}"/>
    <cellStyle name="Calculation 3 3 2 55" xfId="11869" xr:uid="{00000000-0005-0000-0000-00005D2E0000}"/>
    <cellStyle name="Calculation 3 3 2 56" xfId="11870" xr:uid="{00000000-0005-0000-0000-00005E2E0000}"/>
    <cellStyle name="Calculation 3 3 2 57" xfId="11871" xr:uid="{00000000-0005-0000-0000-00005F2E0000}"/>
    <cellStyle name="Calculation 3 3 2 58" xfId="11872" xr:uid="{00000000-0005-0000-0000-0000602E0000}"/>
    <cellStyle name="Calculation 3 3 2 59" xfId="11873" xr:uid="{00000000-0005-0000-0000-0000612E0000}"/>
    <cellStyle name="Calculation 3 3 2 6" xfId="11874" xr:uid="{00000000-0005-0000-0000-0000622E0000}"/>
    <cellStyle name="Calculation 3 3 2 60" xfId="11875" xr:uid="{00000000-0005-0000-0000-0000632E0000}"/>
    <cellStyle name="Calculation 3 3 2 61" xfId="11876" xr:uid="{00000000-0005-0000-0000-0000642E0000}"/>
    <cellStyle name="Calculation 3 3 2 62" xfId="11877" xr:uid="{00000000-0005-0000-0000-0000652E0000}"/>
    <cellStyle name="Calculation 3 3 2 63" xfId="11878" xr:uid="{00000000-0005-0000-0000-0000662E0000}"/>
    <cellStyle name="Calculation 3 3 2 64" xfId="11879" xr:uid="{00000000-0005-0000-0000-0000672E0000}"/>
    <cellStyle name="Calculation 3 3 2 65" xfId="11880" xr:uid="{00000000-0005-0000-0000-0000682E0000}"/>
    <cellStyle name="Calculation 3 3 2 7" xfId="11881" xr:uid="{00000000-0005-0000-0000-0000692E0000}"/>
    <cellStyle name="Calculation 3 3 2 8" xfId="11882" xr:uid="{00000000-0005-0000-0000-00006A2E0000}"/>
    <cellStyle name="Calculation 3 3 2 9" xfId="11883" xr:uid="{00000000-0005-0000-0000-00006B2E0000}"/>
    <cellStyle name="Calculation 3 3 20" xfId="11884" xr:uid="{00000000-0005-0000-0000-00006C2E0000}"/>
    <cellStyle name="Calculation 3 3 21" xfId="11885" xr:uid="{00000000-0005-0000-0000-00006D2E0000}"/>
    <cellStyle name="Calculation 3 3 22" xfId="11886" xr:uid="{00000000-0005-0000-0000-00006E2E0000}"/>
    <cellStyle name="Calculation 3 3 23" xfId="11887" xr:uid="{00000000-0005-0000-0000-00006F2E0000}"/>
    <cellStyle name="Calculation 3 3 24" xfId="11888" xr:uid="{00000000-0005-0000-0000-0000702E0000}"/>
    <cellStyle name="Calculation 3 3 25" xfId="11889" xr:uid="{00000000-0005-0000-0000-0000712E0000}"/>
    <cellStyle name="Calculation 3 3 26" xfId="11890" xr:uid="{00000000-0005-0000-0000-0000722E0000}"/>
    <cellStyle name="Calculation 3 3 27" xfId="11891" xr:uid="{00000000-0005-0000-0000-0000732E0000}"/>
    <cellStyle name="Calculation 3 3 28" xfId="11892" xr:uid="{00000000-0005-0000-0000-0000742E0000}"/>
    <cellStyle name="Calculation 3 3 29" xfId="11893" xr:uid="{00000000-0005-0000-0000-0000752E0000}"/>
    <cellStyle name="Calculation 3 3 3" xfId="11894" xr:uid="{00000000-0005-0000-0000-0000762E0000}"/>
    <cellStyle name="Calculation 3 3 30" xfId="11895" xr:uid="{00000000-0005-0000-0000-0000772E0000}"/>
    <cellStyle name="Calculation 3 3 31" xfId="11896" xr:uid="{00000000-0005-0000-0000-0000782E0000}"/>
    <cellStyle name="Calculation 3 3 32" xfId="11897" xr:uid="{00000000-0005-0000-0000-0000792E0000}"/>
    <cellStyle name="Calculation 3 3 33" xfId="11898" xr:uid="{00000000-0005-0000-0000-00007A2E0000}"/>
    <cellStyle name="Calculation 3 3 34" xfId="11899" xr:uid="{00000000-0005-0000-0000-00007B2E0000}"/>
    <cellStyle name="Calculation 3 3 35" xfId="11900" xr:uid="{00000000-0005-0000-0000-00007C2E0000}"/>
    <cellStyle name="Calculation 3 3 36" xfId="11901" xr:uid="{00000000-0005-0000-0000-00007D2E0000}"/>
    <cellStyle name="Calculation 3 3 37" xfId="11902" xr:uid="{00000000-0005-0000-0000-00007E2E0000}"/>
    <cellStyle name="Calculation 3 3 38" xfId="11903" xr:uid="{00000000-0005-0000-0000-00007F2E0000}"/>
    <cellStyle name="Calculation 3 3 39" xfId="11904" xr:uid="{00000000-0005-0000-0000-0000802E0000}"/>
    <cellStyle name="Calculation 3 3 4" xfId="11905" xr:uid="{00000000-0005-0000-0000-0000812E0000}"/>
    <cellStyle name="Calculation 3 3 40" xfId="11906" xr:uid="{00000000-0005-0000-0000-0000822E0000}"/>
    <cellStyle name="Calculation 3 3 41" xfId="11907" xr:uid="{00000000-0005-0000-0000-0000832E0000}"/>
    <cellStyle name="Calculation 3 3 42" xfId="11908" xr:uid="{00000000-0005-0000-0000-0000842E0000}"/>
    <cellStyle name="Calculation 3 3 43" xfId="11909" xr:uid="{00000000-0005-0000-0000-0000852E0000}"/>
    <cellStyle name="Calculation 3 3 44" xfId="11910" xr:uid="{00000000-0005-0000-0000-0000862E0000}"/>
    <cellStyle name="Calculation 3 3 45" xfId="11911" xr:uid="{00000000-0005-0000-0000-0000872E0000}"/>
    <cellStyle name="Calculation 3 3 46" xfId="11912" xr:uid="{00000000-0005-0000-0000-0000882E0000}"/>
    <cellStyle name="Calculation 3 3 47" xfId="11913" xr:uid="{00000000-0005-0000-0000-0000892E0000}"/>
    <cellStyle name="Calculation 3 3 48" xfId="11914" xr:uid="{00000000-0005-0000-0000-00008A2E0000}"/>
    <cellStyle name="Calculation 3 3 49" xfId="11915" xr:uid="{00000000-0005-0000-0000-00008B2E0000}"/>
    <cellStyle name="Calculation 3 3 5" xfId="11916" xr:uid="{00000000-0005-0000-0000-00008C2E0000}"/>
    <cellStyle name="Calculation 3 3 50" xfId="11917" xr:uid="{00000000-0005-0000-0000-00008D2E0000}"/>
    <cellStyle name="Calculation 3 3 51" xfId="11918" xr:uid="{00000000-0005-0000-0000-00008E2E0000}"/>
    <cellStyle name="Calculation 3 3 52" xfId="11919" xr:uid="{00000000-0005-0000-0000-00008F2E0000}"/>
    <cellStyle name="Calculation 3 3 53" xfId="11920" xr:uid="{00000000-0005-0000-0000-0000902E0000}"/>
    <cellStyle name="Calculation 3 3 54" xfId="11921" xr:uid="{00000000-0005-0000-0000-0000912E0000}"/>
    <cellStyle name="Calculation 3 3 55" xfId="11922" xr:uid="{00000000-0005-0000-0000-0000922E0000}"/>
    <cellStyle name="Calculation 3 3 56" xfId="11923" xr:uid="{00000000-0005-0000-0000-0000932E0000}"/>
    <cellStyle name="Calculation 3 3 57" xfId="11924" xr:uid="{00000000-0005-0000-0000-0000942E0000}"/>
    <cellStyle name="Calculation 3 3 58" xfId="11925" xr:uid="{00000000-0005-0000-0000-0000952E0000}"/>
    <cellStyle name="Calculation 3 3 59" xfId="11926" xr:uid="{00000000-0005-0000-0000-0000962E0000}"/>
    <cellStyle name="Calculation 3 3 6" xfId="11927" xr:uid="{00000000-0005-0000-0000-0000972E0000}"/>
    <cellStyle name="Calculation 3 3 60" xfId="11928" xr:uid="{00000000-0005-0000-0000-0000982E0000}"/>
    <cellStyle name="Calculation 3 3 61" xfId="11929" xr:uid="{00000000-0005-0000-0000-0000992E0000}"/>
    <cellStyle name="Calculation 3 3 62" xfId="11930" xr:uid="{00000000-0005-0000-0000-00009A2E0000}"/>
    <cellStyle name="Calculation 3 3 63" xfId="11931" xr:uid="{00000000-0005-0000-0000-00009B2E0000}"/>
    <cellStyle name="Calculation 3 3 64" xfId="11932" xr:uid="{00000000-0005-0000-0000-00009C2E0000}"/>
    <cellStyle name="Calculation 3 3 65" xfId="11933" xr:uid="{00000000-0005-0000-0000-00009D2E0000}"/>
    <cellStyle name="Calculation 3 3 66" xfId="11934" xr:uid="{00000000-0005-0000-0000-00009E2E0000}"/>
    <cellStyle name="Calculation 3 3 7" xfId="11935" xr:uid="{00000000-0005-0000-0000-00009F2E0000}"/>
    <cellStyle name="Calculation 3 3 8" xfId="11936" xr:uid="{00000000-0005-0000-0000-0000A02E0000}"/>
    <cellStyle name="Calculation 3 3 9" xfId="11937" xr:uid="{00000000-0005-0000-0000-0000A12E0000}"/>
    <cellStyle name="Calculation 3 30" xfId="11938" xr:uid="{00000000-0005-0000-0000-0000A22E0000}"/>
    <cellStyle name="Calculation 3 31" xfId="11939" xr:uid="{00000000-0005-0000-0000-0000A32E0000}"/>
    <cellStyle name="Calculation 3 32" xfId="11940" xr:uid="{00000000-0005-0000-0000-0000A42E0000}"/>
    <cellStyle name="Calculation 3 33" xfId="11941" xr:uid="{00000000-0005-0000-0000-0000A52E0000}"/>
    <cellStyle name="Calculation 3 34" xfId="11942" xr:uid="{00000000-0005-0000-0000-0000A62E0000}"/>
    <cellStyle name="Calculation 3 35" xfId="11943" xr:uid="{00000000-0005-0000-0000-0000A72E0000}"/>
    <cellStyle name="Calculation 3 36" xfId="11944" xr:uid="{00000000-0005-0000-0000-0000A82E0000}"/>
    <cellStyle name="Calculation 3 37" xfId="11945" xr:uid="{00000000-0005-0000-0000-0000A92E0000}"/>
    <cellStyle name="Calculation 3 38" xfId="11946" xr:uid="{00000000-0005-0000-0000-0000AA2E0000}"/>
    <cellStyle name="Calculation 3 39" xfId="11947" xr:uid="{00000000-0005-0000-0000-0000AB2E0000}"/>
    <cellStyle name="Calculation 3 4" xfId="11948" xr:uid="{00000000-0005-0000-0000-0000AC2E0000}"/>
    <cellStyle name="Calculation 3 4 10" xfId="11949" xr:uid="{00000000-0005-0000-0000-0000AD2E0000}"/>
    <cellStyle name="Calculation 3 4 11" xfId="11950" xr:uid="{00000000-0005-0000-0000-0000AE2E0000}"/>
    <cellStyle name="Calculation 3 4 12" xfId="11951" xr:uid="{00000000-0005-0000-0000-0000AF2E0000}"/>
    <cellStyle name="Calculation 3 4 13" xfId="11952" xr:uid="{00000000-0005-0000-0000-0000B02E0000}"/>
    <cellStyle name="Calculation 3 4 14" xfId="11953" xr:uid="{00000000-0005-0000-0000-0000B12E0000}"/>
    <cellStyle name="Calculation 3 4 15" xfId="11954" xr:uid="{00000000-0005-0000-0000-0000B22E0000}"/>
    <cellStyle name="Calculation 3 4 16" xfId="11955" xr:uid="{00000000-0005-0000-0000-0000B32E0000}"/>
    <cellStyle name="Calculation 3 4 17" xfId="11956" xr:uid="{00000000-0005-0000-0000-0000B42E0000}"/>
    <cellStyle name="Calculation 3 4 18" xfId="11957" xr:uid="{00000000-0005-0000-0000-0000B52E0000}"/>
    <cellStyle name="Calculation 3 4 19" xfId="11958" xr:uid="{00000000-0005-0000-0000-0000B62E0000}"/>
    <cellStyle name="Calculation 3 4 2" xfId="11959" xr:uid="{00000000-0005-0000-0000-0000B72E0000}"/>
    <cellStyle name="Calculation 3 4 2 10" xfId="11960" xr:uid="{00000000-0005-0000-0000-0000B82E0000}"/>
    <cellStyle name="Calculation 3 4 2 11" xfId="11961" xr:uid="{00000000-0005-0000-0000-0000B92E0000}"/>
    <cellStyle name="Calculation 3 4 2 12" xfId="11962" xr:uid="{00000000-0005-0000-0000-0000BA2E0000}"/>
    <cellStyle name="Calculation 3 4 2 13" xfId="11963" xr:uid="{00000000-0005-0000-0000-0000BB2E0000}"/>
    <cellStyle name="Calculation 3 4 2 14" xfId="11964" xr:uid="{00000000-0005-0000-0000-0000BC2E0000}"/>
    <cellStyle name="Calculation 3 4 2 15" xfId="11965" xr:uid="{00000000-0005-0000-0000-0000BD2E0000}"/>
    <cellStyle name="Calculation 3 4 2 16" xfId="11966" xr:uid="{00000000-0005-0000-0000-0000BE2E0000}"/>
    <cellStyle name="Calculation 3 4 2 17" xfId="11967" xr:uid="{00000000-0005-0000-0000-0000BF2E0000}"/>
    <cellStyle name="Calculation 3 4 2 18" xfId="11968" xr:uid="{00000000-0005-0000-0000-0000C02E0000}"/>
    <cellStyle name="Calculation 3 4 2 19" xfId="11969" xr:uid="{00000000-0005-0000-0000-0000C12E0000}"/>
    <cellStyle name="Calculation 3 4 2 2" xfId="11970" xr:uid="{00000000-0005-0000-0000-0000C22E0000}"/>
    <cellStyle name="Calculation 3 4 2 20" xfId="11971" xr:uid="{00000000-0005-0000-0000-0000C32E0000}"/>
    <cellStyle name="Calculation 3 4 2 21" xfId="11972" xr:uid="{00000000-0005-0000-0000-0000C42E0000}"/>
    <cellStyle name="Calculation 3 4 2 22" xfId="11973" xr:uid="{00000000-0005-0000-0000-0000C52E0000}"/>
    <cellStyle name="Calculation 3 4 2 23" xfId="11974" xr:uid="{00000000-0005-0000-0000-0000C62E0000}"/>
    <cellStyle name="Calculation 3 4 2 24" xfId="11975" xr:uid="{00000000-0005-0000-0000-0000C72E0000}"/>
    <cellStyle name="Calculation 3 4 2 25" xfId="11976" xr:uid="{00000000-0005-0000-0000-0000C82E0000}"/>
    <cellStyle name="Calculation 3 4 2 26" xfId="11977" xr:uid="{00000000-0005-0000-0000-0000C92E0000}"/>
    <cellStyle name="Calculation 3 4 2 27" xfId="11978" xr:uid="{00000000-0005-0000-0000-0000CA2E0000}"/>
    <cellStyle name="Calculation 3 4 2 28" xfId="11979" xr:uid="{00000000-0005-0000-0000-0000CB2E0000}"/>
    <cellStyle name="Calculation 3 4 2 29" xfId="11980" xr:uid="{00000000-0005-0000-0000-0000CC2E0000}"/>
    <cellStyle name="Calculation 3 4 2 3" xfId="11981" xr:uid="{00000000-0005-0000-0000-0000CD2E0000}"/>
    <cellStyle name="Calculation 3 4 2 30" xfId="11982" xr:uid="{00000000-0005-0000-0000-0000CE2E0000}"/>
    <cellStyle name="Calculation 3 4 2 31" xfId="11983" xr:uid="{00000000-0005-0000-0000-0000CF2E0000}"/>
    <cellStyle name="Calculation 3 4 2 32" xfId="11984" xr:uid="{00000000-0005-0000-0000-0000D02E0000}"/>
    <cellStyle name="Calculation 3 4 2 33" xfId="11985" xr:uid="{00000000-0005-0000-0000-0000D12E0000}"/>
    <cellStyle name="Calculation 3 4 2 34" xfId="11986" xr:uid="{00000000-0005-0000-0000-0000D22E0000}"/>
    <cellStyle name="Calculation 3 4 2 35" xfId="11987" xr:uid="{00000000-0005-0000-0000-0000D32E0000}"/>
    <cellStyle name="Calculation 3 4 2 36" xfId="11988" xr:uid="{00000000-0005-0000-0000-0000D42E0000}"/>
    <cellStyle name="Calculation 3 4 2 37" xfId="11989" xr:uid="{00000000-0005-0000-0000-0000D52E0000}"/>
    <cellStyle name="Calculation 3 4 2 38" xfId="11990" xr:uid="{00000000-0005-0000-0000-0000D62E0000}"/>
    <cellStyle name="Calculation 3 4 2 39" xfId="11991" xr:uid="{00000000-0005-0000-0000-0000D72E0000}"/>
    <cellStyle name="Calculation 3 4 2 4" xfId="11992" xr:uid="{00000000-0005-0000-0000-0000D82E0000}"/>
    <cellStyle name="Calculation 3 4 2 40" xfId="11993" xr:uid="{00000000-0005-0000-0000-0000D92E0000}"/>
    <cellStyle name="Calculation 3 4 2 41" xfId="11994" xr:uid="{00000000-0005-0000-0000-0000DA2E0000}"/>
    <cellStyle name="Calculation 3 4 2 42" xfId="11995" xr:uid="{00000000-0005-0000-0000-0000DB2E0000}"/>
    <cellStyle name="Calculation 3 4 2 43" xfId="11996" xr:uid="{00000000-0005-0000-0000-0000DC2E0000}"/>
    <cellStyle name="Calculation 3 4 2 44" xfId="11997" xr:uid="{00000000-0005-0000-0000-0000DD2E0000}"/>
    <cellStyle name="Calculation 3 4 2 45" xfId="11998" xr:uid="{00000000-0005-0000-0000-0000DE2E0000}"/>
    <cellStyle name="Calculation 3 4 2 46" xfId="11999" xr:uid="{00000000-0005-0000-0000-0000DF2E0000}"/>
    <cellStyle name="Calculation 3 4 2 47" xfId="12000" xr:uid="{00000000-0005-0000-0000-0000E02E0000}"/>
    <cellStyle name="Calculation 3 4 2 48" xfId="12001" xr:uid="{00000000-0005-0000-0000-0000E12E0000}"/>
    <cellStyle name="Calculation 3 4 2 49" xfId="12002" xr:uid="{00000000-0005-0000-0000-0000E22E0000}"/>
    <cellStyle name="Calculation 3 4 2 5" xfId="12003" xr:uid="{00000000-0005-0000-0000-0000E32E0000}"/>
    <cellStyle name="Calculation 3 4 2 50" xfId="12004" xr:uid="{00000000-0005-0000-0000-0000E42E0000}"/>
    <cellStyle name="Calculation 3 4 2 51" xfId="12005" xr:uid="{00000000-0005-0000-0000-0000E52E0000}"/>
    <cellStyle name="Calculation 3 4 2 52" xfId="12006" xr:uid="{00000000-0005-0000-0000-0000E62E0000}"/>
    <cellStyle name="Calculation 3 4 2 53" xfId="12007" xr:uid="{00000000-0005-0000-0000-0000E72E0000}"/>
    <cellStyle name="Calculation 3 4 2 54" xfId="12008" xr:uid="{00000000-0005-0000-0000-0000E82E0000}"/>
    <cellStyle name="Calculation 3 4 2 55" xfId="12009" xr:uid="{00000000-0005-0000-0000-0000E92E0000}"/>
    <cellStyle name="Calculation 3 4 2 56" xfId="12010" xr:uid="{00000000-0005-0000-0000-0000EA2E0000}"/>
    <cellStyle name="Calculation 3 4 2 57" xfId="12011" xr:uid="{00000000-0005-0000-0000-0000EB2E0000}"/>
    <cellStyle name="Calculation 3 4 2 58" xfId="12012" xr:uid="{00000000-0005-0000-0000-0000EC2E0000}"/>
    <cellStyle name="Calculation 3 4 2 59" xfId="12013" xr:uid="{00000000-0005-0000-0000-0000ED2E0000}"/>
    <cellStyle name="Calculation 3 4 2 6" xfId="12014" xr:uid="{00000000-0005-0000-0000-0000EE2E0000}"/>
    <cellStyle name="Calculation 3 4 2 60" xfId="12015" xr:uid="{00000000-0005-0000-0000-0000EF2E0000}"/>
    <cellStyle name="Calculation 3 4 2 61" xfId="12016" xr:uid="{00000000-0005-0000-0000-0000F02E0000}"/>
    <cellStyle name="Calculation 3 4 2 62" xfId="12017" xr:uid="{00000000-0005-0000-0000-0000F12E0000}"/>
    <cellStyle name="Calculation 3 4 2 63" xfId="12018" xr:uid="{00000000-0005-0000-0000-0000F22E0000}"/>
    <cellStyle name="Calculation 3 4 2 64" xfId="12019" xr:uid="{00000000-0005-0000-0000-0000F32E0000}"/>
    <cellStyle name="Calculation 3 4 2 65" xfId="12020" xr:uid="{00000000-0005-0000-0000-0000F42E0000}"/>
    <cellStyle name="Calculation 3 4 2 7" xfId="12021" xr:uid="{00000000-0005-0000-0000-0000F52E0000}"/>
    <cellStyle name="Calculation 3 4 2 8" xfId="12022" xr:uid="{00000000-0005-0000-0000-0000F62E0000}"/>
    <cellStyle name="Calculation 3 4 2 9" xfId="12023" xr:uid="{00000000-0005-0000-0000-0000F72E0000}"/>
    <cellStyle name="Calculation 3 4 20" xfId="12024" xr:uid="{00000000-0005-0000-0000-0000F82E0000}"/>
    <cellStyle name="Calculation 3 4 21" xfId="12025" xr:uid="{00000000-0005-0000-0000-0000F92E0000}"/>
    <cellStyle name="Calculation 3 4 22" xfId="12026" xr:uid="{00000000-0005-0000-0000-0000FA2E0000}"/>
    <cellStyle name="Calculation 3 4 23" xfId="12027" xr:uid="{00000000-0005-0000-0000-0000FB2E0000}"/>
    <cellStyle name="Calculation 3 4 24" xfId="12028" xr:uid="{00000000-0005-0000-0000-0000FC2E0000}"/>
    <cellStyle name="Calculation 3 4 25" xfId="12029" xr:uid="{00000000-0005-0000-0000-0000FD2E0000}"/>
    <cellStyle name="Calculation 3 4 26" xfId="12030" xr:uid="{00000000-0005-0000-0000-0000FE2E0000}"/>
    <cellStyle name="Calculation 3 4 27" xfId="12031" xr:uid="{00000000-0005-0000-0000-0000FF2E0000}"/>
    <cellStyle name="Calculation 3 4 28" xfId="12032" xr:uid="{00000000-0005-0000-0000-0000002F0000}"/>
    <cellStyle name="Calculation 3 4 29" xfId="12033" xr:uid="{00000000-0005-0000-0000-0000012F0000}"/>
    <cellStyle name="Calculation 3 4 3" xfId="12034" xr:uid="{00000000-0005-0000-0000-0000022F0000}"/>
    <cellStyle name="Calculation 3 4 30" xfId="12035" xr:uid="{00000000-0005-0000-0000-0000032F0000}"/>
    <cellStyle name="Calculation 3 4 31" xfId="12036" xr:uid="{00000000-0005-0000-0000-0000042F0000}"/>
    <cellStyle name="Calculation 3 4 32" xfId="12037" xr:uid="{00000000-0005-0000-0000-0000052F0000}"/>
    <cellStyle name="Calculation 3 4 33" xfId="12038" xr:uid="{00000000-0005-0000-0000-0000062F0000}"/>
    <cellStyle name="Calculation 3 4 34" xfId="12039" xr:uid="{00000000-0005-0000-0000-0000072F0000}"/>
    <cellStyle name="Calculation 3 4 35" xfId="12040" xr:uid="{00000000-0005-0000-0000-0000082F0000}"/>
    <cellStyle name="Calculation 3 4 36" xfId="12041" xr:uid="{00000000-0005-0000-0000-0000092F0000}"/>
    <cellStyle name="Calculation 3 4 37" xfId="12042" xr:uid="{00000000-0005-0000-0000-00000A2F0000}"/>
    <cellStyle name="Calculation 3 4 38" xfId="12043" xr:uid="{00000000-0005-0000-0000-00000B2F0000}"/>
    <cellStyle name="Calculation 3 4 39" xfId="12044" xr:uid="{00000000-0005-0000-0000-00000C2F0000}"/>
    <cellStyle name="Calculation 3 4 4" xfId="12045" xr:uid="{00000000-0005-0000-0000-00000D2F0000}"/>
    <cellStyle name="Calculation 3 4 40" xfId="12046" xr:uid="{00000000-0005-0000-0000-00000E2F0000}"/>
    <cellStyle name="Calculation 3 4 41" xfId="12047" xr:uid="{00000000-0005-0000-0000-00000F2F0000}"/>
    <cellStyle name="Calculation 3 4 42" xfId="12048" xr:uid="{00000000-0005-0000-0000-0000102F0000}"/>
    <cellStyle name="Calculation 3 4 43" xfId="12049" xr:uid="{00000000-0005-0000-0000-0000112F0000}"/>
    <cellStyle name="Calculation 3 4 44" xfId="12050" xr:uid="{00000000-0005-0000-0000-0000122F0000}"/>
    <cellStyle name="Calculation 3 4 45" xfId="12051" xr:uid="{00000000-0005-0000-0000-0000132F0000}"/>
    <cellStyle name="Calculation 3 4 46" xfId="12052" xr:uid="{00000000-0005-0000-0000-0000142F0000}"/>
    <cellStyle name="Calculation 3 4 47" xfId="12053" xr:uid="{00000000-0005-0000-0000-0000152F0000}"/>
    <cellStyle name="Calculation 3 4 48" xfId="12054" xr:uid="{00000000-0005-0000-0000-0000162F0000}"/>
    <cellStyle name="Calculation 3 4 49" xfId="12055" xr:uid="{00000000-0005-0000-0000-0000172F0000}"/>
    <cellStyle name="Calculation 3 4 5" xfId="12056" xr:uid="{00000000-0005-0000-0000-0000182F0000}"/>
    <cellStyle name="Calculation 3 4 50" xfId="12057" xr:uid="{00000000-0005-0000-0000-0000192F0000}"/>
    <cellStyle name="Calculation 3 4 51" xfId="12058" xr:uid="{00000000-0005-0000-0000-00001A2F0000}"/>
    <cellStyle name="Calculation 3 4 52" xfId="12059" xr:uid="{00000000-0005-0000-0000-00001B2F0000}"/>
    <cellStyle name="Calculation 3 4 53" xfId="12060" xr:uid="{00000000-0005-0000-0000-00001C2F0000}"/>
    <cellStyle name="Calculation 3 4 54" xfId="12061" xr:uid="{00000000-0005-0000-0000-00001D2F0000}"/>
    <cellStyle name="Calculation 3 4 55" xfId="12062" xr:uid="{00000000-0005-0000-0000-00001E2F0000}"/>
    <cellStyle name="Calculation 3 4 56" xfId="12063" xr:uid="{00000000-0005-0000-0000-00001F2F0000}"/>
    <cellStyle name="Calculation 3 4 57" xfId="12064" xr:uid="{00000000-0005-0000-0000-0000202F0000}"/>
    <cellStyle name="Calculation 3 4 58" xfId="12065" xr:uid="{00000000-0005-0000-0000-0000212F0000}"/>
    <cellStyle name="Calculation 3 4 59" xfId="12066" xr:uid="{00000000-0005-0000-0000-0000222F0000}"/>
    <cellStyle name="Calculation 3 4 6" xfId="12067" xr:uid="{00000000-0005-0000-0000-0000232F0000}"/>
    <cellStyle name="Calculation 3 4 60" xfId="12068" xr:uid="{00000000-0005-0000-0000-0000242F0000}"/>
    <cellStyle name="Calculation 3 4 61" xfId="12069" xr:uid="{00000000-0005-0000-0000-0000252F0000}"/>
    <cellStyle name="Calculation 3 4 62" xfId="12070" xr:uid="{00000000-0005-0000-0000-0000262F0000}"/>
    <cellStyle name="Calculation 3 4 63" xfId="12071" xr:uid="{00000000-0005-0000-0000-0000272F0000}"/>
    <cellStyle name="Calculation 3 4 64" xfId="12072" xr:uid="{00000000-0005-0000-0000-0000282F0000}"/>
    <cellStyle name="Calculation 3 4 65" xfId="12073" xr:uid="{00000000-0005-0000-0000-0000292F0000}"/>
    <cellStyle name="Calculation 3 4 66" xfId="12074" xr:uid="{00000000-0005-0000-0000-00002A2F0000}"/>
    <cellStyle name="Calculation 3 4 7" xfId="12075" xr:uid="{00000000-0005-0000-0000-00002B2F0000}"/>
    <cellStyle name="Calculation 3 4 8" xfId="12076" xr:uid="{00000000-0005-0000-0000-00002C2F0000}"/>
    <cellStyle name="Calculation 3 4 9" xfId="12077" xr:uid="{00000000-0005-0000-0000-00002D2F0000}"/>
    <cellStyle name="Calculation 3 40" xfId="12078" xr:uid="{00000000-0005-0000-0000-00002E2F0000}"/>
    <cellStyle name="Calculation 3 41" xfId="12079" xr:uid="{00000000-0005-0000-0000-00002F2F0000}"/>
    <cellStyle name="Calculation 3 42" xfId="12080" xr:uid="{00000000-0005-0000-0000-0000302F0000}"/>
    <cellStyle name="Calculation 3 43" xfId="12081" xr:uid="{00000000-0005-0000-0000-0000312F0000}"/>
    <cellStyle name="Calculation 3 44" xfId="12082" xr:uid="{00000000-0005-0000-0000-0000322F0000}"/>
    <cellStyle name="Calculation 3 45" xfId="12083" xr:uid="{00000000-0005-0000-0000-0000332F0000}"/>
    <cellStyle name="Calculation 3 46" xfId="12084" xr:uid="{00000000-0005-0000-0000-0000342F0000}"/>
    <cellStyle name="Calculation 3 47" xfId="12085" xr:uid="{00000000-0005-0000-0000-0000352F0000}"/>
    <cellStyle name="Calculation 3 48" xfId="12086" xr:uid="{00000000-0005-0000-0000-0000362F0000}"/>
    <cellStyle name="Calculation 3 49" xfId="12087" xr:uid="{00000000-0005-0000-0000-0000372F0000}"/>
    <cellStyle name="Calculation 3 5" xfId="12088" xr:uid="{00000000-0005-0000-0000-0000382F0000}"/>
    <cellStyle name="Calculation 3 5 10" xfId="12089" xr:uid="{00000000-0005-0000-0000-0000392F0000}"/>
    <cellStyle name="Calculation 3 5 11" xfId="12090" xr:uid="{00000000-0005-0000-0000-00003A2F0000}"/>
    <cellStyle name="Calculation 3 5 12" xfId="12091" xr:uid="{00000000-0005-0000-0000-00003B2F0000}"/>
    <cellStyle name="Calculation 3 5 13" xfId="12092" xr:uid="{00000000-0005-0000-0000-00003C2F0000}"/>
    <cellStyle name="Calculation 3 5 14" xfId="12093" xr:uid="{00000000-0005-0000-0000-00003D2F0000}"/>
    <cellStyle name="Calculation 3 5 15" xfId="12094" xr:uid="{00000000-0005-0000-0000-00003E2F0000}"/>
    <cellStyle name="Calculation 3 5 16" xfId="12095" xr:uid="{00000000-0005-0000-0000-00003F2F0000}"/>
    <cellStyle name="Calculation 3 5 17" xfId="12096" xr:uid="{00000000-0005-0000-0000-0000402F0000}"/>
    <cellStyle name="Calculation 3 5 18" xfId="12097" xr:uid="{00000000-0005-0000-0000-0000412F0000}"/>
    <cellStyle name="Calculation 3 5 19" xfId="12098" xr:uid="{00000000-0005-0000-0000-0000422F0000}"/>
    <cellStyle name="Calculation 3 5 2" xfId="12099" xr:uid="{00000000-0005-0000-0000-0000432F0000}"/>
    <cellStyle name="Calculation 3 5 20" xfId="12100" xr:uid="{00000000-0005-0000-0000-0000442F0000}"/>
    <cellStyle name="Calculation 3 5 21" xfId="12101" xr:uid="{00000000-0005-0000-0000-0000452F0000}"/>
    <cellStyle name="Calculation 3 5 22" xfId="12102" xr:uid="{00000000-0005-0000-0000-0000462F0000}"/>
    <cellStyle name="Calculation 3 5 23" xfId="12103" xr:uid="{00000000-0005-0000-0000-0000472F0000}"/>
    <cellStyle name="Calculation 3 5 24" xfId="12104" xr:uid="{00000000-0005-0000-0000-0000482F0000}"/>
    <cellStyle name="Calculation 3 5 25" xfId="12105" xr:uid="{00000000-0005-0000-0000-0000492F0000}"/>
    <cellStyle name="Calculation 3 5 26" xfId="12106" xr:uid="{00000000-0005-0000-0000-00004A2F0000}"/>
    <cellStyle name="Calculation 3 5 27" xfId="12107" xr:uid="{00000000-0005-0000-0000-00004B2F0000}"/>
    <cellStyle name="Calculation 3 5 28" xfId="12108" xr:uid="{00000000-0005-0000-0000-00004C2F0000}"/>
    <cellStyle name="Calculation 3 5 29" xfId="12109" xr:uid="{00000000-0005-0000-0000-00004D2F0000}"/>
    <cellStyle name="Calculation 3 5 3" xfId="12110" xr:uid="{00000000-0005-0000-0000-00004E2F0000}"/>
    <cellStyle name="Calculation 3 5 30" xfId="12111" xr:uid="{00000000-0005-0000-0000-00004F2F0000}"/>
    <cellStyle name="Calculation 3 5 31" xfId="12112" xr:uid="{00000000-0005-0000-0000-0000502F0000}"/>
    <cellStyle name="Calculation 3 5 32" xfId="12113" xr:uid="{00000000-0005-0000-0000-0000512F0000}"/>
    <cellStyle name="Calculation 3 5 33" xfId="12114" xr:uid="{00000000-0005-0000-0000-0000522F0000}"/>
    <cellStyle name="Calculation 3 5 34" xfId="12115" xr:uid="{00000000-0005-0000-0000-0000532F0000}"/>
    <cellStyle name="Calculation 3 5 35" xfId="12116" xr:uid="{00000000-0005-0000-0000-0000542F0000}"/>
    <cellStyle name="Calculation 3 5 36" xfId="12117" xr:uid="{00000000-0005-0000-0000-0000552F0000}"/>
    <cellStyle name="Calculation 3 5 37" xfId="12118" xr:uid="{00000000-0005-0000-0000-0000562F0000}"/>
    <cellStyle name="Calculation 3 5 38" xfId="12119" xr:uid="{00000000-0005-0000-0000-0000572F0000}"/>
    <cellStyle name="Calculation 3 5 39" xfId="12120" xr:uid="{00000000-0005-0000-0000-0000582F0000}"/>
    <cellStyle name="Calculation 3 5 4" xfId="12121" xr:uid="{00000000-0005-0000-0000-0000592F0000}"/>
    <cellStyle name="Calculation 3 5 40" xfId="12122" xr:uid="{00000000-0005-0000-0000-00005A2F0000}"/>
    <cellStyle name="Calculation 3 5 41" xfId="12123" xr:uid="{00000000-0005-0000-0000-00005B2F0000}"/>
    <cellStyle name="Calculation 3 5 42" xfId="12124" xr:uid="{00000000-0005-0000-0000-00005C2F0000}"/>
    <cellStyle name="Calculation 3 5 43" xfId="12125" xr:uid="{00000000-0005-0000-0000-00005D2F0000}"/>
    <cellStyle name="Calculation 3 5 44" xfId="12126" xr:uid="{00000000-0005-0000-0000-00005E2F0000}"/>
    <cellStyle name="Calculation 3 5 45" xfId="12127" xr:uid="{00000000-0005-0000-0000-00005F2F0000}"/>
    <cellStyle name="Calculation 3 5 46" xfId="12128" xr:uid="{00000000-0005-0000-0000-0000602F0000}"/>
    <cellStyle name="Calculation 3 5 47" xfId="12129" xr:uid="{00000000-0005-0000-0000-0000612F0000}"/>
    <cellStyle name="Calculation 3 5 48" xfId="12130" xr:uid="{00000000-0005-0000-0000-0000622F0000}"/>
    <cellStyle name="Calculation 3 5 49" xfId="12131" xr:uid="{00000000-0005-0000-0000-0000632F0000}"/>
    <cellStyle name="Calculation 3 5 5" xfId="12132" xr:uid="{00000000-0005-0000-0000-0000642F0000}"/>
    <cellStyle name="Calculation 3 5 50" xfId="12133" xr:uid="{00000000-0005-0000-0000-0000652F0000}"/>
    <cellStyle name="Calculation 3 5 51" xfId="12134" xr:uid="{00000000-0005-0000-0000-0000662F0000}"/>
    <cellStyle name="Calculation 3 5 52" xfId="12135" xr:uid="{00000000-0005-0000-0000-0000672F0000}"/>
    <cellStyle name="Calculation 3 5 53" xfId="12136" xr:uid="{00000000-0005-0000-0000-0000682F0000}"/>
    <cellStyle name="Calculation 3 5 54" xfId="12137" xr:uid="{00000000-0005-0000-0000-0000692F0000}"/>
    <cellStyle name="Calculation 3 5 55" xfId="12138" xr:uid="{00000000-0005-0000-0000-00006A2F0000}"/>
    <cellStyle name="Calculation 3 5 56" xfId="12139" xr:uid="{00000000-0005-0000-0000-00006B2F0000}"/>
    <cellStyle name="Calculation 3 5 57" xfId="12140" xr:uid="{00000000-0005-0000-0000-00006C2F0000}"/>
    <cellStyle name="Calculation 3 5 58" xfId="12141" xr:uid="{00000000-0005-0000-0000-00006D2F0000}"/>
    <cellStyle name="Calculation 3 5 59" xfId="12142" xr:uid="{00000000-0005-0000-0000-00006E2F0000}"/>
    <cellStyle name="Calculation 3 5 6" xfId="12143" xr:uid="{00000000-0005-0000-0000-00006F2F0000}"/>
    <cellStyle name="Calculation 3 5 60" xfId="12144" xr:uid="{00000000-0005-0000-0000-0000702F0000}"/>
    <cellStyle name="Calculation 3 5 61" xfId="12145" xr:uid="{00000000-0005-0000-0000-0000712F0000}"/>
    <cellStyle name="Calculation 3 5 62" xfId="12146" xr:uid="{00000000-0005-0000-0000-0000722F0000}"/>
    <cellStyle name="Calculation 3 5 63" xfId="12147" xr:uid="{00000000-0005-0000-0000-0000732F0000}"/>
    <cellStyle name="Calculation 3 5 64" xfId="12148" xr:uid="{00000000-0005-0000-0000-0000742F0000}"/>
    <cellStyle name="Calculation 3 5 65" xfId="12149" xr:uid="{00000000-0005-0000-0000-0000752F0000}"/>
    <cellStyle name="Calculation 3 5 7" xfId="12150" xr:uid="{00000000-0005-0000-0000-0000762F0000}"/>
    <cellStyle name="Calculation 3 5 8" xfId="12151" xr:uid="{00000000-0005-0000-0000-0000772F0000}"/>
    <cellStyle name="Calculation 3 5 9" xfId="12152" xr:uid="{00000000-0005-0000-0000-0000782F0000}"/>
    <cellStyle name="Calculation 3 50" xfId="12153" xr:uid="{00000000-0005-0000-0000-0000792F0000}"/>
    <cellStyle name="Calculation 3 51" xfId="12154" xr:uid="{00000000-0005-0000-0000-00007A2F0000}"/>
    <cellStyle name="Calculation 3 6" xfId="12155" xr:uid="{00000000-0005-0000-0000-00007B2F0000}"/>
    <cellStyle name="Calculation 3 7" xfId="12156" xr:uid="{00000000-0005-0000-0000-00007C2F0000}"/>
    <cellStyle name="Calculation 3 8" xfId="12157" xr:uid="{00000000-0005-0000-0000-00007D2F0000}"/>
    <cellStyle name="Calculation 3 9" xfId="12158" xr:uid="{00000000-0005-0000-0000-00007E2F0000}"/>
    <cellStyle name="Check Cell 2" xfId="12159" xr:uid="{00000000-0005-0000-0000-00007F2F0000}"/>
    <cellStyle name="Check Cell 3" xfId="12160" xr:uid="{00000000-0005-0000-0000-0000802F0000}"/>
    <cellStyle name="Check Cell 4" xfId="12161" xr:uid="{00000000-0005-0000-0000-0000812F0000}"/>
    <cellStyle name="Comma 2" xfId="12162" xr:uid="{00000000-0005-0000-0000-0000822F0000}"/>
    <cellStyle name="Comma 2 10" xfId="12163" xr:uid="{00000000-0005-0000-0000-0000832F0000}"/>
    <cellStyle name="Comma 2 11" xfId="12164" xr:uid="{00000000-0005-0000-0000-0000842F0000}"/>
    <cellStyle name="Comma 2 12" xfId="12165" xr:uid="{00000000-0005-0000-0000-0000852F0000}"/>
    <cellStyle name="Comma 2 2" xfId="12166" xr:uid="{00000000-0005-0000-0000-0000862F0000}"/>
    <cellStyle name="Comma 2 2 2" xfId="12167" xr:uid="{00000000-0005-0000-0000-0000872F0000}"/>
    <cellStyle name="Comma 2 2 2 2" xfId="12168" xr:uid="{00000000-0005-0000-0000-0000882F0000}"/>
    <cellStyle name="Comma 2 2 3" xfId="12169" xr:uid="{00000000-0005-0000-0000-0000892F0000}"/>
    <cellStyle name="Comma 2 3" xfId="12170" xr:uid="{00000000-0005-0000-0000-00008A2F0000}"/>
    <cellStyle name="Comma 2 4" xfId="12171" xr:uid="{00000000-0005-0000-0000-00008B2F0000}"/>
    <cellStyle name="Comma 2 5" xfId="12172" xr:uid="{00000000-0005-0000-0000-00008C2F0000}"/>
    <cellStyle name="Comma 2 6" xfId="12173" xr:uid="{00000000-0005-0000-0000-00008D2F0000}"/>
    <cellStyle name="Comma 2 7" xfId="12174" xr:uid="{00000000-0005-0000-0000-00008E2F0000}"/>
    <cellStyle name="Comma 2 8" xfId="12175" xr:uid="{00000000-0005-0000-0000-00008F2F0000}"/>
    <cellStyle name="Comma 2 9" xfId="12176" xr:uid="{00000000-0005-0000-0000-0000902F0000}"/>
    <cellStyle name="Comma 3" xfId="12177" xr:uid="{00000000-0005-0000-0000-0000912F0000}"/>
    <cellStyle name="Comma 3 10" xfId="12178" xr:uid="{00000000-0005-0000-0000-0000922F0000}"/>
    <cellStyle name="Comma 3 11" xfId="12179" xr:uid="{00000000-0005-0000-0000-0000932F0000}"/>
    <cellStyle name="Comma 3 2" xfId="12180" xr:uid="{00000000-0005-0000-0000-0000942F0000}"/>
    <cellStyle name="Comma 3 3" xfId="12181" xr:uid="{00000000-0005-0000-0000-0000952F0000}"/>
    <cellStyle name="Comma 3 4" xfId="12182" xr:uid="{00000000-0005-0000-0000-0000962F0000}"/>
    <cellStyle name="Comma 3 5" xfId="12183" xr:uid="{00000000-0005-0000-0000-0000972F0000}"/>
    <cellStyle name="Comma 3 6" xfId="12184" xr:uid="{00000000-0005-0000-0000-0000982F0000}"/>
    <cellStyle name="Comma 3 7" xfId="12185" xr:uid="{00000000-0005-0000-0000-0000992F0000}"/>
    <cellStyle name="Comma 3 8" xfId="12186" xr:uid="{00000000-0005-0000-0000-00009A2F0000}"/>
    <cellStyle name="Comma 3 9" xfId="12187" xr:uid="{00000000-0005-0000-0000-00009B2F0000}"/>
    <cellStyle name="Constants" xfId="12188" xr:uid="{00000000-0005-0000-0000-00009C2F0000}"/>
    <cellStyle name="ContentsHyperlink" xfId="12189" xr:uid="{00000000-0005-0000-0000-00009D2F0000}"/>
    <cellStyle name="CustomCellsOrange" xfId="12190" xr:uid="{00000000-0005-0000-0000-00009E2F0000}"/>
    <cellStyle name="CustomCellsOrange 2" xfId="12191" xr:uid="{00000000-0005-0000-0000-00009F2F0000}"/>
    <cellStyle name="CustomCellsOrange 2 2" xfId="12192" xr:uid="{00000000-0005-0000-0000-0000A02F0000}"/>
    <cellStyle name="CustomCellsOrange 2 2 10" xfId="12193" xr:uid="{00000000-0005-0000-0000-0000A12F0000}"/>
    <cellStyle name="CustomCellsOrange 2 2 11" xfId="12194" xr:uid="{00000000-0005-0000-0000-0000A22F0000}"/>
    <cellStyle name="CustomCellsOrange 2 2 12" xfId="12195" xr:uid="{00000000-0005-0000-0000-0000A32F0000}"/>
    <cellStyle name="CustomCellsOrange 2 2 13" xfId="12196" xr:uid="{00000000-0005-0000-0000-0000A42F0000}"/>
    <cellStyle name="CustomCellsOrange 2 2 14" xfId="12197" xr:uid="{00000000-0005-0000-0000-0000A52F0000}"/>
    <cellStyle name="CustomCellsOrange 2 2 15" xfId="12198" xr:uid="{00000000-0005-0000-0000-0000A62F0000}"/>
    <cellStyle name="CustomCellsOrange 2 2 16" xfId="12199" xr:uid="{00000000-0005-0000-0000-0000A72F0000}"/>
    <cellStyle name="CustomCellsOrange 2 2 17" xfId="12200" xr:uid="{00000000-0005-0000-0000-0000A82F0000}"/>
    <cellStyle name="CustomCellsOrange 2 2 18" xfId="12201" xr:uid="{00000000-0005-0000-0000-0000A92F0000}"/>
    <cellStyle name="CustomCellsOrange 2 2 19" xfId="12202" xr:uid="{00000000-0005-0000-0000-0000AA2F0000}"/>
    <cellStyle name="CustomCellsOrange 2 2 2" xfId="12203" xr:uid="{00000000-0005-0000-0000-0000AB2F0000}"/>
    <cellStyle name="CustomCellsOrange 2 2 2 2" xfId="12204" xr:uid="{00000000-0005-0000-0000-0000AC2F0000}"/>
    <cellStyle name="CustomCellsOrange 2 2 2 2 10" xfId="12205" xr:uid="{00000000-0005-0000-0000-0000AD2F0000}"/>
    <cellStyle name="CustomCellsOrange 2 2 2 2 11" xfId="12206" xr:uid="{00000000-0005-0000-0000-0000AE2F0000}"/>
    <cellStyle name="CustomCellsOrange 2 2 2 2 12" xfId="12207" xr:uid="{00000000-0005-0000-0000-0000AF2F0000}"/>
    <cellStyle name="CustomCellsOrange 2 2 2 2 13" xfId="12208" xr:uid="{00000000-0005-0000-0000-0000B02F0000}"/>
    <cellStyle name="CustomCellsOrange 2 2 2 2 14" xfId="12209" xr:uid="{00000000-0005-0000-0000-0000B12F0000}"/>
    <cellStyle name="CustomCellsOrange 2 2 2 2 15" xfId="12210" xr:uid="{00000000-0005-0000-0000-0000B22F0000}"/>
    <cellStyle name="CustomCellsOrange 2 2 2 2 16" xfId="12211" xr:uid="{00000000-0005-0000-0000-0000B32F0000}"/>
    <cellStyle name="CustomCellsOrange 2 2 2 2 17" xfId="12212" xr:uid="{00000000-0005-0000-0000-0000B42F0000}"/>
    <cellStyle name="CustomCellsOrange 2 2 2 2 18" xfId="12213" xr:uid="{00000000-0005-0000-0000-0000B52F0000}"/>
    <cellStyle name="CustomCellsOrange 2 2 2 2 19" xfId="12214" xr:uid="{00000000-0005-0000-0000-0000B62F0000}"/>
    <cellStyle name="CustomCellsOrange 2 2 2 2 2" xfId="12215" xr:uid="{00000000-0005-0000-0000-0000B72F0000}"/>
    <cellStyle name="CustomCellsOrange 2 2 2 2 2 10" xfId="12216" xr:uid="{00000000-0005-0000-0000-0000B82F0000}"/>
    <cellStyle name="CustomCellsOrange 2 2 2 2 2 11" xfId="12217" xr:uid="{00000000-0005-0000-0000-0000B92F0000}"/>
    <cellStyle name="CustomCellsOrange 2 2 2 2 2 12" xfId="12218" xr:uid="{00000000-0005-0000-0000-0000BA2F0000}"/>
    <cellStyle name="CustomCellsOrange 2 2 2 2 2 13" xfId="12219" xr:uid="{00000000-0005-0000-0000-0000BB2F0000}"/>
    <cellStyle name="CustomCellsOrange 2 2 2 2 2 14" xfId="12220" xr:uid="{00000000-0005-0000-0000-0000BC2F0000}"/>
    <cellStyle name="CustomCellsOrange 2 2 2 2 2 15" xfId="12221" xr:uid="{00000000-0005-0000-0000-0000BD2F0000}"/>
    <cellStyle name="CustomCellsOrange 2 2 2 2 2 16" xfId="12222" xr:uid="{00000000-0005-0000-0000-0000BE2F0000}"/>
    <cellStyle name="CustomCellsOrange 2 2 2 2 2 17" xfId="12223" xr:uid="{00000000-0005-0000-0000-0000BF2F0000}"/>
    <cellStyle name="CustomCellsOrange 2 2 2 2 2 18" xfId="12224" xr:uid="{00000000-0005-0000-0000-0000C02F0000}"/>
    <cellStyle name="CustomCellsOrange 2 2 2 2 2 19" xfId="12225" xr:uid="{00000000-0005-0000-0000-0000C12F0000}"/>
    <cellStyle name="CustomCellsOrange 2 2 2 2 2 2" xfId="12226" xr:uid="{00000000-0005-0000-0000-0000C22F0000}"/>
    <cellStyle name="CustomCellsOrange 2 2 2 2 2 20" xfId="12227" xr:uid="{00000000-0005-0000-0000-0000C32F0000}"/>
    <cellStyle name="CustomCellsOrange 2 2 2 2 2 21" xfId="12228" xr:uid="{00000000-0005-0000-0000-0000C42F0000}"/>
    <cellStyle name="CustomCellsOrange 2 2 2 2 2 22" xfId="12229" xr:uid="{00000000-0005-0000-0000-0000C52F0000}"/>
    <cellStyle name="CustomCellsOrange 2 2 2 2 2 23" xfId="12230" xr:uid="{00000000-0005-0000-0000-0000C62F0000}"/>
    <cellStyle name="CustomCellsOrange 2 2 2 2 2 24" xfId="12231" xr:uid="{00000000-0005-0000-0000-0000C72F0000}"/>
    <cellStyle name="CustomCellsOrange 2 2 2 2 2 25" xfId="12232" xr:uid="{00000000-0005-0000-0000-0000C82F0000}"/>
    <cellStyle name="CustomCellsOrange 2 2 2 2 2 26" xfId="12233" xr:uid="{00000000-0005-0000-0000-0000C92F0000}"/>
    <cellStyle name="CustomCellsOrange 2 2 2 2 2 27" xfId="12234" xr:uid="{00000000-0005-0000-0000-0000CA2F0000}"/>
    <cellStyle name="CustomCellsOrange 2 2 2 2 2 28" xfId="12235" xr:uid="{00000000-0005-0000-0000-0000CB2F0000}"/>
    <cellStyle name="CustomCellsOrange 2 2 2 2 2 29" xfId="12236" xr:uid="{00000000-0005-0000-0000-0000CC2F0000}"/>
    <cellStyle name="CustomCellsOrange 2 2 2 2 2 3" xfId="12237" xr:uid="{00000000-0005-0000-0000-0000CD2F0000}"/>
    <cellStyle name="CustomCellsOrange 2 2 2 2 2 30" xfId="12238" xr:uid="{00000000-0005-0000-0000-0000CE2F0000}"/>
    <cellStyle name="CustomCellsOrange 2 2 2 2 2 31" xfId="12239" xr:uid="{00000000-0005-0000-0000-0000CF2F0000}"/>
    <cellStyle name="CustomCellsOrange 2 2 2 2 2 32" xfId="12240" xr:uid="{00000000-0005-0000-0000-0000D02F0000}"/>
    <cellStyle name="CustomCellsOrange 2 2 2 2 2 33" xfId="12241" xr:uid="{00000000-0005-0000-0000-0000D12F0000}"/>
    <cellStyle name="CustomCellsOrange 2 2 2 2 2 34" xfId="12242" xr:uid="{00000000-0005-0000-0000-0000D22F0000}"/>
    <cellStyle name="CustomCellsOrange 2 2 2 2 2 35" xfId="12243" xr:uid="{00000000-0005-0000-0000-0000D32F0000}"/>
    <cellStyle name="CustomCellsOrange 2 2 2 2 2 36" xfId="12244" xr:uid="{00000000-0005-0000-0000-0000D42F0000}"/>
    <cellStyle name="CustomCellsOrange 2 2 2 2 2 37" xfId="12245" xr:uid="{00000000-0005-0000-0000-0000D52F0000}"/>
    <cellStyle name="CustomCellsOrange 2 2 2 2 2 38" xfId="12246" xr:uid="{00000000-0005-0000-0000-0000D62F0000}"/>
    <cellStyle name="CustomCellsOrange 2 2 2 2 2 39" xfId="12247" xr:uid="{00000000-0005-0000-0000-0000D72F0000}"/>
    <cellStyle name="CustomCellsOrange 2 2 2 2 2 4" xfId="12248" xr:uid="{00000000-0005-0000-0000-0000D82F0000}"/>
    <cellStyle name="CustomCellsOrange 2 2 2 2 2 40" xfId="12249" xr:uid="{00000000-0005-0000-0000-0000D92F0000}"/>
    <cellStyle name="CustomCellsOrange 2 2 2 2 2 41" xfId="12250" xr:uid="{00000000-0005-0000-0000-0000DA2F0000}"/>
    <cellStyle name="CustomCellsOrange 2 2 2 2 2 42" xfId="12251" xr:uid="{00000000-0005-0000-0000-0000DB2F0000}"/>
    <cellStyle name="CustomCellsOrange 2 2 2 2 2 43" xfId="12252" xr:uid="{00000000-0005-0000-0000-0000DC2F0000}"/>
    <cellStyle name="CustomCellsOrange 2 2 2 2 2 44" xfId="12253" xr:uid="{00000000-0005-0000-0000-0000DD2F0000}"/>
    <cellStyle name="CustomCellsOrange 2 2 2 2 2 45" xfId="12254" xr:uid="{00000000-0005-0000-0000-0000DE2F0000}"/>
    <cellStyle name="CustomCellsOrange 2 2 2 2 2 46" xfId="12255" xr:uid="{00000000-0005-0000-0000-0000DF2F0000}"/>
    <cellStyle name="CustomCellsOrange 2 2 2 2 2 47" xfId="12256" xr:uid="{00000000-0005-0000-0000-0000E02F0000}"/>
    <cellStyle name="CustomCellsOrange 2 2 2 2 2 48" xfId="12257" xr:uid="{00000000-0005-0000-0000-0000E12F0000}"/>
    <cellStyle name="CustomCellsOrange 2 2 2 2 2 49" xfId="12258" xr:uid="{00000000-0005-0000-0000-0000E22F0000}"/>
    <cellStyle name="CustomCellsOrange 2 2 2 2 2 5" xfId="12259" xr:uid="{00000000-0005-0000-0000-0000E32F0000}"/>
    <cellStyle name="CustomCellsOrange 2 2 2 2 2 50" xfId="12260" xr:uid="{00000000-0005-0000-0000-0000E42F0000}"/>
    <cellStyle name="CustomCellsOrange 2 2 2 2 2 51" xfId="12261" xr:uid="{00000000-0005-0000-0000-0000E52F0000}"/>
    <cellStyle name="CustomCellsOrange 2 2 2 2 2 52" xfId="12262" xr:uid="{00000000-0005-0000-0000-0000E62F0000}"/>
    <cellStyle name="CustomCellsOrange 2 2 2 2 2 53" xfId="12263" xr:uid="{00000000-0005-0000-0000-0000E72F0000}"/>
    <cellStyle name="CustomCellsOrange 2 2 2 2 2 54" xfId="12264" xr:uid="{00000000-0005-0000-0000-0000E82F0000}"/>
    <cellStyle name="CustomCellsOrange 2 2 2 2 2 55" xfId="12265" xr:uid="{00000000-0005-0000-0000-0000E92F0000}"/>
    <cellStyle name="CustomCellsOrange 2 2 2 2 2 56" xfId="12266" xr:uid="{00000000-0005-0000-0000-0000EA2F0000}"/>
    <cellStyle name="CustomCellsOrange 2 2 2 2 2 57" xfId="12267" xr:uid="{00000000-0005-0000-0000-0000EB2F0000}"/>
    <cellStyle name="CustomCellsOrange 2 2 2 2 2 58" xfId="12268" xr:uid="{00000000-0005-0000-0000-0000EC2F0000}"/>
    <cellStyle name="CustomCellsOrange 2 2 2 2 2 59" xfId="12269" xr:uid="{00000000-0005-0000-0000-0000ED2F0000}"/>
    <cellStyle name="CustomCellsOrange 2 2 2 2 2 6" xfId="12270" xr:uid="{00000000-0005-0000-0000-0000EE2F0000}"/>
    <cellStyle name="CustomCellsOrange 2 2 2 2 2 60" xfId="12271" xr:uid="{00000000-0005-0000-0000-0000EF2F0000}"/>
    <cellStyle name="CustomCellsOrange 2 2 2 2 2 61" xfId="12272" xr:uid="{00000000-0005-0000-0000-0000F02F0000}"/>
    <cellStyle name="CustomCellsOrange 2 2 2 2 2 62" xfId="12273" xr:uid="{00000000-0005-0000-0000-0000F12F0000}"/>
    <cellStyle name="CustomCellsOrange 2 2 2 2 2 63" xfId="12274" xr:uid="{00000000-0005-0000-0000-0000F22F0000}"/>
    <cellStyle name="CustomCellsOrange 2 2 2 2 2 64" xfId="12275" xr:uid="{00000000-0005-0000-0000-0000F32F0000}"/>
    <cellStyle name="CustomCellsOrange 2 2 2 2 2 65" xfId="12276" xr:uid="{00000000-0005-0000-0000-0000F42F0000}"/>
    <cellStyle name="CustomCellsOrange 2 2 2 2 2 7" xfId="12277" xr:uid="{00000000-0005-0000-0000-0000F52F0000}"/>
    <cellStyle name="CustomCellsOrange 2 2 2 2 2 8" xfId="12278" xr:uid="{00000000-0005-0000-0000-0000F62F0000}"/>
    <cellStyle name="CustomCellsOrange 2 2 2 2 2 9" xfId="12279" xr:uid="{00000000-0005-0000-0000-0000F72F0000}"/>
    <cellStyle name="CustomCellsOrange 2 2 2 2 20" xfId="12280" xr:uid="{00000000-0005-0000-0000-0000F82F0000}"/>
    <cellStyle name="CustomCellsOrange 2 2 2 2 21" xfId="12281" xr:uid="{00000000-0005-0000-0000-0000F92F0000}"/>
    <cellStyle name="CustomCellsOrange 2 2 2 2 22" xfId="12282" xr:uid="{00000000-0005-0000-0000-0000FA2F0000}"/>
    <cellStyle name="CustomCellsOrange 2 2 2 2 23" xfId="12283" xr:uid="{00000000-0005-0000-0000-0000FB2F0000}"/>
    <cellStyle name="CustomCellsOrange 2 2 2 2 24" xfId="12284" xr:uid="{00000000-0005-0000-0000-0000FC2F0000}"/>
    <cellStyle name="CustomCellsOrange 2 2 2 2 25" xfId="12285" xr:uid="{00000000-0005-0000-0000-0000FD2F0000}"/>
    <cellStyle name="CustomCellsOrange 2 2 2 2 26" xfId="12286" xr:uid="{00000000-0005-0000-0000-0000FE2F0000}"/>
    <cellStyle name="CustomCellsOrange 2 2 2 2 27" xfId="12287" xr:uid="{00000000-0005-0000-0000-0000FF2F0000}"/>
    <cellStyle name="CustomCellsOrange 2 2 2 2 28" xfId="12288" xr:uid="{00000000-0005-0000-0000-000000300000}"/>
    <cellStyle name="CustomCellsOrange 2 2 2 2 29" xfId="12289" xr:uid="{00000000-0005-0000-0000-000001300000}"/>
    <cellStyle name="CustomCellsOrange 2 2 2 2 3" xfId="12290" xr:uid="{00000000-0005-0000-0000-000002300000}"/>
    <cellStyle name="CustomCellsOrange 2 2 2 2 30" xfId="12291" xr:uid="{00000000-0005-0000-0000-000003300000}"/>
    <cellStyle name="CustomCellsOrange 2 2 2 2 31" xfId="12292" xr:uid="{00000000-0005-0000-0000-000004300000}"/>
    <cellStyle name="CustomCellsOrange 2 2 2 2 32" xfId="12293" xr:uid="{00000000-0005-0000-0000-000005300000}"/>
    <cellStyle name="CustomCellsOrange 2 2 2 2 33" xfId="12294" xr:uid="{00000000-0005-0000-0000-000006300000}"/>
    <cellStyle name="CustomCellsOrange 2 2 2 2 34" xfId="12295" xr:uid="{00000000-0005-0000-0000-000007300000}"/>
    <cellStyle name="CustomCellsOrange 2 2 2 2 35" xfId="12296" xr:uid="{00000000-0005-0000-0000-000008300000}"/>
    <cellStyle name="CustomCellsOrange 2 2 2 2 36" xfId="12297" xr:uid="{00000000-0005-0000-0000-000009300000}"/>
    <cellStyle name="CustomCellsOrange 2 2 2 2 37" xfId="12298" xr:uid="{00000000-0005-0000-0000-00000A300000}"/>
    <cellStyle name="CustomCellsOrange 2 2 2 2 38" xfId="12299" xr:uid="{00000000-0005-0000-0000-00000B300000}"/>
    <cellStyle name="CustomCellsOrange 2 2 2 2 39" xfId="12300" xr:uid="{00000000-0005-0000-0000-00000C300000}"/>
    <cellStyle name="CustomCellsOrange 2 2 2 2 4" xfId="12301" xr:uid="{00000000-0005-0000-0000-00000D300000}"/>
    <cellStyle name="CustomCellsOrange 2 2 2 2 40" xfId="12302" xr:uid="{00000000-0005-0000-0000-00000E300000}"/>
    <cellStyle name="CustomCellsOrange 2 2 2 2 41" xfId="12303" xr:uid="{00000000-0005-0000-0000-00000F300000}"/>
    <cellStyle name="CustomCellsOrange 2 2 2 2 42" xfId="12304" xr:uid="{00000000-0005-0000-0000-000010300000}"/>
    <cellStyle name="CustomCellsOrange 2 2 2 2 43" xfId="12305" xr:uid="{00000000-0005-0000-0000-000011300000}"/>
    <cellStyle name="CustomCellsOrange 2 2 2 2 44" xfId="12306" xr:uid="{00000000-0005-0000-0000-000012300000}"/>
    <cellStyle name="CustomCellsOrange 2 2 2 2 45" xfId="12307" xr:uid="{00000000-0005-0000-0000-000013300000}"/>
    <cellStyle name="CustomCellsOrange 2 2 2 2 46" xfId="12308" xr:uid="{00000000-0005-0000-0000-000014300000}"/>
    <cellStyle name="CustomCellsOrange 2 2 2 2 47" xfId="12309" xr:uid="{00000000-0005-0000-0000-000015300000}"/>
    <cellStyle name="CustomCellsOrange 2 2 2 2 48" xfId="12310" xr:uid="{00000000-0005-0000-0000-000016300000}"/>
    <cellStyle name="CustomCellsOrange 2 2 2 2 49" xfId="12311" xr:uid="{00000000-0005-0000-0000-000017300000}"/>
    <cellStyle name="CustomCellsOrange 2 2 2 2 5" xfId="12312" xr:uid="{00000000-0005-0000-0000-000018300000}"/>
    <cellStyle name="CustomCellsOrange 2 2 2 2 50" xfId="12313" xr:uid="{00000000-0005-0000-0000-000019300000}"/>
    <cellStyle name="CustomCellsOrange 2 2 2 2 51" xfId="12314" xr:uid="{00000000-0005-0000-0000-00001A300000}"/>
    <cellStyle name="CustomCellsOrange 2 2 2 2 52" xfId="12315" xr:uid="{00000000-0005-0000-0000-00001B300000}"/>
    <cellStyle name="CustomCellsOrange 2 2 2 2 53" xfId="12316" xr:uid="{00000000-0005-0000-0000-00001C300000}"/>
    <cellStyle name="CustomCellsOrange 2 2 2 2 54" xfId="12317" xr:uid="{00000000-0005-0000-0000-00001D300000}"/>
    <cellStyle name="CustomCellsOrange 2 2 2 2 55" xfId="12318" xr:uid="{00000000-0005-0000-0000-00001E300000}"/>
    <cellStyle name="CustomCellsOrange 2 2 2 2 56" xfId="12319" xr:uid="{00000000-0005-0000-0000-00001F300000}"/>
    <cellStyle name="CustomCellsOrange 2 2 2 2 57" xfId="12320" xr:uid="{00000000-0005-0000-0000-000020300000}"/>
    <cellStyle name="CustomCellsOrange 2 2 2 2 58" xfId="12321" xr:uid="{00000000-0005-0000-0000-000021300000}"/>
    <cellStyle name="CustomCellsOrange 2 2 2 2 59" xfId="12322" xr:uid="{00000000-0005-0000-0000-000022300000}"/>
    <cellStyle name="CustomCellsOrange 2 2 2 2 6" xfId="12323" xr:uid="{00000000-0005-0000-0000-000023300000}"/>
    <cellStyle name="CustomCellsOrange 2 2 2 2 60" xfId="12324" xr:uid="{00000000-0005-0000-0000-000024300000}"/>
    <cellStyle name="CustomCellsOrange 2 2 2 2 61" xfId="12325" xr:uid="{00000000-0005-0000-0000-000025300000}"/>
    <cellStyle name="CustomCellsOrange 2 2 2 2 62" xfId="12326" xr:uid="{00000000-0005-0000-0000-000026300000}"/>
    <cellStyle name="CustomCellsOrange 2 2 2 2 63" xfId="12327" xr:uid="{00000000-0005-0000-0000-000027300000}"/>
    <cellStyle name="CustomCellsOrange 2 2 2 2 64" xfId="12328" xr:uid="{00000000-0005-0000-0000-000028300000}"/>
    <cellStyle name="CustomCellsOrange 2 2 2 2 65" xfId="12329" xr:uid="{00000000-0005-0000-0000-000029300000}"/>
    <cellStyle name="CustomCellsOrange 2 2 2 2 66" xfId="12330" xr:uid="{00000000-0005-0000-0000-00002A300000}"/>
    <cellStyle name="CustomCellsOrange 2 2 2 2 7" xfId="12331" xr:uid="{00000000-0005-0000-0000-00002B300000}"/>
    <cellStyle name="CustomCellsOrange 2 2 2 2 8" xfId="12332" xr:uid="{00000000-0005-0000-0000-00002C300000}"/>
    <cellStyle name="CustomCellsOrange 2 2 2 2 9" xfId="12333" xr:uid="{00000000-0005-0000-0000-00002D300000}"/>
    <cellStyle name="CustomCellsOrange 2 2 20" xfId="12334" xr:uid="{00000000-0005-0000-0000-00002E300000}"/>
    <cellStyle name="CustomCellsOrange 2 2 21" xfId="12335" xr:uid="{00000000-0005-0000-0000-00002F300000}"/>
    <cellStyle name="CustomCellsOrange 2 2 22" xfId="12336" xr:uid="{00000000-0005-0000-0000-000030300000}"/>
    <cellStyle name="CustomCellsOrange 2 2 23" xfId="12337" xr:uid="{00000000-0005-0000-0000-000031300000}"/>
    <cellStyle name="CustomCellsOrange 2 2 24" xfId="12338" xr:uid="{00000000-0005-0000-0000-000032300000}"/>
    <cellStyle name="CustomCellsOrange 2 2 25" xfId="12339" xr:uid="{00000000-0005-0000-0000-000033300000}"/>
    <cellStyle name="CustomCellsOrange 2 2 26" xfId="12340" xr:uid="{00000000-0005-0000-0000-000034300000}"/>
    <cellStyle name="CustomCellsOrange 2 2 27" xfId="12341" xr:uid="{00000000-0005-0000-0000-000035300000}"/>
    <cellStyle name="CustomCellsOrange 2 2 28" xfId="12342" xr:uid="{00000000-0005-0000-0000-000036300000}"/>
    <cellStyle name="CustomCellsOrange 2 2 29" xfId="12343" xr:uid="{00000000-0005-0000-0000-000037300000}"/>
    <cellStyle name="CustomCellsOrange 2 2 3" xfId="12344" xr:uid="{00000000-0005-0000-0000-000038300000}"/>
    <cellStyle name="CustomCellsOrange 2 2 3 10" xfId="12345" xr:uid="{00000000-0005-0000-0000-000039300000}"/>
    <cellStyle name="CustomCellsOrange 2 2 3 11" xfId="12346" xr:uid="{00000000-0005-0000-0000-00003A300000}"/>
    <cellStyle name="CustomCellsOrange 2 2 3 12" xfId="12347" xr:uid="{00000000-0005-0000-0000-00003B300000}"/>
    <cellStyle name="CustomCellsOrange 2 2 3 13" xfId="12348" xr:uid="{00000000-0005-0000-0000-00003C300000}"/>
    <cellStyle name="CustomCellsOrange 2 2 3 14" xfId="12349" xr:uid="{00000000-0005-0000-0000-00003D300000}"/>
    <cellStyle name="CustomCellsOrange 2 2 3 15" xfId="12350" xr:uid="{00000000-0005-0000-0000-00003E300000}"/>
    <cellStyle name="CustomCellsOrange 2 2 3 16" xfId="12351" xr:uid="{00000000-0005-0000-0000-00003F300000}"/>
    <cellStyle name="CustomCellsOrange 2 2 3 17" xfId="12352" xr:uid="{00000000-0005-0000-0000-000040300000}"/>
    <cellStyle name="CustomCellsOrange 2 2 3 18" xfId="12353" xr:uid="{00000000-0005-0000-0000-000041300000}"/>
    <cellStyle name="CustomCellsOrange 2 2 3 19" xfId="12354" xr:uid="{00000000-0005-0000-0000-000042300000}"/>
    <cellStyle name="CustomCellsOrange 2 2 3 2" xfId="12355" xr:uid="{00000000-0005-0000-0000-000043300000}"/>
    <cellStyle name="CustomCellsOrange 2 2 3 2 10" xfId="12356" xr:uid="{00000000-0005-0000-0000-000044300000}"/>
    <cellStyle name="CustomCellsOrange 2 2 3 2 11" xfId="12357" xr:uid="{00000000-0005-0000-0000-000045300000}"/>
    <cellStyle name="CustomCellsOrange 2 2 3 2 12" xfId="12358" xr:uid="{00000000-0005-0000-0000-000046300000}"/>
    <cellStyle name="CustomCellsOrange 2 2 3 2 13" xfId="12359" xr:uid="{00000000-0005-0000-0000-000047300000}"/>
    <cellStyle name="CustomCellsOrange 2 2 3 2 14" xfId="12360" xr:uid="{00000000-0005-0000-0000-000048300000}"/>
    <cellStyle name="CustomCellsOrange 2 2 3 2 15" xfId="12361" xr:uid="{00000000-0005-0000-0000-000049300000}"/>
    <cellStyle name="CustomCellsOrange 2 2 3 2 16" xfId="12362" xr:uid="{00000000-0005-0000-0000-00004A300000}"/>
    <cellStyle name="CustomCellsOrange 2 2 3 2 17" xfId="12363" xr:uid="{00000000-0005-0000-0000-00004B300000}"/>
    <cellStyle name="CustomCellsOrange 2 2 3 2 18" xfId="12364" xr:uid="{00000000-0005-0000-0000-00004C300000}"/>
    <cellStyle name="CustomCellsOrange 2 2 3 2 19" xfId="12365" xr:uid="{00000000-0005-0000-0000-00004D300000}"/>
    <cellStyle name="CustomCellsOrange 2 2 3 2 2" xfId="12366" xr:uid="{00000000-0005-0000-0000-00004E300000}"/>
    <cellStyle name="CustomCellsOrange 2 2 3 2 20" xfId="12367" xr:uid="{00000000-0005-0000-0000-00004F300000}"/>
    <cellStyle name="CustomCellsOrange 2 2 3 2 21" xfId="12368" xr:uid="{00000000-0005-0000-0000-000050300000}"/>
    <cellStyle name="CustomCellsOrange 2 2 3 2 22" xfId="12369" xr:uid="{00000000-0005-0000-0000-000051300000}"/>
    <cellStyle name="CustomCellsOrange 2 2 3 2 23" xfId="12370" xr:uid="{00000000-0005-0000-0000-000052300000}"/>
    <cellStyle name="CustomCellsOrange 2 2 3 2 24" xfId="12371" xr:uid="{00000000-0005-0000-0000-000053300000}"/>
    <cellStyle name="CustomCellsOrange 2 2 3 2 25" xfId="12372" xr:uid="{00000000-0005-0000-0000-000054300000}"/>
    <cellStyle name="CustomCellsOrange 2 2 3 2 26" xfId="12373" xr:uid="{00000000-0005-0000-0000-000055300000}"/>
    <cellStyle name="CustomCellsOrange 2 2 3 2 27" xfId="12374" xr:uid="{00000000-0005-0000-0000-000056300000}"/>
    <cellStyle name="CustomCellsOrange 2 2 3 2 28" xfId="12375" xr:uid="{00000000-0005-0000-0000-000057300000}"/>
    <cellStyle name="CustomCellsOrange 2 2 3 2 29" xfId="12376" xr:uid="{00000000-0005-0000-0000-000058300000}"/>
    <cellStyle name="CustomCellsOrange 2 2 3 2 3" xfId="12377" xr:uid="{00000000-0005-0000-0000-000059300000}"/>
    <cellStyle name="CustomCellsOrange 2 2 3 2 30" xfId="12378" xr:uid="{00000000-0005-0000-0000-00005A300000}"/>
    <cellStyle name="CustomCellsOrange 2 2 3 2 31" xfId="12379" xr:uid="{00000000-0005-0000-0000-00005B300000}"/>
    <cellStyle name="CustomCellsOrange 2 2 3 2 32" xfId="12380" xr:uid="{00000000-0005-0000-0000-00005C300000}"/>
    <cellStyle name="CustomCellsOrange 2 2 3 2 33" xfId="12381" xr:uid="{00000000-0005-0000-0000-00005D300000}"/>
    <cellStyle name="CustomCellsOrange 2 2 3 2 34" xfId="12382" xr:uid="{00000000-0005-0000-0000-00005E300000}"/>
    <cellStyle name="CustomCellsOrange 2 2 3 2 35" xfId="12383" xr:uid="{00000000-0005-0000-0000-00005F300000}"/>
    <cellStyle name="CustomCellsOrange 2 2 3 2 36" xfId="12384" xr:uid="{00000000-0005-0000-0000-000060300000}"/>
    <cellStyle name="CustomCellsOrange 2 2 3 2 37" xfId="12385" xr:uid="{00000000-0005-0000-0000-000061300000}"/>
    <cellStyle name="CustomCellsOrange 2 2 3 2 38" xfId="12386" xr:uid="{00000000-0005-0000-0000-000062300000}"/>
    <cellStyle name="CustomCellsOrange 2 2 3 2 39" xfId="12387" xr:uid="{00000000-0005-0000-0000-000063300000}"/>
    <cellStyle name="CustomCellsOrange 2 2 3 2 4" xfId="12388" xr:uid="{00000000-0005-0000-0000-000064300000}"/>
    <cellStyle name="CustomCellsOrange 2 2 3 2 40" xfId="12389" xr:uid="{00000000-0005-0000-0000-000065300000}"/>
    <cellStyle name="CustomCellsOrange 2 2 3 2 41" xfId="12390" xr:uid="{00000000-0005-0000-0000-000066300000}"/>
    <cellStyle name="CustomCellsOrange 2 2 3 2 42" xfId="12391" xr:uid="{00000000-0005-0000-0000-000067300000}"/>
    <cellStyle name="CustomCellsOrange 2 2 3 2 43" xfId="12392" xr:uid="{00000000-0005-0000-0000-000068300000}"/>
    <cellStyle name="CustomCellsOrange 2 2 3 2 44" xfId="12393" xr:uid="{00000000-0005-0000-0000-000069300000}"/>
    <cellStyle name="CustomCellsOrange 2 2 3 2 45" xfId="12394" xr:uid="{00000000-0005-0000-0000-00006A300000}"/>
    <cellStyle name="CustomCellsOrange 2 2 3 2 46" xfId="12395" xr:uid="{00000000-0005-0000-0000-00006B300000}"/>
    <cellStyle name="CustomCellsOrange 2 2 3 2 47" xfId="12396" xr:uid="{00000000-0005-0000-0000-00006C300000}"/>
    <cellStyle name="CustomCellsOrange 2 2 3 2 48" xfId="12397" xr:uid="{00000000-0005-0000-0000-00006D300000}"/>
    <cellStyle name="CustomCellsOrange 2 2 3 2 49" xfId="12398" xr:uid="{00000000-0005-0000-0000-00006E300000}"/>
    <cellStyle name="CustomCellsOrange 2 2 3 2 5" xfId="12399" xr:uid="{00000000-0005-0000-0000-00006F300000}"/>
    <cellStyle name="CustomCellsOrange 2 2 3 2 50" xfId="12400" xr:uid="{00000000-0005-0000-0000-000070300000}"/>
    <cellStyle name="CustomCellsOrange 2 2 3 2 51" xfId="12401" xr:uid="{00000000-0005-0000-0000-000071300000}"/>
    <cellStyle name="CustomCellsOrange 2 2 3 2 52" xfId="12402" xr:uid="{00000000-0005-0000-0000-000072300000}"/>
    <cellStyle name="CustomCellsOrange 2 2 3 2 53" xfId="12403" xr:uid="{00000000-0005-0000-0000-000073300000}"/>
    <cellStyle name="CustomCellsOrange 2 2 3 2 54" xfId="12404" xr:uid="{00000000-0005-0000-0000-000074300000}"/>
    <cellStyle name="CustomCellsOrange 2 2 3 2 55" xfId="12405" xr:uid="{00000000-0005-0000-0000-000075300000}"/>
    <cellStyle name="CustomCellsOrange 2 2 3 2 56" xfId="12406" xr:uid="{00000000-0005-0000-0000-000076300000}"/>
    <cellStyle name="CustomCellsOrange 2 2 3 2 57" xfId="12407" xr:uid="{00000000-0005-0000-0000-000077300000}"/>
    <cellStyle name="CustomCellsOrange 2 2 3 2 58" xfId="12408" xr:uid="{00000000-0005-0000-0000-000078300000}"/>
    <cellStyle name="CustomCellsOrange 2 2 3 2 59" xfId="12409" xr:uid="{00000000-0005-0000-0000-000079300000}"/>
    <cellStyle name="CustomCellsOrange 2 2 3 2 6" xfId="12410" xr:uid="{00000000-0005-0000-0000-00007A300000}"/>
    <cellStyle name="CustomCellsOrange 2 2 3 2 60" xfId="12411" xr:uid="{00000000-0005-0000-0000-00007B300000}"/>
    <cellStyle name="CustomCellsOrange 2 2 3 2 61" xfId="12412" xr:uid="{00000000-0005-0000-0000-00007C300000}"/>
    <cellStyle name="CustomCellsOrange 2 2 3 2 62" xfId="12413" xr:uid="{00000000-0005-0000-0000-00007D300000}"/>
    <cellStyle name="CustomCellsOrange 2 2 3 2 63" xfId="12414" xr:uid="{00000000-0005-0000-0000-00007E300000}"/>
    <cellStyle name="CustomCellsOrange 2 2 3 2 64" xfId="12415" xr:uid="{00000000-0005-0000-0000-00007F300000}"/>
    <cellStyle name="CustomCellsOrange 2 2 3 2 65" xfId="12416" xr:uid="{00000000-0005-0000-0000-000080300000}"/>
    <cellStyle name="CustomCellsOrange 2 2 3 2 7" xfId="12417" xr:uid="{00000000-0005-0000-0000-000081300000}"/>
    <cellStyle name="CustomCellsOrange 2 2 3 2 8" xfId="12418" xr:uid="{00000000-0005-0000-0000-000082300000}"/>
    <cellStyle name="CustomCellsOrange 2 2 3 2 9" xfId="12419" xr:uid="{00000000-0005-0000-0000-000083300000}"/>
    <cellStyle name="CustomCellsOrange 2 2 3 20" xfId="12420" xr:uid="{00000000-0005-0000-0000-000084300000}"/>
    <cellStyle name="CustomCellsOrange 2 2 3 21" xfId="12421" xr:uid="{00000000-0005-0000-0000-000085300000}"/>
    <cellStyle name="CustomCellsOrange 2 2 3 22" xfId="12422" xr:uid="{00000000-0005-0000-0000-000086300000}"/>
    <cellStyle name="CustomCellsOrange 2 2 3 23" xfId="12423" xr:uid="{00000000-0005-0000-0000-000087300000}"/>
    <cellStyle name="CustomCellsOrange 2 2 3 24" xfId="12424" xr:uid="{00000000-0005-0000-0000-000088300000}"/>
    <cellStyle name="CustomCellsOrange 2 2 3 25" xfId="12425" xr:uid="{00000000-0005-0000-0000-000089300000}"/>
    <cellStyle name="CustomCellsOrange 2 2 3 26" xfId="12426" xr:uid="{00000000-0005-0000-0000-00008A300000}"/>
    <cellStyle name="CustomCellsOrange 2 2 3 27" xfId="12427" xr:uid="{00000000-0005-0000-0000-00008B300000}"/>
    <cellStyle name="CustomCellsOrange 2 2 3 28" xfId="12428" xr:uid="{00000000-0005-0000-0000-00008C300000}"/>
    <cellStyle name="CustomCellsOrange 2 2 3 29" xfId="12429" xr:uid="{00000000-0005-0000-0000-00008D300000}"/>
    <cellStyle name="CustomCellsOrange 2 2 3 3" xfId="12430" xr:uid="{00000000-0005-0000-0000-00008E300000}"/>
    <cellStyle name="CustomCellsOrange 2 2 3 30" xfId="12431" xr:uid="{00000000-0005-0000-0000-00008F300000}"/>
    <cellStyle name="CustomCellsOrange 2 2 3 31" xfId="12432" xr:uid="{00000000-0005-0000-0000-000090300000}"/>
    <cellStyle name="CustomCellsOrange 2 2 3 32" xfId="12433" xr:uid="{00000000-0005-0000-0000-000091300000}"/>
    <cellStyle name="CustomCellsOrange 2 2 3 33" xfId="12434" xr:uid="{00000000-0005-0000-0000-000092300000}"/>
    <cellStyle name="CustomCellsOrange 2 2 3 34" xfId="12435" xr:uid="{00000000-0005-0000-0000-000093300000}"/>
    <cellStyle name="CustomCellsOrange 2 2 3 35" xfId="12436" xr:uid="{00000000-0005-0000-0000-000094300000}"/>
    <cellStyle name="CustomCellsOrange 2 2 3 36" xfId="12437" xr:uid="{00000000-0005-0000-0000-000095300000}"/>
    <cellStyle name="CustomCellsOrange 2 2 3 37" xfId="12438" xr:uid="{00000000-0005-0000-0000-000096300000}"/>
    <cellStyle name="CustomCellsOrange 2 2 3 38" xfId="12439" xr:uid="{00000000-0005-0000-0000-000097300000}"/>
    <cellStyle name="CustomCellsOrange 2 2 3 39" xfId="12440" xr:uid="{00000000-0005-0000-0000-000098300000}"/>
    <cellStyle name="CustomCellsOrange 2 2 3 4" xfId="12441" xr:uid="{00000000-0005-0000-0000-000099300000}"/>
    <cellStyle name="CustomCellsOrange 2 2 3 40" xfId="12442" xr:uid="{00000000-0005-0000-0000-00009A300000}"/>
    <cellStyle name="CustomCellsOrange 2 2 3 41" xfId="12443" xr:uid="{00000000-0005-0000-0000-00009B300000}"/>
    <cellStyle name="CustomCellsOrange 2 2 3 42" xfId="12444" xr:uid="{00000000-0005-0000-0000-00009C300000}"/>
    <cellStyle name="CustomCellsOrange 2 2 3 43" xfId="12445" xr:uid="{00000000-0005-0000-0000-00009D300000}"/>
    <cellStyle name="CustomCellsOrange 2 2 3 44" xfId="12446" xr:uid="{00000000-0005-0000-0000-00009E300000}"/>
    <cellStyle name="CustomCellsOrange 2 2 3 45" xfId="12447" xr:uid="{00000000-0005-0000-0000-00009F300000}"/>
    <cellStyle name="CustomCellsOrange 2 2 3 46" xfId="12448" xr:uid="{00000000-0005-0000-0000-0000A0300000}"/>
    <cellStyle name="CustomCellsOrange 2 2 3 47" xfId="12449" xr:uid="{00000000-0005-0000-0000-0000A1300000}"/>
    <cellStyle name="CustomCellsOrange 2 2 3 48" xfId="12450" xr:uid="{00000000-0005-0000-0000-0000A2300000}"/>
    <cellStyle name="CustomCellsOrange 2 2 3 49" xfId="12451" xr:uid="{00000000-0005-0000-0000-0000A3300000}"/>
    <cellStyle name="CustomCellsOrange 2 2 3 5" xfId="12452" xr:uid="{00000000-0005-0000-0000-0000A4300000}"/>
    <cellStyle name="CustomCellsOrange 2 2 3 50" xfId="12453" xr:uid="{00000000-0005-0000-0000-0000A5300000}"/>
    <cellStyle name="CustomCellsOrange 2 2 3 51" xfId="12454" xr:uid="{00000000-0005-0000-0000-0000A6300000}"/>
    <cellStyle name="CustomCellsOrange 2 2 3 52" xfId="12455" xr:uid="{00000000-0005-0000-0000-0000A7300000}"/>
    <cellStyle name="CustomCellsOrange 2 2 3 53" xfId="12456" xr:uid="{00000000-0005-0000-0000-0000A8300000}"/>
    <cellStyle name="CustomCellsOrange 2 2 3 54" xfId="12457" xr:uid="{00000000-0005-0000-0000-0000A9300000}"/>
    <cellStyle name="CustomCellsOrange 2 2 3 55" xfId="12458" xr:uid="{00000000-0005-0000-0000-0000AA300000}"/>
    <cellStyle name="CustomCellsOrange 2 2 3 56" xfId="12459" xr:uid="{00000000-0005-0000-0000-0000AB300000}"/>
    <cellStyle name="CustomCellsOrange 2 2 3 57" xfId="12460" xr:uid="{00000000-0005-0000-0000-0000AC300000}"/>
    <cellStyle name="CustomCellsOrange 2 2 3 58" xfId="12461" xr:uid="{00000000-0005-0000-0000-0000AD300000}"/>
    <cellStyle name="CustomCellsOrange 2 2 3 59" xfId="12462" xr:uid="{00000000-0005-0000-0000-0000AE300000}"/>
    <cellStyle name="CustomCellsOrange 2 2 3 6" xfId="12463" xr:uid="{00000000-0005-0000-0000-0000AF300000}"/>
    <cellStyle name="CustomCellsOrange 2 2 3 60" xfId="12464" xr:uid="{00000000-0005-0000-0000-0000B0300000}"/>
    <cellStyle name="CustomCellsOrange 2 2 3 61" xfId="12465" xr:uid="{00000000-0005-0000-0000-0000B1300000}"/>
    <cellStyle name="CustomCellsOrange 2 2 3 62" xfId="12466" xr:uid="{00000000-0005-0000-0000-0000B2300000}"/>
    <cellStyle name="CustomCellsOrange 2 2 3 63" xfId="12467" xr:uid="{00000000-0005-0000-0000-0000B3300000}"/>
    <cellStyle name="CustomCellsOrange 2 2 3 64" xfId="12468" xr:uid="{00000000-0005-0000-0000-0000B4300000}"/>
    <cellStyle name="CustomCellsOrange 2 2 3 65" xfId="12469" xr:uid="{00000000-0005-0000-0000-0000B5300000}"/>
    <cellStyle name="CustomCellsOrange 2 2 3 66" xfId="12470" xr:uid="{00000000-0005-0000-0000-0000B6300000}"/>
    <cellStyle name="CustomCellsOrange 2 2 3 7" xfId="12471" xr:uid="{00000000-0005-0000-0000-0000B7300000}"/>
    <cellStyle name="CustomCellsOrange 2 2 3 8" xfId="12472" xr:uid="{00000000-0005-0000-0000-0000B8300000}"/>
    <cellStyle name="CustomCellsOrange 2 2 3 9" xfId="12473" xr:uid="{00000000-0005-0000-0000-0000B9300000}"/>
    <cellStyle name="CustomCellsOrange 2 2 30" xfId="12474" xr:uid="{00000000-0005-0000-0000-0000BA300000}"/>
    <cellStyle name="CustomCellsOrange 2 2 31" xfId="12475" xr:uid="{00000000-0005-0000-0000-0000BB300000}"/>
    <cellStyle name="CustomCellsOrange 2 2 32" xfId="12476" xr:uid="{00000000-0005-0000-0000-0000BC300000}"/>
    <cellStyle name="CustomCellsOrange 2 2 33" xfId="12477" xr:uid="{00000000-0005-0000-0000-0000BD300000}"/>
    <cellStyle name="CustomCellsOrange 2 2 34" xfId="12478" xr:uid="{00000000-0005-0000-0000-0000BE300000}"/>
    <cellStyle name="CustomCellsOrange 2 2 35" xfId="12479" xr:uid="{00000000-0005-0000-0000-0000BF300000}"/>
    <cellStyle name="CustomCellsOrange 2 2 36" xfId="12480" xr:uid="{00000000-0005-0000-0000-0000C0300000}"/>
    <cellStyle name="CustomCellsOrange 2 2 37" xfId="12481" xr:uid="{00000000-0005-0000-0000-0000C1300000}"/>
    <cellStyle name="CustomCellsOrange 2 2 38" xfId="12482" xr:uid="{00000000-0005-0000-0000-0000C2300000}"/>
    <cellStyle name="CustomCellsOrange 2 2 39" xfId="12483" xr:uid="{00000000-0005-0000-0000-0000C3300000}"/>
    <cellStyle name="CustomCellsOrange 2 2 4" xfId="12484" xr:uid="{00000000-0005-0000-0000-0000C4300000}"/>
    <cellStyle name="CustomCellsOrange 2 2 4 10" xfId="12485" xr:uid="{00000000-0005-0000-0000-0000C5300000}"/>
    <cellStyle name="CustomCellsOrange 2 2 4 11" xfId="12486" xr:uid="{00000000-0005-0000-0000-0000C6300000}"/>
    <cellStyle name="CustomCellsOrange 2 2 4 12" xfId="12487" xr:uid="{00000000-0005-0000-0000-0000C7300000}"/>
    <cellStyle name="CustomCellsOrange 2 2 4 13" xfId="12488" xr:uid="{00000000-0005-0000-0000-0000C8300000}"/>
    <cellStyle name="CustomCellsOrange 2 2 4 14" xfId="12489" xr:uid="{00000000-0005-0000-0000-0000C9300000}"/>
    <cellStyle name="CustomCellsOrange 2 2 4 15" xfId="12490" xr:uid="{00000000-0005-0000-0000-0000CA300000}"/>
    <cellStyle name="CustomCellsOrange 2 2 4 16" xfId="12491" xr:uid="{00000000-0005-0000-0000-0000CB300000}"/>
    <cellStyle name="CustomCellsOrange 2 2 4 17" xfId="12492" xr:uid="{00000000-0005-0000-0000-0000CC300000}"/>
    <cellStyle name="CustomCellsOrange 2 2 4 18" xfId="12493" xr:uid="{00000000-0005-0000-0000-0000CD300000}"/>
    <cellStyle name="CustomCellsOrange 2 2 4 19" xfId="12494" xr:uid="{00000000-0005-0000-0000-0000CE300000}"/>
    <cellStyle name="CustomCellsOrange 2 2 4 2" xfId="12495" xr:uid="{00000000-0005-0000-0000-0000CF300000}"/>
    <cellStyle name="CustomCellsOrange 2 2 4 2 10" xfId="12496" xr:uid="{00000000-0005-0000-0000-0000D0300000}"/>
    <cellStyle name="CustomCellsOrange 2 2 4 2 11" xfId="12497" xr:uid="{00000000-0005-0000-0000-0000D1300000}"/>
    <cellStyle name="CustomCellsOrange 2 2 4 2 12" xfId="12498" xr:uid="{00000000-0005-0000-0000-0000D2300000}"/>
    <cellStyle name="CustomCellsOrange 2 2 4 2 13" xfId="12499" xr:uid="{00000000-0005-0000-0000-0000D3300000}"/>
    <cellStyle name="CustomCellsOrange 2 2 4 2 14" xfId="12500" xr:uid="{00000000-0005-0000-0000-0000D4300000}"/>
    <cellStyle name="CustomCellsOrange 2 2 4 2 15" xfId="12501" xr:uid="{00000000-0005-0000-0000-0000D5300000}"/>
    <cellStyle name="CustomCellsOrange 2 2 4 2 16" xfId="12502" xr:uid="{00000000-0005-0000-0000-0000D6300000}"/>
    <cellStyle name="CustomCellsOrange 2 2 4 2 17" xfId="12503" xr:uid="{00000000-0005-0000-0000-0000D7300000}"/>
    <cellStyle name="CustomCellsOrange 2 2 4 2 18" xfId="12504" xr:uid="{00000000-0005-0000-0000-0000D8300000}"/>
    <cellStyle name="CustomCellsOrange 2 2 4 2 19" xfId="12505" xr:uid="{00000000-0005-0000-0000-0000D9300000}"/>
    <cellStyle name="CustomCellsOrange 2 2 4 2 2" xfId="12506" xr:uid="{00000000-0005-0000-0000-0000DA300000}"/>
    <cellStyle name="CustomCellsOrange 2 2 4 2 20" xfId="12507" xr:uid="{00000000-0005-0000-0000-0000DB300000}"/>
    <cellStyle name="CustomCellsOrange 2 2 4 2 21" xfId="12508" xr:uid="{00000000-0005-0000-0000-0000DC300000}"/>
    <cellStyle name="CustomCellsOrange 2 2 4 2 22" xfId="12509" xr:uid="{00000000-0005-0000-0000-0000DD300000}"/>
    <cellStyle name="CustomCellsOrange 2 2 4 2 23" xfId="12510" xr:uid="{00000000-0005-0000-0000-0000DE300000}"/>
    <cellStyle name="CustomCellsOrange 2 2 4 2 24" xfId="12511" xr:uid="{00000000-0005-0000-0000-0000DF300000}"/>
    <cellStyle name="CustomCellsOrange 2 2 4 2 25" xfId="12512" xr:uid="{00000000-0005-0000-0000-0000E0300000}"/>
    <cellStyle name="CustomCellsOrange 2 2 4 2 26" xfId="12513" xr:uid="{00000000-0005-0000-0000-0000E1300000}"/>
    <cellStyle name="CustomCellsOrange 2 2 4 2 27" xfId="12514" xr:uid="{00000000-0005-0000-0000-0000E2300000}"/>
    <cellStyle name="CustomCellsOrange 2 2 4 2 28" xfId="12515" xr:uid="{00000000-0005-0000-0000-0000E3300000}"/>
    <cellStyle name="CustomCellsOrange 2 2 4 2 29" xfId="12516" xr:uid="{00000000-0005-0000-0000-0000E4300000}"/>
    <cellStyle name="CustomCellsOrange 2 2 4 2 3" xfId="12517" xr:uid="{00000000-0005-0000-0000-0000E5300000}"/>
    <cellStyle name="CustomCellsOrange 2 2 4 2 30" xfId="12518" xr:uid="{00000000-0005-0000-0000-0000E6300000}"/>
    <cellStyle name="CustomCellsOrange 2 2 4 2 31" xfId="12519" xr:uid="{00000000-0005-0000-0000-0000E7300000}"/>
    <cellStyle name="CustomCellsOrange 2 2 4 2 32" xfId="12520" xr:uid="{00000000-0005-0000-0000-0000E8300000}"/>
    <cellStyle name="CustomCellsOrange 2 2 4 2 33" xfId="12521" xr:uid="{00000000-0005-0000-0000-0000E9300000}"/>
    <cellStyle name="CustomCellsOrange 2 2 4 2 34" xfId="12522" xr:uid="{00000000-0005-0000-0000-0000EA300000}"/>
    <cellStyle name="CustomCellsOrange 2 2 4 2 35" xfId="12523" xr:uid="{00000000-0005-0000-0000-0000EB300000}"/>
    <cellStyle name="CustomCellsOrange 2 2 4 2 36" xfId="12524" xr:uid="{00000000-0005-0000-0000-0000EC300000}"/>
    <cellStyle name="CustomCellsOrange 2 2 4 2 37" xfId="12525" xr:uid="{00000000-0005-0000-0000-0000ED300000}"/>
    <cellStyle name="CustomCellsOrange 2 2 4 2 38" xfId="12526" xr:uid="{00000000-0005-0000-0000-0000EE300000}"/>
    <cellStyle name="CustomCellsOrange 2 2 4 2 39" xfId="12527" xr:uid="{00000000-0005-0000-0000-0000EF300000}"/>
    <cellStyle name="CustomCellsOrange 2 2 4 2 4" xfId="12528" xr:uid="{00000000-0005-0000-0000-0000F0300000}"/>
    <cellStyle name="CustomCellsOrange 2 2 4 2 40" xfId="12529" xr:uid="{00000000-0005-0000-0000-0000F1300000}"/>
    <cellStyle name="CustomCellsOrange 2 2 4 2 41" xfId="12530" xr:uid="{00000000-0005-0000-0000-0000F2300000}"/>
    <cellStyle name="CustomCellsOrange 2 2 4 2 42" xfId="12531" xr:uid="{00000000-0005-0000-0000-0000F3300000}"/>
    <cellStyle name="CustomCellsOrange 2 2 4 2 43" xfId="12532" xr:uid="{00000000-0005-0000-0000-0000F4300000}"/>
    <cellStyle name="CustomCellsOrange 2 2 4 2 44" xfId="12533" xr:uid="{00000000-0005-0000-0000-0000F5300000}"/>
    <cellStyle name="CustomCellsOrange 2 2 4 2 45" xfId="12534" xr:uid="{00000000-0005-0000-0000-0000F6300000}"/>
    <cellStyle name="CustomCellsOrange 2 2 4 2 46" xfId="12535" xr:uid="{00000000-0005-0000-0000-0000F7300000}"/>
    <cellStyle name="CustomCellsOrange 2 2 4 2 47" xfId="12536" xr:uid="{00000000-0005-0000-0000-0000F8300000}"/>
    <cellStyle name="CustomCellsOrange 2 2 4 2 48" xfId="12537" xr:uid="{00000000-0005-0000-0000-0000F9300000}"/>
    <cellStyle name="CustomCellsOrange 2 2 4 2 49" xfId="12538" xr:uid="{00000000-0005-0000-0000-0000FA300000}"/>
    <cellStyle name="CustomCellsOrange 2 2 4 2 5" xfId="12539" xr:uid="{00000000-0005-0000-0000-0000FB300000}"/>
    <cellStyle name="CustomCellsOrange 2 2 4 2 50" xfId="12540" xr:uid="{00000000-0005-0000-0000-0000FC300000}"/>
    <cellStyle name="CustomCellsOrange 2 2 4 2 51" xfId="12541" xr:uid="{00000000-0005-0000-0000-0000FD300000}"/>
    <cellStyle name="CustomCellsOrange 2 2 4 2 52" xfId="12542" xr:uid="{00000000-0005-0000-0000-0000FE300000}"/>
    <cellStyle name="CustomCellsOrange 2 2 4 2 53" xfId="12543" xr:uid="{00000000-0005-0000-0000-0000FF300000}"/>
    <cellStyle name="CustomCellsOrange 2 2 4 2 54" xfId="12544" xr:uid="{00000000-0005-0000-0000-000000310000}"/>
    <cellStyle name="CustomCellsOrange 2 2 4 2 55" xfId="12545" xr:uid="{00000000-0005-0000-0000-000001310000}"/>
    <cellStyle name="CustomCellsOrange 2 2 4 2 56" xfId="12546" xr:uid="{00000000-0005-0000-0000-000002310000}"/>
    <cellStyle name="CustomCellsOrange 2 2 4 2 57" xfId="12547" xr:uid="{00000000-0005-0000-0000-000003310000}"/>
    <cellStyle name="CustomCellsOrange 2 2 4 2 58" xfId="12548" xr:uid="{00000000-0005-0000-0000-000004310000}"/>
    <cellStyle name="CustomCellsOrange 2 2 4 2 59" xfId="12549" xr:uid="{00000000-0005-0000-0000-000005310000}"/>
    <cellStyle name="CustomCellsOrange 2 2 4 2 6" xfId="12550" xr:uid="{00000000-0005-0000-0000-000006310000}"/>
    <cellStyle name="CustomCellsOrange 2 2 4 2 60" xfId="12551" xr:uid="{00000000-0005-0000-0000-000007310000}"/>
    <cellStyle name="CustomCellsOrange 2 2 4 2 61" xfId="12552" xr:uid="{00000000-0005-0000-0000-000008310000}"/>
    <cellStyle name="CustomCellsOrange 2 2 4 2 62" xfId="12553" xr:uid="{00000000-0005-0000-0000-000009310000}"/>
    <cellStyle name="CustomCellsOrange 2 2 4 2 63" xfId="12554" xr:uid="{00000000-0005-0000-0000-00000A310000}"/>
    <cellStyle name="CustomCellsOrange 2 2 4 2 64" xfId="12555" xr:uid="{00000000-0005-0000-0000-00000B310000}"/>
    <cellStyle name="CustomCellsOrange 2 2 4 2 65" xfId="12556" xr:uid="{00000000-0005-0000-0000-00000C310000}"/>
    <cellStyle name="CustomCellsOrange 2 2 4 2 7" xfId="12557" xr:uid="{00000000-0005-0000-0000-00000D310000}"/>
    <cellStyle name="CustomCellsOrange 2 2 4 2 8" xfId="12558" xr:uid="{00000000-0005-0000-0000-00000E310000}"/>
    <cellStyle name="CustomCellsOrange 2 2 4 2 9" xfId="12559" xr:uid="{00000000-0005-0000-0000-00000F310000}"/>
    <cellStyle name="CustomCellsOrange 2 2 4 20" xfId="12560" xr:uid="{00000000-0005-0000-0000-000010310000}"/>
    <cellStyle name="CustomCellsOrange 2 2 4 21" xfId="12561" xr:uid="{00000000-0005-0000-0000-000011310000}"/>
    <cellStyle name="CustomCellsOrange 2 2 4 22" xfId="12562" xr:uid="{00000000-0005-0000-0000-000012310000}"/>
    <cellStyle name="CustomCellsOrange 2 2 4 23" xfId="12563" xr:uid="{00000000-0005-0000-0000-000013310000}"/>
    <cellStyle name="CustomCellsOrange 2 2 4 24" xfId="12564" xr:uid="{00000000-0005-0000-0000-000014310000}"/>
    <cellStyle name="CustomCellsOrange 2 2 4 25" xfId="12565" xr:uid="{00000000-0005-0000-0000-000015310000}"/>
    <cellStyle name="CustomCellsOrange 2 2 4 26" xfId="12566" xr:uid="{00000000-0005-0000-0000-000016310000}"/>
    <cellStyle name="CustomCellsOrange 2 2 4 27" xfId="12567" xr:uid="{00000000-0005-0000-0000-000017310000}"/>
    <cellStyle name="CustomCellsOrange 2 2 4 28" xfId="12568" xr:uid="{00000000-0005-0000-0000-000018310000}"/>
    <cellStyle name="CustomCellsOrange 2 2 4 29" xfId="12569" xr:uid="{00000000-0005-0000-0000-000019310000}"/>
    <cellStyle name="CustomCellsOrange 2 2 4 3" xfId="12570" xr:uid="{00000000-0005-0000-0000-00001A310000}"/>
    <cellStyle name="CustomCellsOrange 2 2 4 30" xfId="12571" xr:uid="{00000000-0005-0000-0000-00001B310000}"/>
    <cellStyle name="CustomCellsOrange 2 2 4 31" xfId="12572" xr:uid="{00000000-0005-0000-0000-00001C310000}"/>
    <cellStyle name="CustomCellsOrange 2 2 4 32" xfId="12573" xr:uid="{00000000-0005-0000-0000-00001D310000}"/>
    <cellStyle name="CustomCellsOrange 2 2 4 33" xfId="12574" xr:uid="{00000000-0005-0000-0000-00001E310000}"/>
    <cellStyle name="CustomCellsOrange 2 2 4 34" xfId="12575" xr:uid="{00000000-0005-0000-0000-00001F310000}"/>
    <cellStyle name="CustomCellsOrange 2 2 4 35" xfId="12576" xr:uid="{00000000-0005-0000-0000-000020310000}"/>
    <cellStyle name="CustomCellsOrange 2 2 4 36" xfId="12577" xr:uid="{00000000-0005-0000-0000-000021310000}"/>
    <cellStyle name="CustomCellsOrange 2 2 4 37" xfId="12578" xr:uid="{00000000-0005-0000-0000-000022310000}"/>
    <cellStyle name="CustomCellsOrange 2 2 4 38" xfId="12579" xr:uid="{00000000-0005-0000-0000-000023310000}"/>
    <cellStyle name="CustomCellsOrange 2 2 4 39" xfId="12580" xr:uid="{00000000-0005-0000-0000-000024310000}"/>
    <cellStyle name="CustomCellsOrange 2 2 4 4" xfId="12581" xr:uid="{00000000-0005-0000-0000-000025310000}"/>
    <cellStyle name="CustomCellsOrange 2 2 4 40" xfId="12582" xr:uid="{00000000-0005-0000-0000-000026310000}"/>
    <cellStyle name="CustomCellsOrange 2 2 4 41" xfId="12583" xr:uid="{00000000-0005-0000-0000-000027310000}"/>
    <cellStyle name="CustomCellsOrange 2 2 4 42" xfId="12584" xr:uid="{00000000-0005-0000-0000-000028310000}"/>
    <cellStyle name="CustomCellsOrange 2 2 4 43" xfId="12585" xr:uid="{00000000-0005-0000-0000-000029310000}"/>
    <cellStyle name="CustomCellsOrange 2 2 4 44" xfId="12586" xr:uid="{00000000-0005-0000-0000-00002A310000}"/>
    <cellStyle name="CustomCellsOrange 2 2 4 45" xfId="12587" xr:uid="{00000000-0005-0000-0000-00002B310000}"/>
    <cellStyle name="CustomCellsOrange 2 2 4 46" xfId="12588" xr:uid="{00000000-0005-0000-0000-00002C310000}"/>
    <cellStyle name="CustomCellsOrange 2 2 4 47" xfId="12589" xr:uid="{00000000-0005-0000-0000-00002D310000}"/>
    <cellStyle name="CustomCellsOrange 2 2 4 48" xfId="12590" xr:uid="{00000000-0005-0000-0000-00002E310000}"/>
    <cellStyle name="CustomCellsOrange 2 2 4 49" xfId="12591" xr:uid="{00000000-0005-0000-0000-00002F310000}"/>
    <cellStyle name="CustomCellsOrange 2 2 4 5" xfId="12592" xr:uid="{00000000-0005-0000-0000-000030310000}"/>
    <cellStyle name="CustomCellsOrange 2 2 4 50" xfId="12593" xr:uid="{00000000-0005-0000-0000-000031310000}"/>
    <cellStyle name="CustomCellsOrange 2 2 4 51" xfId="12594" xr:uid="{00000000-0005-0000-0000-000032310000}"/>
    <cellStyle name="CustomCellsOrange 2 2 4 52" xfId="12595" xr:uid="{00000000-0005-0000-0000-000033310000}"/>
    <cellStyle name="CustomCellsOrange 2 2 4 53" xfId="12596" xr:uid="{00000000-0005-0000-0000-000034310000}"/>
    <cellStyle name="CustomCellsOrange 2 2 4 54" xfId="12597" xr:uid="{00000000-0005-0000-0000-000035310000}"/>
    <cellStyle name="CustomCellsOrange 2 2 4 55" xfId="12598" xr:uid="{00000000-0005-0000-0000-000036310000}"/>
    <cellStyle name="CustomCellsOrange 2 2 4 56" xfId="12599" xr:uid="{00000000-0005-0000-0000-000037310000}"/>
    <cellStyle name="CustomCellsOrange 2 2 4 57" xfId="12600" xr:uid="{00000000-0005-0000-0000-000038310000}"/>
    <cellStyle name="CustomCellsOrange 2 2 4 58" xfId="12601" xr:uid="{00000000-0005-0000-0000-000039310000}"/>
    <cellStyle name="CustomCellsOrange 2 2 4 59" xfId="12602" xr:uid="{00000000-0005-0000-0000-00003A310000}"/>
    <cellStyle name="CustomCellsOrange 2 2 4 6" xfId="12603" xr:uid="{00000000-0005-0000-0000-00003B310000}"/>
    <cellStyle name="CustomCellsOrange 2 2 4 60" xfId="12604" xr:uid="{00000000-0005-0000-0000-00003C310000}"/>
    <cellStyle name="CustomCellsOrange 2 2 4 61" xfId="12605" xr:uid="{00000000-0005-0000-0000-00003D310000}"/>
    <cellStyle name="CustomCellsOrange 2 2 4 62" xfId="12606" xr:uid="{00000000-0005-0000-0000-00003E310000}"/>
    <cellStyle name="CustomCellsOrange 2 2 4 63" xfId="12607" xr:uid="{00000000-0005-0000-0000-00003F310000}"/>
    <cellStyle name="CustomCellsOrange 2 2 4 64" xfId="12608" xr:uid="{00000000-0005-0000-0000-000040310000}"/>
    <cellStyle name="CustomCellsOrange 2 2 4 65" xfId="12609" xr:uid="{00000000-0005-0000-0000-000041310000}"/>
    <cellStyle name="CustomCellsOrange 2 2 4 66" xfId="12610" xr:uid="{00000000-0005-0000-0000-000042310000}"/>
    <cellStyle name="CustomCellsOrange 2 2 4 7" xfId="12611" xr:uid="{00000000-0005-0000-0000-000043310000}"/>
    <cellStyle name="CustomCellsOrange 2 2 4 8" xfId="12612" xr:uid="{00000000-0005-0000-0000-000044310000}"/>
    <cellStyle name="CustomCellsOrange 2 2 4 9" xfId="12613" xr:uid="{00000000-0005-0000-0000-000045310000}"/>
    <cellStyle name="CustomCellsOrange 2 2 40" xfId="12614" xr:uid="{00000000-0005-0000-0000-000046310000}"/>
    <cellStyle name="CustomCellsOrange 2 2 41" xfId="12615" xr:uid="{00000000-0005-0000-0000-000047310000}"/>
    <cellStyle name="CustomCellsOrange 2 2 42" xfId="12616" xr:uid="{00000000-0005-0000-0000-000048310000}"/>
    <cellStyle name="CustomCellsOrange 2 2 43" xfId="12617" xr:uid="{00000000-0005-0000-0000-000049310000}"/>
    <cellStyle name="CustomCellsOrange 2 2 44" xfId="12618" xr:uid="{00000000-0005-0000-0000-00004A310000}"/>
    <cellStyle name="CustomCellsOrange 2 2 45" xfId="12619" xr:uid="{00000000-0005-0000-0000-00004B310000}"/>
    <cellStyle name="CustomCellsOrange 2 2 46" xfId="12620" xr:uid="{00000000-0005-0000-0000-00004C310000}"/>
    <cellStyle name="CustomCellsOrange 2 2 47" xfId="12621" xr:uid="{00000000-0005-0000-0000-00004D310000}"/>
    <cellStyle name="CustomCellsOrange 2 2 48" xfId="12622" xr:uid="{00000000-0005-0000-0000-00004E310000}"/>
    <cellStyle name="CustomCellsOrange 2 2 49" xfId="12623" xr:uid="{00000000-0005-0000-0000-00004F310000}"/>
    <cellStyle name="CustomCellsOrange 2 2 5" xfId="12624" xr:uid="{00000000-0005-0000-0000-000050310000}"/>
    <cellStyle name="CustomCellsOrange 2 2 5 10" xfId="12625" xr:uid="{00000000-0005-0000-0000-000051310000}"/>
    <cellStyle name="CustomCellsOrange 2 2 5 11" xfId="12626" xr:uid="{00000000-0005-0000-0000-000052310000}"/>
    <cellStyle name="CustomCellsOrange 2 2 5 12" xfId="12627" xr:uid="{00000000-0005-0000-0000-000053310000}"/>
    <cellStyle name="CustomCellsOrange 2 2 5 13" xfId="12628" xr:uid="{00000000-0005-0000-0000-000054310000}"/>
    <cellStyle name="CustomCellsOrange 2 2 5 14" xfId="12629" xr:uid="{00000000-0005-0000-0000-000055310000}"/>
    <cellStyle name="CustomCellsOrange 2 2 5 15" xfId="12630" xr:uid="{00000000-0005-0000-0000-000056310000}"/>
    <cellStyle name="CustomCellsOrange 2 2 5 16" xfId="12631" xr:uid="{00000000-0005-0000-0000-000057310000}"/>
    <cellStyle name="CustomCellsOrange 2 2 5 17" xfId="12632" xr:uid="{00000000-0005-0000-0000-000058310000}"/>
    <cellStyle name="CustomCellsOrange 2 2 5 18" xfId="12633" xr:uid="{00000000-0005-0000-0000-000059310000}"/>
    <cellStyle name="CustomCellsOrange 2 2 5 19" xfId="12634" xr:uid="{00000000-0005-0000-0000-00005A310000}"/>
    <cellStyle name="CustomCellsOrange 2 2 5 2" xfId="12635" xr:uid="{00000000-0005-0000-0000-00005B310000}"/>
    <cellStyle name="CustomCellsOrange 2 2 5 2 10" xfId="12636" xr:uid="{00000000-0005-0000-0000-00005C310000}"/>
    <cellStyle name="CustomCellsOrange 2 2 5 2 11" xfId="12637" xr:uid="{00000000-0005-0000-0000-00005D310000}"/>
    <cellStyle name="CustomCellsOrange 2 2 5 2 12" xfId="12638" xr:uid="{00000000-0005-0000-0000-00005E310000}"/>
    <cellStyle name="CustomCellsOrange 2 2 5 2 13" xfId="12639" xr:uid="{00000000-0005-0000-0000-00005F310000}"/>
    <cellStyle name="CustomCellsOrange 2 2 5 2 14" xfId="12640" xr:uid="{00000000-0005-0000-0000-000060310000}"/>
    <cellStyle name="CustomCellsOrange 2 2 5 2 15" xfId="12641" xr:uid="{00000000-0005-0000-0000-000061310000}"/>
    <cellStyle name="CustomCellsOrange 2 2 5 2 16" xfId="12642" xr:uid="{00000000-0005-0000-0000-000062310000}"/>
    <cellStyle name="CustomCellsOrange 2 2 5 2 17" xfId="12643" xr:uid="{00000000-0005-0000-0000-000063310000}"/>
    <cellStyle name="CustomCellsOrange 2 2 5 2 18" xfId="12644" xr:uid="{00000000-0005-0000-0000-000064310000}"/>
    <cellStyle name="CustomCellsOrange 2 2 5 2 19" xfId="12645" xr:uid="{00000000-0005-0000-0000-000065310000}"/>
    <cellStyle name="CustomCellsOrange 2 2 5 2 2" xfId="12646" xr:uid="{00000000-0005-0000-0000-000066310000}"/>
    <cellStyle name="CustomCellsOrange 2 2 5 2 20" xfId="12647" xr:uid="{00000000-0005-0000-0000-000067310000}"/>
    <cellStyle name="CustomCellsOrange 2 2 5 2 21" xfId="12648" xr:uid="{00000000-0005-0000-0000-000068310000}"/>
    <cellStyle name="CustomCellsOrange 2 2 5 2 22" xfId="12649" xr:uid="{00000000-0005-0000-0000-000069310000}"/>
    <cellStyle name="CustomCellsOrange 2 2 5 2 23" xfId="12650" xr:uid="{00000000-0005-0000-0000-00006A310000}"/>
    <cellStyle name="CustomCellsOrange 2 2 5 2 24" xfId="12651" xr:uid="{00000000-0005-0000-0000-00006B310000}"/>
    <cellStyle name="CustomCellsOrange 2 2 5 2 25" xfId="12652" xr:uid="{00000000-0005-0000-0000-00006C310000}"/>
    <cellStyle name="CustomCellsOrange 2 2 5 2 26" xfId="12653" xr:uid="{00000000-0005-0000-0000-00006D310000}"/>
    <cellStyle name="CustomCellsOrange 2 2 5 2 27" xfId="12654" xr:uid="{00000000-0005-0000-0000-00006E310000}"/>
    <cellStyle name="CustomCellsOrange 2 2 5 2 28" xfId="12655" xr:uid="{00000000-0005-0000-0000-00006F310000}"/>
    <cellStyle name="CustomCellsOrange 2 2 5 2 29" xfId="12656" xr:uid="{00000000-0005-0000-0000-000070310000}"/>
    <cellStyle name="CustomCellsOrange 2 2 5 2 3" xfId="12657" xr:uid="{00000000-0005-0000-0000-000071310000}"/>
    <cellStyle name="CustomCellsOrange 2 2 5 2 30" xfId="12658" xr:uid="{00000000-0005-0000-0000-000072310000}"/>
    <cellStyle name="CustomCellsOrange 2 2 5 2 31" xfId="12659" xr:uid="{00000000-0005-0000-0000-000073310000}"/>
    <cellStyle name="CustomCellsOrange 2 2 5 2 32" xfId="12660" xr:uid="{00000000-0005-0000-0000-000074310000}"/>
    <cellStyle name="CustomCellsOrange 2 2 5 2 33" xfId="12661" xr:uid="{00000000-0005-0000-0000-000075310000}"/>
    <cellStyle name="CustomCellsOrange 2 2 5 2 34" xfId="12662" xr:uid="{00000000-0005-0000-0000-000076310000}"/>
    <cellStyle name="CustomCellsOrange 2 2 5 2 35" xfId="12663" xr:uid="{00000000-0005-0000-0000-000077310000}"/>
    <cellStyle name="CustomCellsOrange 2 2 5 2 36" xfId="12664" xr:uid="{00000000-0005-0000-0000-000078310000}"/>
    <cellStyle name="CustomCellsOrange 2 2 5 2 37" xfId="12665" xr:uid="{00000000-0005-0000-0000-000079310000}"/>
    <cellStyle name="CustomCellsOrange 2 2 5 2 38" xfId="12666" xr:uid="{00000000-0005-0000-0000-00007A310000}"/>
    <cellStyle name="CustomCellsOrange 2 2 5 2 39" xfId="12667" xr:uid="{00000000-0005-0000-0000-00007B310000}"/>
    <cellStyle name="CustomCellsOrange 2 2 5 2 4" xfId="12668" xr:uid="{00000000-0005-0000-0000-00007C310000}"/>
    <cellStyle name="CustomCellsOrange 2 2 5 2 40" xfId="12669" xr:uid="{00000000-0005-0000-0000-00007D310000}"/>
    <cellStyle name="CustomCellsOrange 2 2 5 2 41" xfId="12670" xr:uid="{00000000-0005-0000-0000-00007E310000}"/>
    <cellStyle name="CustomCellsOrange 2 2 5 2 42" xfId="12671" xr:uid="{00000000-0005-0000-0000-00007F310000}"/>
    <cellStyle name="CustomCellsOrange 2 2 5 2 43" xfId="12672" xr:uid="{00000000-0005-0000-0000-000080310000}"/>
    <cellStyle name="CustomCellsOrange 2 2 5 2 44" xfId="12673" xr:uid="{00000000-0005-0000-0000-000081310000}"/>
    <cellStyle name="CustomCellsOrange 2 2 5 2 45" xfId="12674" xr:uid="{00000000-0005-0000-0000-000082310000}"/>
    <cellStyle name="CustomCellsOrange 2 2 5 2 46" xfId="12675" xr:uid="{00000000-0005-0000-0000-000083310000}"/>
    <cellStyle name="CustomCellsOrange 2 2 5 2 47" xfId="12676" xr:uid="{00000000-0005-0000-0000-000084310000}"/>
    <cellStyle name="CustomCellsOrange 2 2 5 2 48" xfId="12677" xr:uid="{00000000-0005-0000-0000-000085310000}"/>
    <cellStyle name="CustomCellsOrange 2 2 5 2 49" xfId="12678" xr:uid="{00000000-0005-0000-0000-000086310000}"/>
    <cellStyle name="CustomCellsOrange 2 2 5 2 5" xfId="12679" xr:uid="{00000000-0005-0000-0000-000087310000}"/>
    <cellStyle name="CustomCellsOrange 2 2 5 2 50" xfId="12680" xr:uid="{00000000-0005-0000-0000-000088310000}"/>
    <cellStyle name="CustomCellsOrange 2 2 5 2 51" xfId="12681" xr:uid="{00000000-0005-0000-0000-000089310000}"/>
    <cellStyle name="CustomCellsOrange 2 2 5 2 52" xfId="12682" xr:uid="{00000000-0005-0000-0000-00008A310000}"/>
    <cellStyle name="CustomCellsOrange 2 2 5 2 53" xfId="12683" xr:uid="{00000000-0005-0000-0000-00008B310000}"/>
    <cellStyle name="CustomCellsOrange 2 2 5 2 54" xfId="12684" xr:uid="{00000000-0005-0000-0000-00008C310000}"/>
    <cellStyle name="CustomCellsOrange 2 2 5 2 55" xfId="12685" xr:uid="{00000000-0005-0000-0000-00008D310000}"/>
    <cellStyle name="CustomCellsOrange 2 2 5 2 56" xfId="12686" xr:uid="{00000000-0005-0000-0000-00008E310000}"/>
    <cellStyle name="CustomCellsOrange 2 2 5 2 57" xfId="12687" xr:uid="{00000000-0005-0000-0000-00008F310000}"/>
    <cellStyle name="CustomCellsOrange 2 2 5 2 58" xfId="12688" xr:uid="{00000000-0005-0000-0000-000090310000}"/>
    <cellStyle name="CustomCellsOrange 2 2 5 2 59" xfId="12689" xr:uid="{00000000-0005-0000-0000-000091310000}"/>
    <cellStyle name="CustomCellsOrange 2 2 5 2 6" xfId="12690" xr:uid="{00000000-0005-0000-0000-000092310000}"/>
    <cellStyle name="CustomCellsOrange 2 2 5 2 60" xfId="12691" xr:uid="{00000000-0005-0000-0000-000093310000}"/>
    <cellStyle name="CustomCellsOrange 2 2 5 2 61" xfId="12692" xr:uid="{00000000-0005-0000-0000-000094310000}"/>
    <cellStyle name="CustomCellsOrange 2 2 5 2 62" xfId="12693" xr:uid="{00000000-0005-0000-0000-000095310000}"/>
    <cellStyle name="CustomCellsOrange 2 2 5 2 63" xfId="12694" xr:uid="{00000000-0005-0000-0000-000096310000}"/>
    <cellStyle name="CustomCellsOrange 2 2 5 2 64" xfId="12695" xr:uid="{00000000-0005-0000-0000-000097310000}"/>
    <cellStyle name="CustomCellsOrange 2 2 5 2 65" xfId="12696" xr:uid="{00000000-0005-0000-0000-000098310000}"/>
    <cellStyle name="CustomCellsOrange 2 2 5 2 7" xfId="12697" xr:uid="{00000000-0005-0000-0000-000099310000}"/>
    <cellStyle name="CustomCellsOrange 2 2 5 2 8" xfId="12698" xr:uid="{00000000-0005-0000-0000-00009A310000}"/>
    <cellStyle name="CustomCellsOrange 2 2 5 2 9" xfId="12699" xr:uid="{00000000-0005-0000-0000-00009B310000}"/>
    <cellStyle name="CustomCellsOrange 2 2 5 20" xfId="12700" xr:uid="{00000000-0005-0000-0000-00009C310000}"/>
    <cellStyle name="CustomCellsOrange 2 2 5 21" xfId="12701" xr:uid="{00000000-0005-0000-0000-00009D310000}"/>
    <cellStyle name="CustomCellsOrange 2 2 5 22" xfId="12702" xr:uid="{00000000-0005-0000-0000-00009E310000}"/>
    <cellStyle name="CustomCellsOrange 2 2 5 23" xfId="12703" xr:uid="{00000000-0005-0000-0000-00009F310000}"/>
    <cellStyle name="CustomCellsOrange 2 2 5 24" xfId="12704" xr:uid="{00000000-0005-0000-0000-0000A0310000}"/>
    <cellStyle name="CustomCellsOrange 2 2 5 25" xfId="12705" xr:uid="{00000000-0005-0000-0000-0000A1310000}"/>
    <cellStyle name="CustomCellsOrange 2 2 5 26" xfId="12706" xr:uid="{00000000-0005-0000-0000-0000A2310000}"/>
    <cellStyle name="CustomCellsOrange 2 2 5 27" xfId="12707" xr:uid="{00000000-0005-0000-0000-0000A3310000}"/>
    <cellStyle name="CustomCellsOrange 2 2 5 28" xfId="12708" xr:uid="{00000000-0005-0000-0000-0000A4310000}"/>
    <cellStyle name="CustomCellsOrange 2 2 5 29" xfId="12709" xr:uid="{00000000-0005-0000-0000-0000A5310000}"/>
    <cellStyle name="CustomCellsOrange 2 2 5 3" xfId="12710" xr:uid="{00000000-0005-0000-0000-0000A6310000}"/>
    <cellStyle name="CustomCellsOrange 2 2 5 30" xfId="12711" xr:uid="{00000000-0005-0000-0000-0000A7310000}"/>
    <cellStyle name="CustomCellsOrange 2 2 5 31" xfId="12712" xr:uid="{00000000-0005-0000-0000-0000A8310000}"/>
    <cellStyle name="CustomCellsOrange 2 2 5 32" xfId="12713" xr:uid="{00000000-0005-0000-0000-0000A9310000}"/>
    <cellStyle name="CustomCellsOrange 2 2 5 33" xfId="12714" xr:uid="{00000000-0005-0000-0000-0000AA310000}"/>
    <cellStyle name="CustomCellsOrange 2 2 5 34" xfId="12715" xr:uid="{00000000-0005-0000-0000-0000AB310000}"/>
    <cellStyle name="CustomCellsOrange 2 2 5 35" xfId="12716" xr:uid="{00000000-0005-0000-0000-0000AC310000}"/>
    <cellStyle name="CustomCellsOrange 2 2 5 36" xfId="12717" xr:uid="{00000000-0005-0000-0000-0000AD310000}"/>
    <cellStyle name="CustomCellsOrange 2 2 5 37" xfId="12718" xr:uid="{00000000-0005-0000-0000-0000AE310000}"/>
    <cellStyle name="CustomCellsOrange 2 2 5 38" xfId="12719" xr:uid="{00000000-0005-0000-0000-0000AF310000}"/>
    <cellStyle name="CustomCellsOrange 2 2 5 39" xfId="12720" xr:uid="{00000000-0005-0000-0000-0000B0310000}"/>
    <cellStyle name="CustomCellsOrange 2 2 5 4" xfId="12721" xr:uid="{00000000-0005-0000-0000-0000B1310000}"/>
    <cellStyle name="CustomCellsOrange 2 2 5 40" xfId="12722" xr:uid="{00000000-0005-0000-0000-0000B2310000}"/>
    <cellStyle name="CustomCellsOrange 2 2 5 41" xfId="12723" xr:uid="{00000000-0005-0000-0000-0000B3310000}"/>
    <cellStyle name="CustomCellsOrange 2 2 5 42" xfId="12724" xr:uid="{00000000-0005-0000-0000-0000B4310000}"/>
    <cellStyle name="CustomCellsOrange 2 2 5 43" xfId="12725" xr:uid="{00000000-0005-0000-0000-0000B5310000}"/>
    <cellStyle name="CustomCellsOrange 2 2 5 44" xfId="12726" xr:uid="{00000000-0005-0000-0000-0000B6310000}"/>
    <cellStyle name="CustomCellsOrange 2 2 5 45" xfId="12727" xr:uid="{00000000-0005-0000-0000-0000B7310000}"/>
    <cellStyle name="CustomCellsOrange 2 2 5 46" xfId="12728" xr:uid="{00000000-0005-0000-0000-0000B8310000}"/>
    <cellStyle name="CustomCellsOrange 2 2 5 47" xfId="12729" xr:uid="{00000000-0005-0000-0000-0000B9310000}"/>
    <cellStyle name="CustomCellsOrange 2 2 5 48" xfId="12730" xr:uid="{00000000-0005-0000-0000-0000BA310000}"/>
    <cellStyle name="CustomCellsOrange 2 2 5 49" xfId="12731" xr:uid="{00000000-0005-0000-0000-0000BB310000}"/>
    <cellStyle name="CustomCellsOrange 2 2 5 5" xfId="12732" xr:uid="{00000000-0005-0000-0000-0000BC310000}"/>
    <cellStyle name="CustomCellsOrange 2 2 5 50" xfId="12733" xr:uid="{00000000-0005-0000-0000-0000BD310000}"/>
    <cellStyle name="CustomCellsOrange 2 2 5 51" xfId="12734" xr:uid="{00000000-0005-0000-0000-0000BE310000}"/>
    <cellStyle name="CustomCellsOrange 2 2 5 52" xfId="12735" xr:uid="{00000000-0005-0000-0000-0000BF310000}"/>
    <cellStyle name="CustomCellsOrange 2 2 5 53" xfId="12736" xr:uid="{00000000-0005-0000-0000-0000C0310000}"/>
    <cellStyle name="CustomCellsOrange 2 2 5 54" xfId="12737" xr:uid="{00000000-0005-0000-0000-0000C1310000}"/>
    <cellStyle name="CustomCellsOrange 2 2 5 55" xfId="12738" xr:uid="{00000000-0005-0000-0000-0000C2310000}"/>
    <cellStyle name="CustomCellsOrange 2 2 5 56" xfId="12739" xr:uid="{00000000-0005-0000-0000-0000C3310000}"/>
    <cellStyle name="CustomCellsOrange 2 2 5 57" xfId="12740" xr:uid="{00000000-0005-0000-0000-0000C4310000}"/>
    <cellStyle name="CustomCellsOrange 2 2 5 58" xfId="12741" xr:uid="{00000000-0005-0000-0000-0000C5310000}"/>
    <cellStyle name="CustomCellsOrange 2 2 5 59" xfId="12742" xr:uid="{00000000-0005-0000-0000-0000C6310000}"/>
    <cellStyle name="CustomCellsOrange 2 2 5 6" xfId="12743" xr:uid="{00000000-0005-0000-0000-0000C7310000}"/>
    <cellStyle name="CustomCellsOrange 2 2 5 60" xfId="12744" xr:uid="{00000000-0005-0000-0000-0000C8310000}"/>
    <cellStyle name="CustomCellsOrange 2 2 5 61" xfId="12745" xr:uid="{00000000-0005-0000-0000-0000C9310000}"/>
    <cellStyle name="CustomCellsOrange 2 2 5 62" xfId="12746" xr:uid="{00000000-0005-0000-0000-0000CA310000}"/>
    <cellStyle name="CustomCellsOrange 2 2 5 63" xfId="12747" xr:uid="{00000000-0005-0000-0000-0000CB310000}"/>
    <cellStyle name="CustomCellsOrange 2 2 5 64" xfId="12748" xr:uid="{00000000-0005-0000-0000-0000CC310000}"/>
    <cellStyle name="CustomCellsOrange 2 2 5 65" xfId="12749" xr:uid="{00000000-0005-0000-0000-0000CD310000}"/>
    <cellStyle name="CustomCellsOrange 2 2 5 66" xfId="12750" xr:uid="{00000000-0005-0000-0000-0000CE310000}"/>
    <cellStyle name="CustomCellsOrange 2 2 5 7" xfId="12751" xr:uid="{00000000-0005-0000-0000-0000CF310000}"/>
    <cellStyle name="CustomCellsOrange 2 2 5 8" xfId="12752" xr:uid="{00000000-0005-0000-0000-0000D0310000}"/>
    <cellStyle name="CustomCellsOrange 2 2 5 9" xfId="12753" xr:uid="{00000000-0005-0000-0000-0000D1310000}"/>
    <cellStyle name="CustomCellsOrange 2 2 50" xfId="12754" xr:uid="{00000000-0005-0000-0000-0000D2310000}"/>
    <cellStyle name="CustomCellsOrange 2 2 51" xfId="12755" xr:uid="{00000000-0005-0000-0000-0000D3310000}"/>
    <cellStyle name="CustomCellsOrange 2 2 52" xfId="12756" xr:uid="{00000000-0005-0000-0000-0000D4310000}"/>
    <cellStyle name="CustomCellsOrange 2 2 53" xfId="12757" xr:uid="{00000000-0005-0000-0000-0000D5310000}"/>
    <cellStyle name="CustomCellsOrange 2 2 54" xfId="12758" xr:uid="{00000000-0005-0000-0000-0000D6310000}"/>
    <cellStyle name="CustomCellsOrange 2 2 55" xfId="12759" xr:uid="{00000000-0005-0000-0000-0000D7310000}"/>
    <cellStyle name="CustomCellsOrange 2 2 56" xfId="12760" xr:uid="{00000000-0005-0000-0000-0000D8310000}"/>
    <cellStyle name="CustomCellsOrange 2 2 57" xfId="12761" xr:uid="{00000000-0005-0000-0000-0000D9310000}"/>
    <cellStyle name="CustomCellsOrange 2 2 58" xfId="12762" xr:uid="{00000000-0005-0000-0000-0000DA310000}"/>
    <cellStyle name="CustomCellsOrange 2 2 59" xfId="12763" xr:uid="{00000000-0005-0000-0000-0000DB310000}"/>
    <cellStyle name="CustomCellsOrange 2 2 6" xfId="12764" xr:uid="{00000000-0005-0000-0000-0000DC310000}"/>
    <cellStyle name="CustomCellsOrange 2 2 60" xfId="12765" xr:uid="{00000000-0005-0000-0000-0000DD310000}"/>
    <cellStyle name="CustomCellsOrange 2 2 61" xfId="12766" xr:uid="{00000000-0005-0000-0000-0000DE310000}"/>
    <cellStyle name="CustomCellsOrange 2 2 62" xfId="12767" xr:uid="{00000000-0005-0000-0000-0000DF310000}"/>
    <cellStyle name="CustomCellsOrange 2 2 63" xfId="12768" xr:uid="{00000000-0005-0000-0000-0000E0310000}"/>
    <cellStyle name="CustomCellsOrange 2 2 64" xfId="12769" xr:uid="{00000000-0005-0000-0000-0000E1310000}"/>
    <cellStyle name="CustomCellsOrange 2 2 65" xfId="12770" xr:uid="{00000000-0005-0000-0000-0000E2310000}"/>
    <cellStyle name="CustomCellsOrange 2 2 66" xfId="12771" xr:uid="{00000000-0005-0000-0000-0000E3310000}"/>
    <cellStyle name="CustomCellsOrange 2 2 67" xfId="12772" xr:uid="{00000000-0005-0000-0000-0000E4310000}"/>
    <cellStyle name="CustomCellsOrange 2 2 68" xfId="12773" xr:uid="{00000000-0005-0000-0000-0000E5310000}"/>
    <cellStyle name="CustomCellsOrange 2 2 69" xfId="12774" xr:uid="{00000000-0005-0000-0000-0000E6310000}"/>
    <cellStyle name="CustomCellsOrange 2 2 7" xfId="12775" xr:uid="{00000000-0005-0000-0000-0000E7310000}"/>
    <cellStyle name="CustomCellsOrange 2 2 8" xfId="12776" xr:uid="{00000000-0005-0000-0000-0000E8310000}"/>
    <cellStyle name="CustomCellsOrange 2 2 9" xfId="12777" xr:uid="{00000000-0005-0000-0000-0000E9310000}"/>
    <cellStyle name="CustomCellsOrange 3" xfId="12778" xr:uid="{00000000-0005-0000-0000-0000EA310000}"/>
    <cellStyle name="CustomCellsOrange 3 10" xfId="12779" xr:uid="{00000000-0005-0000-0000-0000EB310000}"/>
    <cellStyle name="CustomCellsOrange 3 11" xfId="12780" xr:uid="{00000000-0005-0000-0000-0000EC310000}"/>
    <cellStyle name="CustomCellsOrange 3 12" xfId="12781" xr:uid="{00000000-0005-0000-0000-0000ED310000}"/>
    <cellStyle name="CustomCellsOrange 3 13" xfId="12782" xr:uid="{00000000-0005-0000-0000-0000EE310000}"/>
    <cellStyle name="CustomCellsOrange 3 14" xfId="12783" xr:uid="{00000000-0005-0000-0000-0000EF310000}"/>
    <cellStyle name="CustomCellsOrange 3 15" xfId="12784" xr:uid="{00000000-0005-0000-0000-0000F0310000}"/>
    <cellStyle name="CustomCellsOrange 3 16" xfId="12785" xr:uid="{00000000-0005-0000-0000-0000F1310000}"/>
    <cellStyle name="CustomCellsOrange 3 17" xfId="12786" xr:uid="{00000000-0005-0000-0000-0000F2310000}"/>
    <cellStyle name="CustomCellsOrange 3 18" xfId="12787" xr:uid="{00000000-0005-0000-0000-0000F3310000}"/>
    <cellStyle name="CustomCellsOrange 3 19" xfId="12788" xr:uid="{00000000-0005-0000-0000-0000F4310000}"/>
    <cellStyle name="CustomCellsOrange 3 2" xfId="12789" xr:uid="{00000000-0005-0000-0000-0000F5310000}"/>
    <cellStyle name="CustomCellsOrange 3 2 10" xfId="12790" xr:uid="{00000000-0005-0000-0000-0000F6310000}"/>
    <cellStyle name="CustomCellsOrange 3 2 11" xfId="12791" xr:uid="{00000000-0005-0000-0000-0000F7310000}"/>
    <cellStyle name="CustomCellsOrange 3 2 12" xfId="12792" xr:uid="{00000000-0005-0000-0000-0000F8310000}"/>
    <cellStyle name="CustomCellsOrange 3 2 13" xfId="12793" xr:uid="{00000000-0005-0000-0000-0000F9310000}"/>
    <cellStyle name="CustomCellsOrange 3 2 14" xfId="12794" xr:uid="{00000000-0005-0000-0000-0000FA310000}"/>
    <cellStyle name="CustomCellsOrange 3 2 15" xfId="12795" xr:uid="{00000000-0005-0000-0000-0000FB310000}"/>
    <cellStyle name="CustomCellsOrange 3 2 16" xfId="12796" xr:uid="{00000000-0005-0000-0000-0000FC310000}"/>
    <cellStyle name="CustomCellsOrange 3 2 17" xfId="12797" xr:uid="{00000000-0005-0000-0000-0000FD310000}"/>
    <cellStyle name="CustomCellsOrange 3 2 18" xfId="12798" xr:uid="{00000000-0005-0000-0000-0000FE310000}"/>
    <cellStyle name="CustomCellsOrange 3 2 19" xfId="12799" xr:uid="{00000000-0005-0000-0000-0000FF310000}"/>
    <cellStyle name="CustomCellsOrange 3 2 2" xfId="12800" xr:uid="{00000000-0005-0000-0000-000000320000}"/>
    <cellStyle name="CustomCellsOrange 3 2 2 10" xfId="12801" xr:uid="{00000000-0005-0000-0000-000001320000}"/>
    <cellStyle name="CustomCellsOrange 3 2 2 11" xfId="12802" xr:uid="{00000000-0005-0000-0000-000002320000}"/>
    <cellStyle name="CustomCellsOrange 3 2 2 12" xfId="12803" xr:uid="{00000000-0005-0000-0000-000003320000}"/>
    <cellStyle name="CustomCellsOrange 3 2 2 13" xfId="12804" xr:uid="{00000000-0005-0000-0000-000004320000}"/>
    <cellStyle name="CustomCellsOrange 3 2 2 14" xfId="12805" xr:uid="{00000000-0005-0000-0000-000005320000}"/>
    <cellStyle name="CustomCellsOrange 3 2 2 15" xfId="12806" xr:uid="{00000000-0005-0000-0000-000006320000}"/>
    <cellStyle name="CustomCellsOrange 3 2 2 16" xfId="12807" xr:uid="{00000000-0005-0000-0000-000007320000}"/>
    <cellStyle name="CustomCellsOrange 3 2 2 17" xfId="12808" xr:uid="{00000000-0005-0000-0000-000008320000}"/>
    <cellStyle name="CustomCellsOrange 3 2 2 18" xfId="12809" xr:uid="{00000000-0005-0000-0000-000009320000}"/>
    <cellStyle name="CustomCellsOrange 3 2 2 19" xfId="12810" xr:uid="{00000000-0005-0000-0000-00000A320000}"/>
    <cellStyle name="CustomCellsOrange 3 2 2 2" xfId="12811" xr:uid="{00000000-0005-0000-0000-00000B320000}"/>
    <cellStyle name="CustomCellsOrange 3 2 2 20" xfId="12812" xr:uid="{00000000-0005-0000-0000-00000C320000}"/>
    <cellStyle name="CustomCellsOrange 3 2 2 21" xfId="12813" xr:uid="{00000000-0005-0000-0000-00000D320000}"/>
    <cellStyle name="CustomCellsOrange 3 2 2 22" xfId="12814" xr:uid="{00000000-0005-0000-0000-00000E320000}"/>
    <cellStyle name="CustomCellsOrange 3 2 2 23" xfId="12815" xr:uid="{00000000-0005-0000-0000-00000F320000}"/>
    <cellStyle name="CustomCellsOrange 3 2 2 24" xfId="12816" xr:uid="{00000000-0005-0000-0000-000010320000}"/>
    <cellStyle name="CustomCellsOrange 3 2 2 25" xfId="12817" xr:uid="{00000000-0005-0000-0000-000011320000}"/>
    <cellStyle name="CustomCellsOrange 3 2 2 26" xfId="12818" xr:uid="{00000000-0005-0000-0000-000012320000}"/>
    <cellStyle name="CustomCellsOrange 3 2 2 27" xfId="12819" xr:uid="{00000000-0005-0000-0000-000013320000}"/>
    <cellStyle name="CustomCellsOrange 3 2 2 28" xfId="12820" xr:uid="{00000000-0005-0000-0000-000014320000}"/>
    <cellStyle name="CustomCellsOrange 3 2 2 29" xfId="12821" xr:uid="{00000000-0005-0000-0000-000015320000}"/>
    <cellStyle name="CustomCellsOrange 3 2 2 3" xfId="12822" xr:uid="{00000000-0005-0000-0000-000016320000}"/>
    <cellStyle name="CustomCellsOrange 3 2 2 30" xfId="12823" xr:uid="{00000000-0005-0000-0000-000017320000}"/>
    <cellStyle name="CustomCellsOrange 3 2 2 31" xfId="12824" xr:uid="{00000000-0005-0000-0000-000018320000}"/>
    <cellStyle name="CustomCellsOrange 3 2 2 32" xfId="12825" xr:uid="{00000000-0005-0000-0000-000019320000}"/>
    <cellStyle name="CustomCellsOrange 3 2 2 33" xfId="12826" xr:uid="{00000000-0005-0000-0000-00001A320000}"/>
    <cellStyle name="CustomCellsOrange 3 2 2 34" xfId="12827" xr:uid="{00000000-0005-0000-0000-00001B320000}"/>
    <cellStyle name="CustomCellsOrange 3 2 2 35" xfId="12828" xr:uid="{00000000-0005-0000-0000-00001C320000}"/>
    <cellStyle name="CustomCellsOrange 3 2 2 36" xfId="12829" xr:uid="{00000000-0005-0000-0000-00001D320000}"/>
    <cellStyle name="CustomCellsOrange 3 2 2 37" xfId="12830" xr:uid="{00000000-0005-0000-0000-00001E320000}"/>
    <cellStyle name="CustomCellsOrange 3 2 2 38" xfId="12831" xr:uid="{00000000-0005-0000-0000-00001F320000}"/>
    <cellStyle name="CustomCellsOrange 3 2 2 39" xfId="12832" xr:uid="{00000000-0005-0000-0000-000020320000}"/>
    <cellStyle name="CustomCellsOrange 3 2 2 4" xfId="12833" xr:uid="{00000000-0005-0000-0000-000021320000}"/>
    <cellStyle name="CustomCellsOrange 3 2 2 40" xfId="12834" xr:uid="{00000000-0005-0000-0000-000022320000}"/>
    <cellStyle name="CustomCellsOrange 3 2 2 41" xfId="12835" xr:uid="{00000000-0005-0000-0000-000023320000}"/>
    <cellStyle name="CustomCellsOrange 3 2 2 42" xfId="12836" xr:uid="{00000000-0005-0000-0000-000024320000}"/>
    <cellStyle name="CustomCellsOrange 3 2 2 43" xfId="12837" xr:uid="{00000000-0005-0000-0000-000025320000}"/>
    <cellStyle name="CustomCellsOrange 3 2 2 44" xfId="12838" xr:uid="{00000000-0005-0000-0000-000026320000}"/>
    <cellStyle name="CustomCellsOrange 3 2 2 45" xfId="12839" xr:uid="{00000000-0005-0000-0000-000027320000}"/>
    <cellStyle name="CustomCellsOrange 3 2 2 46" xfId="12840" xr:uid="{00000000-0005-0000-0000-000028320000}"/>
    <cellStyle name="CustomCellsOrange 3 2 2 47" xfId="12841" xr:uid="{00000000-0005-0000-0000-000029320000}"/>
    <cellStyle name="CustomCellsOrange 3 2 2 48" xfId="12842" xr:uid="{00000000-0005-0000-0000-00002A320000}"/>
    <cellStyle name="CustomCellsOrange 3 2 2 49" xfId="12843" xr:uid="{00000000-0005-0000-0000-00002B320000}"/>
    <cellStyle name="CustomCellsOrange 3 2 2 5" xfId="12844" xr:uid="{00000000-0005-0000-0000-00002C320000}"/>
    <cellStyle name="CustomCellsOrange 3 2 2 50" xfId="12845" xr:uid="{00000000-0005-0000-0000-00002D320000}"/>
    <cellStyle name="CustomCellsOrange 3 2 2 51" xfId="12846" xr:uid="{00000000-0005-0000-0000-00002E320000}"/>
    <cellStyle name="CustomCellsOrange 3 2 2 52" xfId="12847" xr:uid="{00000000-0005-0000-0000-00002F320000}"/>
    <cellStyle name="CustomCellsOrange 3 2 2 53" xfId="12848" xr:uid="{00000000-0005-0000-0000-000030320000}"/>
    <cellStyle name="CustomCellsOrange 3 2 2 54" xfId="12849" xr:uid="{00000000-0005-0000-0000-000031320000}"/>
    <cellStyle name="CustomCellsOrange 3 2 2 55" xfId="12850" xr:uid="{00000000-0005-0000-0000-000032320000}"/>
    <cellStyle name="CustomCellsOrange 3 2 2 56" xfId="12851" xr:uid="{00000000-0005-0000-0000-000033320000}"/>
    <cellStyle name="CustomCellsOrange 3 2 2 57" xfId="12852" xr:uid="{00000000-0005-0000-0000-000034320000}"/>
    <cellStyle name="CustomCellsOrange 3 2 2 58" xfId="12853" xr:uid="{00000000-0005-0000-0000-000035320000}"/>
    <cellStyle name="CustomCellsOrange 3 2 2 59" xfId="12854" xr:uid="{00000000-0005-0000-0000-000036320000}"/>
    <cellStyle name="CustomCellsOrange 3 2 2 6" xfId="12855" xr:uid="{00000000-0005-0000-0000-000037320000}"/>
    <cellStyle name="CustomCellsOrange 3 2 2 60" xfId="12856" xr:uid="{00000000-0005-0000-0000-000038320000}"/>
    <cellStyle name="CustomCellsOrange 3 2 2 61" xfId="12857" xr:uid="{00000000-0005-0000-0000-000039320000}"/>
    <cellStyle name="CustomCellsOrange 3 2 2 62" xfId="12858" xr:uid="{00000000-0005-0000-0000-00003A320000}"/>
    <cellStyle name="CustomCellsOrange 3 2 2 63" xfId="12859" xr:uid="{00000000-0005-0000-0000-00003B320000}"/>
    <cellStyle name="CustomCellsOrange 3 2 2 64" xfId="12860" xr:uid="{00000000-0005-0000-0000-00003C320000}"/>
    <cellStyle name="CustomCellsOrange 3 2 2 65" xfId="12861" xr:uid="{00000000-0005-0000-0000-00003D320000}"/>
    <cellStyle name="CustomCellsOrange 3 2 2 7" xfId="12862" xr:uid="{00000000-0005-0000-0000-00003E320000}"/>
    <cellStyle name="CustomCellsOrange 3 2 2 8" xfId="12863" xr:uid="{00000000-0005-0000-0000-00003F320000}"/>
    <cellStyle name="CustomCellsOrange 3 2 2 9" xfId="12864" xr:uid="{00000000-0005-0000-0000-000040320000}"/>
    <cellStyle name="CustomCellsOrange 3 2 20" xfId="12865" xr:uid="{00000000-0005-0000-0000-000041320000}"/>
    <cellStyle name="CustomCellsOrange 3 2 21" xfId="12866" xr:uid="{00000000-0005-0000-0000-000042320000}"/>
    <cellStyle name="CustomCellsOrange 3 2 22" xfId="12867" xr:uid="{00000000-0005-0000-0000-000043320000}"/>
    <cellStyle name="CustomCellsOrange 3 2 23" xfId="12868" xr:uid="{00000000-0005-0000-0000-000044320000}"/>
    <cellStyle name="CustomCellsOrange 3 2 24" xfId="12869" xr:uid="{00000000-0005-0000-0000-000045320000}"/>
    <cellStyle name="CustomCellsOrange 3 2 25" xfId="12870" xr:uid="{00000000-0005-0000-0000-000046320000}"/>
    <cellStyle name="CustomCellsOrange 3 2 26" xfId="12871" xr:uid="{00000000-0005-0000-0000-000047320000}"/>
    <cellStyle name="CustomCellsOrange 3 2 27" xfId="12872" xr:uid="{00000000-0005-0000-0000-000048320000}"/>
    <cellStyle name="CustomCellsOrange 3 2 28" xfId="12873" xr:uid="{00000000-0005-0000-0000-000049320000}"/>
    <cellStyle name="CustomCellsOrange 3 2 29" xfId="12874" xr:uid="{00000000-0005-0000-0000-00004A320000}"/>
    <cellStyle name="CustomCellsOrange 3 2 3" xfId="12875" xr:uid="{00000000-0005-0000-0000-00004B320000}"/>
    <cellStyle name="CustomCellsOrange 3 2 30" xfId="12876" xr:uid="{00000000-0005-0000-0000-00004C320000}"/>
    <cellStyle name="CustomCellsOrange 3 2 31" xfId="12877" xr:uid="{00000000-0005-0000-0000-00004D320000}"/>
    <cellStyle name="CustomCellsOrange 3 2 32" xfId="12878" xr:uid="{00000000-0005-0000-0000-00004E320000}"/>
    <cellStyle name="CustomCellsOrange 3 2 33" xfId="12879" xr:uid="{00000000-0005-0000-0000-00004F320000}"/>
    <cellStyle name="CustomCellsOrange 3 2 34" xfId="12880" xr:uid="{00000000-0005-0000-0000-000050320000}"/>
    <cellStyle name="CustomCellsOrange 3 2 35" xfId="12881" xr:uid="{00000000-0005-0000-0000-000051320000}"/>
    <cellStyle name="CustomCellsOrange 3 2 36" xfId="12882" xr:uid="{00000000-0005-0000-0000-000052320000}"/>
    <cellStyle name="CustomCellsOrange 3 2 37" xfId="12883" xr:uid="{00000000-0005-0000-0000-000053320000}"/>
    <cellStyle name="CustomCellsOrange 3 2 38" xfId="12884" xr:uid="{00000000-0005-0000-0000-000054320000}"/>
    <cellStyle name="CustomCellsOrange 3 2 39" xfId="12885" xr:uid="{00000000-0005-0000-0000-000055320000}"/>
    <cellStyle name="CustomCellsOrange 3 2 4" xfId="12886" xr:uid="{00000000-0005-0000-0000-000056320000}"/>
    <cellStyle name="CustomCellsOrange 3 2 40" xfId="12887" xr:uid="{00000000-0005-0000-0000-000057320000}"/>
    <cellStyle name="CustomCellsOrange 3 2 41" xfId="12888" xr:uid="{00000000-0005-0000-0000-000058320000}"/>
    <cellStyle name="CustomCellsOrange 3 2 42" xfId="12889" xr:uid="{00000000-0005-0000-0000-000059320000}"/>
    <cellStyle name="CustomCellsOrange 3 2 43" xfId="12890" xr:uid="{00000000-0005-0000-0000-00005A320000}"/>
    <cellStyle name="CustomCellsOrange 3 2 44" xfId="12891" xr:uid="{00000000-0005-0000-0000-00005B320000}"/>
    <cellStyle name="CustomCellsOrange 3 2 45" xfId="12892" xr:uid="{00000000-0005-0000-0000-00005C320000}"/>
    <cellStyle name="CustomCellsOrange 3 2 46" xfId="12893" xr:uid="{00000000-0005-0000-0000-00005D320000}"/>
    <cellStyle name="CustomCellsOrange 3 2 47" xfId="12894" xr:uid="{00000000-0005-0000-0000-00005E320000}"/>
    <cellStyle name="CustomCellsOrange 3 2 48" xfId="12895" xr:uid="{00000000-0005-0000-0000-00005F320000}"/>
    <cellStyle name="CustomCellsOrange 3 2 49" xfId="12896" xr:uid="{00000000-0005-0000-0000-000060320000}"/>
    <cellStyle name="CustomCellsOrange 3 2 5" xfId="12897" xr:uid="{00000000-0005-0000-0000-000061320000}"/>
    <cellStyle name="CustomCellsOrange 3 2 50" xfId="12898" xr:uid="{00000000-0005-0000-0000-000062320000}"/>
    <cellStyle name="CustomCellsOrange 3 2 51" xfId="12899" xr:uid="{00000000-0005-0000-0000-000063320000}"/>
    <cellStyle name="CustomCellsOrange 3 2 52" xfId="12900" xr:uid="{00000000-0005-0000-0000-000064320000}"/>
    <cellStyle name="CustomCellsOrange 3 2 53" xfId="12901" xr:uid="{00000000-0005-0000-0000-000065320000}"/>
    <cellStyle name="CustomCellsOrange 3 2 54" xfId="12902" xr:uid="{00000000-0005-0000-0000-000066320000}"/>
    <cellStyle name="CustomCellsOrange 3 2 55" xfId="12903" xr:uid="{00000000-0005-0000-0000-000067320000}"/>
    <cellStyle name="CustomCellsOrange 3 2 56" xfId="12904" xr:uid="{00000000-0005-0000-0000-000068320000}"/>
    <cellStyle name="CustomCellsOrange 3 2 57" xfId="12905" xr:uid="{00000000-0005-0000-0000-000069320000}"/>
    <cellStyle name="CustomCellsOrange 3 2 58" xfId="12906" xr:uid="{00000000-0005-0000-0000-00006A320000}"/>
    <cellStyle name="CustomCellsOrange 3 2 59" xfId="12907" xr:uid="{00000000-0005-0000-0000-00006B320000}"/>
    <cellStyle name="CustomCellsOrange 3 2 6" xfId="12908" xr:uid="{00000000-0005-0000-0000-00006C320000}"/>
    <cellStyle name="CustomCellsOrange 3 2 60" xfId="12909" xr:uid="{00000000-0005-0000-0000-00006D320000}"/>
    <cellStyle name="CustomCellsOrange 3 2 61" xfId="12910" xr:uid="{00000000-0005-0000-0000-00006E320000}"/>
    <cellStyle name="CustomCellsOrange 3 2 62" xfId="12911" xr:uid="{00000000-0005-0000-0000-00006F320000}"/>
    <cellStyle name="CustomCellsOrange 3 2 63" xfId="12912" xr:uid="{00000000-0005-0000-0000-000070320000}"/>
    <cellStyle name="CustomCellsOrange 3 2 64" xfId="12913" xr:uid="{00000000-0005-0000-0000-000071320000}"/>
    <cellStyle name="CustomCellsOrange 3 2 65" xfId="12914" xr:uid="{00000000-0005-0000-0000-000072320000}"/>
    <cellStyle name="CustomCellsOrange 3 2 66" xfId="12915" xr:uid="{00000000-0005-0000-0000-000073320000}"/>
    <cellStyle name="CustomCellsOrange 3 2 7" xfId="12916" xr:uid="{00000000-0005-0000-0000-000074320000}"/>
    <cellStyle name="CustomCellsOrange 3 2 8" xfId="12917" xr:uid="{00000000-0005-0000-0000-000075320000}"/>
    <cellStyle name="CustomCellsOrange 3 2 9" xfId="12918" xr:uid="{00000000-0005-0000-0000-000076320000}"/>
    <cellStyle name="CustomCellsOrange 3 20" xfId="12919" xr:uid="{00000000-0005-0000-0000-000077320000}"/>
    <cellStyle name="CustomCellsOrange 3 21" xfId="12920" xr:uid="{00000000-0005-0000-0000-000078320000}"/>
    <cellStyle name="CustomCellsOrange 3 22" xfId="12921" xr:uid="{00000000-0005-0000-0000-000079320000}"/>
    <cellStyle name="CustomCellsOrange 3 23" xfId="12922" xr:uid="{00000000-0005-0000-0000-00007A320000}"/>
    <cellStyle name="CustomCellsOrange 3 24" xfId="12923" xr:uid="{00000000-0005-0000-0000-00007B320000}"/>
    <cellStyle name="CustomCellsOrange 3 25" xfId="12924" xr:uid="{00000000-0005-0000-0000-00007C320000}"/>
    <cellStyle name="CustomCellsOrange 3 26" xfId="12925" xr:uid="{00000000-0005-0000-0000-00007D320000}"/>
    <cellStyle name="CustomCellsOrange 3 27" xfId="12926" xr:uid="{00000000-0005-0000-0000-00007E320000}"/>
    <cellStyle name="CustomCellsOrange 3 28" xfId="12927" xr:uid="{00000000-0005-0000-0000-00007F320000}"/>
    <cellStyle name="CustomCellsOrange 3 29" xfId="12928" xr:uid="{00000000-0005-0000-0000-000080320000}"/>
    <cellStyle name="CustomCellsOrange 3 3" xfId="12929" xr:uid="{00000000-0005-0000-0000-000081320000}"/>
    <cellStyle name="CustomCellsOrange 3 3 10" xfId="12930" xr:uid="{00000000-0005-0000-0000-000082320000}"/>
    <cellStyle name="CustomCellsOrange 3 3 11" xfId="12931" xr:uid="{00000000-0005-0000-0000-000083320000}"/>
    <cellStyle name="CustomCellsOrange 3 3 12" xfId="12932" xr:uid="{00000000-0005-0000-0000-000084320000}"/>
    <cellStyle name="CustomCellsOrange 3 3 13" xfId="12933" xr:uid="{00000000-0005-0000-0000-000085320000}"/>
    <cellStyle name="CustomCellsOrange 3 3 14" xfId="12934" xr:uid="{00000000-0005-0000-0000-000086320000}"/>
    <cellStyle name="CustomCellsOrange 3 3 15" xfId="12935" xr:uid="{00000000-0005-0000-0000-000087320000}"/>
    <cellStyle name="CustomCellsOrange 3 3 16" xfId="12936" xr:uid="{00000000-0005-0000-0000-000088320000}"/>
    <cellStyle name="CustomCellsOrange 3 3 17" xfId="12937" xr:uid="{00000000-0005-0000-0000-000089320000}"/>
    <cellStyle name="CustomCellsOrange 3 3 18" xfId="12938" xr:uid="{00000000-0005-0000-0000-00008A320000}"/>
    <cellStyle name="CustomCellsOrange 3 3 19" xfId="12939" xr:uid="{00000000-0005-0000-0000-00008B320000}"/>
    <cellStyle name="CustomCellsOrange 3 3 2" xfId="12940" xr:uid="{00000000-0005-0000-0000-00008C320000}"/>
    <cellStyle name="CustomCellsOrange 3 3 2 10" xfId="12941" xr:uid="{00000000-0005-0000-0000-00008D320000}"/>
    <cellStyle name="CustomCellsOrange 3 3 2 11" xfId="12942" xr:uid="{00000000-0005-0000-0000-00008E320000}"/>
    <cellStyle name="CustomCellsOrange 3 3 2 12" xfId="12943" xr:uid="{00000000-0005-0000-0000-00008F320000}"/>
    <cellStyle name="CustomCellsOrange 3 3 2 13" xfId="12944" xr:uid="{00000000-0005-0000-0000-000090320000}"/>
    <cellStyle name="CustomCellsOrange 3 3 2 14" xfId="12945" xr:uid="{00000000-0005-0000-0000-000091320000}"/>
    <cellStyle name="CustomCellsOrange 3 3 2 15" xfId="12946" xr:uid="{00000000-0005-0000-0000-000092320000}"/>
    <cellStyle name="CustomCellsOrange 3 3 2 16" xfId="12947" xr:uid="{00000000-0005-0000-0000-000093320000}"/>
    <cellStyle name="CustomCellsOrange 3 3 2 17" xfId="12948" xr:uid="{00000000-0005-0000-0000-000094320000}"/>
    <cellStyle name="CustomCellsOrange 3 3 2 18" xfId="12949" xr:uid="{00000000-0005-0000-0000-000095320000}"/>
    <cellStyle name="CustomCellsOrange 3 3 2 19" xfId="12950" xr:uid="{00000000-0005-0000-0000-000096320000}"/>
    <cellStyle name="CustomCellsOrange 3 3 2 2" xfId="12951" xr:uid="{00000000-0005-0000-0000-000097320000}"/>
    <cellStyle name="CustomCellsOrange 3 3 2 20" xfId="12952" xr:uid="{00000000-0005-0000-0000-000098320000}"/>
    <cellStyle name="CustomCellsOrange 3 3 2 21" xfId="12953" xr:uid="{00000000-0005-0000-0000-000099320000}"/>
    <cellStyle name="CustomCellsOrange 3 3 2 22" xfId="12954" xr:uid="{00000000-0005-0000-0000-00009A320000}"/>
    <cellStyle name="CustomCellsOrange 3 3 2 23" xfId="12955" xr:uid="{00000000-0005-0000-0000-00009B320000}"/>
    <cellStyle name="CustomCellsOrange 3 3 2 24" xfId="12956" xr:uid="{00000000-0005-0000-0000-00009C320000}"/>
    <cellStyle name="CustomCellsOrange 3 3 2 25" xfId="12957" xr:uid="{00000000-0005-0000-0000-00009D320000}"/>
    <cellStyle name="CustomCellsOrange 3 3 2 26" xfId="12958" xr:uid="{00000000-0005-0000-0000-00009E320000}"/>
    <cellStyle name="CustomCellsOrange 3 3 2 27" xfId="12959" xr:uid="{00000000-0005-0000-0000-00009F320000}"/>
    <cellStyle name="CustomCellsOrange 3 3 2 28" xfId="12960" xr:uid="{00000000-0005-0000-0000-0000A0320000}"/>
    <cellStyle name="CustomCellsOrange 3 3 2 29" xfId="12961" xr:uid="{00000000-0005-0000-0000-0000A1320000}"/>
    <cellStyle name="CustomCellsOrange 3 3 2 3" xfId="12962" xr:uid="{00000000-0005-0000-0000-0000A2320000}"/>
    <cellStyle name="CustomCellsOrange 3 3 2 30" xfId="12963" xr:uid="{00000000-0005-0000-0000-0000A3320000}"/>
    <cellStyle name="CustomCellsOrange 3 3 2 31" xfId="12964" xr:uid="{00000000-0005-0000-0000-0000A4320000}"/>
    <cellStyle name="CustomCellsOrange 3 3 2 32" xfId="12965" xr:uid="{00000000-0005-0000-0000-0000A5320000}"/>
    <cellStyle name="CustomCellsOrange 3 3 2 33" xfId="12966" xr:uid="{00000000-0005-0000-0000-0000A6320000}"/>
    <cellStyle name="CustomCellsOrange 3 3 2 34" xfId="12967" xr:uid="{00000000-0005-0000-0000-0000A7320000}"/>
    <cellStyle name="CustomCellsOrange 3 3 2 35" xfId="12968" xr:uid="{00000000-0005-0000-0000-0000A8320000}"/>
    <cellStyle name="CustomCellsOrange 3 3 2 36" xfId="12969" xr:uid="{00000000-0005-0000-0000-0000A9320000}"/>
    <cellStyle name="CustomCellsOrange 3 3 2 37" xfId="12970" xr:uid="{00000000-0005-0000-0000-0000AA320000}"/>
    <cellStyle name="CustomCellsOrange 3 3 2 38" xfId="12971" xr:uid="{00000000-0005-0000-0000-0000AB320000}"/>
    <cellStyle name="CustomCellsOrange 3 3 2 39" xfId="12972" xr:uid="{00000000-0005-0000-0000-0000AC320000}"/>
    <cellStyle name="CustomCellsOrange 3 3 2 4" xfId="12973" xr:uid="{00000000-0005-0000-0000-0000AD320000}"/>
    <cellStyle name="CustomCellsOrange 3 3 2 40" xfId="12974" xr:uid="{00000000-0005-0000-0000-0000AE320000}"/>
    <cellStyle name="CustomCellsOrange 3 3 2 41" xfId="12975" xr:uid="{00000000-0005-0000-0000-0000AF320000}"/>
    <cellStyle name="CustomCellsOrange 3 3 2 42" xfId="12976" xr:uid="{00000000-0005-0000-0000-0000B0320000}"/>
    <cellStyle name="CustomCellsOrange 3 3 2 43" xfId="12977" xr:uid="{00000000-0005-0000-0000-0000B1320000}"/>
    <cellStyle name="CustomCellsOrange 3 3 2 44" xfId="12978" xr:uid="{00000000-0005-0000-0000-0000B2320000}"/>
    <cellStyle name="CustomCellsOrange 3 3 2 45" xfId="12979" xr:uid="{00000000-0005-0000-0000-0000B3320000}"/>
    <cellStyle name="CustomCellsOrange 3 3 2 46" xfId="12980" xr:uid="{00000000-0005-0000-0000-0000B4320000}"/>
    <cellStyle name="CustomCellsOrange 3 3 2 47" xfId="12981" xr:uid="{00000000-0005-0000-0000-0000B5320000}"/>
    <cellStyle name="CustomCellsOrange 3 3 2 48" xfId="12982" xr:uid="{00000000-0005-0000-0000-0000B6320000}"/>
    <cellStyle name="CustomCellsOrange 3 3 2 49" xfId="12983" xr:uid="{00000000-0005-0000-0000-0000B7320000}"/>
    <cellStyle name="CustomCellsOrange 3 3 2 5" xfId="12984" xr:uid="{00000000-0005-0000-0000-0000B8320000}"/>
    <cellStyle name="CustomCellsOrange 3 3 2 50" xfId="12985" xr:uid="{00000000-0005-0000-0000-0000B9320000}"/>
    <cellStyle name="CustomCellsOrange 3 3 2 51" xfId="12986" xr:uid="{00000000-0005-0000-0000-0000BA320000}"/>
    <cellStyle name="CustomCellsOrange 3 3 2 52" xfId="12987" xr:uid="{00000000-0005-0000-0000-0000BB320000}"/>
    <cellStyle name="CustomCellsOrange 3 3 2 53" xfId="12988" xr:uid="{00000000-0005-0000-0000-0000BC320000}"/>
    <cellStyle name="CustomCellsOrange 3 3 2 54" xfId="12989" xr:uid="{00000000-0005-0000-0000-0000BD320000}"/>
    <cellStyle name="CustomCellsOrange 3 3 2 55" xfId="12990" xr:uid="{00000000-0005-0000-0000-0000BE320000}"/>
    <cellStyle name="CustomCellsOrange 3 3 2 56" xfId="12991" xr:uid="{00000000-0005-0000-0000-0000BF320000}"/>
    <cellStyle name="CustomCellsOrange 3 3 2 57" xfId="12992" xr:uid="{00000000-0005-0000-0000-0000C0320000}"/>
    <cellStyle name="CustomCellsOrange 3 3 2 58" xfId="12993" xr:uid="{00000000-0005-0000-0000-0000C1320000}"/>
    <cellStyle name="CustomCellsOrange 3 3 2 59" xfId="12994" xr:uid="{00000000-0005-0000-0000-0000C2320000}"/>
    <cellStyle name="CustomCellsOrange 3 3 2 6" xfId="12995" xr:uid="{00000000-0005-0000-0000-0000C3320000}"/>
    <cellStyle name="CustomCellsOrange 3 3 2 60" xfId="12996" xr:uid="{00000000-0005-0000-0000-0000C4320000}"/>
    <cellStyle name="CustomCellsOrange 3 3 2 61" xfId="12997" xr:uid="{00000000-0005-0000-0000-0000C5320000}"/>
    <cellStyle name="CustomCellsOrange 3 3 2 62" xfId="12998" xr:uid="{00000000-0005-0000-0000-0000C6320000}"/>
    <cellStyle name="CustomCellsOrange 3 3 2 63" xfId="12999" xr:uid="{00000000-0005-0000-0000-0000C7320000}"/>
    <cellStyle name="CustomCellsOrange 3 3 2 64" xfId="13000" xr:uid="{00000000-0005-0000-0000-0000C8320000}"/>
    <cellStyle name="CustomCellsOrange 3 3 2 65" xfId="13001" xr:uid="{00000000-0005-0000-0000-0000C9320000}"/>
    <cellStyle name="CustomCellsOrange 3 3 2 7" xfId="13002" xr:uid="{00000000-0005-0000-0000-0000CA320000}"/>
    <cellStyle name="CustomCellsOrange 3 3 2 8" xfId="13003" xr:uid="{00000000-0005-0000-0000-0000CB320000}"/>
    <cellStyle name="CustomCellsOrange 3 3 2 9" xfId="13004" xr:uid="{00000000-0005-0000-0000-0000CC320000}"/>
    <cellStyle name="CustomCellsOrange 3 3 20" xfId="13005" xr:uid="{00000000-0005-0000-0000-0000CD320000}"/>
    <cellStyle name="CustomCellsOrange 3 3 21" xfId="13006" xr:uid="{00000000-0005-0000-0000-0000CE320000}"/>
    <cellStyle name="CustomCellsOrange 3 3 22" xfId="13007" xr:uid="{00000000-0005-0000-0000-0000CF320000}"/>
    <cellStyle name="CustomCellsOrange 3 3 23" xfId="13008" xr:uid="{00000000-0005-0000-0000-0000D0320000}"/>
    <cellStyle name="CustomCellsOrange 3 3 24" xfId="13009" xr:uid="{00000000-0005-0000-0000-0000D1320000}"/>
    <cellStyle name="CustomCellsOrange 3 3 25" xfId="13010" xr:uid="{00000000-0005-0000-0000-0000D2320000}"/>
    <cellStyle name="CustomCellsOrange 3 3 26" xfId="13011" xr:uid="{00000000-0005-0000-0000-0000D3320000}"/>
    <cellStyle name="CustomCellsOrange 3 3 27" xfId="13012" xr:uid="{00000000-0005-0000-0000-0000D4320000}"/>
    <cellStyle name="CustomCellsOrange 3 3 28" xfId="13013" xr:uid="{00000000-0005-0000-0000-0000D5320000}"/>
    <cellStyle name="CustomCellsOrange 3 3 29" xfId="13014" xr:uid="{00000000-0005-0000-0000-0000D6320000}"/>
    <cellStyle name="CustomCellsOrange 3 3 3" xfId="13015" xr:uid="{00000000-0005-0000-0000-0000D7320000}"/>
    <cellStyle name="CustomCellsOrange 3 3 30" xfId="13016" xr:uid="{00000000-0005-0000-0000-0000D8320000}"/>
    <cellStyle name="CustomCellsOrange 3 3 31" xfId="13017" xr:uid="{00000000-0005-0000-0000-0000D9320000}"/>
    <cellStyle name="CustomCellsOrange 3 3 32" xfId="13018" xr:uid="{00000000-0005-0000-0000-0000DA320000}"/>
    <cellStyle name="CustomCellsOrange 3 3 33" xfId="13019" xr:uid="{00000000-0005-0000-0000-0000DB320000}"/>
    <cellStyle name="CustomCellsOrange 3 3 34" xfId="13020" xr:uid="{00000000-0005-0000-0000-0000DC320000}"/>
    <cellStyle name="CustomCellsOrange 3 3 35" xfId="13021" xr:uid="{00000000-0005-0000-0000-0000DD320000}"/>
    <cellStyle name="CustomCellsOrange 3 3 36" xfId="13022" xr:uid="{00000000-0005-0000-0000-0000DE320000}"/>
    <cellStyle name="CustomCellsOrange 3 3 37" xfId="13023" xr:uid="{00000000-0005-0000-0000-0000DF320000}"/>
    <cellStyle name="CustomCellsOrange 3 3 38" xfId="13024" xr:uid="{00000000-0005-0000-0000-0000E0320000}"/>
    <cellStyle name="CustomCellsOrange 3 3 39" xfId="13025" xr:uid="{00000000-0005-0000-0000-0000E1320000}"/>
    <cellStyle name="CustomCellsOrange 3 3 4" xfId="13026" xr:uid="{00000000-0005-0000-0000-0000E2320000}"/>
    <cellStyle name="CustomCellsOrange 3 3 40" xfId="13027" xr:uid="{00000000-0005-0000-0000-0000E3320000}"/>
    <cellStyle name="CustomCellsOrange 3 3 41" xfId="13028" xr:uid="{00000000-0005-0000-0000-0000E4320000}"/>
    <cellStyle name="CustomCellsOrange 3 3 42" xfId="13029" xr:uid="{00000000-0005-0000-0000-0000E5320000}"/>
    <cellStyle name="CustomCellsOrange 3 3 43" xfId="13030" xr:uid="{00000000-0005-0000-0000-0000E6320000}"/>
    <cellStyle name="CustomCellsOrange 3 3 44" xfId="13031" xr:uid="{00000000-0005-0000-0000-0000E7320000}"/>
    <cellStyle name="CustomCellsOrange 3 3 45" xfId="13032" xr:uid="{00000000-0005-0000-0000-0000E8320000}"/>
    <cellStyle name="CustomCellsOrange 3 3 46" xfId="13033" xr:uid="{00000000-0005-0000-0000-0000E9320000}"/>
    <cellStyle name="CustomCellsOrange 3 3 47" xfId="13034" xr:uid="{00000000-0005-0000-0000-0000EA320000}"/>
    <cellStyle name="CustomCellsOrange 3 3 48" xfId="13035" xr:uid="{00000000-0005-0000-0000-0000EB320000}"/>
    <cellStyle name="CustomCellsOrange 3 3 49" xfId="13036" xr:uid="{00000000-0005-0000-0000-0000EC320000}"/>
    <cellStyle name="CustomCellsOrange 3 3 5" xfId="13037" xr:uid="{00000000-0005-0000-0000-0000ED320000}"/>
    <cellStyle name="CustomCellsOrange 3 3 50" xfId="13038" xr:uid="{00000000-0005-0000-0000-0000EE320000}"/>
    <cellStyle name="CustomCellsOrange 3 3 51" xfId="13039" xr:uid="{00000000-0005-0000-0000-0000EF320000}"/>
    <cellStyle name="CustomCellsOrange 3 3 52" xfId="13040" xr:uid="{00000000-0005-0000-0000-0000F0320000}"/>
    <cellStyle name="CustomCellsOrange 3 3 53" xfId="13041" xr:uid="{00000000-0005-0000-0000-0000F1320000}"/>
    <cellStyle name="CustomCellsOrange 3 3 54" xfId="13042" xr:uid="{00000000-0005-0000-0000-0000F2320000}"/>
    <cellStyle name="CustomCellsOrange 3 3 55" xfId="13043" xr:uid="{00000000-0005-0000-0000-0000F3320000}"/>
    <cellStyle name="CustomCellsOrange 3 3 56" xfId="13044" xr:uid="{00000000-0005-0000-0000-0000F4320000}"/>
    <cellStyle name="CustomCellsOrange 3 3 57" xfId="13045" xr:uid="{00000000-0005-0000-0000-0000F5320000}"/>
    <cellStyle name="CustomCellsOrange 3 3 58" xfId="13046" xr:uid="{00000000-0005-0000-0000-0000F6320000}"/>
    <cellStyle name="CustomCellsOrange 3 3 59" xfId="13047" xr:uid="{00000000-0005-0000-0000-0000F7320000}"/>
    <cellStyle name="CustomCellsOrange 3 3 6" xfId="13048" xr:uid="{00000000-0005-0000-0000-0000F8320000}"/>
    <cellStyle name="CustomCellsOrange 3 3 60" xfId="13049" xr:uid="{00000000-0005-0000-0000-0000F9320000}"/>
    <cellStyle name="CustomCellsOrange 3 3 61" xfId="13050" xr:uid="{00000000-0005-0000-0000-0000FA320000}"/>
    <cellStyle name="CustomCellsOrange 3 3 62" xfId="13051" xr:uid="{00000000-0005-0000-0000-0000FB320000}"/>
    <cellStyle name="CustomCellsOrange 3 3 63" xfId="13052" xr:uid="{00000000-0005-0000-0000-0000FC320000}"/>
    <cellStyle name="CustomCellsOrange 3 3 64" xfId="13053" xr:uid="{00000000-0005-0000-0000-0000FD320000}"/>
    <cellStyle name="CustomCellsOrange 3 3 65" xfId="13054" xr:uid="{00000000-0005-0000-0000-0000FE320000}"/>
    <cellStyle name="CustomCellsOrange 3 3 66" xfId="13055" xr:uid="{00000000-0005-0000-0000-0000FF320000}"/>
    <cellStyle name="CustomCellsOrange 3 3 7" xfId="13056" xr:uid="{00000000-0005-0000-0000-000000330000}"/>
    <cellStyle name="CustomCellsOrange 3 3 8" xfId="13057" xr:uid="{00000000-0005-0000-0000-000001330000}"/>
    <cellStyle name="CustomCellsOrange 3 3 9" xfId="13058" xr:uid="{00000000-0005-0000-0000-000002330000}"/>
    <cellStyle name="CustomCellsOrange 3 30" xfId="13059" xr:uid="{00000000-0005-0000-0000-000003330000}"/>
    <cellStyle name="CustomCellsOrange 3 31" xfId="13060" xr:uid="{00000000-0005-0000-0000-000004330000}"/>
    <cellStyle name="CustomCellsOrange 3 32" xfId="13061" xr:uid="{00000000-0005-0000-0000-000005330000}"/>
    <cellStyle name="CustomCellsOrange 3 33" xfId="13062" xr:uid="{00000000-0005-0000-0000-000006330000}"/>
    <cellStyle name="CustomCellsOrange 3 34" xfId="13063" xr:uid="{00000000-0005-0000-0000-000007330000}"/>
    <cellStyle name="CustomCellsOrange 3 35" xfId="13064" xr:uid="{00000000-0005-0000-0000-000008330000}"/>
    <cellStyle name="CustomCellsOrange 3 36" xfId="13065" xr:uid="{00000000-0005-0000-0000-000009330000}"/>
    <cellStyle name="CustomCellsOrange 3 37" xfId="13066" xr:uid="{00000000-0005-0000-0000-00000A330000}"/>
    <cellStyle name="CustomCellsOrange 3 38" xfId="13067" xr:uid="{00000000-0005-0000-0000-00000B330000}"/>
    <cellStyle name="CustomCellsOrange 3 39" xfId="13068" xr:uid="{00000000-0005-0000-0000-00000C330000}"/>
    <cellStyle name="CustomCellsOrange 3 4" xfId="13069" xr:uid="{00000000-0005-0000-0000-00000D330000}"/>
    <cellStyle name="CustomCellsOrange 3 4 10" xfId="13070" xr:uid="{00000000-0005-0000-0000-00000E330000}"/>
    <cellStyle name="CustomCellsOrange 3 4 11" xfId="13071" xr:uid="{00000000-0005-0000-0000-00000F330000}"/>
    <cellStyle name="CustomCellsOrange 3 4 12" xfId="13072" xr:uid="{00000000-0005-0000-0000-000010330000}"/>
    <cellStyle name="CustomCellsOrange 3 4 13" xfId="13073" xr:uid="{00000000-0005-0000-0000-000011330000}"/>
    <cellStyle name="CustomCellsOrange 3 4 14" xfId="13074" xr:uid="{00000000-0005-0000-0000-000012330000}"/>
    <cellStyle name="CustomCellsOrange 3 4 15" xfId="13075" xr:uid="{00000000-0005-0000-0000-000013330000}"/>
    <cellStyle name="CustomCellsOrange 3 4 16" xfId="13076" xr:uid="{00000000-0005-0000-0000-000014330000}"/>
    <cellStyle name="CustomCellsOrange 3 4 17" xfId="13077" xr:uid="{00000000-0005-0000-0000-000015330000}"/>
    <cellStyle name="CustomCellsOrange 3 4 18" xfId="13078" xr:uid="{00000000-0005-0000-0000-000016330000}"/>
    <cellStyle name="CustomCellsOrange 3 4 19" xfId="13079" xr:uid="{00000000-0005-0000-0000-000017330000}"/>
    <cellStyle name="CustomCellsOrange 3 4 2" xfId="13080" xr:uid="{00000000-0005-0000-0000-000018330000}"/>
    <cellStyle name="CustomCellsOrange 3 4 2 10" xfId="13081" xr:uid="{00000000-0005-0000-0000-000019330000}"/>
    <cellStyle name="CustomCellsOrange 3 4 2 11" xfId="13082" xr:uid="{00000000-0005-0000-0000-00001A330000}"/>
    <cellStyle name="CustomCellsOrange 3 4 2 12" xfId="13083" xr:uid="{00000000-0005-0000-0000-00001B330000}"/>
    <cellStyle name="CustomCellsOrange 3 4 2 13" xfId="13084" xr:uid="{00000000-0005-0000-0000-00001C330000}"/>
    <cellStyle name="CustomCellsOrange 3 4 2 14" xfId="13085" xr:uid="{00000000-0005-0000-0000-00001D330000}"/>
    <cellStyle name="CustomCellsOrange 3 4 2 15" xfId="13086" xr:uid="{00000000-0005-0000-0000-00001E330000}"/>
    <cellStyle name="CustomCellsOrange 3 4 2 16" xfId="13087" xr:uid="{00000000-0005-0000-0000-00001F330000}"/>
    <cellStyle name="CustomCellsOrange 3 4 2 17" xfId="13088" xr:uid="{00000000-0005-0000-0000-000020330000}"/>
    <cellStyle name="CustomCellsOrange 3 4 2 18" xfId="13089" xr:uid="{00000000-0005-0000-0000-000021330000}"/>
    <cellStyle name="CustomCellsOrange 3 4 2 19" xfId="13090" xr:uid="{00000000-0005-0000-0000-000022330000}"/>
    <cellStyle name="CustomCellsOrange 3 4 2 2" xfId="13091" xr:uid="{00000000-0005-0000-0000-000023330000}"/>
    <cellStyle name="CustomCellsOrange 3 4 2 20" xfId="13092" xr:uid="{00000000-0005-0000-0000-000024330000}"/>
    <cellStyle name="CustomCellsOrange 3 4 2 21" xfId="13093" xr:uid="{00000000-0005-0000-0000-000025330000}"/>
    <cellStyle name="CustomCellsOrange 3 4 2 22" xfId="13094" xr:uid="{00000000-0005-0000-0000-000026330000}"/>
    <cellStyle name="CustomCellsOrange 3 4 2 23" xfId="13095" xr:uid="{00000000-0005-0000-0000-000027330000}"/>
    <cellStyle name="CustomCellsOrange 3 4 2 24" xfId="13096" xr:uid="{00000000-0005-0000-0000-000028330000}"/>
    <cellStyle name="CustomCellsOrange 3 4 2 25" xfId="13097" xr:uid="{00000000-0005-0000-0000-000029330000}"/>
    <cellStyle name="CustomCellsOrange 3 4 2 26" xfId="13098" xr:uid="{00000000-0005-0000-0000-00002A330000}"/>
    <cellStyle name="CustomCellsOrange 3 4 2 27" xfId="13099" xr:uid="{00000000-0005-0000-0000-00002B330000}"/>
    <cellStyle name="CustomCellsOrange 3 4 2 28" xfId="13100" xr:uid="{00000000-0005-0000-0000-00002C330000}"/>
    <cellStyle name="CustomCellsOrange 3 4 2 29" xfId="13101" xr:uid="{00000000-0005-0000-0000-00002D330000}"/>
    <cellStyle name="CustomCellsOrange 3 4 2 3" xfId="13102" xr:uid="{00000000-0005-0000-0000-00002E330000}"/>
    <cellStyle name="CustomCellsOrange 3 4 2 30" xfId="13103" xr:uid="{00000000-0005-0000-0000-00002F330000}"/>
    <cellStyle name="CustomCellsOrange 3 4 2 31" xfId="13104" xr:uid="{00000000-0005-0000-0000-000030330000}"/>
    <cellStyle name="CustomCellsOrange 3 4 2 32" xfId="13105" xr:uid="{00000000-0005-0000-0000-000031330000}"/>
    <cellStyle name="CustomCellsOrange 3 4 2 33" xfId="13106" xr:uid="{00000000-0005-0000-0000-000032330000}"/>
    <cellStyle name="CustomCellsOrange 3 4 2 34" xfId="13107" xr:uid="{00000000-0005-0000-0000-000033330000}"/>
    <cellStyle name="CustomCellsOrange 3 4 2 35" xfId="13108" xr:uid="{00000000-0005-0000-0000-000034330000}"/>
    <cellStyle name="CustomCellsOrange 3 4 2 36" xfId="13109" xr:uid="{00000000-0005-0000-0000-000035330000}"/>
    <cellStyle name="CustomCellsOrange 3 4 2 37" xfId="13110" xr:uid="{00000000-0005-0000-0000-000036330000}"/>
    <cellStyle name="CustomCellsOrange 3 4 2 38" xfId="13111" xr:uid="{00000000-0005-0000-0000-000037330000}"/>
    <cellStyle name="CustomCellsOrange 3 4 2 39" xfId="13112" xr:uid="{00000000-0005-0000-0000-000038330000}"/>
    <cellStyle name="CustomCellsOrange 3 4 2 4" xfId="13113" xr:uid="{00000000-0005-0000-0000-000039330000}"/>
    <cellStyle name="CustomCellsOrange 3 4 2 40" xfId="13114" xr:uid="{00000000-0005-0000-0000-00003A330000}"/>
    <cellStyle name="CustomCellsOrange 3 4 2 41" xfId="13115" xr:uid="{00000000-0005-0000-0000-00003B330000}"/>
    <cellStyle name="CustomCellsOrange 3 4 2 42" xfId="13116" xr:uid="{00000000-0005-0000-0000-00003C330000}"/>
    <cellStyle name="CustomCellsOrange 3 4 2 43" xfId="13117" xr:uid="{00000000-0005-0000-0000-00003D330000}"/>
    <cellStyle name="CustomCellsOrange 3 4 2 44" xfId="13118" xr:uid="{00000000-0005-0000-0000-00003E330000}"/>
    <cellStyle name="CustomCellsOrange 3 4 2 45" xfId="13119" xr:uid="{00000000-0005-0000-0000-00003F330000}"/>
    <cellStyle name="CustomCellsOrange 3 4 2 46" xfId="13120" xr:uid="{00000000-0005-0000-0000-000040330000}"/>
    <cellStyle name="CustomCellsOrange 3 4 2 47" xfId="13121" xr:uid="{00000000-0005-0000-0000-000041330000}"/>
    <cellStyle name="CustomCellsOrange 3 4 2 48" xfId="13122" xr:uid="{00000000-0005-0000-0000-000042330000}"/>
    <cellStyle name="CustomCellsOrange 3 4 2 49" xfId="13123" xr:uid="{00000000-0005-0000-0000-000043330000}"/>
    <cellStyle name="CustomCellsOrange 3 4 2 5" xfId="13124" xr:uid="{00000000-0005-0000-0000-000044330000}"/>
    <cellStyle name="CustomCellsOrange 3 4 2 50" xfId="13125" xr:uid="{00000000-0005-0000-0000-000045330000}"/>
    <cellStyle name="CustomCellsOrange 3 4 2 51" xfId="13126" xr:uid="{00000000-0005-0000-0000-000046330000}"/>
    <cellStyle name="CustomCellsOrange 3 4 2 52" xfId="13127" xr:uid="{00000000-0005-0000-0000-000047330000}"/>
    <cellStyle name="CustomCellsOrange 3 4 2 53" xfId="13128" xr:uid="{00000000-0005-0000-0000-000048330000}"/>
    <cellStyle name="CustomCellsOrange 3 4 2 54" xfId="13129" xr:uid="{00000000-0005-0000-0000-000049330000}"/>
    <cellStyle name="CustomCellsOrange 3 4 2 55" xfId="13130" xr:uid="{00000000-0005-0000-0000-00004A330000}"/>
    <cellStyle name="CustomCellsOrange 3 4 2 56" xfId="13131" xr:uid="{00000000-0005-0000-0000-00004B330000}"/>
    <cellStyle name="CustomCellsOrange 3 4 2 57" xfId="13132" xr:uid="{00000000-0005-0000-0000-00004C330000}"/>
    <cellStyle name="CustomCellsOrange 3 4 2 58" xfId="13133" xr:uid="{00000000-0005-0000-0000-00004D330000}"/>
    <cellStyle name="CustomCellsOrange 3 4 2 59" xfId="13134" xr:uid="{00000000-0005-0000-0000-00004E330000}"/>
    <cellStyle name="CustomCellsOrange 3 4 2 6" xfId="13135" xr:uid="{00000000-0005-0000-0000-00004F330000}"/>
    <cellStyle name="CustomCellsOrange 3 4 2 60" xfId="13136" xr:uid="{00000000-0005-0000-0000-000050330000}"/>
    <cellStyle name="CustomCellsOrange 3 4 2 61" xfId="13137" xr:uid="{00000000-0005-0000-0000-000051330000}"/>
    <cellStyle name="CustomCellsOrange 3 4 2 62" xfId="13138" xr:uid="{00000000-0005-0000-0000-000052330000}"/>
    <cellStyle name="CustomCellsOrange 3 4 2 63" xfId="13139" xr:uid="{00000000-0005-0000-0000-000053330000}"/>
    <cellStyle name="CustomCellsOrange 3 4 2 64" xfId="13140" xr:uid="{00000000-0005-0000-0000-000054330000}"/>
    <cellStyle name="CustomCellsOrange 3 4 2 65" xfId="13141" xr:uid="{00000000-0005-0000-0000-000055330000}"/>
    <cellStyle name="CustomCellsOrange 3 4 2 7" xfId="13142" xr:uid="{00000000-0005-0000-0000-000056330000}"/>
    <cellStyle name="CustomCellsOrange 3 4 2 8" xfId="13143" xr:uid="{00000000-0005-0000-0000-000057330000}"/>
    <cellStyle name="CustomCellsOrange 3 4 2 9" xfId="13144" xr:uid="{00000000-0005-0000-0000-000058330000}"/>
    <cellStyle name="CustomCellsOrange 3 4 20" xfId="13145" xr:uid="{00000000-0005-0000-0000-000059330000}"/>
    <cellStyle name="CustomCellsOrange 3 4 21" xfId="13146" xr:uid="{00000000-0005-0000-0000-00005A330000}"/>
    <cellStyle name="CustomCellsOrange 3 4 22" xfId="13147" xr:uid="{00000000-0005-0000-0000-00005B330000}"/>
    <cellStyle name="CustomCellsOrange 3 4 23" xfId="13148" xr:uid="{00000000-0005-0000-0000-00005C330000}"/>
    <cellStyle name="CustomCellsOrange 3 4 24" xfId="13149" xr:uid="{00000000-0005-0000-0000-00005D330000}"/>
    <cellStyle name="CustomCellsOrange 3 4 25" xfId="13150" xr:uid="{00000000-0005-0000-0000-00005E330000}"/>
    <cellStyle name="CustomCellsOrange 3 4 26" xfId="13151" xr:uid="{00000000-0005-0000-0000-00005F330000}"/>
    <cellStyle name="CustomCellsOrange 3 4 27" xfId="13152" xr:uid="{00000000-0005-0000-0000-000060330000}"/>
    <cellStyle name="CustomCellsOrange 3 4 28" xfId="13153" xr:uid="{00000000-0005-0000-0000-000061330000}"/>
    <cellStyle name="CustomCellsOrange 3 4 29" xfId="13154" xr:uid="{00000000-0005-0000-0000-000062330000}"/>
    <cellStyle name="CustomCellsOrange 3 4 3" xfId="13155" xr:uid="{00000000-0005-0000-0000-000063330000}"/>
    <cellStyle name="CustomCellsOrange 3 4 30" xfId="13156" xr:uid="{00000000-0005-0000-0000-000064330000}"/>
    <cellStyle name="CustomCellsOrange 3 4 31" xfId="13157" xr:uid="{00000000-0005-0000-0000-000065330000}"/>
    <cellStyle name="CustomCellsOrange 3 4 32" xfId="13158" xr:uid="{00000000-0005-0000-0000-000066330000}"/>
    <cellStyle name="CustomCellsOrange 3 4 33" xfId="13159" xr:uid="{00000000-0005-0000-0000-000067330000}"/>
    <cellStyle name="CustomCellsOrange 3 4 34" xfId="13160" xr:uid="{00000000-0005-0000-0000-000068330000}"/>
    <cellStyle name="CustomCellsOrange 3 4 35" xfId="13161" xr:uid="{00000000-0005-0000-0000-000069330000}"/>
    <cellStyle name="CustomCellsOrange 3 4 36" xfId="13162" xr:uid="{00000000-0005-0000-0000-00006A330000}"/>
    <cellStyle name="CustomCellsOrange 3 4 37" xfId="13163" xr:uid="{00000000-0005-0000-0000-00006B330000}"/>
    <cellStyle name="CustomCellsOrange 3 4 38" xfId="13164" xr:uid="{00000000-0005-0000-0000-00006C330000}"/>
    <cellStyle name="CustomCellsOrange 3 4 39" xfId="13165" xr:uid="{00000000-0005-0000-0000-00006D330000}"/>
    <cellStyle name="CustomCellsOrange 3 4 4" xfId="13166" xr:uid="{00000000-0005-0000-0000-00006E330000}"/>
    <cellStyle name="CustomCellsOrange 3 4 40" xfId="13167" xr:uid="{00000000-0005-0000-0000-00006F330000}"/>
    <cellStyle name="CustomCellsOrange 3 4 41" xfId="13168" xr:uid="{00000000-0005-0000-0000-000070330000}"/>
    <cellStyle name="CustomCellsOrange 3 4 42" xfId="13169" xr:uid="{00000000-0005-0000-0000-000071330000}"/>
    <cellStyle name="CustomCellsOrange 3 4 43" xfId="13170" xr:uid="{00000000-0005-0000-0000-000072330000}"/>
    <cellStyle name="CustomCellsOrange 3 4 44" xfId="13171" xr:uid="{00000000-0005-0000-0000-000073330000}"/>
    <cellStyle name="CustomCellsOrange 3 4 45" xfId="13172" xr:uid="{00000000-0005-0000-0000-000074330000}"/>
    <cellStyle name="CustomCellsOrange 3 4 46" xfId="13173" xr:uid="{00000000-0005-0000-0000-000075330000}"/>
    <cellStyle name="CustomCellsOrange 3 4 47" xfId="13174" xr:uid="{00000000-0005-0000-0000-000076330000}"/>
    <cellStyle name="CustomCellsOrange 3 4 48" xfId="13175" xr:uid="{00000000-0005-0000-0000-000077330000}"/>
    <cellStyle name="CustomCellsOrange 3 4 49" xfId="13176" xr:uid="{00000000-0005-0000-0000-000078330000}"/>
    <cellStyle name="CustomCellsOrange 3 4 5" xfId="13177" xr:uid="{00000000-0005-0000-0000-000079330000}"/>
    <cellStyle name="CustomCellsOrange 3 4 50" xfId="13178" xr:uid="{00000000-0005-0000-0000-00007A330000}"/>
    <cellStyle name="CustomCellsOrange 3 4 51" xfId="13179" xr:uid="{00000000-0005-0000-0000-00007B330000}"/>
    <cellStyle name="CustomCellsOrange 3 4 52" xfId="13180" xr:uid="{00000000-0005-0000-0000-00007C330000}"/>
    <cellStyle name="CustomCellsOrange 3 4 53" xfId="13181" xr:uid="{00000000-0005-0000-0000-00007D330000}"/>
    <cellStyle name="CustomCellsOrange 3 4 54" xfId="13182" xr:uid="{00000000-0005-0000-0000-00007E330000}"/>
    <cellStyle name="CustomCellsOrange 3 4 55" xfId="13183" xr:uid="{00000000-0005-0000-0000-00007F330000}"/>
    <cellStyle name="CustomCellsOrange 3 4 56" xfId="13184" xr:uid="{00000000-0005-0000-0000-000080330000}"/>
    <cellStyle name="CustomCellsOrange 3 4 57" xfId="13185" xr:uid="{00000000-0005-0000-0000-000081330000}"/>
    <cellStyle name="CustomCellsOrange 3 4 58" xfId="13186" xr:uid="{00000000-0005-0000-0000-000082330000}"/>
    <cellStyle name="CustomCellsOrange 3 4 59" xfId="13187" xr:uid="{00000000-0005-0000-0000-000083330000}"/>
    <cellStyle name="CustomCellsOrange 3 4 6" xfId="13188" xr:uid="{00000000-0005-0000-0000-000084330000}"/>
    <cellStyle name="CustomCellsOrange 3 4 60" xfId="13189" xr:uid="{00000000-0005-0000-0000-000085330000}"/>
    <cellStyle name="CustomCellsOrange 3 4 61" xfId="13190" xr:uid="{00000000-0005-0000-0000-000086330000}"/>
    <cellStyle name="CustomCellsOrange 3 4 62" xfId="13191" xr:uid="{00000000-0005-0000-0000-000087330000}"/>
    <cellStyle name="CustomCellsOrange 3 4 63" xfId="13192" xr:uid="{00000000-0005-0000-0000-000088330000}"/>
    <cellStyle name="CustomCellsOrange 3 4 64" xfId="13193" xr:uid="{00000000-0005-0000-0000-000089330000}"/>
    <cellStyle name="CustomCellsOrange 3 4 65" xfId="13194" xr:uid="{00000000-0005-0000-0000-00008A330000}"/>
    <cellStyle name="CustomCellsOrange 3 4 66" xfId="13195" xr:uid="{00000000-0005-0000-0000-00008B330000}"/>
    <cellStyle name="CustomCellsOrange 3 4 7" xfId="13196" xr:uid="{00000000-0005-0000-0000-00008C330000}"/>
    <cellStyle name="CustomCellsOrange 3 4 8" xfId="13197" xr:uid="{00000000-0005-0000-0000-00008D330000}"/>
    <cellStyle name="CustomCellsOrange 3 4 9" xfId="13198" xr:uid="{00000000-0005-0000-0000-00008E330000}"/>
    <cellStyle name="CustomCellsOrange 3 40" xfId="13199" xr:uid="{00000000-0005-0000-0000-00008F330000}"/>
    <cellStyle name="CustomCellsOrange 3 41" xfId="13200" xr:uid="{00000000-0005-0000-0000-000090330000}"/>
    <cellStyle name="CustomCellsOrange 3 42" xfId="13201" xr:uid="{00000000-0005-0000-0000-000091330000}"/>
    <cellStyle name="CustomCellsOrange 3 43" xfId="13202" xr:uid="{00000000-0005-0000-0000-000092330000}"/>
    <cellStyle name="CustomCellsOrange 3 44" xfId="13203" xr:uid="{00000000-0005-0000-0000-000093330000}"/>
    <cellStyle name="CustomCellsOrange 3 45" xfId="13204" xr:uid="{00000000-0005-0000-0000-000094330000}"/>
    <cellStyle name="CustomCellsOrange 3 46" xfId="13205" xr:uid="{00000000-0005-0000-0000-000095330000}"/>
    <cellStyle name="CustomCellsOrange 3 47" xfId="13206" xr:uid="{00000000-0005-0000-0000-000096330000}"/>
    <cellStyle name="CustomCellsOrange 3 48" xfId="13207" xr:uid="{00000000-0005-0000-0000-000097330000}"/>
    <cellStyle name="CustomCellsOrange 3 49" xfId="13208" xr:uid="{00000000-0005-0000-0000-000098330000}"/>
    <cellStyle name="CustomCellsOrange 3 5" xfId="13209" xr:uid="{00000000-0005-0000-0000-000099330000}"/>
    <cellStyle name="CustomCellsOrange 3 5 2" xfId="13210" xr:uid="{00000000-0005-0000-0000-00009A330000}"/>
    <cellStyle name="CustomCellsOrange 3 5 3" xfId="13211" xr:uid="{00000000-0005-0000-0000-00009B330000}"/>
    <cellStyle name="CustomCellsOrange 3 5 4" xfId="13212" xr:uid="{00000000-0005-0000-0000-00009C330000}"/>
    <cellStyle name="CustomCellsOrange 3 5 5" xfId="13213" xr:uid="{00000000-0005-0000-0000-00009D330000}"/>
    <cellStyle name="CustomCellsOrange 3 50" xfId="13214" xr:uid="{00000000-0005-0000-0000-00009E330000}"/>
    <cellStyle name="CustomCellsOrange 3 51" xfId="13215" xr:uid="{00000000-0005-0000-0000-00009F330000}"/>
    <cellStyle name="CustomCellsOrange 3 52" xfId="13216" xr:uid="{00000000-0005-0000-0000-0000A0330000}"/>
    <cellStyle name="CustomCellsOrange 3 53" xfId="13217" xr:uid="{00000000-0005-0000-0000-0000A1330000}"/>
    <cellStyle name="CustomCellsOrange 3 54" xfId="13218" xr:uid="{00000000-0005-0000-0000-0000A2330000}"/>
    <cellStyle name="CustomCellsOrange 3 55" xfId="13219" xr:uid="{00000000-0005-0000-0000-0000A3330000}"/>
    <cellStyle name="CustomCellsOrange 3 56" xfId="13220" xr:uid="{00000000-0005-0000-0000-0000A4330000}"/>
    <cellStyle name="CustomCellsOrange 3 57" xfId="13221" xr:uid="{00000000-0005-0000-0000-0000A5330000}"/>
    <cellStyle name="CustomCellsOrange 3 58" xfId="13222" xr:uid="{00000000-0005-0000-0000-0000A6330000}"/>
    <cellStyle name="CustomCellsOrange 3 59" xfId="13223" xr:uid="{00000000-0005-0000-0000-0000A7330000}"/>
    <cellStyle name="CustomCellsOrange 3 6" xfId="13224" xr:uid="{00000000-0005-0000-0000-0000A8330000}"/>
    <cellStyle name="CustomCellsOrange 3 60" xfId="13225" xr:uid="{00000000-0005-0000-0000-0000A9330000}"/>
    <cellStyle name="CustomCellsOrange 3 61" xfId="13226" xr:uid="{00000000-0005-0000-0000-0000AA330000}"/>
    <cellStyle name="CustomCellsOrange 3 62" xfId="13227" xr:uid="{00000000-0005-0000-0000-0000AB330000}"/>
    <cellStyle name="CustomCellsOrange 3 63" xfId="13228" xr:uid="{00000000-0005-0000-0000-0000AC330000}"/>
    <cellStyle name="CustomCellsOrange 3 64" xfId="13229" xr:uid="{00000000-0005-0000-0000-0000AD330000}"/>
    <cellStyle name="CustomCellsOrange 3 65" xfId="13230" xr:uid="{00000000-0005-0000-0000-0000AE330000}"/>
    <cellStyle name="CustomCellsOrange 3 66" xfId="13231" xr:uid="{00000000-0005-0000-0000-0000AF330000}"/>
    <cellStyle name="CustomCellsOrange 3 67" xfId="13232" xr:uid="{00000000-0005-0000-0000-0000B0330000}"/>
    <cellStyle name="CustomCellsOrange 3 68" xfId="13233" xr:uid="{00000000-0005-0000-0000-0000B1330000}"/>
    <cellStyle name="CustomCellsOrange 3 69" xfId="13234" xr:uid="{00000000-0005-0000-0000-0000B2330000}"/>
    <cellStyle name="CustomCellsOrange 3 7" xfId="13235" xr:uid="{00000000-0005-0000-0000-0000B3330000}"/>
    <cellStyle name="CustomCellsOrange 3 8" xfId="13236" xr:uid="{00000000-0005-0000-0000-0000B4330000}"/>
    <cellStyle name="CustomCellsOrange 3 9" xfId="13237" xr:uid="{00000000-0005-0000-0000-0000B5330000}"/>
    <cellStyle name="CustomizationCells" xfId="13238" xr:uid="{00000000-0005-0000-0000-0000B6330000}"/>
    <cellStyle name="CustomizationCells 2" xfId="13239" xr:uid="{00000000-0005-0000-0000-0000B7330000}"/>
    <cellStyle name="CustomizationCells 2 2" xfId="13240" xr:uid="{00000000-0005-0000-0000-0000B8330000}"/>
    <cellStyle name="CustomizationCells 2 2 10" xfId="13241" xr:uid="{00000000-0005-0000-0000-0000B9330000}"/>
    <cellStyle name="CustomizationCells 2 2 11" xfId="13242" xr:uid="{00000000-0005-0000-0000-0000BA330000}"/>
    <cellStyle name="CustomizationCells 2 2 12" xfId="13243" xr:uid="{00000000-0005-0000-0000-0000BB330000}"/>
    <cellStyle name="CustomizationCells 2 2 13" xfId="13244" xr:uid="{00000000-0005-0000-0000-0000BC330000}"/>
    <cellStyle name="CustomizationCells 2 2 14" xfId="13245" xr:uid="{00000000-0005-0000-0000-0000BD330000}"/>
    <cellStyle name="CustomizationCells 2 2 15" xfId="13246" xr:uid="{00000000-0005-0000-0000-0000BE330000}"/>
    <cellStyle name="CustomizationCells 2 2 16" xfId="13247" xr:uid="{00000000-0005-0000-0000-0000BF330000}"/>
    <cellStyle name="CustomizationCells 2 2 17" xfId="13248" xr:uid="{00000000-0005-0000-0000-0000C0330000}"/>
    <cellStyle name="CustomizationCells 2 2 18" xfId="13249" xr:uid="{00000000-0005-0000-0000-0000C1330000}"/>
    <cellStyle name="CustomizationCells 2 2 19" xfId="13250" xr:uid="{00000000-0005-0000-0000-0000C2330000}"/>
    <cellStyle name="CustomizationCells 2 2 2" xfId="13251" xr:uid="{00000000-0005-0000-0000-0000C3330000}"/>
    <cellStyle name="CustomizationCells 2 2 2 2" xfId="13252" xr:uid="{00000000-0005-0000-0000-0000C4330000}"/>
    <cellStyle name="CustomizationCells 2 2 2 2 10" xfId="13253" xr:uid="{00000000-0005-0000-0000-0000C5330000}"/>
    <cellStyle name="CustomizationCells 2 2 2 2 11" xfId="13254" xr:uid="{00000000-0005-0000-0000-0000C6330000}"/>
    <cellStyle name="CustomizationCells 2 2 2 2 12" xfId="13255" xr:uid="{00000000-0005-0000-0000-0000C7330000}"/>
    <cellStyle name="CustomizationCells 2 2 2 2 13" xfId="13256" xr:uid="{00000000-0005-0000-0000-0000C8330000}"/>
    <cellStyle name="CustomizationCells 2 2 2 2 14" xfId="13257" xr:uid="{00000000-0005-0000-0000-0000C9330000}"/>
    <cellStyle name="CustomizationCells 2 2 2 2 15" xfId="13258" xr:uid="{00000000-0005-0000-0000-0000CA330000}"/>
    <cellStyle name="CustomizationCells 2 2 2 2 16" xfId="13259" xr:uid="{00000000-0005-0000-0000-0000CB330000}"/>
    <cellStyle name="CustomizationCells 2 2 2 2 17" xfId="13260" xr:uid="{00000000-0005-0000-0000-0000CC330000}"/>
    <cellStyle name="CustomizationCells 2 2 2 2 18" xfId="13261" xr:uid="{00000000-0005-0000-0000-0000CD330000}"/>
    <cellStyle name="CustomizationCells 2 2 2 2 19" xfId="13262" xr:uid="{00000000-0005-0000-0000-0000CE330000}"/>
    <cellStyle name="CustomizationCells 2 2 2 2 2" xfId="13263" xr:uid="{00000000-0005-0000-0000-0000CF330000}"/>
    <cellStyle name="CustomizationCells 2 2 2 2 2 10" xfId="13264" xr:uid="{00000000-0005-0000-0000-0000D0330000}"/>
    <cellStyle name="CustomizationCells 2 2 2 2 2 11" xfId="13265" xr:uid="{00000000-0005-0000-0000-0000D1330000}"/>
    <cellStyle name="CustomizationCells 2 2 2 2 2 12" xfId="13266" xr:uid="{00000000-0005-0000-0000-0000D2330000}"/>
    <cellStyle name="CustomizationCells 2 2 2 2 2 13" xfId="13267" xr:uid="{00000000-0005-0000-0000-0000D3330000}"/>
    <cellStyle name="CustomizationCells 2 2 2 2 2 14" xfId="13268" xr:uid="{00000000-0005-0000-0000-0000D4330000}"/>
    <cellStyle name="CustomizationCells 2 2 2 2 2 15" xfId="13269" xr:uid="{00000000-0005-0000-0000-0000D5330000}"/>
    <cellStyle name="CustomizationCells 2 2 2 2 2 16" xfId="13270" xr:uid="{00000000-0005-0000-0000-0000D6330000}"/>
    <cellStyle name="CustomizationCells 2 2 2 2 2 17" xfId="13271" xr:uid="{00000000-0005-0000-0000-0000D7330000}"/>
    <cellStyle name="CustomizationCells 2 2 2 2 2 18" xfId="13272" xr:uid="{00000000-0005-0000-0000-0000D8330000}"/>
    <cellStyle name="CustomizationCells 2 2 2 2 2 19" xfId="13273" xr:uid="{00000000-0005-0000-0000-0000D9330000}"/>
    <cellStyle name="CustomizationCells 2 2 2 2 2 2" xfId="13274" xr:uid="{00000000-0005-0000-0000-0000DA330000}"/>
    <cellStyle name="CustomizationCells 2 2 2 2 2 20" xfId="13275" xr:uid="{00000000-0005-0000-0000-0000DB330000}"/>
    <cellStyle name="CustomizationCells 2 2 2 2 2 21" xfId="13276" xr:uid="{00000000-0005-0000-0000-0000DC330000}"/>
    <cellStyle name="CustomizationCells 2 2 2 2 2 22" xfId="13277" xr:uid="{00000000-0005-0000-0000-0000DD330000}"/>
    <cellStyle name="CustomizationCells 2 2 2 2 2 23" xfId="13278" xr:uid="{00000000-0005-0000-0000-0000DE330000}"/>
    <cellStyle name="CustomizationCells 2 2 2 2 2 24" xfId="13279" xr:uid="{00000000-0005-0000-0000-0000DF330000}"/>
    <cellStyle name="CustomizationCells 2 2 2 2 2 25" xfId="13280" xr:uid="{00000000-0005-0000-0000-0000E0330000}"/>
    <cellStyle name="CustomizationCells 2 2 2 2 2 26" xfId="13281" xr:uid="{00000000-0005-0000-0000-0000E1330000}"/>
    <cellStyle name="CustomizationCells 2 2 2 2 2 27" xfId="13282" xr:uid="{00000000-0005-0000-0000-0000E2330000}"/>
    <cellStyle name="CustomizationCells 2 2 2 2 2 28" xfId="13283" xr:uid="{00000000-0005-0000-0000-0000E3330000}"/>
    <cellStyle name="CustomizationCells 2 2 2 2 2 29" xfId="13284" xr:uid="{00000000-0005-0000-0000-0000E4330000}"/>
    <cellStyle name="CustomizationCells 2 2 2 2 2 3" xfId="13285" xr:uid="{00000000-0005-0000-0000-0000E5330000}"/>
    <cellStyle name="CustomizationCells 2 2 2 2 2 30" xfId="13286" xr:uid="{00000000-0005-0000-0000-0000E6330000}"/>
    <cellStyle name="CustomizationCells 2 2 2 2 2 31" xfId="13287" xr:uid="{00000000-0005-0000-0000-0000E7330000}"/>
    <cellStyle name="CustomizationCells 2 2 2 2 2 32" xfId="13288" xr:uid="{00000000-0005-0000-0000-0000E8330000}"/>
    <cellStyle name="CustomizationCells 2 2 2 2 2 33" xfId="13289" xr:uid="{00000000-0005-0000-0000-0000E9330000}"/>
    <cellStyle name="CustomizationCells 2 2 2 2 2 34" xfId="13290" xr:uid="{00000000-0005-0000-0000-0000EA330000}"/>
    <cellStyle name="CustomizationCells 2 2 2 2 2 35" xfId="13291" xr:uid="{00000000-0005-0000-0000-0000EB330000}"/>
    <cellStyle name="CustomizationCells 2 2 2 2 2 36" xfId="13292" xr:uid="{00000000-0005-0000-0000-0000EC330000}"/>
    <cellStyle name="CustomizationCells 2 2 2 2 2 37" xfId="13293" xr:uid="{00000000-0005-0000-0000-0000ED330000}"/>
    <cellStyle name="CustomizationCells 2 2 2 2 2 38" xfId="13294" xr:uid="{00000000-0005-0000-0000-0000EE330000}"/>
    <cellStyle name="CustomizationCells 2 2 2 2 2 39" xfId="13295" xr:uid="{00000000-0005-0000-0000-0000EF330000}"/>
    <cellStyle name="CustomizationCells 2 2 2 2 2 4" xfId="13296" xr:uid="{00000000-0005-0000-0000-0000F0330000}"/>
    <cellStyle name="CustomizationCells 2 2 2 2 2 40" xfId="13297" xr:uid="{00000000-0005-0000-0000-0000F1330000}"/>
    <cellStyle name="CustomizationCells 2 2 2 2 2 41" xfId="13298" xr:uid="{00000000-0005-0000-0000-0000F2330000}"/>
    <cellStyle name="CustomizationCells 2 2 2 2 2 42" xfId="13299" xr:uid="{00000000-0005-0000-0000-0000F3330000}"/>
    <cellStyle name="CustomizationCells 2 2 2 2 2 43" xfId="13300" xr:uid="{00000000-0005-0000-0000-0000F4330000}"/>
    <cellStyle name="CustomizationCells 2 2 2 2 2 44" xfId="13301" xr:uid="{00000000-0005-0000-0000-0000F5330000}"/>
    <cellStyle name="CustomizationCells 2 2 2 2 2 45" xfId="13302" xr:uid="{00000000-0005-0000-0000-0000F6330000}"/>
    <cellStyle name="CustomizationCells 2 2 2 2 2 46" xfId="13303" xr:uid="{00000000-0005-0000-0000-0000F7330000}"/>
    <cellStyle name="CustomizationCells 2 2 2 2 2 47" xfId="13304" xr:uid="{00000000-0005-0000-0000-0000F8330000}"/>
    <cellStyle name="CustomizationCells 2 2 2 2 2 48" xfId="13305" xr:uid="{00000000-0005-0000-0000-0000F9330000}"/>
    <cellStyle name="CustomizationCells 2 2 2 2 2 49" xfId="13306" xr:uid="{00000000-0005-0000-0000-0000FA330000}"/>
    <cellStyle name="CustomizationCells 2 2 2 2 2 5" xfId="13307" xr:uid="{00000000-0005-0000-0000-0000FB330000}"/>
    <cellStyle name="CustomizationCells 2 2 2 2 2 50" xfId="13308" xr:uid="{00000000-0005-0000-0000-0000FC330000}"/>
    <cellStyle name="CustomizationCells 2 2 2 2 2 51" xfId="13309" xr:uid="{00000000-0005-0000-0000-0000FD330000}"/>
    <cellStyle name="CustomizationCells 2 2 2 2 2 52" xfId="13310" xr:uid="{00000000-0005-0000-0000-0000FE330000}"/>
    <cellStyle name="CustomizationCells 2 2 2 2 2 53" xfId="13311" xr:uid="{00000000-0005-0000-0000-0000FF330000}"/>
    <cellStyle name="CustomizationCells 2 2 2 2 2 54" xfId="13312" xr:uid="{00000000-0005-0000-0000-000000340000}"/>
    <cellStyle name="CustomizationCells 2 2 2 2 2 55" xfId="13313" xr:uid="{00000000-0005-0000-0000-000001340000}"/>
    <cellStyle name="CustomizationCells 2 2 2 2 2 56" xfId="13314" xr:uid="{00000000-0005-0000-0000-000002340000}"/>
    <cellStyle name="CustomizationCells 2 2 2 2 2 57" xfId="13315" xr:uid="{00000000-0005-0000-0000-000003340000}"/>
    <cellStyle name="CustomizationCells 2 2 2 2 2 58" xfId="13316" xr:uid="{00000000-0005-0000-0000-000004340000}"/>
    <cellStyle name="CustomizationCells 2 2 2 2 2 59" xfId="13317" xr:uid="{00000000-0005-0000-0000-000005340000}"/>
    <cellStyle name="CustomizationCells 2 2 2 2 2 6" xfId="13318" xr:uid="{00000000-0005-0000-0000-000006340000}"/>
    <cellStyle name="CustomizationCells 2 2 2 2 2 60" xfId="13319" xr:uid="{00000000-0005-0000-0000-000007340000}"/>
    <cellStyle name="CustomizationCells 2 2 2 2 2 61" xfId="13320" xr:uid="{00000000-0005-0000-0000-000008340000}"/>
    <cellStyle name="CustomizationCells 2 2 2 2 2 62" xfId="13321" xr:uid="{00000000-0005-0000-0000-000009340000}"/>
    <cellStyle name="CustomizationCells 2 2 2 2 2 63" xfId="13322" xr:uid="{00000000-0005-0000-0000-00000A340000}"/>
    <cellStyle name="CustomizationCells 2 2 2 2 2 64" xfId="13323" xr:uid="{00000000-0005-0000-0000-00000B340000}"/>
    <cellStyle name="CustomizationCells 2 2 2 2 2 65" xfId="13324" xr:uid="{00000000-0005-0000-0000-00000C340000}"/>
    <cellStyle name="CustomizationCells 2 2 2 2 2 7" xfId="13325" xr:uid="{00000000-0005-0000-0000-00000D340000}"/>
    <cellStyle name="CustomizationCells 2 2 2 2 2 8" xfId="13326" xr:uid="{00000000-0005-0000-0000-00000E340000}"/>
    <cellStyle name="CustomizationCells 2 2 2 2 2 9" xfId="13327" xr:uid="{00000000-0005-0000-0000-00000F340000}"/>
    <cellStyle name="CustomizationCells 2 2 2 2 20" xfId="13328" xr:uid="{00000000-0005-0000-0000-000010340000}"/>
    <cellStyle name="CustomizationCells 2 2 2 2 21" xfId="13329" xr:uid="{00000000-0005-0000-0000-000011340000}"/>
    <cellStyle name="CustomizationCells 2 2 2 2 22" xfId="13330" xr:uid="{00000000-0005-0000-0000-000012340000}"/>
    <cellStyle name="CustomizationCells 2 2 2 2 23" xfId="13331" xr:uid="{00000000-0005-0000-0000-000013340000}"/>
    <cellStyle name="CustomizationCells 2 2 2 2 24" xfId="13332" xr:uid="{00000000-0005-0000-0000-000014340000}"/>
    <cellStyle name="CustomizationCells 2 2 2 2 25" xfId="13333" xr:uid="{00000000-0005-0000-0000-000015340000}"/>
    <cellStyle name="CustomizationCells 2 2 2 2 26" xfId="13334" xr:uid="{00000000-0005-0000-0000-000016340000}"/>
    <cellStyle name="CustomizationCells 2 2 2 2 27" xfId="13335" xr:uid="{00000000-0005-0000-0000-000017340000}"/>
    <cellStyle name="CustomizationCells 2 2 2 2 28" xfId="13336" xr:uid="{00000000-0005-0000-0000-000018340000}"/>
    <cellStyle name="CustomizationCells 2 2 2 2 29" xfId="13337" xr:uid="{00000000-0005-0000-0000-000019340000}"/>
    <cellStyle name="CustomizationCells 2 2 2 2 3" xfId="13338" xr:uid="{00000000-0005-0000-0000-00001A340000}"/>
    <cellStyle name="CustomizationCells 2 2 2 2 30" xfId="13339" xr:uid="{00000000-0005-0000-0000-00001B340000}"/>
    <cellStyle name="CustomizationCells 2 2 2 2 31" xfId="13340" xr:uid="{00000000-0005-0000-0000-00001C340000}"/>
    <cellStyle name="CustomizationCells 2 2 2 2 32" xfId="13341" xr:uid="{00000000-0005-0000-0000-00001D340000}"/>
    <cellStyle name="CustomizationCells 2 2 2 2 33" xfId="13342" xr:uid="{00000000-0005-0000-0000-00001E340000}"/>
    <cellStyle name="CustomizationCells 2 2 2 2 34" xfId="13343" xr:uid="{00000000-0005-0000-0000-00001F340000}"/>
    <cellStyle name="CustomizationCells 2 2 2 2 35" xfId="13344" xr:uid="{00000000-0005-0000-0000-000020340000}"/>
    <cellStyle name="CustomizationCells 2 2 2 2 36" xfId="13345" xr:uid="{00000000-0005-0000-0000-000021340000}"/>
    <cellStyle name="CustomizationCells 2 2 2 2 37" xfId="13346" xr:uid="{00000000-0005-0000-0000-000022340000}"/>
    <cellStyle name="CustomizationCells 2 2 2 2 38" xfId="13347" xr:uid="{00000000-0005-0000-0000-000023340000}"/>
    <cellStyle name="CustomizationCells 2 2 2 2 39" xfId="13348" xr:uid="{00000000-0005-0000-0000-000024340000}"/>
    <cellStyle name="CustomizationCells 2 2 2 2 4" xfId="13349" xr:uid="{00000000-0005-0000-0000-000025340000}"/>
    <cellStyle name="CustomizationCells 2 2 2 2 40" xfId="13350" xr:uid="{00000000-0005-0000-0000-000026340000}"/>
    <cellStyle name="CustomizationCells 2 2 2 2 41" xfId="13351" xr:uid="{00000000-0005-0000-0000-000027340000}"/>
    <cellStyle name="CustomizationCells 2 2 2 2 42" xfId="13352" xr:uid="{00000000-0005-0000-0000-000028340000}"/>
    <cellStyle name="CustomizationCells 2 2 2 2 43" xfId="13353" xr:uid="{00000000-0005-0000-0000-000029340000}"/>
    <cellStyle name="CustomizationCells 2 2 2 2 44" xfId="13354" xr:uid="{00000000-0005-0000-0000-00002A340000}"/>
    <cellStyle name="CustomizationCells 2 2 2 2 45" xfId="13355" xr:uid="{00000000-0005-0000-0000-00002B340000}"/>
    <cellStyle name="CustomizationCells 2 2 2 2 46" xfId="13356" xr:uid="{00000000-0005-0000-0000-00002C340000}"/>
    <cellStyle name="CustomizationCells 2 2 2 2 47" xfId="13357" xr:uid="{00000000-0005-0000-0000-00002D340000}"/>
    <cellStyle name="CustomizationCells 2 2 2 2 48" xfId="13358" xr:uid="{00000000-0005-0000-0000-00002E340000}"/>
    <cellStyle name="CustomizationCells 2 2 2 2 49" xfId="13359" xr:uid="{00000000-0005-0000-0000-00002F340000}"/>
    <cellStyle name="CustomizationCells 2 2 2 2 5" xfId="13360" xr:uid="{00000000-0005-0000-0000-000030340000}"/>
    <cellStyle name="CustomizationCells 2 2 2 2 50" xfId="13361" xr:uid="{00000000-0005-0000-0000-000031340000}"/>
    <cellStyle name="CustomizationCells 2 2 2 2 51" xfId="13362" xr:uid="{00000000-0005-0000-0000-000032340000}"/>
    <cellStyle name="CustomizationCells 2 2 2 2 52" xfId="13363" xr:uid="{00000000-0005-0000-0000-000033340000}"/>
    <cellStyle name="CustomizationCells 2 2 2 2 53" xfId="13364" xr:uid="{00000000-0005-0000-0000-000034340000}"/>
    <cellStyle name="CustomizationCells 2 2 2 2 54" xfId="13365" xr:uid="{00000000-0005-0000-0000-000035340000}"/>
    <cellStyle name="CustomizationCells 2 2 2 2 55" xfId="13366" xr:uid="{00000000-0005-0000-0000-000036340000}"/>
    <cellStyle name="CustomizationCells 2 2 2 2 56" xfId="13367" xr:uid="{00000000-0005-0000-0000-000037340000}"/>
    <cellStyle name="CustomizationCells 2 2 2 2 57" xfId="13368" xr:uid="{00000000-0005-0000-0000-000038340000}"/>
    <cellStyle name="CustomizationCells 2 2 2 2 58" xfId="13369" xr:uid="{00000000-0005-0000-0000-000039340000}"/>
    <cellStyle name="CustomizationCells 2 2 2 2 59" xfId="13370" xr:uid="{00000000-0005-0000-0000-00003A340000}"/>
    <cellStyle name="CustomizationCells 2 2 2 2 6" xfId="13371" xr:uid="{00000000-0005-0000-0000-00003B340000}"/>
    <cellStyle name="CustomizationCells 2 2 2 2 60" xfId="13372" xr:uid="{00000000-0005-0000-0000-00003C340000}"/>
    <cellStyle name="CustomizationCells 2 2 2 2 61" xfId="13373" xr:uid="{00000000-0005-0000-0000-00003D340000}"/>
    <cellStyle name="CustomizationCells 2 2 2 2 62" xfId="13374" xr:uid="{00000000-0005-0000-0000-00003E340000}"/>
    <cellStyle name="CustomizationCells 2 2 2 2 63" xfId="13375" xr:uid="{00000000-0005-0000-0000-00003F340000}"/>
    <cellStyle name="CustomizationCells 2 2 2 2 64" xfId="13376" xr:uid="{00000000-0005-0000-0000-000040340000}"/>
    <cellStyle name="CustomizationCells 2 2 2 2 65" xfId="13377" xr:uid="{00000000-0005-0000-0000-000041340000}"/>
    <cellStyle name="CustomizationCells 2 2 2 2 66" xfId="13378" xr:uid="{00000000-0005-0000-0000-000042340000}"/>
    <cellStyle name="CustomizationCells 2 2 2 2 7" xfId="13379" xr:uid="{00000000-0005-0000-0000-000043340000}"/>
    <cellStyle name="CustomizationCells 2 2 2 2 8" xfId="13380" xr:uid="{00000000-0005-0000-0000-000044340000}"/>
    <cellStyle name="CustomizationCells 2 2 2 2 9" xfId="13381" xr:uid="{00000000-0005-0000-0000-000045340000}"/>
    <cellStyle name="CustomizationCells 2 2 20" xfId="13382" xr:uid="{00000000-0005-0000-0000-000046340000}"/>
    <cellStyle name="CustomizationCells 2 2 21" xfId="13383" xr:uid="{00000000-0005-0000-0000-000047340000}"/>
    <cellStyle name="CustomizationCells 2 2 22" xfId="13384" xr:uid="{00000000-0005-0000-0000-000048340000}"/>
    <cellStyle name="CustomizationCells 2 2 23" xfId="13385" xr:uid="{00000000-0005-0000-0000-000049340000}"/>
    <cellStyle name="CustomizationCells 2 2 24" xfId="13386" xr:uid="{00000000-0005-0000-0000-00004A340000}"/>
    <cellStyle name="CustomizationCells 2 2 25" xfId="13387" xr:uid="{00000000-0005-0000-0000-00004B340000}"/>
    <cellStyle name="CustomizationCells 2 2 26" xfId="13388" xr:uid="{00000000-0005-0000-0000-00004C340000}"/>
    <cellStyle name="CustomizationCells 2 2 27" xfId="13389" xr:uid="{00000000-0005-0000-0000-00004D340000}"/>
    <cellStyle name="CustomizationCells 2 2 28" xfId="13390" xr:uid="{00000000-0005-0000-0000-00004E340000}"/>
    <cellStyle name="CustomizationCells 2 2 29" xfId="13391" xr:uid="{00000000-0005-0000-0000-00004F340000}"/>
    <cellStyle name="CustomizationCells 2 2 3" xfId="13392" xr:uid="{00000000-0005-0000-0000-000050340000}"/>
    <cellStyle name="CustomizationCells 2 2 3 10" xfId="13393" xr:uid="{00000000-0005-0000-0000-000051340000}"/>
    <cellStyle name="CustomizationCells 2 2 3 11" xfId="13394" xr:uid="{00000000-0005-0000-0000-000052340000}"/>
    <cellStyle name="CustomizationCells 2 2 3 12" xfId="13395" xr:uid="{00000000-0005-0000-0000-000053340000}"/>
    <cellStyle name="CustomizationCells 2 2 3 13" xfId="13396" xr:uid="{00000000-0005-0000-0000-000054340000}"/>
    <cellStyle name="CustomizationCells 2 2 3 14" xfId="13397" xr:uid="{00000000-0005-0000-0000-000055340000}"/>
    <cellStyle name="CustomizationCells 2 2 3 15" xfId="13398" xr:uid="{00000000-0005-0000-0000-000056340000}"/>
    <cellStyle name="CustomizationCells 2 2 3 16" xfId="13399" xr:uid="{00000000-0005-0000-0000-000057340000}"/>
    <cellStyle name="CustomizationCells 2 2 3 17" xfId="13400" xr:uid="{00000000-0005-0000-0000-000058340000}"/>
    <cellStyle name="CustomizationCells 2 2 3 18" xfId="13401" xr:uid="{00000000-0005-0000-0000-000059340000}"/>
    <cellStyle name="CustomizationCells 2 2 3 19" xfId="13402" xr:uid="{00000000-0005-0000-0000-00005A340000}"/>
    <cellStyle name="CustomizationCells 2 2 3 2" xfId="13403" xr:uid="{00000000-0005-0000-0000-00005B340000}"/>
    <cellStyle name="CustomizationCells 2 2 3 2 10" xfId="13404" xr:uid="{00000000-0005-0000-0000-00005C340000}"/>
    <cellStyle name="CustomizationCells 2 2 3 2 11" xfId="13405" xr:uid="{00000000-0005-0000-0000-00005D340000}"/>
    <cellStyle name="CustomizationCells 2 2 3 2 12" xfId="13406" xr:uid="{00000000-0005-0000-0000-00005E340000}"/>
    <cellStyle name="CustomizationCells 2 2 3 2 13" xfId="13407" xr:uid="{00000000-0005-0000-0000-00005F340000}"/>
    <cellStyle name="CustomizationCells 2 2 3 2 14" xfId="13408" xr:uid="{00000000-0005-0000-0000-000060340000}"/>
    <cellStyle name="CustomizationCells 2 2 3 2 15" xfId="13409" xr:uid="{00000000-0005-0000-0000-000061340000}"/>
    <cellStyle name="CustomizationCells 2 2 3 2 16" xfId="13410" xr:uid="{00000000-0005-0000-0000-000062340000}"/>
    <cellStyle name="CustomizationCells 2 2 3 2 17" xfId="13411" xr:uid="{00000000-0005-0000-0000-000063340000}"/>
    <cellStyle name="CustomizationCells 2 2 3 2 18" xfId="13412" xr:uid="{00000000-0005-0000-0000-000064340000}"/>
    <cellStyle name="CustomizationCells 2 2 3 2 19" xfId="13413" xr:uid="{00000000-0005-0000-0000-000065340000}"/>
    <cellStyle name="CustomizationCells 2 2 3 2 2" xfId="13414" xr:uid="{00000000-0005-0000-0000-000066340000}"/>
    <cellStyle name="CustomizationCells 2 2 3 2 20" xfId="13415" xr:uid="{00000000-0005-0000-0000-000067340000}"/>
    <cellStyle name="CustomizationCells 2 2 3 2 21" xfId="13416" xr:uid="{00000000-0005-0000-0000-000068340000}"/>
    <cellStyle name="CustomizationCells 2 2 3 2 22" xfId="13417" xr:uid="{00000000-0005-0000-0000-000069340000}"/>
    <cellStyle name="CustomizationCells 2 2 3 2 23" xfId="13418" xr:uid="{00000000-0005-0000-0000-00006A340000}"/>
    <cellStyle name="CustomizationCells 2 2 3 2 24" xfId="13419" xr:uid="{00000000-0005-0000-0000-00006B340000}"/>
    <cellStyle name="CustomizationCells 2 2 3 2 25" xfId="13420" xr:uid="{00000000-0005-0000-0000-00006C340000}"/>
    <cellStyle name="CustomizationCells 2 2 3 2 26" xfId="13421" xr:uid="{00000000-0005-0000-0000-00006D340000}"/>
    <cellStyle name="CustomizationCells 2 2 3 2 27" xfId="13422" xr:uid="{00000000-0005-0000-0000-00006E340000}"/>
    <cellStyle name="CustomizationCells 2 2 3 2 28" xfId="13423" xr:uid="{00000000-0005-0000-0000-00006F340000}"/>
    <cellStyle name="CustomizationCells 2 2 3 2 29" xfId="13424" xr:uid="{00000000-0005-0000-0000-000070340000}"/>
    <cellStyle name="CustomizationCells 2 2 3 2 3" xfId="13425" xr:uid="{00000000-0005-0000-0000-000071340000}"/>
    <cellStyle name="CustomizationCells 2 2 3 2 30" xfId="13426" xr:uid="{00000000-0005-0000-0000-000072340000}"/>
    <cellStyle name="CustomizationCells 2 2 3 2 31" xfId="13427" xr:uid="{00000000-0005-0000-0000-000073340000}"/>
    <cellStyle name="CustomizationCells 2 2 3 2 32" xfId="13428" xr:uid="{00000000-0005-0000-0000-000074340000}"/>
    <cellStyle name="CustomizationCells 2 2 3 2 33" xfId="13429" xr:uid="{00000000-0005-0000-0000-000075340000}"/>
    <cellStyle name="CustomizationCells 2 2 3 2 34" xfId="13430" xr:uid="{00000000-0005-0000-0000-000076340000}"/>
    <cellStyle name="CustomizationCells 2 2 3 2 35" xfId="13431" xr:uid="{00000000-0005-0000-0000-000077340000}"/>
    <cellStyle name="CustomizationCells 2 2 3 2 36" xfId="13432" xr:uid="{00000000-0005-0000-0000-000078340000}"/>
    <cellStyle name="CustomizationCells 2 2 3 2 37" xfId="13433" xr:uid="{00000000-0005-0000-0000-000079340000}"/>
    <cellStyle name="CustomizationCells 2 2 3 2 38" xfId="13434" xr:uid="{00000000-0005-0000-0000-00007A340000}"/>
    <cellStyle name="CustomizationCells 2 2 3 2 39" xfId="13435" xr:uid="{00000000-0005-0000-0000-00007B340000}"/>
    <cellStyle name="CustomizationCells 2 2 3 2 4" xfId="13436" xr:uid="{00000000-0005-0000-0000-00007C340000}"/>
    <cellStyle name="CustomizationCells 2 2 3 2 40" xfId="13437" xr:uid="{00000000-0005-0000-0000-00007D340000}"/>
    <cellStyle name="CustomizationCells 2 2 3 2 41" xfId="13438" xr:uid="{00000000-0005-0000-0000-00007E340000}"/>
    <cellStyle name="CustomizationCells 2 2 3 2 42" xfId="13439" xr:uid="{00000000-0005-0000-0000-00007F340000}"/>
    <cellStyle name="CustomizationCells 2 2 3 2 43" xfId="13440" xr:uid="{00000000-0005-0000-0000-000080340000}"/>
    <cellStyle name="CustomizationCells 2 2 3 2 44" xfId="13441" xr:uid="{00000000-0005-0000-0000-000081340000}"/>
    <cellStyle name="CustomizationCells 2 2 3 2 45" xfId="13442" xr:uid="{00000000-0005-0000-0000-000082340000}"/>
    <cellStyle name="CustomizationCells 2 2 3 2 46" xfId="13443" xr:uid="{00000000-0005-0000-0000-000083340000}"/>
    <cellStyle name="CustomizationCells 2 2 3 2 47" xfId="13444" xr:uid="{00000000-0005-0000-0000-000084340000}"/>
    <cellStyle name="CustomizationCells 2 2 3 2 48" xfId="13445" xr:uid="{00000000-0005-0000-0000-000085340000}"/>
    <cellStyle name="CustomizationCells 2 2 3 2 49" xfId="13446" xr:uid="{00000000-0005-0000-0000-000086340000}"/>
    <cellStyle name="CustomizationCells 2 2 3 2 5" xfId="13447" xr:uid="{00000000-0005-0000-0000-000087340000}"/>
    <cellStyle name="CustomizationCells 2 2 3 2 50" xfId="13448" xr:uid="{00000000-0005-0000-0000-000088340000}"/>
    <cellStyle name="CustomizationCells 2 2 3 2 51" xfId="13449" xr:uid="{00000000-0005-0000-0000-000089340000}"/>
    <cellStyle name="CustomizationCells 2 2 3 2 52" xfId="13450" xr:uid="{00000000-0005-0000-0000-00008A340000}"/>
    <cellStyle name="CustomizationCells 2 2 3 2 53" xfId="13451" xr:uid="{00000000-0005-0000-0000-00008B340000}"/>
    <cellStyle name="CustomizationCells 2 2 3 2 54" xfId="13452" xr:uid="{00000000-0005-0000-0000-00008C340000}"/>
    <cellStyle name="CustomizationCells 2 2 3 2 55" xfId="13453" xr:uid="{00000000-0005-0000-0000-00008D340000}"/>
    <cellStyle name="CustomizationCells 2 2 3 2 56" xfId="13454" xr:uid="{00000000-0005-0000-0000-00008E340000}"/>
    <cellStyle name="CustomizationCells 2 2 3 2 57" xfId="13455" xr:uid="{00000000-0005-0000-0000-00008F340000}"/>
    <cellStyle name="CustomizationCells 2 2 3 2 58" xfId="13456" xr:uid="{00000000-0005-0000-0000-000090340000}"/>
    <cellStyle name="CustomizationCells 2 2 3 2 59" xfId="13457" xr:uid="{00000000-0005-0000-0000-000091340000}"/>
    <cellStyle name="CustomizationCells 2 2 3 2 6" xfId="13458" xr:uid="{00000000-0005-0000-0000-000092340000}"/>
    <cellStyle name="CustomizationCells 2 2 3 2 60" xfId="13459" xr:uid="{00000000-0005-0000-0000-000093340000}"/>
    <cellStyle name="CustomizationCells 2 2 3 2 61" xfId="13460" xr:uid="{00000000-0005-0000-0000-000094340000}"/>
    <cellStyle name="CustomizationCells 2 2 3 2 62" xfId="13461" xr:uid="{00000000-0005-0000-0000-000095340000}"/>
    <cellStyle name="CustomizationCells 2 2 3 2 63" xfId="13462" xr:uid="{00000000-0005-0000-0000-000096340000}"/>
    <cellStyle name="CustomizationCells 2 2 3 2 64" xfId="13463" xr:uid="{00000000-0005-0000-0000-000097340000}"/>
    <cellStyle name="CustomizationCells 2 2 3 2 65" xfId="13464" xr:uid="{00000000-0005-0000-0000-000098340000}"/>
    <cellStyle name="CustomizationCells 2 2 3 2 7" xfId="13465" xr:uid="{00000000-0005-0000-0000-000099340000}"/>
    <cellStyle name="CustomizationCells 2 2 3 2 8" xfId="13466" xr:uid="{00000000-0005-0000-0000-00009A340000}"/>
    <cellStyle name="CustomizationCells 2 2 3 2 9" xfId="13467" xr:uid="{00000000-0005-0000-0000-00009B340000}"/>
    <cellStyle name="CustomizationCells 2 2 3 20" xfId="13468" xr:uid="{00000000-0005-0000-0000-00009C340000}"/>
    <cellStyle name="CustomizationCells 2 2 3 21" xfId="13469" xr:uid="{00000000-0005-0000-0000-00009D340000}"/>
    <cellStyle name="CustomizationCells 2 2 3 22" xfId="13470" xr:uid="{00000000-0005-0000-0000-00009E340000}"/>
    <cellStyle name="CustomizationCells 2 2 3 23" xfId="13471" xr:uid="{00000000-0005-0000-0000-00009F340000}"/>
    <cellStyle name="CustomizationCells 2 2 3 24" xfId="13472" xr:uid="{00000000-0005-0000-0000-0000A0340000}"/>
    <cellStyle name="CustomizationCells 2 2 3 25" xfId="13473" xr:uid="{00000000-0005-0000-0000-0000A1340000}"/>
    <cellStyle name="CustomizationCells 2 2 3 26" xfId="13474" xr:uid="{00000000-0005-0000-0000-0000A2340000}"/>
    <cellStyle name="CustomizationCells 2 2 3 27" xfId="13475" xr:uid="{00000000-0005-0000-0000-0000A3340000}"/>
    <cellStyle name="CustomizationCells 2 2 3 28" xfId="13476" xr:uid="{00000000-0005-0000-0000-0000A4340000}"/>
    <cellStyle name="CustomizationCells 2 2 3 29" xfId="13477" xr:uid="{00000000-0005-0000-0000-0000A5340000}"/>
    <cellStyle name="CustomizationCells 2 2 3 3" xfId="13478" xr:uid="{00000000-0005-0000-0000-0000A6340000}"/>
    <cellStyle name="CustomizationCells 2 2 3 30" xfId="13479" xr:uid="{00000000-0005-0000-0000-0000A7340000}"/>
    <cellStyle name="CustomizationCells 2 2 3 31" xfId="13480" xr:uid="{00000000-0005-0000-0000-0000A8340000}"/>
    <cellStyle name="CustomizationCells 2 2 3 32" xfId="13481" xr:uid="{00000000-0005-0000-0000-0000A9340000}"/>
    <cellStyle name="CustomizationCells 2 2 3 33" xfId="13482" xr:uid="{00000000-0005-0000-0000-0000AA340000}"/>
    <cellStyle name="CustomizationCells 2 2 3 34" xfId="13483" xr:uid="{00000000-0005-0000-0000-0000AB340000}"/>
    <cellStyle name="CustomizationCells 2 2 3 35" xfId="13484" xr:uid="{00000000-0005-0000-0000-0000AC340000}"/>
    <cellStyle name="CustomizationCells 2 2 3 36" xfId="13485" xr:uid="{00000000-0005-0000-0000-0000AD340000}"/>
    <cellStyle name="CustomizationCells 2 2 3 37" xfId="13486" xr:uid="{00000000-0005-0000-0000-0000AE340000}"/>
    <cellStyle name="CustomizationCells 2 2 3 38" xfId="13487" xr:uid="{00000000-0005-0000-0000-0000AF340000}"/>
    <cellStyle name="CustomizationCells 2 2 3 39" xfId="13488" xr:uid="{00000000-0005-0000-0000-0000B0340000}"/>
    <cellStyle name="CustomizationCells 2 2 3 4" xfId="13489" xr:uid="{00000000-0005-0000-0000-0000B1340000}"/>
    <cellStyle name="CustomizationCells 2 2 3 40" xfId="13490" xr:uid="{00000000-0005-0000-0000-0000B2340000}"/>
    <cellStyle name="CustomizationCells 2 2 3 41" xfId="13491" xr:uid="{00000000-0005-0000-0000-0000B3340000}"/>
    <cellStyle name="CustomizationCells 2 2 3 42" xfId="13492" xr:uid="{00000000-0005-0000-0000-0000B4340000}"/>
    <cellStyle name="CustomizationCells 2 2 3 43" xfId="13493" xr:uid="{00000000-0005-0000-0000-0000B5340000}"/>
    <cellStyle name="CustomizationCells 2 2 3 44" xfId="13494" xr:uid="{00000000-0005-0000-0000-0000B6340000}"/>
    <cellStyle name="CustomizationCells 2 2 3 45" xfId="13495" xr:uid="{00000000-0005-0000-0000-0000B7340000}"/>
    <cellStyle name="CustomizationCells 2 2 3 46" xfId="13496" xr:uid="{00000000-0005-0000-0000-0000B8340000}"/>
    <cellStyle name="CustomizationCells 2 2 3 47" xfId="13497" xr:uid="{00000000-0005-0000-0000-0000B9340000}"/>
    <cellStyle name="CustomizationCells 2 2 3 48" xfId="13498" xr:uid="{00000000-0005-0000-0000-0000BA340000}"/>
    <cellStyle name="CustomizationCells 2 2 3 49" xfId="13499" xr:uid="{00000000-0005-0000-0000-0000BB340000}"/>
    <cellStyle name="CustomizationCells 2 2 3 5" xfId="13500" xr:uid="{00000000-0005-0000-0000-0000BC340000}"/>
    <cellStyle name="CustomizationCells 2 2 3 50" xfId="13501" xr:uid="{00000000-0005-0000-0000-0000BD340000}"/>
    <cellStyle name="CustomizationCells 2 2 3 51" xfId="13502" xr:uid="{00000000-0005-0000-0000-0000BE340000}"/>
    <cellStyle name="CustomizationCells 2 2 3 52" xfId="13503" xr:uid="{00000000-0005-0000-0000-0000BF340000}"/>
    <cellStyle name="CustomizationCells 2 2 3 53" xfId="13504" xr:uid="{00000000-0005-0000-0000-0000C0340000}"/>
    <cellStyle name="CustomizationCells 2 2 3 54" xfId="13505" xr:uid="{00000000-0005-0000-0000-0000C1340000}"/>
    <cellStyle name="CustomizationCells 2 2 3 55" xfId="13506" xr:uid="{00000000-0005-0000-0000-0000C2340000}"/>
    <cellStyle name="CustomizationCells 2 2 3 56" xfId="13507" xr:uid="{00000000-0005-0000-0000-0000C3340000}"/>
    <cellStyle name="CustomizationCells 2 2 3 57" xfId="13508" xr:uid="{00000000-0005-0000-0000-0000C4340000}"/>
    <cellStyle name="CustomizationCells 2 2 3 58" xfId="13509" xr:uid="{00000000-0005-0000-0000-0000C5340000}"/>
    <cellStyle name="CustomizationCells 2 2 3 59" xfId="13510" xr:uid="{00000000-0005-0000-0000-0000C6340000}"/>
    <cellStyle name="CustomizationCells 2 2 3 6" xfId="13511" xr:uid="{00000000-0005-0000-0000-0000C7340000}"/>
    <cellStyle name="CustomizationCells 2 2 3 60" xfId="13512" xr:uid="{00000000-0005-0000-0000-0000C8340000}"/>
    <cellStyle name="CustomizationCells 2 2 3 61" xfId="13513" xr:uid="{00000000-0005-0000-0000-0000C9340000}"/>
    <cellStyle name="CustomizationCells 2 2 3 62" xfId="13514" xr:uid="{00000000-0005-0000-0000-0000CA340000}"/>
    <cellStyle name="CustomizationCells 2 2 3 63" xfId="13515" xr:uid="{00000000-0005-0000-0000-0000CB340000}"/>
    <cellStyle name="CustomizationCells 2 2 3 64" xfId="13516" xr:uid="{00000000-0005-0000-0000-0000CC340000}"/>
    <cellStyle name="CustomizationCells 2 2 3 65" xfId="13517" xr:uid="{00000000-0005-0000-0000-0000CD340000}"/>
    <cellStyle name="CustomizationCells 2 2 3 66" xfId="13518" xr:uid="{00000000-0005-0000-0000-0000CE340000}"/>
    <cellStyle name="CustomizationCells 2 2 3 7" xfId="13519" xr:uid="{00000000-0005-0000-0000-0000CF340000}"/>
    <cellStyle name="CustomizationCells 2 2 3 8" xfId="13520" xr:uid="{00000000-0005-0000-0000-0000D0340000}"/>
    <cellStyle name="CustomizationCells 2 2 3 9" xfId="13521" xr:uid="{00000000-0005-0000-0000-0000D1340000}"/>
    <cellStyle name="CustomizationCells 2 2 30" xfId="13522" xr:uid="{00000000-0005-0000-0000-0000D2340000}"/>
    <cellStyle name="CustomizationCells 2 2 31" xfId="13523" xr:uid="{00000000-0005-0000-0000-0000D3340000}"/>
    <cellStyle name="CustomizationCells 2 2 32" xfId="13524" xr:uid="{00000000-0005-0000-0000-0000D4340000}"/>
    <cellStyle name="CustomizationCells 2 2 33" xfId="13525" xr:uid="{00000000-0005-0000-0000-0000D5340000}"/>
    <cellStyle name="CustomizationCells 2 2 34" xfId="13526" xr:uid="{00000000-0005-0000-0000-0000D6340000}"/>
    <cellStyle name="CustomizationCells 2 2 35" xfId="13527" xr:uid="{00000000-0005-0000-0000-0000D7340000}"/>
    <cellStyle name="CustomizationCells 2 2 36" xfId="13528" xr:uid="{00000000-0005-0000-0000-0000D8340000}"/>
    <cellStyle name="CustomizationCells 2 2 37" xfId="13529" xr:uid="{00000000-0005-0000-0000-0000D9340000}"/>
    <cellStyle name="CustomizationCells 2 2 38" xfId="13530" xr:uid="{00000000-0005-0000-0000-0000DA340000}"/>
    <cellStyle name="CustomizationCells 2 2 39" xfId="13531" xr:uid="{00000000-0005-0000-0000-0000DB340000}"/>
    <cellStyle name="CustomizationCells 2 2 4" xfId="13532" xr:uid="{00000000-0005-0000-0000-0000DC340000}"/>
    <cellStyle name="CustomizationCells 2 2 4 10" xfId="13533" xr:uid="{00000000-0005-0000-0000-0000DD340000}"/>
    <cellStyle name="CustomizationCells 2 2 4 11" xfId="13534" xr:uid="{00000000-0005-0000-0000-0000DE340000}"/>
    <cellStyle name="CustomizationCells 2 2 4 12" xfId="13535" xr:uid="{00000000-0005-0000-0000-0000DF340000}"/>
    <cellStyle name="CustomizationCells 2 2 4 13" xfId="13536" xr:uid="{00000000-0005-0000-0000-0000E0340000}"/>
    <cellStyle name="CustomizationCells 2 2 4 14" xfId="13537" xr:uid="{00000000-0005-0000-0000-0000E1340000}"/>
    <cellStyle name="CustomizationCells 2 2 4 15" xfId="13538" xr:uid="{00000000-0005-0000-0000-0000E2340000}"/>
    <cellStyle name="CustomizationCells 2 2 4 16" xfId="13539" xr:uid="{00000000-0005-0000-0000-0000E3340000}"/>
    <cellStyle name="CustomizationCells 2 2 4 17" xfId="13540" xr:uid="{00000000-0005-0000-0000-0000E4340000}"/>
    <cellStyle name="CustomizationCells 2 2 4 18" xfId="13541" xr:uid="{00000000-0005-0000-0000-0000E5340000}"/>
    <cellStyle name="CustomizationCells 2 2 4 19" xfId="13542" xr:uid="{00000000-0005-0000-0000-0000E6340000}"/>
    <cellStyle name="CustomizationCells 2 2 4 2" xfId="13543" xr:uid="{00000000-0005-0000-0000-0000E7340000}"/>
    <cellStyle name="CustomizationCells 2 2 4 2 10" xfId="13544" xr:uid="{00000000-0005-0000-0000-0000E8340000}"/>
    <cellStyle name="CustomizationCells 2 2 4 2 11" xfId="13545" xr:uid="{00000000-0005-0000-0000-0000E9340000}"/>
    <cellStyle name="CustomizationCells 2 2 4 2 12" xfId="13546" xr:uid="{00000000-0005-0000-0000-0000EA340000}"/>
    <cellStyle name="CustomizationCells 2 2 4 2 13" xfId="13547" xr:uid="{00000000-0005-0000-0000-0000EB340000}"/>
    <cellStyle name="CustomizationCells 2 2 4 2 14" xfId="13548" xr:uid="{00000000-0005-0000-0000-0000EC340000}"/>
    <cellStyle name="CustomizationCells 2 2 4 2 15" xfId="13549" xr:uid="{00000000-0005-0000-0000-0000ED340000}"/>
    <cellStyle name="CustomizationCells 2 2 4 2 16" xfId="13550" xr:uid="{00000000-0005-0000-0000-0000EE340000}"/>
    <cellStyle name="CustomizationCells 2 2 4 2 17" xfId="13551" xr:uid="{00000000-0005-0000-0000-0000EF340000}"/>
    <cellStyle name="CustomizationCells 2 2 4 2 18" xfId="13552" xr:uid="{00000000-0005-0000-0000-0000F0340000}"/>
    <cellStyle name="CustomizationCells 2 2 4 2 19" xfId="13553" xr:uid="{00000000-0005-0000-0000-0000F1340000}"/>
    <cellStyle name="CustomizationCells 2 2 4 2 2" xfId="13554" xr:uid="{00000000-0005-0000-0000-0000F2340000}"/>
    <cellStyle name="CustomizationCells 2 2 4 2 20" xfId="13555" xr:uid="{00000000-0005-0000-0000-0000F3340000}"/>
    <cellStyle name="CustomizationCells 2 2 4 2 21" xfId="13556" xr:uid="{00000000-0005-0000-0000-0000F4340000}"/>
    <cellStyle name="CustomizationCells 2 2 4 2 22" xfId="13557" xr:uid="{00000000-0005-0000-0000-0000F5340000}"/>
    <cellStyle name="CustomizationCells 2 2 4 2 23" xfId="13558" xr:uid="{00000000-0005-0000-0000-0000F6340000}"/>
    <cellStyle name="CustomizationCells 2 2 4 2 24" xfId="13559" xr:uid="{00000000-0005-0000-0000-0000F7340000}"/>
    <cellStyle name="CustomizationCells 2 2 4 2 25" xfId="13560" xr:uid="{00000000-0005-0000-0000-0000F8340000}"/>
    <cellStyle name="CustomizationCells 2 2 4 2 26" xfId="13561" xr:uid="{00000000-0005-0000-0000-0000F9340000}"/>
    <cellStyle name="CustomizationCells 2 2 4 2 27" xfId="13562" xr:uid="{00000000-0005-0000-0000-0000FA340000}"/>
    <cellStyle name="CustomizationCells 2 2 4 2 28" xfId="13563" xr:uid="{00000000-0005-0000-0000-0000FB340000}"/>
    <cellStyle name="CustomizationCells 2 2 4 2 29" xfId="13564" xr:uid="{00000000-0005-0000-0000-0000FC340000}"/>
    <cellStyle name="CustomizationCells 2 2 4 2 3" xfId="13565" xr:uid="{00000000-0005-0000-0000-0000FD340000}"/>
    <cellStyle name="CustomizationCells 2 2 4 2 30" xfId="13566" xr:uid="{00000000-0005-0000-0000-0000FE340000}"/>
    <cellStyle name="CustomizationCells 2 2 4 2 31" xfId="13567" xr:uid="{00000000-0005-0000-0000-0000FF340000}"/>
    <cellStyle name="CustomizationCells 2 2 4 2 32" xfId="13568" xr:uid="{00000000-0005-0000-0000-000000350000}"/>
    <cellStyle name="CustomizationCells 2 2 4 2 33" xfId="13569" xr:uid="{00000000-0005-0000-0000-000001350000}"/>
    <cellStyle name="CustomizationCells 2 2 4 2 34" xfId="13570" xr:uid="{00000000-0005-0000-0000-000002350000}"/>
    <cellStyle name="CustomizationCells 2 2 4 2 35" xfId="13571" xr:uid="{00000000-0005-0000-0000-000003350000}"/>
    <cellStyle name="CustomizationCells 2 2 4 2 36" xfId="13572" xr:uid="{00000000-0005-0000-0000-000004350000}"/>
    <cellStyle name="CustomizationCells 2 2 4 2 37" xfId="13573" xr:uid="{00000000-0005-0000-0000-000005350000}"/>
    <cellStyle name="CustomizationCells 2 2 4 2 38" xfId="13574" xr:uid="{00000000-0005-0000-0000-000006350000}"/>
    <cellStyle name="CustomizationCells 2 2 4 2 39" xfId="13575" xr:uid="{00000000-0005-0000-0000-000007350000}"/>
    <cellStyle name="CustomizationCells 2 2 4 2 4" xfId="13576" xr:uid="{00000000-0005-0000-0000-000008350000}"/>
    <cellStyle name="CustomizationCells 2 2 4 2 40" xfId="13577" xr:uid="{00000000-0005-0000-0000-000009350000}"/>
    <cellStyle name="CustomizationCells 2 2 4 2 41" xfId="13578" xr:uid="{00000000-0005-0000-0000-00000A350000}"/>
    <cellStyle name="CustomizationCells 2 2 4 2 42" xfId="13579" xr:uid="{00000000-0005-0000-0000-00000B350000}"/>
    <cellStyle name="CustomizationCells 2 2 4 2 43" xfId="13580" xr:uid="{00000000-0005-0000-0000-00000C350000}"/>
    <cellStyle name="CustomizationCells 2 2 4 2 44" xfId="13581" xr:uid="{00000000-0005-0000-0000-00000D350000}"/>
    <cellStyle name="CustomizationCells 2 2 4 2 45" xfId="13582" xr:uid="{00000000-0005-0000-0000-00000E350000}"/>
    <cellStyle name="CustomizationCells 2 2 4 2 46" xfId="13583" xr:uid="{00000000-0005-0000-0000-00000F350000}"/>
    <cellStyle name="CustomizationCells 2 2 4 2 47" xfId="13584" xr:uid="{00000000-0005-0000-0000-000010350000}"/>
    <cellStyle name="CustomizationCells 2 2 4 2 48" xfId="13585" xr:uid="{00000000-0005-0000-0000-000011350000}"/>
    <cellStyle name="CustomizationCells 2 2 4 2 49" xfId="13586" xr:uid="{00000000-0005-0000-0000-000012350000}"/>
    <cellStyle name="CustomizationCells 2 2 4 2 5" xfId="13587" xr:uid="{00000000-0005-0000-0000-000013350000}"/>
    <cellStyle name="CustomizationCells 2 2 4 2 50" xfId="13588" xr:uid="{00000000-0005-0000-0000-000014350000}"/>
    <cellStyle name="CustomizationCells 2 2 4 2 51" xfId="13589" xr:uid="{00000000-0005-0000-0000-000015350000}"/>
    <cellStyle name="CustomizationCells 2 2 4 2 52" xfId="13590" xr:uid="{00000000-0005-0000-0000-000016350000}"/>
    <cellStyle name="CustomizationCells 2 2 4 2 53" xfId="13591" xr:uid="{00000000-0005-0000-0000-000017350000}"/>
    <cellStyle name="CustomizationCells 2 2 4 2 54" xfId="13592" xr:uid="{00000000-0005-0000-0000-000018350000}"/>
    <cellStyle name="CustomizationCells 2 2 4 2 55" xfId="13593" xr:uid="{00000000-0005-0000-0000-000019350000}"/>
    <cellStyle name="CustomizationCells 2 2 4 2 56" xfId="13594" xr:uid="{00000000-0005-0000-0000-00001A350000}"/>
    <cellStyle name="CustomizationCells 2 2 4 2 57" xfId="13595" xr:uid="{00000000-0005-0000-0000-00001B350000}"/>
    <cellStyle name="CustomizationCells 2 2 4 2 58" xfId="13596" xr:uid="{00000000-0005-0000-0000-00001C350000}"/>
    <cellStyle name="CustomizationCells 2 2 4 2 59" xfId="13597" xr:uid="{00000000-0005-0000-0000-00001D350000}"/>
    <cellStyle name="CustomizationCells 2 2 4 2 6" xfId="13598" xr:uid="{00000000-0005-0000-0000-00001E350000}"/>
    <cellStyle name="CustomizationCells 2 2 4 2 60" xfId="13599" xr:uid="{00000000-0005-0000-0000-00001F350000}"/>
    <cellStyle name="CustomizationCells 2 2 4 2 61" xfId="13600" xr:uid="{00000000-0005-0000-0000-000020350000}"/>
    <cellStyle name="CustomizationCells 2 2 4 2 62" xfId="13601" xr:uid="{00000000-0005-0000-0000-000021350000}"/>
    <cellStyle name="CustomizationCells 2 2 4 2 63" xfId="13602" xr:uid="{00000000-0005-0000-0000-000022350000}"/>
    <cellStyle name="CustomizationCells 2 2 4 2 64" xfId="13603" xr:uid="{00000000-0005-0000-0000-000023350000}"/>
    <cellStyle name="CustomizationCells 2 2 4 2 65" xfId="13604" xr:uid="{00000000-0005-0000-0000-000024350000}"/>
    <cellStyle name="CustomizationCells 2 2 4 2 7" xfId="13605" xr:uid="{00000000-0005-0000-0000-000025350000}"/>
    <cellStyle name="CustomizationCells 2 2 4 2 8" xfId="13606" xr:uid="{00000000-0005-0000-0000-000026350000}"/>
    <cellStyle name="CustomizationCells 2 2 4 2 9" xfId="13607" xr:uid="{00000000-0005-0000-0000-000027350000}"/>
    <cellStyle name="CustomizationCells 2 2 4 20" xfId="13608" xr:uid="{00000000-0005-0000-0000-000028350000}"/>
    <cellStyle name="CustomizationCells 2 2 4 21" xfId="13609" xr:uid="{00000000-0005-0000-0000-000029350000}"/>
    <cellStyle name="CustomizationCells 2 2 4 22" xfId="13610" xr:uid="{00000000-0005-0000-0000-00002A350000}"/>
    <cellStyle name="CustomizationCells 2 2 4 23" xfId="13611" xr:uid="{00000000-0005-0000-0000-00002B350000}"/>
    <cellStyle name="CustomizationCells 2 2 4 24" xfId="13612" xr:uid="{00000000-0005-0000-0000-00002C350000}"/>
    <cellStyle name="CustomizationCells 2 2 4 25" xfId="13613" xr:uid="{00000000-0005-0000-0000-00002D350000}"/>
    <cellStyle name="CustomizationCells 2 2 4 26" xfId="13614" xr:uid="{00000000-0005-0000-0000-00002E350000}"/>
    <cellStyle name="CustomizationCells 2 2 4 27" xfId="13615" xr:uid="{00000000-0005-0000-0000-00002F350000}"/>
    <cellStyle name="CustomizationCells 2 2 4 28" xfId="13616" xr:uid="{00000000-0005-0000-0000-000030350000}"/>
    <cellStyle name="CustomizationCells 2 2 4 29" xfId="13617" xr:uid="{00000000-0005-0000-0000-000031350000}"/>
    <cellStyle name="CustomizationCells 2 2 4 3" xfId="13618" xr:uid="{00000000-0005-0000-0000-000032350000}"/>
    <cellStyle name="CustomizationCells 2 2 4 30" xfId="13619" xr:uid="{00000000-0005-0000-0000-000033350000}"/>
    <cellStyle name="CustomizationCells 2 2 4 31" xfId="13620" xr:uid="{00000000-0005-0000-0000-000034350000}"/>
    <cellStyle name="CustomizationCells 2 2 4 32" xfId="13621" xr:uid="{00000000-0005-0000-0000-000035350000}"/>
    <cellStyle name="CustomizationCells 2 2 4 33" xfId="13622" xr:uid="{00000000-0005-0000-0000-000036350000}"/>
    <cellStyle name="CustomizationCells 2 2 4 34" xfId="13623" xr:uid="{00000000-0005-0000-0000-000037350000}"/>
    <cellStyle name="CustomizationCells 2 2 4 35" xfId="13624" xr:uid="{00000000-0005-0000-0000-000038350000}"/>
    <cellStyle name="CustomizationCells 2 2 4 36" xfId="13625" xr:uid="{00000000-0005-0000-0000-000039350000}"/>
    <cellStyle name="CustomizationCells 2 2 4 37" xfId="13626" xr:uid="{00000000-0005-0000-0000-00003A350000}"/>
    <cellStyle name="CustomizationCells 2 2 4 38" xfId="13627" xr:uid="{00000000-0005-0000-0000-00003B350000}"/>
    <cellStyle name="CustomizationCells 2 2 4 39" xfId="13628" xr:uid="{00000000-0005-0000-0000-00003C350000}"/>
    <cellStyle name="CustomizationCells 2 2 4 4" xfId="13629" xr:uid="{00000000-0005-0000-0000-00003D350000}"/>
    <cellStyle name="CustomizationCells 2 2 4 40" xfId="13630" xr:uid="{00000000-0005-0000-0000-00003E350000}"/>
    <cellStyle name="CustomizationCells 2 2 4 41" xfId="13631" xr:uid="{00000000-0005-0000-0000-00003F350000}"/>
    <cellStyle name="CustomizationCells 2 2 4 42" xfId="13632" xr:uid="{00000000-0005-0000-0000-000040350000}"/>
    <cellStyle name="CustomizationCells 2 2 4 43" xfId="13633" xr:uid="{00000000-0005-0000-0000-000041350000}"/>
    <cellStyle name="CustomizationCells 2 2 4 44" xfId="13634" xr:uid="{00000000-0005-0000-0000-000042350000}"/>
    <cellStyle name="CustomizationCells 2 2 4 45" xfId="13635" xr:uid="{00000000-0005-0000-0000-000043350000}"/>
    <cellStyle name="CustomizationCells 2 2 4 46" xfId="13636" xr:uid="{00000000-0005-0000-0000-000044350000}"/>
    <cellStyle name="CustomizationCells 2 2 4 47" xfId="13637" xr:uid="{00000000-0005-0000-0000-000045350000}"/>
    <cellStyle name="CustomizationCells 2 2 4 48" xfId="13638" xr:uid="{00000000-0005-0000-0000-000046350000}"/>
    <cellStyle name="CustomizationCells 2 2 4 49" xfId="13639" xr:uid="{00000000-0005-0000-0000-000047350000}"/>
    <cellStyle name="CustomizationCells 2 2 4 5" xfId="13640" xr:uid="{00000000-0005-0000-0000-000048350000}"/>
    <cellStyle name="CustomizationCells 2 2 4 50" xfId="13641" xr:uid="{00000000-0005-0000-0000-000049350000}"/>
    <cellStyle name="CustomizationCells 2 2 4 51" xfId="13642" xr:uid="{00000000-0005-0000-0000-00004A350000}"/>
    <cellStyle name="CustomizationCells 2 2 4 52" xfId="13643" xr:uid="{00000000-0005-0000-0000-00004B350000}"/>
    <cellStyle name="CustomizationCells 2 2 4 53" xfId="13644" xr:uid="{00000000-0005-0000-0000-00004C350000}"/>
    <cellStyle name="CustomizationCells 2 2 4 54" xfId="13645" xr:uid="{00000000-0005-0000-0000-00004D350000}"/>
    <cellStyle name="CustomizationCells 2 2 4 55" xfId="13646" xr:uid="{00000000-0005-0000-0000-00004E350000}"/>
    <cellStyle name="CustomizationCells 2 2 4 56" xfId="13647" xr:uid="{00000000-0005-0000-0000-00004F350000}"/>
    <cellStyle name="CustomizationCells 2 2 4 57" xfId="13648" xr:uid="{00000000-0005-0000-0000-000050350000}"/>
    <cellStyle name="CustomizationCells 2 2 4 58" xfId="13649" xr:uid="{00000000-0005-0000-0000-000051350000}"/>
    <cellStyle name="CustomizationCells 2 2 4 59" xfId="13650" xr:uid="{00000000-0005-0000-0000-000052350000}"/>
    <cellStyle name="CustomizationCells 2 2 4 6" xfId="13651" xr:uid="{00000000-0005-0000-0000-000053350000}"/>
    <cellStyle name="CustomizationCells 2 2 4 60" xfId="13652" xr:uid="{00000000-0005-0000-0000-000054350000}"/>
    <cellStyle name="CustomizationCells 2 2 4 61" xfId="13653" xr:uid="{00000000-0005-0000-0000-000055350000}"/>
    <cellStyle name="CustomizationCells 2 2 4 62" xfId="13654" xr:uid="{00000000-0005-0000-0000-000056350000}"/>
    <cellStyle name="CustomizationCells 2 2 4 63" xfId="13655" xr:uid="{00000000-0005-0000-0000-000057350000}"/>
    <cellStyle name="CustomizationCells 2 2 4 64" xfId="13656" xr:uid="{00000000-0005-0000-0000-000058350000}"/>
    <cellStyle name="CustomizationCells 2 2 4 65" xfId="13657" xr:uid="{00000000-0005-0000-0000-000059350000}"/>
    <cellStyle name="CustomizationCells 2 2 4 66" xfId="13658" xr:uid="{00000000-0005-0000-0000-00005A350000}"/>
    <cellStyle name="CustomizationCells 2 2 4 7" xfId="13659" xr:uid="{00000000-0005-0000-0000-00005B350000}"/>
    <cellStyle name="CustomizationCells 2 2 4 8" xfId="13660" xr:uid="{00000000-0005-0000-0000-00005C350000}"/>
    <cellStyle name="CustomizationCells 2 2 4 9" xfId="13661" xr:uid="{00000000-0005-0000-0000-00005D350000}"/>
    <cellStyle name="CustomizationCells 2 2 40" xfId="13662" xr:uid="{00000000-0005-0000-0000-00005E350000}"/>
    <cellStyle name="CustomizationCells 2 2 41" xfId="13663" xr:uid="{00000000-0005-0000-0000-00005F350000}"/>
    <cellStyle name="CustomizationCells 2 2 42" xfId="13664" xr:uid="{00000000-0005-0000-0000-000060350000}"/>
    <cellStyle name="CustomizationCells 2 2 43" xfId="13665" xr:uid="{00000000-0005-0000-0000-000061350000}"/>
    <cellStyle name="CustomizationCells 2 2 44" xfId="13666" xr:uid="{00000000-0005-0000-0000-000062350000}"/>
    <cellStyle name="CustomizationCells 2 2 45" xfId="13667" xr:uid="{00000000-0005-0000-0000-000063350000}"/>
    <cellStyle name="CustomizationCells 2 2 46" xfId="13668" xr:uid="{00000000-0005-0000-0000-000064350000}"/>
    <cellStyle name="CustomizationCells 2 2 47" xfId="13669" xr:uid="{00000000-0005-0000-0000-000065350000}"/>
    <cellStyle name="CustomizationCells 2 2 48" xfId="13670" xr:uid="{00000000-0005-0000-0000-000066350000}"/>
    <cellStyle name="CustomizationCells 2 2 49" xfId="13671" xr:uid="{00000000-0005-0000-0000-000067350000}"/>
    <cellStyle name="CustomizationCells 2 2 5" xfId="13672" xr:uid="{00000000-0005-0000-0000-000068350000}"/>
    <cellStyle name="CustomizationCells 2 2 5 10" xfId="13673" xr:uid="{00000000-0005-0000-0000-000069350000}"/>
    <cellStyle name="CustomizationCells 2 2 5 11" xfId="13674" xr:uid="{00000000-0005-0000-0000-00006A350000}"/>
    <cellStyle name="CustomizationCells 2 2 5 12" xfId="13675" xr:uid="{00000000-0005-0000-0000-00006B350000}"/>
    <cellStyle name="CustomizationCells 2 2 5 13" xfId="13676" xr:uid="{00000000-0005-0000-0000-00006C350000}"/>
    <cellStyle name="CustomizationCells 2 2 5 14" xfId="13677" xr:uid="{00000000-0005-0000-0000-00006D350000}"/>
    <cellStyle name="CustomizationCells 2 2 5 15" xfId="13678" xr:uid="{00000000-0005-0000-0000-00006E350000}"/>
    <cellStyle name="CustomizationCells 2 2 5 16" xfId="13679" xr:uid="{00000000-0005-0000-0000-00006F350000}"/>
    <cellStyle name="CustomizationCells 2 2 5 17" xfId="13680" xr:uid="{00000000-0005-0000-0000-000070350000}"/>
    <cellStyle name="CustomizationCells 2 2 5 18" xfId="13681" xr:uid="{00000000-0005-0000-0000-000071350000}"/>
    <cellStyle name="CustomizationCells 2 2 5 19" xfId="13682" xr:uid="{00000000-0005-0000-0000-000072350000}"/>
    <cellStyle name="CustomizationCells 2 2 5 2" xfId="13683" xr:uid="{00000000-0005-0000-0000-000073350000}"/>
    <cellStyle name="CustomizationCells 2 2 5 2 2" xfId="13684" xr:uid="{00000000-0005-0000-0000-000074350000}"/>
    <cellStyle name="CustomizationCells 2 2 5 2 3" xfId="13685" xr:uid="{00000000-0005-0000-0000-000075350000}"/>
    <cellStyle name="CustomizationCells 2 2 5 2 4" xfId="13686" xr:uid="{00000000-0005-0000-0000-000076350000}"/>
    <cellStyle name="CustomizationCells 2 2 5 2 5" xfId="13687" xr:uid="{00000000-0005-0000-0000-000077350000}"/>
    <cellStyle name="CustomizationCells 2 2 5 2 6" xfId="13688" xr:uid="{00000000-0005-0000-0000-000078350000}"/>
    <cellStyle name="CustomizationCells 2 2 5 2 7" xfId="13689" xr:uid="{00000000-0005-0000-0000-000079350000}"/>
    <cellStyle name="CustomizationCells 2 2 5 20" xfId="13690" xr:uid="{00000000-0005-0000-0000-00007A350000}"/>
    <cellStyle name="CustomizationCells 2 2 5 21" xfId="13691" xr:uid="{00000000-0005-0000-0000-00007B350000}"/>
    <cellStyle name="CustomizationCells 2 2 5 22" xfId="13692" xr:uid="{00000000-0005-0000-0000-00007C350000}"/>
    <cellStyle name="CustomizationCells 2 2 5 23" xfId="13693" xr:uid="{00000000-0005-0000-0000-00007D350000}"/>
    <cellStyle name="CustomizationCells 2 2 5 24" xfId="13694" xr:uid="{00000000-0005-0000-0000-00007E350000}"/>
    <cellStyle name="CustomizationCells 2 2 5 25" xfId="13695" xr:uid="{00000000-0005-0000-0000-00007F350000}"/>
    <cellStyle name="CustomizationCells 2 2 5 26" xfId="13696" xr:uid="{00000000-0005-0000-0000-000080350000}"/>
    <cellStyle name="CustomizationCells 2 2 5 27" xfId="13697" xr:uid="{00000000-0005-0000-0000-000081350000}"/>
    <cellStyle name="CustomizationCells 2 2 5 28" xfId="13698" xr:uid="{00000000-0005-0000-0000-000082350000}"/>
    <cellStyle name="CustomizationCells 2 2 5 29" xfId="13699" xr:uid="{00000000-0005-0000-0000-000083350000}"/>
    <cellStyle name="CustomizationCells 2 2 5 3" xfId="13700" xr:uid="{00000000-0005-0000-0000-000084350000}"/>
    <cellStyle name="CustomizationCells 2 2 5 30" xfId="13701" xr:uid="{00000000-0005-0000-0000-000085350000}"/>
    <cellStyle name="CustomizationCells 2 2 5 31" xfId="13702" xr:uid="{00000000-0005-0000-0000-000086350000}"/>
    <cellStyle name="CustomizationCells 2 2 5 32" xfId="13703" xr:uid="{00000000-0005-0000-0000-000087350000}"/>
    <cellStyle name="CustomizationCells 2 2 5 33" xfId="13704" xr:uid="{00000000-0005-0000-0000-000088350000}"/>
    <cellStyle name="CustomizationCells 2 2 5 34" xfId="13705" xr:uid="{00000000-0005-0000-0000-000089350000}"/>
    <cellStyle name="CustomizationCells 2 2 5 35" xfId="13706" xr:uid="{00000000-0005-0000-0000-00008A350000}"/>
    <cellStyle name="CustomizationCells 2 2 5 36" xfId="13707" xr:uid="{00000000-0005-0000-0000-00008B350000}"/>
    <cellStyle name="CustomizationCells 2 2 5 37" xfId="13708" xr:uid="{00000000-0005-0000-0000-00008C350000}"/>
    <cellStyle name="CustomizationCells 2 2 5 38" xfId="13709" xr:uid="{00000000-0005-0000-0000-00008D350000}"/>
    <cellStyle name="CustomizationCells 2 2 5 39" xfId="13710" xr:uid="{00000000-0005-0000-0000-00008E350000}"/>
    <cellStyle name="CustomizationCells 2 2 5 4" xfId="13711" xr:uid="{00000000-0005-0000-0000-00008F350000}"/>
    <cellStyle name="CustomizationCells 2 2 5 40" xfId="13712" xr:uid="{00000000-0005-0000-0000-000090350000}"/>
    <cellStyle name="CustomizationCells 2 2 5 41" xfId="13713" xr:uid="{00000000-0005-0000-0000-000091350000}"/>
    <cellStyle name="CustomizationCells 2 2 5 42" xfId="13714" xr:uid="{00000000-0005-0000-0000-000092350000}"/>
    <cellStyle name="CustomizationCells 2 2 5 43" xfId="13715" xr:uid="{00000000-0005-0000-0000-000093350000}"/>
    <cellStyle name="CustomizationCells 2 2 5 44" xfId="13716" xr:uid="{00000000-0005-0000-0000-000094350000}"/>
    <cellStyle name="CustomizationCells 2 2 5 45" xfId="13717" xr:uid="{00000000-0005-0000-0000-000095350000}"/>
    <cellStyle name="CustomizationCells 2 2 5 46" xfId="13718" xr:uid="{00000000-0005-0000-0000-000096350000}"/>
    <cellStyle name="CustomizationCells 2 2 5 47" xfId="13719" xr:uid="{00000000-0005-0000-0000-000097350000}"/>
    <cellStyle name="CustomizationCells 2 2 5 48" xfId="13720" xr:uid="{00000000-0005-0000-0000-000098350000}"/>
    <cellStyle name="CustomizationCells 2 2 5 49" xfId="13721" xr:uid="{00000000-0005-0000-0000-000099350000}"/>
    <cellStyle name="CustomizationCells 2 2 5 5" xfId="13722" xr:uid="{00000000-0005-0000-0000-00009A350000}"/>
    <cellStyle name="CustomizationCells 2 2 5 50" xfId="13723" xr:uid="{00000000-0005-0000-0000-00009B350000}"/>
    <cellStyle name="CustomizationCells 2 2 5 51" xfId="13724" xr:uid="{00000000-0005-0000-0000-00009C350000}"/>
    <cellStyle name="CustomizationCells 2 2 5 52" xfId="13725" xr:uid="{00000000-0005-0000-0000-00009D350000}"/>
    <cellStyle name="CustomizationCells 2 2 5 53" xfId="13726" xr:uid="{00000000-0005-0000-0000-00009E350000}"/>
    <cellStyle name="CustomizationCells 2 2 5 54" xfId="13727" xr:uid="{00000000-0005-0000-0000-00009F350000}"/>
    <cellStyle name="CustomizationCells 2 2 5 55" xfId="13728" xr:uid="{00000000-0005-0000-0000-0000A0350000}"/>
    <cellStyle name="CustomizationCells 2 2 5 56" xfId="13729" xr:uid="{00000000-0005-0000-0000-0000A1350000}"/>
    <cellStyle name="CustomizationCells 2 2 5 57" xfId="13730" xr:uid="{00000000-0005-0000-0000-0000A2350000}"/>
    <cellStyle name="CustomizationCells 2 2 5 58" xfId="13731" xr:uid="{00000000-0005-0000-0000-0000A3350000}"/>
    <cellStyle name="CustomizationCells 2 2 5 59" xfId="13732" xr:uid="{00000000-0005-0000-0000-0000A4350000}"/>
    <cellStyle name="CustomizationCells 2 2 5 6" xfId="13733" xr:uid="{00000000-0005-0000-0000-0000A5350000}"/>
    <cellStyle name="CustomizationCells 2 2 5 60" xfId="13734" xr:uid="{00000000-0005-0000-0000-0000A6350000}"/>
    <cellStyle name="CustomizationCells 2 2 5 61" xfId="13735" xr:uid="{00000000-0005-0000-0000-0000A7350000}"/>
    <cellStyle name="CustomizationCells 2 2 5 62" xfId="13736" xr:uid="{00000000-0005-0000-0000-0000A8350000}"/>
    <cellStyle name="CustomizationCells 2 2 5 63" xfId="13737" xr:uid="{00000000-0005-0000-0000-0000A9350000}"/>
    <cellStyle name="CustomizationCells 2 2 5 64" xfId="13738" xr:uid="{00000000-0005-0000-0000-0000AA350000}"/>
    <cellStyle name="CustomizationCells 2 2 5 65" xfId="13739" xr:uid="{00000000-0005-0000-0000-0000AB350000}"/>
    <cellStyle name="CustomizationCells 2 2 5 66" xfId="13740" xr:uid="{00000000-0005-0000-0000-0000AC350000}"/>
    <cellStyle name="CustomizationCells 2 2 5 7" xfId="13741" xr:uid="{00000000-0005-0000-0000-0000AD350000}"/>
    <cellStyle name="CustomizationCells 2 2 5 8" xfId="13742" xr:uid="{00000000-0005-0000-0000-0000AE350000}"/>
    <cellStyle name="CustomizationCells 2 2 5 9" xfId="13743" xr:uid="{00000000-0005-0000-0000-0000AF350000}"/>
    <cellStyle name="CustomizationCells 2 2 50" xfId="13744" xr:uid="{00000000-0005-0000-0000-0000B0350000}"/>
    <cellStyle name="CustomizationCells 2 2 51" xfId="13745" xr:uid="{00000000-0005-0000-0000-0000B1350000}"/>
    <cellStyle name="CustomizationCells 2 2 52" xfId="13746" xr:uid="{00000000-0005-0000-0000-0000B2350000}"/>
    <cellStyle name="CustomizationCells 2 2 53" xfId="13747" xr:uid="{00000000-0005-0000-0000-0000B3350000}"/>
    <cellStyle name="CustomizationCells 2 2 54" xfId="13748" xr:uid="{00000000-0005-0000-0000-0000B4350000}"/>
    <cellStyle name="CustomizationCells 2 2 55" xfId="13749" xr:uid="{00000000-0005-0000-0000-0000B5350000}"/>
    <cellStyle name="CustomizationCells 2 2 56" xfId="13750" xr:uid="{00000000-0005-0000-0000-0000B6350000}"/>
    <cellStyle name="CustomizationCells 2 2 57" xfId="13751" xr:uid="{00000000-0005-0000-0000-0000B7350000}"/>
    <cellStyle name="CustomizationCells 2 2 58" xfId="13752" xr:uid="{00000000-0005-0000-0000-0000B8350000}"/>
    <cellStyle name="CustomizationCells 2 2 59" xfId="13753" xr:uid="{00000000-0005-0000-0000-0000B9350000}"/>
    <cellStyle name="CustomizationCells 2 2 6" xfId="13754" xr:uid="{00000000-0005-0000-0000-0000BA350000}"/>
    <cellStyle name="CustomizationCells 2 2 60" xfId="13755" xr:uid="{00000000-0005-0000-0000-0000BB350000}"/>
    <cellStyle name="CustomizationCells 2 2 61" xfId="13756" xr:uid="{00000000-0005-0000-0000-0000BC350000}"/>
    <cellStyle name="CustomizationCells 2 2 62" xfId="13757" xr:uid="{00000000-0005-0000-0000-0000BD350000}"/>
    <cellStyle name="CustomizationCells 2 2 63" xfId="13758" xr:uid="{00000000-0005-0000-0000-0000BE350000}"/>
    <cellStyle name="CustomizationCells 2 2 64" xfId="13759" xr:uid="{00000000-0005-0000-0000-0000BF350000}"/>
    <cellStyle name="CustomizationCells 2 2 65" xfId="13760" xr:uid="{00000000-0005-0000-0000-0000C0350000}"/>
    <cellStyle name="CustomizationCells 2 2 66" xfId="13761" xr:uid="{00000000-0005-0000-0000-0000C1350000}"/>
    <cellStyle name="CustomizationCells 2 2 67" xfId="13762" xr:uid="{00000000-0005-0000-0000-0000C2350000}"/>
    <cellStyle name="CustomizationCells 2 2 68" xfId="13763" xr:uid="{00000000-0005-0000-0000-0000C3350000}"/>
    <cellStyle name="CustomizationCells 2 2 69" xfId="13764" xr:uid="{00000000-0005-0000-0000-0000C4350000}"/>
    <cellStyle name="CustomizationCells 2 2 7" xfId="13765" xr:uid="{00000000-0005-0000-0000-0000C5350000}"/>
    <cellStyle name="CustomizationCells 2 2 8" xfId="13766" xr:uid="{00000000-0005-0000-0000-0000C6350000}"/>
    <cellStyle name="CustomizationCells 2 2 9" xfId="13767" xr:uid="{00000000-0005-0000-0000-0000C7350000}"/>
    <cellStyle name="CustomizationCells 3" xfId="13768" xr:uid="{00000000-0005-0000-0000-0000C8350000}"/>
    <cellStyle name="CustomizationCells 3 10" xfId="13769" xr:uid="{00000000-0005-0000-0000-0000C9350000}"/>
    <cellStyle name="CustomizationCells 3 11" xfId="13770" xr:uid="{00000000-0005-0000-0000-0000CA350000}"/>
    <cellStyle name="CustomizationCells 3 12" xfId="13771" xr:uid="{00000000-0005-0000-0000-0000CB350000}"/>
    <cellStyle name="CustomizationCells 3 13" xfId="13772" xr:uid="{00000000-0005-0000-0000-0000CC350000}"/>
    <cellStyle name="CustomizationCells 3 14" xfId="13773" xr:uid="{00000000-0005-0000-0000-0000CD350000}"/>
    <cellStyle name="CustomizationCells 3 15" xfId="13774" xr:uid="{00000000-0005-0000-0000-0000CE350000}"/>
    <cellStyle name="CustomizationCells 3 16" xfId="13775" xr:uid="{00000000-0005-0000-0000-0000CF350000}"/>
    <cellStyle name="CustomizationCells 3 17" xfId="13776" xr:uid="{00000000-0005-0000-0000-0000D0350000}"/>
    <cellStyle name="CustomizationCells 3 18" xfId="13777" xr:uid="{00000000-0005-0000-0000-0000D1350000}"/>
    <cellStyle name="CustomizationCells 3 19" xfId="13778" xr:uid="{00000000-0005-0000-0000-0000D2350000}"/>
    <cellStyle name="CustomizationCells 3 2" xfId="13779" xr:uid="{00000000-0005-0000-0000-0000D3350000}"/>
    <cellStyle name="CustomizationCells 3 2 10" xfId="13780" xr:uid="{00000000-0005-0000-0000-0000D4350000}"/>
    <cellStyle name="CustomizationCells 3 2 11" xfId="13781" xr:uid="{00000000-0005-0000-0000-0000D5350000}"/>
    <cellStyle name="CustomizationCells 3 2 12" xfId="13782" xr:uid="{00000000-0005-0000-0000-0000D6350000}"/>
    <cellStyle name="CustomizationCells 3 2 13" xfId="13783" xr:uid="{00000000-0005-0000-0000-0000D7350000}"/>
    <cellStyle name="CustomizationCells 3 2 14" xfId="13784" xr:uid="{00000000-0005-0000-0000-0000D8350000}"/>
    <cellStyle name="CustomizationCells 3 2 15" xfId="13785" xr:uid="{00000000-0005-0000-0000-0000D9350000}"/>
    <cellStyle name="CustomizationCells 3 2 16" xfId="13786" xr:uid="{00000000-0005-0000-0000-0000DA350000}"/>
    <cellStyle name="CustomizationCells 3 2 17" xfId="13787" xr:uid="{00000000-0005-0000-0000-0000DB350000}"/>
    <cellStyle name="CustomizationCells 3 2 18" xfId="13788" xr:uid="{00000000-0005-0000-0000-0000DC350000}"/>
    <cellStyle name="CustomizationCells 3 2 19" xfId="13789" xr:uid="{00000000-0005-0000-0000-0000DD350000}"/>
    <cellStyle name="CustomizationCells 3 2 2" xfId="13790" xr:uid="{00000000-0005-0000-0000-0000DE350000}"/>
    <cellStyle name="CustomizationCells 3 2 2 10" xfId="13791" xr:uid="{00000000-0005-0000-0000-0000DF350000}"/>
    <cellStyle name="CustomizationCells 3 2 2 11" xfId="13792" xr:uid="{00000000-0005-0000-0000-0000E0350000}"/>
    <cellStyle name="CustomizationCells 3 2 2 12" xfId="13793" xr:uid="{00000000-0005-0000-0000-0000E1350000}"/>
    <cellStyle name="CustomizationCells 3 2 2 13" xfId="13794" xr:uid="{00000000-0005-0000-0000-0000E2350000}"/>
    <cellStyle name="CustomizationCells 3 2 2 14" xfId="13795" xr:uid="{00000000-0005-0000-0000-0000E3350000}"/>
    <cellStyle name="CustomizationCells 3 2 2 15" xfId="13796" xr:uid="{00000000-0005-0000-0000-0000E4350000}"/>
    <cellStyle name="CustomizationCells 3 2 2 16" xfId="13797" xr:uid="{00000000-0005-0000-0000-0000E5350000}"/>
    <cellStyle name="CustomizationCells 3 2 2 17" xfId="13798" xr:uid="{00000000-0005-0000-0000-0000E6350000}"/>
    <cellStyle name="CustomizationCells 3 2 2 18" xfId="13799" xr:uid="{00000000-0005-0000-0000-0000E7350000}"/>
    <cellStyle name="CustomizationCells 3 2 2 19" xfId="13800" xr:uid="{00000000-0005-0000-0000-0000E8350000}"/>
    <cellStyle name="CustomizationCells 3 2 2 2" xfId="13801" xr:uid="{00000000-0005-0000-0000-0000E9350000}"/>
    <cellStyle name="CustomizationCells 3 2 2 20" xfId="13802" xr:uid="{00000000-0005-0000-0000-0000EA350000}"/>
    <cellStyle name="CustomizationCells 3 2 2 21" xfId="13803" xr:uid="{00000000-0005-0000-0000-0000EB350000}"/>
    <cellStyle name="CustomizationCells 3 2 2 22" xfId="13804" xr:uid="{00000000-0005-0000-0000-0000EC350000}"/>
    <cellStyle name="CustomizationCells 3 2 2 23" xfId="13805" xr:uid="{00000000-0005-0000-0000-0000ED350000}"/>
    <cellStyle name="CustomizationCells 3 2 2 24" xfId="13806" xr:uid="{00000000-0005-0000-0000-0000EE350000}"/>
    <cellStyle name="CustomizationCells 3 2 2 25" xfId="13807" xr:uid="{00000000-0005-0000-0000-0000EF350000}"/>
    <cellStyle name="CustomizationCells 3 2 2 26" xfId="13808" xr:uid="{00000000-0005-0000-0000-0000F0350000}"/>
    <cellStyle name="CustomizationCells 3 2 2 27" xfId="13809" xr:uid="{00000000-0005-0000-0000-0000F1350000}"/>
    <cellStyle name="CustomizationCells 3 2 2 28" xfId="13810" xr:uid="{00000000-0005-0000-0000-0000F2350000}"/>
    <cellStyle name="CustomizationCells 3 2 2 29" xfId="13811" xr:uid="{00000000-0005-0000-0000-0000F3350000}"/>
    <cellStyle name="CustomizationCells 3 2 2 3" xfId="13812" xr:uid="{00000000-0005-0000-0000-0000F4350000}"/>
    <cellStyle name="CustomizationCells 3 2 2 30" xfId="13813" xr:uid="{00000000-0005-0000-0000-0000F5350000}"/>
    <cellStyle name="CustomizationCells 3 2 2 31" xfId="13814" xr:uid="{00000000-0005-0000-0000-0000F6350000}"/>
    <cellStyle name="CustomizationCells 3 2 2 32" xfId="13815" xr:uid="{00000000-0005-0000-0000-0000F7350000}"/>
    <cellStyle name="CustomizationCells 3 2 2 33" xfId="13816" xr:uid="{00000000-0005-0000-0000-0000F8350000}"/>
    <cellStyle name="CustomizationCells 3 2 2 34" xfId="13817" xr:uid="{00000000-0005-0000-0000-0000F9350000}"/>
    <cellStyle name="CustomizationCells 3 2 2 35" xfId="13818" xr:uid="{00000000-0005-0000-0000-0000FA350000}"/>
    <cellStyle name="CustomizationCells 3 2 2 36" xfId="13819" xr:uid="{00000000-0005-0000-0000-0000FB350000}"/>
    <cellStyle name="CustomizationCells 3 2 2 37" xfId="13820" xr:uid="{00000000-0005-0000-0000-0000FC350000}"/>
    <cellStyle name="CustomizationCells 3 2 2 38" xfId="13821" xr:uid="{00000000-0005-0000-0000-0000FD350000}"/>
    <cellStyle name="CustomizationCells 3 2 2 39" xfId="13822" xr:uid="{00000000-0005-0000-0000-0000FE350000}"/>
    <cellStyle name="CustomizationCells 3 2 2 4" xfId="13823" xr:uid="{00000000-0005-0000-0000-0000FF350000}"/>
    <cellStyle name="CustomizationCells 3 2 2 40" xfId="13824" xr:uid="{00000000-0005-0000-0000-000000360000}"/>
    <cellStyle name="CustomizationCells 3 2 2 41" xfId="13825" xr:uid="{00000000-0005-0000-0000-000001360000}"/>
    <cellStyle name="CustomizationCells 3 2 2 42" xfId="13826" xr:uid="{00000000-0005-0000-0000-000002360000}"/>
    <cellStyle name="CustomizationCells 3 2 2 43" xfId="13827" xr:uid="{00000000-0005-0000-0000-000003360000}"/>
    <cellStyle name="CustomizationCells 3 2 2 44" xfId="13828" xr:uid="{00000000-0005-0000-0000-000004360000}"/>
    <cellStyle name="CustomizationCells 3 2 2 45" xfId="13829" xr:uid="{00000000-0005-0000-0000-000005360000}"/>
    <cellStyle name="CustomizationCells 3 2 2 46" xfId="13830" xr:uid="{00000000-0005-0000-0000-000006360000}"/>
    <cellStyle name="CustomizationCells 3 2 2 47" xfId="13831" xr:uid="{00000000-0005-0000-0000-000007360000}"/>
    <cellStyle name="CustomizationCells 3 2 2 48" xfId="13832" xr:uid="{00000000-0005-0000-0000-000008360000}"/>
    <cellStyle name="CustomizationCells 3 2 2 49" xfId="13833" xr:uid="{00000000-0005-0000-0000-000009360000}"/>
    <cellStyle name="CustomizationCells 3 2 2 5" xfId="13834" xr:uid="{00000000-0005-0000-0000-00000A360000}"/>
    <cellStyle name="CustomizationCells 3 2 2 50" xfId="13835" xr:uid="{00000000-0005-0000-0000-00000B360000}"/>
    <cellStyle name="CustomizationCells 3 2 2 51" xfId="13836" xr:uid="{00000000-0005-0000-0000-00000C360000}"/>
    <cellStyle name="CustomizationCells 3 2 2 52" xfId="13837" xr:uid="{00000000-0005-0000-0000-00000D360000}"/>
    <cellStyle name="CustomizationCells 3 2 2 53" xfId="13838" xr:uid="{00000000-0005-0000-0000-00000E360000}"/>
    <cellStyle name="CustomizationCells 3 2 2 54" xfId="13839" xr:uid="{00000000-0005-0000-0000-00000F360000}"/>
    <cellStyle name="CustomizationCells 3 2 2 55" xfId="13840" xr:uid="{00000000-0005-0000-0000-000010360000}"/>
    <cellStyle name="CustomizationCells 3 2 2 56" xfId="13841" xr:uid="{00000000-0005-0000-0000-000011360000}"/>
    <cellStyle name="CustomizationCells 3 2 2 57" xfId="13842" xr:uid="{00000000-0005-0000-0000-000012360000}"/>
    <cellStyle name="CustomizationCells 3 2 2 58" xfId="13843" xr:uid="{00000000-0005-0000-0000-000013360000}"/>
    <cellStyle name="CustomizationCells 3 2 2 59" xfId="13844" xr:uid="{00000000-0005-0000-0000-000014360000}"/>
    <cellStyle name="CustomizationCells 3 2 2 6" xfId="13845" xr:uid="{00000000-0005-0000-0000-000015360000}"/>
    <cellStyle name="CustomizationCells 3 2 2 60" xfId="13846" xr:uid="{00000000-0005-0000-0000-000016360000}"/>
    <cellStyle name="CustomizationCells 3 2 2 61" xfId="13847" xr:uid="{00000000-0005-0000-0000-000017360000}"/>
    <cellStyle name="CustomizationCells 3 2 2 62" xfId="13848" xr:uid="{00000000-0005-0000-0000-000018360000}"/>
    <cellStyle name="CustomizationCells 3 2 2 63" xfId="13849" xr:uid="{00000000-0005-0000-0000-000019360000}"/>
    <cellStyle name="CustomizationCells 3 2 2 64" xfId="13850" xr:uid="{00000000-0005-0000-0000-00001A360000}"/>
    <cellStyle name="CustomizationCells 3 2 2 65" xfId="13851" xr:uid="{00000000-0005-0000-0000-00001B360000}"/>
    <cellStyle name="CustomizationCells 3 2 2 7" xfId="13852" xr:uid="{00000000-0005-0000-0000-00001C360000}"/>
    <cellStyle name="CustomizationCells 3 2 2 8" xfId="13853" xr:uid="{00000000-0005-0000-0000-00001D360000}"/>
    <cellStyle name="CustomizationCells 3 2 2 9" xfId="13854" xr:uid="{00000000-0005-0000-0000-00001E360000}"/>
    <cellStyle name="CustomizationCells 3 2 20" xfId="13855" xr:uid="{00000000-0005-0000-0000-00001F360000}"/>
    <cellStyle name="CustomizationCells 3 2 21" xfId="13856" xr:uid="{00000000-0005-0000-0000-000020360000}"/>
    <cellStyle name="CustomizationCells 3 2 22" xfId="13857" xr:uid="{00000000-0005-0000-0000-000021360000}"/>
    <cellStyle name="CustomizationCells 3 2 23" xfId="13858" xr:uid="{00000000-0005-0000-0000-000022360000}"/>
    <cellStyle name="CustomizationCells 3 2 24" xfId="13859" xr:uid="{00000000-0005-0000-0000-000023360000}"/>
    <cellStyle name="CustomizationCells 3 2 25" xfId="13860" xr:uid="{00000000-0005-0000-0000-000024360000}"/>
    <cellStyle name="CustomizationCells 3 2 26" xfId="13861" xr:uid="{00000000-0005-0000-0000-000025360000}"/>
    <cellStyle name="CustomizationCells 3 2 27" xfId="13862" xr:uid="{00000000-0005-0000-0000-000026360000}"/>
    <cellStyle name="CustomizationCells 3 2 28" xfId="13863" xr:uid="{00000000-0005-0000-0000-000027360000}"/>
    <cellStyle name="CustomizationCells 3 2 29" xfId="13864" xr:uid="{00000000-0005-0000-0000-000028360000}"/>
    <cellStyle name="CustomizationCells 3 2 3" xfId="13865" xr:uid="{00000000-0005-0000-0000-000029360000}"/>
    <cellStyle name="CustomizationCells 3 2 30" xfId="13866" xr:uid="{00000000-0005-0000-0000-00002A360000}"/>
    <cellStyle name="CustomizationCells 3 2 31" xfId="13867" xr:uid="{00000000-0005-0000-0000-00002B360000}"/>
    <cellStyle name="CustomizationCells 3 2 32" xfId="13868" xr:uid="{00000000-0005-0000-0000-00002C360000}"/>
    <cellStyle name="CustomizationCells 3 2 33" xfId="13869" xr:uid="{00000000-0005-0000-0000-00002D360000}"/>
    <cellStyle name="CustomizationCells 3 2 34" xfId="13870" xr:uid="{00000000-0005-0000-0000-00002E360000}"/>
    <cellStyle name="CustomizationCells 3 2 35" xfId="13871" xr:uid="{00000000-0005-0000-0000-00002F360000}"/>
    <cellStyle name="CustomizationCells 3 2 36" xfId="13872" xr:uid="{00000000-0005-0000-0000-000030360000}"/>
    <cellStyle name="CustomizationCells 3 2 37" xfId="13873" xr:uid="{00000000-0005-0000-0000-000031360000}"/>
    <cellStyle name="CustomizationCells 3 2 38" xfId="13874" xr:uid="{00000000-0005-0000-0000-000032360000}"/>
    <cellStyle name="CustomizationCells 3 2 39" xfId="13875" xr:uid="{00000000-0005-0000-0000-000033360000}"/>
    <cellStyle name="CustomizationCells 3 2 4" xfId="13876" xr:uid="{00000000-0005-0000-0000-000034360000}"/>
    <cellStyle name="CustomizationCells 3 2 40" xfId="13877" xr:uid="{00000000-0005-0000-0000-000035360000}"/>
    <cellStyle name="CustomizationCells 3 2 41" xfId="13878" xr:uid="{00000000-0005-0000-0000-000036360000}"/>
    <cellStyle name="CustomizationCells 3 2 42" xfId="13879" xr:uid="{00000000-0005-0000-0000-000037360000}"/>
    <cellStyle name="CustomizationCells 3 2 43" xfId="13880" xr:uid="{00000000-0005-0000-0000-000038360000}"/>
    <cellStyle name="CustomizationCells 3 2 44" xfId="13881" xr:uid="{00000000-0005-0000-0000-000039360000}"/>
    <cellStyle name="CustomizationCells 3 2 45" xfId="13882" xr:uid="{00000000-0005-0000-0000-00003A360000}"/>
    <cellStyle name="CustomizationCells 3 2 46" xfId="13883" xr:uid="{00000000-0005-0000-0000-00003B360000}"/>
    <cellStyle name="CustomizationCells 3 2 47" xfId="13884" xr:uid="{00000000-0005-0000-0000-00003C360000}"/>
    <cellStyle name="CustomizationCells 3 2 48" xfId="13885" xr:uid="{00000000-0005-0000-0000-00003D360000}"/>
    <cellStyle name="CustomizationCells 3 2 49" xfId="13886" xr:uid="{00000000-0005-0000-0000-00003E360000}"/>
    <cellStyle name="CustomizationCells 3 2 5" xfId="13887" xr:uid="{00000000-0005-0000-0000-00003F360000}"/>
    <cellStyle name="CustomizationCells 3 2 50" xfId="13888" xr:uid="{00000000-0005-0000-0000-000040360000}"/>
    <cellStyle name="CustomizationCells 3 2 51" xfId="13889" xr:uid="{00000000-0005-0000-0000-000041360000}"/>
    <cellStyle name="CustomizationCells 3 2 52" xfId="13890" xr:uid="{00000000-0005-0000-0000-000042360000}"/>
    <cellStyle name="CustomizationCells 3 2 53" xfId="13891" xr:uid="{00000000-0005-0000-0000-000043360000}"/>
    <cellStyle name="CustomizationCells 3 2 54" xfId="13892" xr:uid="{00000000-0005-0000-0000-000044360000}"/>
    <cellStyle name="CustomizationCells 3 2 55" xfId="13893" xr:uid="{00000000-0005-0000-0000-000045360000}"/>
    <cellStyle name="CustomizationCells 3 2 56" xfId="13894" xr:uid="{00000000-0005-0000-0000-000046360000}"/>
    <cellStyle name="CustomizationCells 3 2 57" xfId="13895" xr:uid="{00000000-0005-0000-0000-000047360000}"/>
    <cellStyle name="CustomizationCells 3 2 58" xfId="13896" xr:uid="{00000000-0005-0000-0000-000048360000}"/>
    <cellStyle name="CustomizationCells 3 2 59" xfId="13897" xr:uid="{00000000-0005-0000-0000-000049360000}"/>
    <cellStyle name="CustomizationCells 3 2 6" xfId="13898" xr:uid="{00000000-0005-0000-0000-00004A360000}"/>
    <cellStyle name="CustomizationCells 3 2 60" xfId="13899" xr:uid="{00000000-0005-0000-0000-00004B360000}"/>
    <cellStyle name="CustomizationCells 3 2 61" xfId="13900" xr:uid="{00000000-0005-0000-0000-00004C360000}"/>
    <cellStyle name="CustomizationCells 3 2 62" xfId="13901" xr:uid="{00000000-0005-0000-0000-00004D360000}"/>
    <cellStyle name="CustomizationCells 3 2 63" xfId="13902" xr:uid="{00000000-0005-0000-0000-00004E360000}"/>
    <cellStyle name="CustomizationCells 3 2 64" xfId="13903" xr:uid="{00000000-0005-0000-0000-00004F360000}"/>
    <cellStyle name="CustomizationCells 3 2 65" xfId="13904" xr:uid="{00000000-0005-0000-0000-000050360000}"/>
    <cellStyle name="CustomizationCells 3 2 66" xfId="13905" xr:uid="{00000000-0005-0000-0000-000051360000}"/>
    <cellStyle name="CustomizationCells 3 2 7" xfId="13906" xr:uid="{00000000-0005-0000-0000-000052360000}"/>
    <cellStyle name="CustomizationCells 3 2 8" xfId="13907" xr:uid="{00000000-0005-0000-0000-000053360000}"/>
    <cellStyle name="CustomizationCells 3 2 9" xfId="13908" xr:uid="{00000000-0005-0000-0000-000054360000}"/>
    <cellStyle name="CustomizationCells 3 20" xfId="13909" xr:uid="{00000000-0005-0000-0000-000055360000}"/>
    <cellStyle name="CustomizationCells 3 21" xfId="13910" xr:uid="{00000000-0005-0000-0000-000056360000}"/>
    <cellStyle name="CustomizationCells 3 22" xfId="13911" xr:uid="{00000000-0005-0000-0000-000057360000}"/>
    <cellStyle name="CustomizationCells 3 23" xfId="13912" xr:uid="{00000000-0005-0000-0000-000058360000}"/>
    <cellStyle name="CustomizationCells 3 24" xfId="13913" xr:uid="{00000000-0005-0000-0000-000059360000}"/>
    <cellStyle name="CustomizationCells 3 25" xfId="13914" xr:uid="{00000000-0005-0000-0000-00005A360000}"/>
    <cellStyle name="CustomizationCells 3 26" xfId="13915" xr:uid="{00000000-0005-0000-0000-00005B360000}"/>
    <cellStyle name="CustomizationCells 3 27" xfId="13916" xr:uid="{00000000-0005-0000-0000-00005C360000}"/>
    <cellStyle name="CustomizationCells 3 28" xfId="13917" xr:uid="{00000000-0005-0000-0000-00005D360000}"/>
    <cellStyle name="CustomizationCells 3 29" xfId="13918" xr:uid="{00000000-0005-0000-0000-00005E360000}"/>
    <cellStyle name="CustomizationCells 3 3" xfId="13919" xr:uid="{00000000-0005-0000-0000-00005F360000}"/>
    <cellStyle name="CustomizationCells 3 3 10" xfId="13920" xr:uid="{00000000-0005-0000-0000-000060360000}"/>
    <cellStyle name="CustomizationCells 3 3 11" xfId="13921" xr:uid="{00000000-0005-0000-0000-000061360000}"/>
    <cellStyle name="CustomizationCells 3 3 12" xfId="13922" xr:uid="{00000000-0005-0000-0000-000062360000}"/>
    <cellStyle name="CustomizationCells 3 3 13" xfId="13923" xr:uid="{00000000-0005-0000-0000-000063360000}"/>
    <cellStyle name="CustomizationCells 3 3 14" xfId="13924" xr:uid="{00000000-0005-0000-0000-000064360000}"/>
    <cellStyle name="CustomizationCells 3 3 15" xfId="13925" xr:uid="{00000000-0005-0000-0000-000065360000}"/>
    <cellStyle name="CustomizationCells 3 3 16" xfId="13926" xr:uid="{00000000-0005-0000-0000-000066360000}"/>
    <cellStyle name="CustomizationCells 3 3 17" xfId="13927" xr:uid="{00000000-0005-0000-0000-000067360000}"/>
    <cellStyle name="CustomizationCells 3 3 18" xfId="13928" xr:uid="{00000000-0005-0000-0000-000068360000}"/>
    <cellStyle name="CustomizationCells 3 3 19" xfId="13929" xr:uid="{00000000-0005-0000-0000-000069360000}"/>
    <cellStyle name="CustomizationCells 3 3 2" xfId="13930" xr:uid="{00000000-0005-0000-0000-00006A360000}"/>
    <cellStyle name="CustomizationCells 3 3 2 10" xfId="13931" xr:uid="{00000000-0005-0000-0000-00006B360000}"/>
    <cellStyle name="CustomizationCells 3 3 2 11" xfId="13932" xr:uid="{00000000-0005-0000-0000-00006C360000}"/>
    <cellStyle name="CustomizationCells 3 3 2 12" xfId="13933" xr:uid="{00000000-0005-0000-0000-00006D360000}"/>
    <cellStyle name="CustomizationCells 3 3 2 13" xfId="13934" xr:uid="{00000000-0005-0000-0000-00006E360000}"/>
    <cellStyle name="CustomizationCells 3 3 2 14" xfId="13935" xr:uid="{00000000-0005-0000-0000-00006F360000}"/>
    <cellStyle name="CustomizationCells 3 3 2 15" xfId="13936" xr:uid="{00000000-0005-0000-0000-000070360000}"/>
    <cellStyle name="CustomizationCells 3 3 2 16" xfId="13937" xr:uid="{00000000-0005-0000-0000-000071360000}"/>
    <cellStyle name="CustomizationCells 3 3 2 17" xfId="13938" xr:uid="{00000000-0005-0000-0000-000072360000}"/>
    <cellStyle name="CustomizationCells 3 3 2 18" xfId="13939" xr:uid="{00000000-0005-0000-0000-000073360000}"/>
    <cellStyle name="CustomizationCells 3 3 2 19" xfId="13940" xr:uid="{00000000-0005-0000-0000-000074360000}"/>
    <cellStyle name="CustomizationCells 3 3 2 2" xfId="13941" xr:uid="{00000000-0005-0000-0000-000075360000}"/>
    <cellStyle name="CustomizationCells 3 3 2 20" xfId="13942" xr:uid="{00000000-0005-0000-0000-000076360000}"/>
    <cellStyle name="CustomizationCells 3 3 2 21" xfId="13943" xr:uid="{00000000-0005-0000-0000-000077360000}"/>
    <cellStyle name="CustomizationCells 3 3 2 22" xfId="13944" xr:uid="{00000000-0005-0000-0000-000078360000}"/>
    <cellStyle name="CustomizationCells 3 3 2 23" xfId="13945" xr:uid="{00000000-0005-0000-0000-000079360000}"/>
    <cellStyle name="CustomizationCells 3 3 2 24" xfId="13946" xr:uid="{00000000-0005-0000-0000-00007A360000}"/>
    <cellStyle name="CustomizationCells 3 3 2 25" xfId="13947" xr:uid="{00000000-0005-0000-0000-00007B360000}"/>
    <cellStyle name="CustomizationCells 3 3 2 26" xfId="13948" xr:uid="{00000000-0005-0000-0000-00007C360000}"/>
    <cellStyle name="CustomizationCells 3 3 2 27" xfId="13949" xr:uid="{00000000-0005-0000-0000-00007D360000}"/>
    <cellStyle name="CustomizationCells 3 3 2 28" xfId="13950" xr:uid="{00000000-0005-0000-0000-00007E360000}"/>
    <cellStyle name="CustomizationCells 3 3 2 29" xfId="13951" xr:uid="{00000000-0005-0000-0000-00007F360000}"/>
    <cellStyle name="CustomizationCells 3 3 2 3" xfId="13952" xr:uid="{00000000-0005-0000-0000-000080360000}"/>
    <cellStyle name="CustomizationCells 3 3 2 30" xfId="13953" xr:uid="{00000000-0005-0000-0000-000081360000}"/>
    <cellStyle name="CustomizationCells 3 3 2 31" xfId="13954" xr:uid="{00000000-0005-0000-0000-000082360000}"/>
    <cellStyle name="CustomizationCells 3 3 2 32" xfId="13955" xr:uid="{00000000-0005-0000-0000-000083360000}"/>
    <cellStyle name="CustomizationCells 3 3 2 33" xfId="13956" xr:uid="{00000000-0005-0000-0000-000084360000}"/>
    <cellStyle name="CustomizationCells 3 3 2 34" xfId="13957" xr:uid="{00000000-0005-0000-0000-000085360000}"/>
    <cellStyle name="CustomizationCells 3 3 2 35" xfId="13958" xr:uid="{00000000-0005-0000-0000-000086360000}"/>
    <cellStyle name="CustomizationCells 3 3 2 36" xfId="13959" xr:uid="{00000000-0005-0000-0000-000087360000}"/>
    <cellStyle name="CustomizationCells 3 3 2 37" xfId="13960" xr:uid="{00000000-0005-0000-0000-000088360000}"/>
    <cellStyle name="CustomizationCells 3 3 2 38" xfId="13961" xr:uid="{00000000-0005-0000-0000-000089360000}"/>
    <cellStyle name="CustomizationCells 3 3 2 39" xfId="13962" xr:uid="{00000000-0005-0000-0000-00008A360000}"/>
    <cellStyle name="CustomizationCells 3 3 2 4" xfId="13963" xr:uid="{00000000-0005-0000-0000-00008B360000}"/>
    <cellStyle name="CustomizationCells 3 3 2 40" xfId="13964" xr:uid="{00000000-0005-0000-0000-00008C360000}"/>
    <cellStyle name="CustomizationCells 3 3 2 41" xfId="13965" xr:uid="{00000000-0005-0000-0000-00008D360000}"/>
    <cellStyle name="CustomizationCells 3 3 2 42" xfId="13966" xr:uid="{00000000-0005-0000-0000-00008E360000}"/>
    <cellStyle name="CustomizationCells 3 3 2 43" xfId="13967" xr:uid="{00000000-0005-0000-0000-00008F360000}"/>
    <cellStyle name="CustomizationCells 3 3 2 44" xfId="13968" xr:uid="{00000000-0005-0000-0000-000090360000}"/>
    <cellStyle name="CustomizationCells 3 3 2 45" xfId="13969" xr:uid="{00000000-0005-0000-0000-000091360000}"/>
    <cellStyle name="CustomizationCells 3 3 2 46" xfId="13970" xr:uid="{00000000-0005-0000-0000-000092360000}"/>
    <cellStyle name="CustomizationCells 3 3 2 47" xfId="13971" xr:uid="{00000000-0005-0000-0000-000093360000}"/>
    <cellStyle name="CustomizationCells 3 3 2 48" xfId="13972" xr:uid="{00000000-0005-0000-0000-000094360000}"/>
    <cellStyle name="CustomizationCells 3 3 2 49" xfId="13973" xr:uid="{00000000-0005-0000-0000-000095360000}"/>
    <cellStyle name="CustomizationCells 3 3 2 5" xfId="13974" xr:uid="{00000000-0005-0000-0000-000096360000}"/>
    <cellStyle name="CustomizationCells 3 3 2 50" xfId="13975" xr:uid="{00000000-0005-0000-0000-000097360000}"/>
    <cellStyle name="CustomizationCells 3 3 2 51" xfId="13976" xr:uid="{00000000-0005-0000-0000-000098360000}"/>
    <cellStyle name="CustomizationCells 3 3 2 52" xfId="13977" xr:uid="{00000000-0005-0000-0000-000099360000}"/>
    <cellStyle name="CustomizationCells 3 3 2 53" xfId="13978" xr:uid="{00000000-0005-0000-0000-00009A360000}"/>
    <cellStyle name="CustomizationCells 3 3 2 54" xfId="13979" xr:uid="{00000000-0005-0000-0000-00009B360000}"/>
    <cellStyle name="CustomizationCells 3 3 2 55" xfId="13980" xr:uid="{00000000-0005-0000-0000-00009C360000}"/>
    <cellStyle name="CustomizationCells 3 3 2 56" xfId="13981" xr:uid="{00000000-0005-0000-0000-00009D360000}"/>
    <cellStyle name="CustomizationCells 3 3 2 57" xfId="13982" xr:uid="{00000000-0005-0000-0000-00009E360000}"/>
    <cellStyle name="CustomizationCells 3 3 2 58" xfId="13983" xr:uid="{00000000-0005-0000-0000-00009F360000}"/>
    <cellStyle name="CustomizationCells 3 3 2 59" xfId="13984" xr:uid="{00000000-0005-0000-0000-0000A0360000}"/>
    <cellStyle name="CustomizationCells 3 3 2 6" xfId="13985" xr:uid="{00000000-0005-0000-0000-0000A1360000}"/>
    <cellStyle name="CustomizationCells 3 3 2 60" xfId="13986" xr:uid="{00000000-0005-0000-0000-0000A2360000}"/>
    <cellStyle name="CustomizationCells 3 3 2 61" xfId="13987" xr:uid="{00000000-0005-0000-0000-0000A3360000}"/>
    <cellStyle name="CustomizationCells 3 3 2 62" xfId="13988" xr:uid="{00000000-0005-0000-0000-0000A4360000}"/>
    <cellStyle name="CustomizationCells 3 3 2 63" xfId="13989" xr:uid="{00000000-0005-0000-0000-0000A5360000}"/>
    <cellStyle name="CustomizationCells 3 3 2 64" xfId="13990" xr:uid="{00000000-0005-0000-0000-0000A6360000}"/>
    <cellStyle name="CustomizationCells 3 3 2 65" xfId="13991" xr:uid="{00000000-0005-0000-0000-0000A7360000}"/>
    <cellStyle name="CustomizationCells 3 3 2 7" xfId="13992" xr:uid="{00000000-0005-0000-0000-0000A8360000}"/>
    <cellStyle name="CustomizationCells 3 3 2 8" xfId="13993" xr:uid="{00000000-0005-0000-0000-0000A9360000}"/>
    <cellStyle name="CustomizationCells 3 3 2 9" xfId="13994" xr:uid="{00000000-0005-0000-0000-0000AA360000}"/>
    <cellStyle name="CustomizationCells 3 3 20" xfId="13995" xr:uid="{00000000-0005-0000-0000-0000AB360000}"/>
    <cellStyle name="CustomizationCells 3 3 21" xfId="13996" xr:uid="{00000000-0005-0000-0000-0000AC360000}"/>
    <cellStyle name="CustomizationCells 3 3 22" xfId="13997" xr:uid="{00000000-0005-0000-0000-0000AD360000}"/>
    <cellStyle name="CustomizationCells 3 3 23" xfId="13998" xr:uid="{00000000-0005-0000-0000-0000AE360000}"/>
    <cellStyle name="CustomizationCells 3 3 24" xfId="13999" xr:uid="{00000000-0005-0000-0000-0000AF360000}"/>
    <cellStyle name="CustomizationCells 3 3 25" xfId="14000" xr:uid="{00000000-0005-0000-0000-0000B0360000}"/>
    <cellStyle name="CustomizationCells 3 3 26" xfId="14001" xr:uid="{00000000-0005-0000-0000-0000B1360000}"/>
    <cellStyle name="CustomizationCells 3 3 27" xfId="14002" xr:uid="{00000000-0005-0000-0000-0000B2360000}"/>
    <cellStyle name="CustomizationCells 3 3 28" xfId="14003" xr:uid="{00000000-0005-0000-0000-0000B3360000}"/>
    <cellStyle name="CustomizationCells 3 3 29" xfId="14004" xr:uid="{00000000-0005-0000-0000-0000B4360000}"/>
    <cellStyle name="CustomizationCells 3 3 3" xfId="14005" xr:uid="{00000000-0005-0000-0000-0000B5360000}"/>
    <cellStyle name="CustomizationCells 3 3 30" xfId="14006" xr:uid="{00000000-0005-0000-0000-0000B6360000}"/>
    <cellStyle name="CustomizationCells 3 3 31" xfId="14007" xr:uid="{00000000-0005-0000-0000-0000B7360000}"/>
    <cellStyle name="CustomizationCells 3 3 32" xfId="14008" xr:uid="{00000000-0005-0000-0000-0000B8360000}"/>
    <cellStyle name="CustomizationCells 3 3 33" xfId="14009" xr:uid="{00000000-0005-0000-0000-0000B9360000}"/>
    <cellStyle name="CustomizationCells 3 3 34" xfId="14010" xr:uid="{00000000-0005-0000-0000-0000BA360000}"/>
    <cellStyle name="CustomizationCells 3 3 35" xfId="14011" xr:uid="{00000000-0005-0000-0000-0000BB360000}"/>
    <cellStyle name="CustomizationCells 3 3 36" xfId="14012" xr:uid="{00000000-0005-0000-0000-0000BC360000}"/>
    <cellStyle name="CustomizationCells 3 3 37" xfId="14013" xr:uid="{00000000-0005-0000-0000-0000BD360000}"/>
    <cellStyle name="CustomizationCells 3 3 38" xfId="14014" xr:uid="{00000000-0005-0000-0000-0000BE360000}"/>
    <cellStyle name="CustomizationCells 3 3 39" xfId="14015" xr:uid="{00000000-0005-0000-0000-0000BF360000}"/>
    <cellStyle name="CustomizationCells 3 3 4" xfId="14016" xr:uid="{00000000-0005-0000-0000-0000C0360000}"/>
    <cellStyle name="CustomizationCells 3 3 40" xfId="14017" xr:uid="{00000000-0005-0000-0000-0000C1360000}"/>
    <cellStyle name="CustomizationCells 3 3 41" xfId="14018" xr:uid="{00000000-0005-0000-0000-0000C2360000}"/>
    <cellStyle name="CustomizationCells 3 3 42" xfId="14019" xr:uid="{00000000-0005-0000-0000-0000C3360000}"/>
    <cellStyle name="CustomizationCells 3 3 43" xfId="14020" xr:uid="{00000000-0005-0000-0000-0000C4360000}"/>
    <cellStyle name="CustomizationCells 3 3 44" xfId="14021" xr:uid="{00000000-0005-0000-0000-0000C5360000}"/>
    <cellStyle name="CustomizationCells 3 3 45" xfId="14022" xr:uid="{00000000-0005-0000-0000-0000C6360000}"/>
    <cellStyle name="CustomizationCells 3 3 46" xfId="14023" xr:uid="{00000000-0005-0000-0000-0000C7360000}"/>
    <cellStyle name="CustomizationCells 3 3 47" xfId="14024" xr:uid="{00000000-0005-0000-0000-0000C8360000}"/>
    <cellStyle name="CustomizationCells 3 3 48" xfId="14025" xr:uid="{00000000-0005-0000-0000-0000C9360000}"/>
    <cellStyle name="CustomizationCells 3 3 49" xfId="14026" xr:uid="{00000000-0005-0000-0000-0000CA360000}"/>
    <cellStyle name="CustomizationCells 3 3 5" xfId="14027" xr:uid="{00000000-0005-0000-0000-0000CB360000}"/>
    <cellStyle name="CustomizationCells 3 3 50" xfId="14028" xr:uid="{00000000-0005-0000-0000-0000CC360000}"/>
    <cellStyle name="CustomizationCells 3 3 51" xfId="14029" xr:uid="{00000000-0005-0000-0000-0000CD360000}"/>
    <cellStyle name="CustomizationCells 3 3 52" xfId="14030" xr:uid="{00000000-0005-0000-0000-0000CE360000}"/>
    <cellStyle name="CustomizationCells 3 3 53" xfId="14031" xr:uid="{00000000-0005-0000-0000-0000CF360000}"/>
    <cellStyle name="CustomizationCells 3 3 54" xfId="14032" xr:uid="{00000000-0005-0000-0000-0000D0360000}"/>
    <cellStyle name="CustomizationCells 3 3 55" xfId="14033" xr:uid="{00000000-0005-0000-0000-0000D1360000}"/>
    <cellStyle name="CustomizationCells 3 3 56" xfId="14034" xr:uid="{00000000-0005-0000-0000-0000D2360000}"/>
    <cellStyle name="CustomizationCells 3 3 57" xfId="14035" xr:uid="{00000000-0005-0000-0000-0000D3360000}"/>
    <cellStyle name="CustomizationCells 3 3 58" xfId="14036" xr:uid="{00000000-0005-0000-0000-0000D4360000}"/>
    <cellStyle name="CustomizationCells 3 3 59" xfId="14037" xr:uid="{00000000-0005-0000-0000-0000D5360000}"/>
    <cellStyle name="CustomizationCells 3 3 6" xfId="14038" xr:uid="{00000000-0005-0000-0000-0000D6360000}"/>
    <cellStyle name="CustomizationCells 3 3 60" xfId="14039" xr:uid="{00000000-0005-0000-0000-0000D7360000}"/>
    <cellStyle name="CustomizationCells 3 3 61" xfId="14040" xr:uid="{00000000-0005-0000-0000-0000D8360000}"/>
    <cellStyle name="CustomizationCells 3 3 62" xfId="14041" xr:uid="{00000000-0005-0000-0000-0000D9360000}"/>
    <cellStyle name="CustomizationCells 3 3 63" xfId="14042" xr:uid="{00000000-0005-0000-0000-0000DA360000}"/>
    <cellStyle name="CustomizationCells 3 3 64" xfId="14043" xr:uid="{00000000-0005-0000-0000-0000DB360000}"/>
    <cellStyle name="CustomizationCells 3 3 65" xfId="14044" xr:uid="{00000000-0005-0000-0000-0000DC360000}"/>
    <cellStyle name="CustomizationCells 3 3 66" xfId="14045" xr:uid="{00000000-0005-0000-0000-0000DD360000}"/>
    <cellStyle name="CustomizationCells 3 3 7" xfId="14046" xr:uid="{00000000-0005-0000-0000-0000DE360000}"/>
    <cellStyle name="CustomizationCells 3 3 8" xfId="14047" xr:uid="{00000000-0005-0000-0000-0000DF360000}"/>
    <cellStyle name="CustomizationCells 3 3 9" xfId="14048" xr:uid="{00000000-0005-0000-0000-0000E0360000}"/>
    <cellStyle name="CustomizationCells 3 30" xfId="14049" xr:uid="{00000000-0005-0000-0000-0000E1360000}"/>
    <cellStyle name="CustomizationCells 3 31" xfId="14050" xr:uid="{00000000-0005-0000-0000-0000E2360000}"/>
    <cellStyle name="CustomizationCells 3 32" xfId="14051" xr:uid="{00000000-0005-0000-0000-0000E3360000}"/>
    <cellStyle name="CustomizationCells 3 33" xfId="14052" xr:uid="{00000000-0005-0000-0000-0000E4360000}"/>
    <cellStyle name="CustomizationCells 3 34" xfId="14053" xr:uid="{00000000-0005-0000-0000-0000E5360000}"/>
    <cellStyle name="CustomizationCells 3 35" xfId="14054" xr:uid="{00000000-0005-0000-0000-0000E6360000}"/>
    <cellStyle name="CustomizationCells 3 36" xfId="14055" xr:uid="{00000000-0005-0000-0000-0000E7360000}"/>
    <cellStyle name="CustomizationCells 3 37" xfId="14056" xr:uid="{00000000-0005-0000-0000-0000E8360000}"/>
    <cellStyle name="CustomizationCells 3 38" xfId="14057" xr:uid="{00000000-0005-0000-0000-0000E9360000}"/>
    <cellStyle name="CustomizationCells 3 39" xfId="14058" xr:uid="{00000000-0005-0000-0000-0000EA360000}"/>
    <cellStyle name="CustomizationCells 3 4" xfId="14059" xr:uid="{00000000-0005-0000-0000-0000EB360000}"/>
    <cellStyle name="CustomizationCells 3 4 10" xfId="14060" xr:uid="{00000000-0005-0000-0000-0000EC360000}"/>
    <cellStyle name="CustomizationCells 3 4 11" xfId="14061" xr:uid="{00000000-0005-0000-0000-0000ED360000}"/>
    <cellStyle name="CustomizationCells 3 4 12" xfId="14062" xr:uid="{00000000-0005-0000-0000-0000EE360000}"/>
    <cellStyle name="CustomizationCells 3 4 13" xfId="14063" xr:uid="{00000000-0005-0000-0000-0000EF360000}"/>
    <cellStyle name="CustomizationCells 3 4 14" xfId="14064" xr:uid="{00000000-0005-0000-0000-0000F0360000}"/>
    <cellStyle name="CustomizationCells 3 4 15" xfId="14065" xr:uid="{00000000-0005-0000-0000-0000F1360000}"/>
    <cellStyle name="CustomizationCells 3 4 16" xfId="14066" xr:uid="{00000000-0005-0000-0000-0000F2360000}"/>
    <cellStyle name="CustomizationCells 3 4 17" xfId="14067" xr:uid="{00000000-0005-0000-0000-0000F3360000}"/>
    <cellStyle name="CustomizationCells 3 4 18" xfId="14068" xr:uid="{00000000-0005-0000-0000-0000F4360000}"/>
    <cellStyle name="CustomizationCells 3 4 19" xfId="14069" xr:uid="{00000000-0005-0000-0000-0000F5360000}"/>
    <cellStyle name="CustomizationCells 3 4 2" xfId="14070" xr:uid="{00000000-0005-0000-0000-0000F6360000}"/>
    <cellStyle name="CustomizationCells 3 4 2 10" xfId="14071" xr:uid="{00000000-0005-0000-0000-0000F7360000}"/>
    <cellStyle name="CustomizationCells 3 4 2 11" xfId="14072" xr:uid="{00000000-0005-0000-0000-0000F8360000}"/>
    <cellStyle name="CustomizationCells 3 4 2 12" xfId="14073" xr:uid="{00000000-0005-0000-0000-0000F9360000}"/>
    <cellStyle name="CustomizationCells 3 4 2 13" xfId="14074" xr:uid="{00000000-0005-0000-0000-0000FA360000}"/>
    <cellStyle name="CustomizationCells 3 4 2 14" xfId="14075" xr:uid="{00000000-0005-0000-0000-0000FB360000}"/>
    <cellStyle name="CustomizationCells 3 4 2 15" xfId="14076" xr:uid="{00000000-0005-0000-0000-0000FC360000}"/>
    <cellStyle name="CustomizationCells 3 4 2 16" xfId="14077" xr:uid="{00000000-0005-0000-0000-0000FD360000}"/>
    <cellStyle name="CustomizationCells 3 4 2 17" xfId="14078" xr:uid="{00000000-0005-0000-0000-0000FE360000}"/>
    <cellStyle name="CustomizationCells 3 4 2 18" xfId="14079" xr:uid="{00000000-0005-0000-0000-0000FF360000}"/>
    <cellStyle name="CustomizationCells 3 4 2 19" xfId="14080" xr:uid="{00000000-0005-0000-0000-000000370000}"/>
    <cellStyle name="CustomizationCells 3 4 2 2" xfId="14081" xr:uid="{00000000-0005-0000-0000-000001370000}"/>
    <cellStyle name="CustomizationCells 3 4 2 20" xfId="14082" xr:uid="{00000000-0005-0000-0000-000002370000}"/>
    <cellStyle name="CustomizationCells 3 4 2 21" xfId="14083" xr:uid="{00000000-0005-0000-0000-000003370000}"/>
    <cellStyle name="CustomizationCells 3 4 2 22" xfId="14084" xr:uid="{00000000-0005-0000-0000-000004370000}"/>
    <cellStyle name="CustomizationCells 3 4 2 23" xfId="14085" xr:uid="{00000000-0005-0000-0000-000005370000}"/>
    <cellStyle name="CustomizationCells 3 4 2 24" xfId="14086" xr:uid="{00000000-0005-0000-0000-000006370000}"/>
    <cellStyle name="CustomizationCells 3 4 2 25" xfId="14087" xr:uid="{00000000-0005-0000-0000-000007370000}"/>
    <cellStyle name="CustomizationCells 3 4 2 26" xfId="14088" xr:uid="{00000000-0005-0000-0000-000008370000}"/>
    <cellStyle name="CustomizationCells 3 4 2 27" xfId="14089" xr:uid="{00000000-0005-0000-0000-000009370000}"/>
    <cellStyle name="CustomizationCells 3 4 2 28" xfId="14090" xr:uid="{00000000-0005-0000-0000-00000A370000}"/>
    <cellStyle name="CustomizationCells 3 4 2 29" xfId="14091" xr:uid="{00000000-0005-0000-0000-00000B370000}"/>
    <cellStyle name="CustomizationCells 3 4 2 3" xfId="14092" xr:uid="{00000000-0005-0000-0000-00000C370000}"/>
    <cellStyle name="CustomizationCells 3 4 2 30" xfId="14093" xr:uid="{00000000-0005-0000-0000-00000D370000}"/>
    <cellStyle name="CustomizationCells 3 4 2 31" xfId="14094" xr:uid="{00000000-0005-0000-0000-00000E370000}"/>
    <cellStyle name="CustomizationCells 3 4 2 32" xfId="14095" xr:uid="{00000000-0005-0000-0000-00000F370000}"/>
    <cellStyle name="CustomizationCells 3 4 2 33" xfId="14096" xr:uid="{00000000-0005-0000-0000-000010370000}"/>
    <cellStyle name="CustomizationCells 3 4 2 34" xfId="14097" xr:uid="{00000000-0005-0000-0000-000011370000}"/>
    <cellStyle name="CustomizationCells 3 4 2 35" xfId="14098" xr:uid="{00000000-0005-0000-0000-000012370000}"/>
    <cellStyle name="CustomizationCells 3 4 2 36" xfId="14099" xr:uid="{00000000-0005-0000-0000-000013370000}"/>
    <cellStyle name="CustomizationCells 3 4 2 37" xfId="14100" xr:uid="{00000000-0005-0000-0000-000014370000}"/>
    <cellStyle name="CustomizationCells 3 4 2 38" xfId="14101" xr:uid="{00000000-0005-0000-0000-000015370000}"/>
    <cellStyle name="CustomizationCells 3 4 2 39" xfId="14102" xr:uid="{00000000-0005-0000-0000-000016370000}"/>
    <cellStyle name="CustomizationCells 3 4 2 4" xfId="14103" xr:uid="{00000000-0005-0000-0000-000017370000}"/>
    <cellStyle name="CustomizationCells 3 4 2 40" xfId="14104" xr:uid="{00000000-0005-0000-0000-000018370000}"/>
    <cellStyle name="CustomizationCells 3 4 2 41" xfId="14105" xr:uid="{00000000-0005-0000-0000-000019370000}"/>
    <cellStyle name="CustomizationCells 3 4 2 42" xfId="14106" xr:uid="{00000000-0005-0000-0000-00001A370000}"/>
    <cellStyle name="CustomizationCells 3 4 2 43" xfId="14107" xr:uid="{00000000-0005-0000-0000-00001B370000}"/>
    <cellStyle name="CustomizationCells 3 4 2 44" xfId="14108" xr:uid="{00000000-0005-0000-0000-00001C370000}"/>
    <cellStyle name="CustomizationCells 3 4 2 45" xfId="14109" xr:uid="{00000000-0005-0000-0000-00001D370000}"/>
    <cellStyle name="CustomizationCells 3 4 2 46" xfId="14110" xr:uid="{00000000-0005-0000-0000-00001E370000}"/>
    <cellStyle name="CustomizationCells 3 4 2 47" xfId="14111" xr:uid="{00000000-0005-0000-0000-00001F370000}"/>
    <cellStyle name="CustomizationCells 3 4 2 48" xfId="14112" xr:uid="{00000000-0005-0000-0000-000020370000}"/>
    <cellStyle name="CustomizationCells 3 4 2 49" xfId="14113" xr:uid="{00000000-0005-0000-0000-000021370000}"/>
    <cellStyle name="CustomizationCells 3 4 2 5" xfId="14114" xr:uid="{00000000-0005-0000-0000-000022370000}"/>
    <cellStyle name="CustomizationCells 3 4 2 50" xfId="14115" xr:uid="{00000000-0005-0000-0000-000023370000}"/>
    <cellStyle name="CustomizationCells 3 4 2 51" xfId="14116" xr:uid="{00000000-0005-0000-0000-000024370000}"/>
    <cellStyle name="CustomizationCells 3 4 2 52" xfId="14117" xr:uid="{00000000-0005-0000-0000-000025370000}"/>
    <cellStyle name="CustomizationCells 3 4 2 53" xfId="14118" xr:uid="{00000000-0005-0000-0000-000026370000}"/>
    <cellStyle name="CustomizationCells 3 4 2 54" xfId="14119" xr:uid="{00000000-0005-0000-0000-000027370000}"/>
    <cellStyle name="CustomizationCells 3 4 2 55" xfId="14120" xr:uid="{00000000-0005-0000-0000-000028370000}"/>
    <cellStyle name="CustomizationCells 3 4 2 56" xfId="14121" xr:uid="{00000000-0005-0000-0000-000029370000}"/>
    <cellStyle name="CustomizationCells 3 4 2 57" xfId="14122" xr:uid="{00000000-0005-0000-0000-00002A370000}"/>
    <cellStyle name="CustomizationCells 3 4 2 58" xfId="14123" xr:uid="{00000000-0005-0000-0000-00002B370000}"/>
    <cellStyle name="CustomizationCells 3 4 2 59" xfId="14124" xr:uid="{00000000-0005-0000-0000-00002C370000}"/>
    <cellStyle name="CustomizationCells 3 4 2 6" xfId="14125" xr:uid="{00000000-0005-0000-0000-00002D370000}"/>
    <cellStyle name="CustomizationCells 3 4 2 60" xfId="14126" xr:uid="{00000000-0005-0000-0000-00002E370000}"/>
    <cellStyle name="CustomizationCells 3 4 2 61" xfId="14127" xr:uid="{00000000-0005-0000-0000-00002F370000}"/>
    <cellStyle name="CustomizationCells 3 4 2 62" xfId="14128" xr:uid="{00000000-0005-0000-0000-000030370000}"/>
    <cellStyle name="CustomizationCells 3 4 2 63" xfId="14129" xr:uid="{00000000-0005-0000-0000-000031370000}"/>
    <cellStyle name="CustomizationCells 3 4 2 64" xfId="14130" xr:uid="{00000000-0005-0000-0000-000032370000}"/>
    <cellStyle name="CustomizationCells 3 4 2 65" xfId="14131" xr:uid="{00000000-0005-0000-0000-000033370000}"/>
    <cellStyle name="CustomizationCells 3 4 2 7" xfId="14132" xr:uid="{00000000-0005-0000-0000-000034370000}"/>
    <cellStyle name="CustomizationCells 3 4 2 8" xfId="14133" xr:uid="{00000000-0005-0000-0000-000035370000}"/>
    <cellStyle name="CustomizationCells 3 4 2 9" xfId="14134" xr:uid="{00000000-0005-0000-0000-000036370000}"/>
    <cellStyle name="CustomizationCells 3 4 20" xfId="14135" xr:uid="{00000000-0005-0000-0000-000037370000}"/>
    <cellStyle name="CustomizationCells 3 4 21" xfId="14136" xr:uid="{00000000-0005-0000-0000-000038370000}"/>
    <cellStyle name="CustomizationCells 3 4 22" xfId="14137" xr:uid="{00000000-0005-0000-0000-000039370000}"/>
    <cellStyle name="CustomizationCells 3 4 23" xfId="14138" xr:uid="{00000000-0005-0000-0000-00003A370000}"/>
    <cellStyle name="CustomizationCells 3 4 24" xfId="14139" xr:uid="{00000000-0005-0000-0000-00003B370000}"/>
    <cellStyle name="CustomizationCells 3 4 25" xfId="14140" xr:uid="{00000000-0005-0000-0000-00003C370000}"/>
    <cellStyle name="CustomizationCells 3 4 26" xfId="14141" xr:uid="{00000000-0005-0000-0000-00003D370000}"/>
    <cellStyle name="CustomizationCells 3 4 27" xfId="14142" xr:uid="{00000000-0005-0000-0000-00003E370000}"/>
    <cellStyle name="CustomizationCells 3 4 28" xfId="14143" xr:uid="{00000000-0005-0000-0000-00003F370000}"/>
    <cellStyle name="CustomizationCells 3 4 29" xfId="14144" xr:uid="{00000000-0005-0000-0000-000040370000}"/>
    <cellStyle name="CustomizationCells 3 4 3" xfId="14145" xr:uid="{00000000-0005-0000-0000-000041370000}"/>
    <cellStyle name="CustomizationCells 3 4 30" xfId="14146" xr:uid="{00000000-0005-0000-0000-000042370000}"/>
    <cellStyle name="CustomizationCells 3 4 31" xfId="14147" xr:uid="{00000000-0005-0000-0000-000043370000}"/>
    <cellStyle name="CustomizationCells 3 4 32" xfId="14148" xr:uid="{00000000-0005-0000-0000-000044370000}"/>
    <cellStyle name="CustomizationCells 3 4 33" xfId="14149" xr:uid="{00000000-0005-0000-0000-000045370000}"/>
    <cellStyle name="CustomizationCells 3 4 34" xfId="14150" xr:uid="{00000000-0005-0000-0000-000046370000}"/>
    <cellStyle name="CustomizationCells 3 4 35" xfId="14151" xr:uid="{00000000-0005-0000-0000-000047370000}"/>
    <cellStyle name="CustomizationCells 3 4 36" xfId="14152" xr:uid="{00000000-0005-0000-0000-000048370000}"/>
    <cellStyle name="CustomizationCells 3 4 37" xfId="14153" xr:uid="{00000000-0005-0000-0000-000049370000}"/>
    <cellStyle name="CustomizationCells 3 4 38" xfId="14154" xr:uid="{00000000-0005-0000-0000-00004A370000}"/>
    <cellStyle name="CustomizationCells 3 4 39" xfId="14155" xr:uid="{00000000-0005-0000-0000-00004B370000}"/>
    <cellStyle name="CustomizationCells 3 4 4" xfId="14156" xr:uid="{00000000-0005-0000-0000-00004C370000}"/>
    <cellStyle name="CustomizationCells 3 4 40" xfId="14157" xr:uid="{00000000-0005-0000-0000-00004D370000}"/>
    <cellStyle name="CustomizationCells 3 4 41" xfId="14158" xr:uid="{00000000-0005-0000-0000-00004E370000}"/>
    <cellStyle name="CustomizationCells 3 4 42" xfId="14159" xr:uid="{00000000-0005-0000-0000-00004F370000}"/>
    <cellStyle name="CustomizationCells 3 4 43" xfId="14160" xr:uid="{00000000-0005-0000-0000-000050370000}"/>
    <cellStyle name="CustomizationCells 3 4 44" xfId="14161" xr:uid="{00000000-0005-0000-0000-000051370000}"/>
    <cellStyle name="CustomizationCells 3 4 45" xfId="14162" xr:uid="{00000000-0005-0000-0000-000052370000}"/>
    <cellStyle name="CustomizationCells 3 4 46" xfId="14163" xr:uid="{00000000-0005-0000-0000-000053370000}"/>
    <cellStyle name="CustomizationCells 3 4 47" xfId="14164" xr:uid="{00000000-0005-0000-0000-000054370000}"/>
    <cellStyle name="CustomizationCells 3 4 48" xfId="14165" xr:uid="{00000000-0005-0000-0000-000055370000}"/>
    <cellStyle name="CustomizationCells 3 4 49" xfId="14166" xr:uid="{00000000-0005-0000-0000-000056370000}"/>
    <cellStyle name="CustomizationCells 3 4 5" xfId="14167" xr:uid="{00000000-0005-0000-0000-000057370000}"/>
    <cellStyle name="CustomizationCells 3 4 50" xfId="14168" xr:uid="{00000000-0005-0000-0000-000058370000}"/>
    <cellStyle name="CustomizationCells 3 4 51" xfId="14169" xr:uid="{00000000-0005-0000-0000-000059370000}"/>
    <cellStyle name="CustomizationCells 3 4 52" xfId="14170" xr:uid="{00000000-0005-0000-0000-00005A370000}"/>
    <cellStyle name="CustomizationCells 3 4 53" xfId="14171" xr:uid="{00000000-0005-0000-0000-00005B370000}"/>
    <cellStyle name="CustomizationCells 3 4 54" xfId="14172" xr:uid="{00000000-0005-0000-0000-00005C370000}"/>
    <cellStyle name="CustomizationCells 3 4 55" xfId="14173" xr:uid="{00000000-0005-0000-0000-00005D370000}"/>
    <cellStyle name="CustomizationCells 3 4 56" xfId="14174" xr:uid="{00000000-0005-0000-0000-00005E370000}"/>
    <cellStyle name="CustomizationCells 3 4 57" xfId="14175" xr:uid="{00000000-0005-0000-0000-00005F370000}"/>
    <cellStyle name="CustomizationCells 3 4 58" xfId="14176" xr:uid="{00000000-0005-0000-0000-000060370000}"/>
    <cellStyle name="CustomizationCells 3 4 59" xfId="14177" xr:uid="{00000000-0005-0000-0000-000061370000}"/>
    <cellStyle name="CustomizationCells 3 4 6" xfId="14178" xr:uid="{00000000-0005-0000-0000-000062370000}"/>
    <cellStyle name="CustomizationCells 3 4 60" xfId="14179" xr:uid="{00000000-0005-0000-0000-000063370000}"/>
    <cellStyle name="CustomizationCells 3 4 61" xfId="14180" xr:uid="{00000000-0005-0000-0000-000064370000}"/>
    <cellStyle name="CustomizationCells 3 4 62" xfId="14181" xr:uid="{00000000-0005-0000-0000-000065370000}"/>
    <cellStyle name="CustomizationCells 3 4 63" xfId="14182" xr:uid="{00000000-0005-0000-0000-000066370000}"/>
    <cellStyle name="CustomizationCells 3 4 64" xfId="14183" xr:uid="{00000000-0005-0000-0000-000067370000}"/>
    <cellStyle name="CustomizationCells 3 4 65" xfId="14184" xr:uid="{00000000-0005-0000-0000-000068370000}"/>
    <cellStyle name="CustomizationCells 3 4 66" xfId="14185" xr:uid="{00000000-0005-0000-0000-000069370000}"/>
    <cellStyle name="CustomizationCells 3 4 7" xfId="14186" xr:uid="{00000000-0005-0000-0000-00006A370000}"/>
    <cellStyle name="CustomizationCells 3 4 8" xfId="14187" xr:uid="{00000000-0005-0000-0000-00006B370000}"/>
    <cellStyle name="CustomizationCells 3 4 9" xfId="14188" xr:uid="{00000000-0005-0000-0000-00006C370000}"/>
    <cellStyle name="CustomizationCells 3 40" xfId="14189" xr:uid="{00000000-0005-0000-0000-00006D370000}"/>
    <cellStyle name="CustomizationCells 3 41" xfId="14190" xr:uid="{00000000-0005-0000-0000-00006E370000}"/>
    <cellStyle name="CustomizationCells 3 42" xfId="14191" xr:uid="{00000000-0005-0000-0000-00006F370000}"/>
    <cellStyle name="CustomizationCells 3 43" xfId="14192" xr:uid="{00000000-0005-0000-0000-000070370000}"/>
    <cellStyle name="CustomizationCells 3 44" xfId="14193" xr:uid="{00000000-0005-0000-0000-000071370000}"/>
    <cellStyle name="CustomizationCells 3 45" xfId="14194" xr:uid="{00000000-0005-0000-0000-000072370000}"/>
    <cellStyle name="CustomizationCells 3 46" xfId="14195" xr:uid="{00000000-0005-0000-0000-000073370000}"/>
    <cellStyle name="CustomizationCells 3 47" xfId="14196" xr:uid="{00000000-0005-0000-0000-000074370000}"/>
    <cellStyle name="CustomizationCells 3 48" xfId="14197" xr:uid="{00000000-0005-0000-0000-000075370000}"/>
    <cellStyle name="CustomizationCells 3 49" xfId="14198" xr:uid="{00000000-0005-0000-0000-000076370000}"/>
    <cellStyle name="CustomizationCells 3 5" xfId="14199" xr:uid="{00000000-0005-0000-0000-000077370000}"/>
    <cellStyle name="CustomizationCells 3 5 2" xfId="14200" xr:uid="{00000000-0005-0000-0000-000078370000}"/>
    <cellStyle name="CustomizationCells 3 5 3" xfId="14201" xr:uid="{00000000-0005-0000-0000-000079370000}"/>
    <cellStyle name="CustomizationCells 3 5 4" xfId="14202" xr:uid="{00000000-0005-0000-0000-00007A370000}"/>
    <cellStyle name="CustomizationCells 3 5 5" xfId="14203" xr:uid="{00000000-0005-0000-0000-00007B370000}"/>
    <cellStyle name="CustomizationCells 3 50" xfId="14204" xr:uid="{00000000-0005-0000-0000-00007C370000}"/>
    <cellStyle name="CustomizationCells 3 51" xfId="14205" xr:uid="{00000000-0005-0000-0000-00007D370000}"/>
    <cellStyle name="CustomizationCells 3 52" xfId="14206" xr:uid="{00000000-0005-0000-0000-00007E370000}"/>
    <cellStyle name="CustomizationCells 3 53" xfId="14207" xr:uid="{00000000-0005-0000-0000-00007F370000}"/>
    <cellStyle name="CustomizationCells 3 54" xfId="14208" xr:uid="{00000000-0005-0000-0000-000080370000}"/>
    <cellStyle name="CustomizationCells 3 55" xfId="14209" xr:uid="{00000000-0005-0000-0000-000081370000}"/>
    <cellStyle name="CustomizationCells 3 56" xfId="14210" xr:uid="{00000000-0005-0000-0000-000082370000}"/>
    <cellStyle name="CustomizationCells 3 57" xfId="14211" xr:uid="{00000000-0005-0000-0000-000083370000}"/>
    <cellStyle name="CustomizationCells 3 58" xfId="14212" xr:uid="{00000000-0005-0000-0000-000084370000}"/>
    <cellStyle name="CustomizationCells 3 59" xfId="14213" xr:uid="{00000000-0005-0000-0000-000085370000}"/>
    <cellStyle name="CustomizationCells 3 6" xfId="14214" xr:uid="{00000000-0005-0000-0000-000086370000}"/>
    <cellStyle name="CustomizationCells 3 60" xfId="14215" xr:uid="{00000000-0005-0000-0000-000087370000}"/>
    <cellStyle name="CustomizationCells 3 61" xfId="14216" xr:uid="{00000000-0005-0000-0000-000088370000}"/>
    <cellStyle name="CustomizationCells 3 62" xfId="14217" xr:uid="{00000000-0005-0000-0000-000089370000}"/>
    <cellStyle name="CustomizationCells 3 63" xfId="14218" xr:uid="{00000000-0005-0000-0000-00008A370000}"/>
    <cellStyle name="CustomizationCells 3 64" xfId="14219" xr:uid="{00000000-0005-0000-0000-00008B370000}"/>
    <cellStyle name="CustomizationCells 3 65" xfId="14220" xr:uid="{00000000-0005-0000-0000-00008C370000}"/>
    <cellStyle name="CustomizationCells 3 66" xfId="14221" xr:uid="{00000000-0005-0000-0000-00008D370000}"/>
    <cellStyle name="CustomizationCells 3 67" xfId="14222" xr:uid="{00000000-0005-0000-0000-00008E370000}"/>
    <cellStyle name="CustomizationCells 3 68" xfId="14223" xr:uid="{00000000-0005-0000-0000-00008F370000}"/>
    <cellStyle name="CustomizationCells 3 69" xfId="14224" xr:uid="{00000000-0005-0000-0000-000090370000}"/>
    <cellStyle name="CustomizationCells 3 7" xfId="14225" xr:uid="{00000000-0005-0000-0000-000091370000}"/>
    <cellStyle name="CustomizationCells 3 8" xfId="14226" xr:uid="{00000000-0005-0000-0000-000092370000}"/>
    <cellStyle name="CustomizationCells 3 9" xfId="14227" xr:uid="{00000000-0005-0000-0000-000093370000}"/>
    <cellStyle name="CustomizationCells 4" xfId="14228" xr:uid="{00000000-0005-0000-0000-000094370000}"/>
    <cellStyle name="CustomizationCells 4 2" xfId="14229" xr:uid="{00000000-0005-0000-0000-000095370000}"/>
    <cellStyle name="CustomizationCells 4 3" xfId="14230" xr:uid="{00000000-0005-0000-0000-000096370000}"/>
    <cellStyle name="CustomizationCells 4 4" xfId="14231" xr:uid="{00000000-0005-0000-0000-000097370000}"/>
    <cellStyle name="CustomizationCells 4 5" xfId="14232" xr:uid="{00000000-0005-0000-0000-000098370000}"/>
    <cellStyle name="CustomizationGreenCells" xfId="14233" xr:uid="{00000000-0005-0000-0000-000099370000}"/>
    <cellStyle name="CustomizationGreenCells 2" xfId="14234" xr:uid="{00000000-0005-0000-0000-00009A370000}"/>
    <cellStyle name="CustomizationGreenCells 2 2" xfId="14235" xr:uid="{00000000-0005-0000-0000-00009B370000}"/>
    <cellStyle name="CustomizationGreenCells 2 3" xfId="14236" xr:uid="{00000000-0005-0000-0000-00009C370000}"/>
    <cellStyle name="CustomizationGreenCells 3" xfId="14237" xr:uid="{00000000-0005-0000-0000-00009D370000}"/>
    <cellStyle name="CustomizationGreenCells 3 10" xfId="14238" xr:uid="{00000000-0005-0000-0000-00009E370000}"/>
    <cellStyle name="CustomizationGreenCells 3 11" xfId="14239" xr:uid="{00000000-0005-0000-0000-00009F370000}"/>
    <cellStyle name="CustomizationGreenCells 3 12" xfId="14240" xr:uid="{00000000-0005-0000-0000-0000A0370000}"/>
    <cellStyle name="CustomizationGreenCells 3 13" xfId="14241" xr:uid="{00000000-0005-0000-0000-0000A1370000}"/>
    <cellStyle name="CustomizationGreenCells 3 14" xfId="14242" xr:uid="{00000000-0005-0000-0000-0000A2370000}"/>
    <cellStyle name="CustomizationGreenCells 3 15" xfId="14243" xr:uid="{00000000-0005-0000-0000-0000A3370000}"/>
    <cellStyle name="CustomizationGreenCells 3 16" xfId="14244" xr:uid="{00000000-0005-0000-0000-0000A4370000}"/>
    <cellStyle name="CustomizationGreenCells 3 17" xfId="14245" xr:uid="{00000000-0005-0000-0000-0000A5370000}"/>
    <cellStyle name="CustomizationGreenCells 3 18" xfId="14246" xr:uid="{00000000-0005-0000-0000-0000A6370000}"/>
    <cellStyle name="CustomizationGreenCells 3 19" xfId="14247" xr:uid="{00000000-0005-0000-0000-0000A7370000}"/>
    <cellStyle name="CustomizationGreenCells 3 2" xfId="14248" xr:uid="{00000000-0005-0000-0000-0000A8370000}"/>
    <cellStyle name="CustomizationGreenCells 3 2 10" xfId="14249" xr:uid="{00000000-0005-0000-0000-0000A9370000}"/>
    <cellStyle name="CustomizationGreenCells 3 2 11" xfId="14250" xr:uid="{00000000-0005-0000-0000-0000AA370000}"/>
    <cellStyle name="CustomizationGreenCells 3 2 12" xfId="14251" xr:uid="{00000000-0005-0000-0000-0000AB370000}"/>
    <cellStyle name="CustomizationGreenCells 3 2 13" xfId="14252" xr:uid="{00000000-0005-0000-0000-0000AC370000}"/>
    <cellStyle name="CustomizationGreenCells 3 2 14" xfId="14253" xr:uid="{00000000-0005-0000-0000-0000AD370000}"/>
    <cellStyle name="CustomizationGreenCells 3 2 15" xfId="14254" xr:uid="{00000000-0005-0000-0000-0000AE370000}"/>
    <cellStyle name="CustomizationGreenCells 3 2 16" xfId="14255" xr:uid="{00000000-0005-0000-0000-0000AF370000}"/>
    <cellStyle name="CustomizationGreenCells 3 2 17" xfId="14256" xr:uid="{00000000-0005-0000-0000-0000B0370000}"/>
    <cellStyle name="CustomizationGreenCells 3 2 18" xfId="14257" xr:uid="{00000000-0005-0000-0000-0000B1370000}"/>
    <cellStyle name="CustomizationGreenCells 3 2 19" xfId="14258" xr:uid="{00000000-0005-0000-0000-0000B2370000}"/>
    <cellStyle name="CustomizationGreenCells 3 2 2" xfId="14259" xr:uid="{00000000-0005-0000-0000-0000B3370000}"/>
    <cellStyle name="CustomizationGreenCells 3 2 2 10" xfId="14260" xr:uid="{00000000-0005-0000-0000-0000B4370000}"/>
    <cellStyle name="CustomizationGreenCells 3 2 2 11" xfId="14261" xr:uid="{00000000-0005-0000-0000-0000B5370000}"/>
    <cellStyle name="CustomizationGreenCells 3 2 2 12" xfId="14262" xr:uid="{00000000-0005-0000-0000-0000B6370000}"/>
    <cellStyle name="CustomizationGreenCells 3 2 2 13" xfId="14263" xr:uid="{00000000-0005-0000-0000-0000B7370000}"/>
    <cellStyle name="CustomizationGreenCells 3 2 2 14" xfId="14264" xr:uid="{00000000-0005-0000-0000-0000B8370000}"/>
    <cellStyle name="CustomizationGreenCells 3 2 2 15" xfId="14265" xr:uid="{00000000-0005-0000-0000-0000B9370000}"/>
    <cellStyle name="CustomizationGreenCells 3 2 2 16" xfId="14266" xr:uid="{00000000-0005-0000-0000-0000BA370000}"/>
    <cellStyle name="CustomizationGreenCells 3 2 2 17" xfId="14267" xr:uid="{00000000-0005-0000-0000-0000BB370000}"/>
    <cellStyle name="CustomizationGreenCells 3 2 2 18" xfId="14268" xr:uid="{00000000-0005-0000-0000-0000BC370000}"/>
    <cellStyle name="CustomizationGreenCells 3 2 2 19" xfId="14269" xr:uid="{00000000-0005-0000-0000-0000BD370000}"/>
    <cellStyle name="CustomizationGreenCells 3 2 2 2" xfId="14270" xr:uid="{00000000-0005-0000-0000-0000BE370000}"/>
    <cellStyle name="CustomizationGreenCells 3 2 2 20" xfId="14271" xr:uid="{00000000-0005-0000-0000-0000BF370000}"/>
    <cellStyle name="CustomizationGreenCells 3 2 2 21" xfId="14272" xr:uid="{00000000-0005-0000-0000-0000C0370000}"/>
    <cellStyle name="CustomizationGreenCells 3 2 2 22" xfId="14273" xr:uid="{00000000-0005-0000-0000-0000C1370000}"/>
    <cellStyle name="CustomizationGreenCells 3 2 2 23" xfId="14274" xr:uid="{00000000-0005-0000-0000-0000C2370000}"/>
    <cellStyle name="CustomizationGreenCells 3 2 2 24" xfId="14275" xr:uid="{00000000-0005-0000-0000-0000C3370000}"/>
    <cellStyle name="CustomizationGreenCells 3 2 2 25" xfId="14276" xr:uid="{00000000-0005-0000-0000-0000C4370000}"/>
    <cellStyle name="CustomizationGreenCells 3 2 2 26" xfId="14277" xr:uid="{00000000-0005-0000-0000-0000C5370000}"/>
    <cellStyle name="CustomizationGreenCells 3 2 2 27" xfId="14278" xr:uid="{00000000-0005-0000-0000-0000C6370000}"/>
    <cellStyle name="CustomizationGreenCells 3 2 2 28" xfId="14279" xr:uid="{00000000-0005-0000-0000-0000C7370000}"/>
    <cellStyle name="CustomizationGreenCells 3 2 2 29" xfId="14280" xr:uid="{00000000-0005-0000-0000-0000C8370000}"/>
    <cellStyle name="CustomizationGreenCells 3 2 2 3" xfId="14281" xr:uid="{00000000-0005-0000-0000-0000C9370000}"/>
    <cellStyle name="CustomizationGreenCells 3 2 2 30" xfId="14282" xr:uid="{00000000-0005-0000-0000-0000CA370000}"/>
    <cellStyle name="CustomizationGreenCells 3 2 2 31" xfId="14283" xr:uid="{00000000-0005-0000-0000-0000CB370000}"/>
    <cellStyle name="CustomizationGreenCells 3 2 2 32" xfId="14284" xr:uid="{00000000-0005-0000-0000-0000CC370000}"/>
    <cellStyle name="CustomizationGreenCells 3 2 2 33" xfId="14285" xr:uid="{00000000-0005-0000-0000-0000CD370000}"/>
    <cellStyle name="CustomizationGreenCells 3 2 2 34" xfId="14286" xr:uid="{00000000-0005-0000-0000-0000CE370000}"/>
    <cellStyle name="CustomizationGreenCells 3 2 2 35" xfId="14287" xr:uid="{00000000-0005-0000-0000-0000CF370000}"/>
    <cellStyle name="CustomizationGreenCells 3 2 2 36" xfId="14288" xr:uid="{00000000-0005-0000-0000-0000D0370000}"/>
    <cellStyle name="CustomizationGreenCells 3 2 2 37" xfId="14289" xr:uid="{00000000-0005-0000-0000-0000D1370000}"/>
    <cellStyle name="CustomizationGreenCells 3 2 2 38" xfId="14290" xr:uid="{00000000-0005-0000-0000-0000D2370000}"/>
    <cellStyle name="CustomizationGreenCells 3 2 2 39" xfId="14291" xr:uid="{00000000-0005-0000-0000-0000D3370000}"/>
    <cellStyle name="CustomizationGreenCells 3 2 2 4" xfId="14292" xr:uid="{00000000-0005-0000-0000-0000D4370000}"/>
    <cellStyle name="CustomizationGreenCells 3 2 2 40" xfId="14293" xr:uid="{00000000-0005-0000-0000-0000D5370000}"/>
    <cellStyle name="CustomizationGreenCells 3 2 2 41" xfId="14294" xr:uid="{00000000-0005-0000-0000-0000D6370000}"/>
    <cellStyle name="CustomizationGreenCells 3 2 2 42" xfId="14295" xr:uid="{00000000-0005-0000-0000-0000D7370000}"/>
    <cellStyle name="CustomizationGreenCells 3 2 2 43" xfId="14296" xr:uid="{00000000-0005-0000-0000-0000D8370000}"/>
    <cellStyle name="CustomizationGreenCells 3 2 2 44" xfId="14297" xr:uid="{00000000-0005-0000-0000-0000D9370000}"/>
    <cellStyle name="CustomizationGreenCells 3 2 2 45" xfId="14298" xr:uid="{00000000-0005-0000-0000-0000DA370000}"/>
    <cellStyle name="CustomizationGreenCells 3 2 2 46" xfId="14299" xr:uid="{00000000-0005-0000-0000-0000DB370000}"/>
    <cellStyle name="CustomizationGreenCells 3 2 2 47" xfId="14300" xr:uid="{00000000-0005-0000-0000-0000DC370000}"/>
    <cellStyle name="CustomizationGreenCells 3 2 2 48" xfId="14301" xr:uid="{00000000-0005-0000-0000-0000DD370000}"/>
    <cellStyle name="CustomizationGreenCells 3 2 2 49" xfId="14302" xr:uid="{00000000-0005-0000-0000-0000DE370000}"/>
    <cellStyle name="CustomizationGreenCells 3 2 2 5" xfId="14303" xr:uid="{00000000-0005-0000-0000-0000DF370000}"/>
    <cellStyle name="CustomizationGreenCells 3 2 2 50" xfId="14304" xr:uid="{00000000-0005-0000-0000-0000E0370000}"/>
    <cellStyle name="CustomizationGreenCells 3 2 2 51" xfId="14305" xr:uid="{00000000-0005-0000-0000-0000E1370000}"/>
    <cellStyle name="CustomizationGreenCells 3 2 2 52" xfId="14306" xr:uid="{00000000-0005-0000-0000-0000E2370000}"/>
    <cellStyle name="CustomizationGreenCells 3 2 2 53" xfId="14307" xr:uid="{00000000-0005-0000-0000-0000E3370000}"/>
    <cellStyle name="CustomizationGreenCells 3 2 2 54" xfId="14308" xr:uid="{00000000-0005-0000-0000-0000E4370000}"/>
    <cellStyle name="CustomizationGreenCells 3 2 2 55" xfId="14309" xr:uid="{00000000-0005-0000-0000-0000E5370000}"/>
    <cellStyle name="CustomizationGreenCells 3 2 2 56" xfId="14310" xr:uid="{00000000-0005-0000-0000-0000E6370000}"/>
    <cellStyle name="CustomizationGreenCells 3 2 2 57" xfId="14311" xr:uid="{00000000-0005-0000-0000-0000E7370000}"/>
    <cellStyle name="CustomizationGreenCells 3 2 2 58" xfId="14312" xr:uid="{00000000-0005-0000-0000-0000E8370000}"/>
    <cellStyle name="CustomizationGreenCells 3 2 2 59" xfId="14313" xr:uid="{00000000-0005-0000-0000-0000E9370000}"/>
    <cellStyle name="CustomizationGreenCells 3 2 2 6" xfId="14314" xr:uid="{00000000-0005-0000-0000-0000EA370000}"/>
    <cellStyle name="CustomizationGreenCells 3 2 2 60" xfId="14315" xr:uid="{00000000-0005-0000-0000-0000EB370000}"/>
    <cellStyle name="CustomizationGreenCells 3 2 2 61" xfId="14316" xr:uid="{00000000-0005-0000-0000-0000EC370000}"/>
    <cellStyle name="CustomizationGreenCells 3 2 2 62" xfId="14317" xr:uid="{00000000-0005-0000-0000-0000ED370000}"/>
    <cellStyle name="CustomizationGreenCells 3 2 2 63" xfId="14318" xr:uid="{00000000-0005-0000-0000-0000EE370000}"/>
    <cellStyle name="CustomizationGreenCells 3 2 2 64" xfId="14319" xr:uid="{00000000-0005-0000-0000-0000EF370000}"/>
    <cellStyle name="CustomizationGreenCells 3 2 2 65" xfId="14320" xr:uid="{00000000-0005-0000-0000-0000F0370000}"/>
    <cellStyle name="CustomizationGreenCells 3 2 2 7" xfId="14321" xr:uid="{00000000-0005-0000-0000-0000F1370000}"/>
    <cellStyle name="CustomizationGreenCells 3 2 2 8" xfId="14322" xr:uid="{00000000-0005-0000-0000-0000F2370000}"/>
    <cellStyle name="CustomizationGreenCells 3 2 2 9" xfId="14323" xr:uid="{00000000-0005-0000-0000-0000F3370000}"/>
    <cellStyle name="CustomizationGreenCells 3 2 20" xfId="14324" xr:uid="{00000000-0005-0000-0000-0000F4370000}"/>
    <cellStyle name="CustomizationGreenCells 3 2 21" xfId="14325" xr:uid="{00000000-0005-0000-0000-0000F5370000}"/>
    <cellStyle name="CustomizationGreenCells 3 2 22" xfId="14326" xr:uid="{00000000-0005-0000-0000-0000F6370000}"/>
    <cellStyle name="CustomizationGreenCells 3 2 23" xfId="14327" xr:uid="{00000000-0005-0000-0000-0000F7370000}"/>
    <cellStyle name="CustomizationGreenCells 3 2 24" xfId="14328" xr:uid="{00000000-0005-0000-0000-0000F8370000}"/>
    <cellStyle name="CustomizationGreenCells 3 2 25" xfId="14329" xr:uid="{00000000-0005-0000-0000-0000F9370000}"/>
    <cellStyle name="CustomizationGreenCells 3 2 26" xfId="14330" xr:uid="{00000000-0005-0000-0000-0000FA370000}"/>
    <cellStyle name="CustomizationGreenCells 3 2 27" xfId="14331" xr:uid="{00000000-0005-0000-0000-0000FB370000}"/>
    <cellStyle name="CustomizationGreenCells 3 2 28" xfId="14332" xr:uid="{00000000-0005-0000-0000-0000FC370000}"/>
    <cellStyle name="CustomizationGreenCells 3 2 29" xfId="14333" xr:uid="{00000000-0005-0000-0000-0000FD370000}"/>
    <cellStyle name="CustomizationGreenCells 3 2 3" xfId="14334" xr:uid="{00000000-0005-0000-0000-0000FE370000}"/>
    <cellStyle name="CustomizationGreenCells 3 2 30" xfId="14335" xr:uid="{00000000-0005-0000-0000-0000FF370000}"/>
    <cellStyle name="CustomizationGreenCells 3 2 31" xfId="14336" xr:uid="{00000000-0005-0000-0000-000000380000}"/>
    <cellStyle name="CustomizationGreenCells 3 2 32" xfId="14337" xr:uid="{00000000-0005-0000-0000-000001380000}"/>
    <cellStyle name="CustomizationGreenCells 3 2 33" xfId="14338" xr:uid="{00000000-0005-0000-0000-000002380000}"/>
    <cellStyle name="CustomizationGreenCells 3 2 34" xfId="14339" xr:uid="{00000000-0005-0000-0000-000003380000}"/>
    <cellStyle name="CustomizationGreenCells 3 2 35" xfId="14340" xr:uid="{00000000-0005-0000-0000-000004380000}"/>
    <cellStyle name="CustomizationGreenCells 3 2 36" xfId="14341" xr:uid="{00000000-0005-0000-0000-000005380000}"/>
    <cellStyle name="CustomizationGreenCells 3 2 37" xfId="14342" xr:uid="{00000000-0005-0000-0000-000006380000}"/>
    <cellStyle name="CustomizationGreenCells 3 2 38" xfId="14343" xr:uid="{00000000-0005-0000-0000-000007380000}"/>
    <cellStyle name="CustomizationGreenCells 3 2 39" xfId="14344" xr:uid="{00000000-0005-0000-0000-000008380000}"/>
    <cellStyle name="CustomizationGreenCells 3 2 4" xfId="14345" xr:uid="{00000000-0005-0000-0000-000009380000}"/>
    <cellStyle name="CustomizationGreenCells 3 2 40" xfId="14346" xr:uid="{00000000-0005-0000-0000-00000A380000}"/>
    <cellStyle name="CustomizationGreenCells 3 2 41" xfId="14347" xr:uid="{00000000-0005-0000-0000-00000B380000}"/>
    <cellStyle name="CustomizationGreenCells 3 2 42" xfId="14348" xr:uid="{00000000-0005-0000-0000-00000C380000}"/>
    <cellStyle name="CustomizationGreenCells 3 2 43" xfId="14349" xr:uid="{00000000-0005-0000-0000-00000D380000}"/>
    <cellStyle name="CustomizationGreenCells 3 2 44" xfId="14350" xr:uid="{00000000-0005-0000-0000-00000E380000}"/>
    <cellStyle name="CustomizationGreenCells 3 2 45" xfId="14351" xr:uid="{00000000-0005-0000-0000-00000F380000}"/>
    <cellStyle name="CustomizationGreenCells 3 2 46" xfId="14352" xr:uid="{00000000-0005-0000-0000-000010380000}"/>
    <cellStyle name="CustomizationGreenCells 3 2 47" xfId="14353" xr:uid="{00000000-0005-0000-0000-000011380000}"/>
    <cellStyle name="CustomizationGreenCells 3 2 48" xfId="14354" xr:uid="{00000000-0005-0000-0000-000012380000}"/>
    <cellStyle name="CustomizationGreenCells 3 2 49" xfId="14355" xr:uid="{00000000-0005-0000-0000-000013380000}"/>
    <cellStyle name="CustomizationGreenCells 3 2 5" xfId="14356" xr:uid="{00000000-0005-0000-0000-000014380000}"/>
    <cellStyle name="CustomizationGreenCells 3 2 50" xfId="14357" xr:uid="{00000000-0005-0000-0000-000015380000}"/>
    <cellStyle name="CustomizationGreenCells 3 2 51" xfId="14358" xr:uid="{00000000-0005-0000-0000-000016380000}"/>
    <cellStyle name="CustomizationGreenCells 3 2 52" xfId="14359" xr:uid="{00000000-0005-0000-0000-000017380000}"/>
    <cellStyle name="CustomizationGreenCells 3 2 53" xfId="14360" xr:uid="{00000000-0005-0000-0000-000018380000}"/>
    <cellStyle name="CustomizationGreenCells 3 2 54" xfId="14361" xr:uid="{00000000-0005-0000-0000-000019380000}"/>
    <cellStyle name="CustomizationGreenCells 3 2 55" xfId="14362" xr:uid="{00000000-0005-0000-0000-00001A380000}"/>
    <cellStyle name="CustomizationGreenCells 3 2 56" xfId="14363" xr:uid="{00000000-0005-0000-0000-00001B380000}"/>
    <cellStyle name="CustomizationGreenCells 3 2 57" xfId="14364" xr:uid="{00000000-0005-0000-0000-00001C380000}"/>
    <cellStyle name="CustomizationGreenCells 3 2 58" xfId="14365" xr:uid="{00000000-0005-0000-0000-00001D380000}"/>
    <cellStyle name="CustomizationGreenCells 3 2 59" xfId="14366" xr:uid="{00000000-0005-0000-0000-00001E380000}"/>
    <cellStyle name="CustomizationGreenCells 3 2 6" xfId="14367" xr:uid="{00000000-0005-0000-0000-00001F380000}"/>
    <cellStyle name="CustomizationGreenCells 3 2 60" xfId="14368" xr:uid="{00000000-0005-0000-0000-000020380000}"/>
    <cellStyle name="CustomizationGreenCells 3 2 61" xfId="14369" xr:uid="{00000000-0005-0000-0000-000021380000}"/>
    <cellStyle name="CustomizationGreenCells 3 2 62" xfId="14370" xr:uid="{00000000-0005-0000-0000-000022380000}"/>
    <cellStyle name="CustomizationGreenCells 3 2 63" xfId="14371" xr:uid="{00000000-0005-0000-0000-000023380000}"/>
    <cellStyle name="CustomizationGreenCells 3 2 64" xfId="14372" xr:uid="{00000000-0005-0000-0000-000024380000}"/>
    <cellStyle name="CustomizationGreenCells 3 2 65" xfId="14373" xr:uid="{00000000-0005-0000-0000-000025380000}"/>
    <cellStyle name="CustomizationGreenCells 3 2 66" xfId="14374" xr:uid="{00000000-0005-0000-0000-000026380000}"/>
    <cellStyle name="CustomizationGreenCells 3 2 7" xfId="14375" xr:uid="{00000000-0005-0000-0000-000027380000}"/>
    <cellStyle name="CustomizationGreenCells 3 2 8" xfId="14376" xr:uid="{00000000-0005-0000-0000-000028380000}"/>
    <cellStyle name="CustomizationGreenCells 3 2 9" xfId="14377" xr:uid="{00000000-0005-0000-0000-000029380000}"/>
    <cellStyle name="CustomizationGreenCells 3 20" xfId="14378" xr:uid="{00000000-0005-0000-0000-00002A380000}"/>
    <cellStyle name="CustomizationGreenCells 3 21" xfId="14379" xr:uid="{00000000-0005-0000-0000-00002B380000}"/>
    <cellStyle name="CustomizationGreenCells 3 22" xfId="14380" xr:uid="{00000000-0005-0000-0000-00002C380000}"/>
    <cellStyle name="CustomizationGreenCells 3 23" xfId="14381" xr:uid="{00000000-0005-0000-0000-00002D380000}"/>
    <cellStyle name="CustomizationGreenCells 3 24" xfId="14382" xr:uid="{00000000-0005-0000-0000-00002E380000}"/>
    <cellStyle name="CustomizationGreenCells 3 25" xfId="14383" xr:uid="{00000000-0005-0000-0000-00002F380000}"/>
    <cellStyle name="CustomizationGreenCells 3 26" xfId="14384" xr:uid="{00000000-0005-0000-0000-000030380000}"/>
    <cellStyle name="CustomizationGreenCells 3 27" xfId="14385" xr:uid="{00000000-0005-0000-0000-000031380000}"/>
    <cellStyle name="CustomizationGreenCells 3 28" xfId="14386" xr:uid="{00000000-0005-0000-0000-000032380000}"/>
    <cellStyle name="CustomizationGreenCells 3 29" xfId="14387" xr:uid="{00000000-0005-0000-0000-000033380000}"/>
    <cellStyle name="CustomizationGreenCells 3 3" xfId="14388" xr:uid="{00000000-0005-0000-0000-000034380000}"/>
    <cellStyle name="CustomizationGreenCells 3 3 10" xfId="14389" xr:uid="{00000000-0005-0000-0000-000035380000}"/>
    <cellStyle name="CustomizationGreenCells 3 3 11" xfId="14390" xr:uid="{00000000-0005-0000-0000-000036380000}"/>
    <cellStyle name="CustomizationGreenCells 3 3 12" xfId="14391" xr:uid="{00000000-0005-0000-0000-000037380000}"/>
    <cellStyle name="CustomizationGreenCells 3 3 13" xfId="14392" xr:uid="{00000000-0005-0000-0000-000038380000}"/>
    <cellStyle name="CustomizationGreenCells 3 3 14" xfId="14393" xr:uid="{00000000-0005-0000-0000-000039380000}"/>
    <cellStyle name="CustomizationGreenCells 3 3 15" xfId="14394" xr:uid="{00000000-0005-0000-0000-00003A380000}"/>
    <cellStyle name="CustomizationGreenCells 3 3 16" xfId="14395" xr:uid="{00000000-0005-0000-0000-00003B380000}"/>
    <cellStyle name="CustomizationGreenCells 3 3 17" xfId="14396" xr:uid="{00000000-0005-0000-0000-00003C380000}"/>
    <cellStyle name="CustomizationGreenCells 3 3 18" xfId="14397" xr:uid="{00000000-0005-0000-0000-00003D380000}"/>
    <cellStyle name="CustomizationGreenCells 3 3 19" xfId="14398" xr:uid="{00000000-0005-0000-0000-00003E380000}"/>
    <cellStyle name="CustomizationGreenCells 3 3 2" xfId="14399" xr:uid="{00000000-0005-0000-0000-00003F380000}"/>
    <cellStyle name="CustomizationGreenCells 3 3 2 10" xfId="14400" xr:uid="{00000000-0005-0000-0000-000040380000}"/>
    <cellStyle name="CustomizationGreenCells 3 3 2 11" xfId="14401" xr:uid="{00000000-0005-0000-0000-000041380000}"/>
    <cellStyle name="CustomizationGreenCells 3 3 2 12" xfId="14402" xr:uid="{00000000-0005-0000-0000-000042380000}"/>
    <cellStyle name="CustomizationGreenCells 3 3 2 13" xfId="14403" xr:uid="{00000000-0005-0000-0000-000043380000}"/>
    <cellStyle name="CustomizationGreenCells 3 3 2 14" xfId="14404" xr:uid="{00000000-0005-0000-0000-000044380000}"/>
    <cellStyle name="CustomizationGreenCells 3 3 2 15" xfId="14405" xr:uid="{00000000-0005-0000-0000-000045380000}"/>
    <cellStyle name="CustomizationGreenCells 3 3 2 16" xfId="14406" xr:uid="{00000000-0005-0000-0000-000046380000}"/>
    <cellStyle name="CustomizationGreenCells 3 3 2 17" xfId="14407" xr:uid="{00000000-0005-0000-0000-000047380000}"/>
    <cellStyle name="CustomizationGreenCells 3 3 2 18" xfId="14408" xr:uid="{00000000-0005-0000-0000-000048380000}"/>
    <cellStyle name="CustomizationGreenCells 3 3 2 19" xfId="14409" xr:uid="{00000000-0005-0000-0000-000049380000}"/>
    <cellStyle name="CustomizationGreenCells 3 3 2 2" xfId="14410" xr:uid="{00000000-0005-0000-0000-00004A380000}"/>
    <cellStyle name="CustomizationGreenCells 3 3 2 20" xfId="14411" xr:uid="{00000000-0005-0000-0000-00004B380000}"/>
    <cellStyle name="CustomizationGreenCells 3 3 2 21" xfId="14412" xr:uid="{00000000-0005-0000-0000-00004C380000}"/>
    <cellStyle name="CustomizationGreenCells 3 3 2 22" xfId="14413" xr:uid="{00000000-0005-0000-0000-00004D380000}"/>
    <cellStyle name="CustomizationGreenCells 3 3 2 23" xfId="14414" xr:uid="{00000000-0005-0000-0000-00004E380000}"/>
    <cellStyle name="CustomizationGreenCells 3 3 2 24" xfId="14415" xr:uid="{00000000-0005-0000-0000-00004F380000}"/>
    <cellStyle name="CustomizationGreenCells 3 3 2 25" xfId="14416" xr:uid="{00000000-0005-0000-0000-000050380000}"/>
    <cellStyle name="CustomizationGreenCells 3 3 2 26" xfId="14417" xr:uid="{00000000-0005-0000-0000-000051380000}"/>
    <cellStyle name="CustomizationGreenCells 3 3 2 27" xfId="14418" xr:uid="{00000000-0005-0000-0000-000052380000}"/>
    <cellStyle name="CustomizationGreenCells 3 3 2 28" xfId="14419" xr:uid="{00000000-0005-0000-0000-000053380000}"/>
    <cellStyle name="CustomizationGreenCells 3 3 2 29" xfId="14420" xr:uid="{00000000-0005-0000-0000-000054380000}"/>
    <cellStyle name="CustomizationGreenCells 3 3 2 3" xfId="14421" xr:uid="{00000000-0005-0000-0000-000055380000}"/>
    <cellStyle name="CustomizationGreenCells 3 3 2 30" xfId="14422" xr:uid="{00000000-0005-0000-0000-000056380000}"/>
    <cellStyle name="CustomizationGreenCells 3 3 2 31" xfId="14423" xr:uid="{00000000-0005-0000-0000-000057380000}"/>
    <cellStyle name="CustomizationGreenCells 3 3 2 32" xfId="14424" xr:uid="{00000000-0005-0000-0000-000058380000}"/>
    <cellStyle name="CustomizationGreenCells 3 3 2 33" xfId="14425" xr:uid="{00000000-0005-0000-0000-000059380000}"/>
    <cellStyle name="CustomizationGreenCells 3 3 2 34" xfId="14426" xr:uid="{00000000-0005-0000-0000-00005A380000}"/>
    <cellStyle name="CustomizationGreenCells 3 3 2 35" xfId="14427" xr:uid="{00000000-0005-0000-0000-00005B380000}"/>
    <cellStyle name="CustomizationGreenCells 3 3 2 36" xfId="14428" xr:uid="{00000000-0005-0000-0000-00005C380000}"/>
    <cellStyle name="CustomizationGreenCells 3 3 2 37" xfId="14429" xr:uid="{00000000-0005-0000-0000-00005D380000}"/>
    <cellStyle name="CustomizationGreenCells 3 3 2 38" xfId="14430" xr:uid="{00000000-0005-0000-0000-00005E380000}"/>
    <cellStyle name="CustomizationGreenCells 3 3 2 39" xfId="14431" xr:uid="{00000000-0005-0000-0000-00005F380000}"/>
    <cellStyle name="CustomizationGreenCells 3 3 2 4" xfId="14432" xr:uid="{00000000-0005-0000-0000-000060380000}"/>
    <cellStyle name="CustomizationGreenCells 3 3 2 40" xfId="14433" xr:uid="{00000000-0005-0000-0000-000061380000}"/>
    <cellStyle name="CustomizationGreenCells 3 3 2 41" xfId="14434" xr:uid="{00000000-0005-0000-0000-000062380000}"/>
    <cellStyle name="CustomizationGreenCells 3 3 2 42" xfId="14435" xr:uid="{00000000-0005-0000-0000-000063380000}"/>
    <cellStyle name="CustomizationGreenCells 3 3 2 43" xfId="14436" xr:uid="{00000000-0005-0000-0000-000064380000}"/>
    <cellStyle name="CustomizationGreenCells 3 3 2 44" xfId="14437" xr:uid="{00000000-0005-0000-0000-000065380000}"/>
    <cellStyle name="CustomizationGreenCells 3 3 2 45" xfId="14438" xr:uid="{00000000-0005-0000-0000-000066380000}"/>
    <cellStyle name="CustomizationGreenCells 3 3 2 46" xfId="14439" xr:uid="{00000000-0005-0000-0000-000067380000}"/>
    <cellStyle name="CustomizationGreenCells 3 3 2 47" xfId="14440" xr:uid="{00000000-0005-0000-0000-000068380000}"/>
    <cellStyle name="CustomizationGreenCells 3 3 2 48" xfId="14441" xr:uid="{00000000-0005-0000-0000-000069380000}"/>
    <cellStyle name="CustomizationGreenCells 3 3 2 49" xfId="14442" xr:uid="{00000000-0005-0000-0000-00006A380000}"/>
    <cellStyle name="CustomizationGreenCells 3 3 2 5" xfId="14443" xr:uid="{00000000-0005-0000-0000-00006B380000}"/>
    <cellStyle name="CustomizationGreenCells 3 3 2 50" xfId="14444" xr:uid="{00000000-0005-0000-0000-00006C380000}"/>
    <cellStyle name="CustomizationGreenCells 3 3 2 51" xfId="14445" xr:uid="{00000000-0005-0000-0000-00006D380000}"/>
    <cellStyle name="CustomizationGreenCells 3 3 2 52" xfId="14446" xr:uid="{00000000-0005-0000-0000-00006E380000}"/>
    <cellStyle name="CustomizationGreenCells 3 3 2 53" xfId="14447" xr:uid="{00000000-0005-0000-0000-00006F380000}"/>
    <cellStyle name="CustomizationGreenCells 3 3 2 54" xfId="14448" xr:uid="{00000000-0005-0000-0000-000070380000}"/>
    <cellStyle name="CustomizationGreenCells 3 3 2 55" xfId="14449" xr:uid="{00000000-0005-0000-0000-000071380000}"/>
    <cellStyle name="CustomizationGreenCells 3 3 2 56" xfId="14450" xr:uid="{00000000-0005-0000-0000-000072380000}"/>
    <cellStyle name="CustomizationGreenCells 3 3 2 57" xfId="14451" xr:uid="{00000000-0005-0000-0000-000073380000}"/>
    <cellStyle name="CustomizationGreenCells 3 3 2 58" xfId="14452" xr:uid="{00000000-0005-0000-0000-000074380000}"/>
    <cellStyle name="CustomizationGreenCells 3 3 2 59" xfId="14453" xr:uid="{00000000-0005-0000-0000-000075380000}"/>
    <cellStyle name="CustomizationGreenCells 3 3 2 6" xfId="14454" xr:uid="{00000000-0005-0000-0000-000076380000}"/>
    <cellStyle name="CustomizationGreenCells 3 3 2 60" xfId="14455" xr:uid="{00000000-0005-0000-0000-000077380000}"/>
    <cellStyle name="CustomizationGreenCells 3 3 2 61" xfId="14456" xr:uid="{00000000-0005-0000-0000-000078380000}"/>
    <cellStyle name="CustomizationGreenCells 3 3 2 62" xfId="14457" xr:uid="{00000000-0005-0000-0000-000079380000}"/>
    <cellStyle name="CustomizationGreenCells 3 3 2 63" xfId="14458" xr:uid="{00000000-0005-0000-0000-00007A380000}"/>
    <cellStyle name="CustomizationGreenCells 3 3 2 64" xfId="14459" xr:uid="{00000000-0005-0000-0000-00007B380000}"/>
    <cellStyle name="CustomizationGreenCells 3 3 2 65" xfId="14460" xr:uid="{00000000-0005-0000-0000-00007C380000}"/>
    <cellStyle name="CustomizationGreenCells 3 3 2 7" xfId="14461" xr:uid="{00000000-0005-0000-0000-00007D380000}"/>
    <cellStyle name="CustomizationGreenCells 3 3 2 8" xfId="14462" xr:uid="{00000000-0005-0000-0000-00007E380000}"/>
    <cellStyle name="CustomizationGreenCells 3 3 2 9" xfId="14463" xr:uid="{00000000-0005-0000-0000-00007F380000}"/>
    <cellStyle name="CustomizationGreenCells 3 3 20" xfId="14464" xr:uid="{00000000-0005-0000-0000-000080380000}"/>
    <cellStyle name="CustomizationGreenCells 3 3 21" xfId="14465" xr:uid="{00000000-0005-0000-0000-000081380000}"/>
    <cellStyle name="CustomizationGreenCells 3 3 22" xfId="14466" xr:uid="{00000000-0005-0000-0000-000082380000}"/>
    <cellStyle name="CustomizationGreenCells 3 3 23" xfId="14467" xr:uid="{00000000-0005-0000-0000-000083380000}"/>
    <cellStyle name="CustomizationGreenCells 3 3 24" xfId="14468" xr:uid="{00000000-0005-0000-0000-000084380000}"/>
    <cellStyle name="CustomizationGreenCells 3 3 25" xfId="14469" xr:uid="{00000000-0005-0000-0000-000085380000}"/>
    <cellStyle name="CustomizationGreenCells 3 3 26" xfId="14470" xr:uid="{00000000-0005-0000-0000-000086380000}"/>
    <cellStyle name="CustomizationGreenCells 3 3 27" xfId="14471" xr:uid="{00000000-0005-0000-0000-000087380000}"/>
    <cellStyle name="CustomizationGreenCells 3 3 28" xfId="14472" xr:uid="{00000000-0005-0000-0000-000088380000}"/>
    <cellStyle name="CustomizationGreenCells 3 3 29" xfId="14473" xr:uid="{00000000-0005-0000-0000-000089380000}"/>
    <cellStyle name="CustomizationGreenCells 3 3 3" xfId="14474" xr:uid="{00000000-0005-0000-0000-00008A380000}"/>
    <cellStyle name="CustomizationGreenCells 3 3 30" xfId="14475" xr:uid="{00000000-0005-0000-0000-00008B380000}"/>
    <cellStyle name="CustomizationGreenCells 3 3 31" xfId="14476" xr:uid="{00000000-0005-0000-0000-00008C380000}"/>
    <cellStyle name="CustomizationGreenCells 3 3 32" xfId="14477" xr:uid="{00000000-0005-0000-0000-00008D380000}"/>
    <cellStyle name="CustomizationGreenCells 3 3 33" xfId="14478" xr:uid="{00000000-0005-0000-0000-00008E380000}"/>
    <cellStyle name="CustomizationGreenCells 3 3 34" xfId="14479" xr:uid="{00000000-0005-0000-0000-00008F380000}"/>
    <cellStyle name="CustomizationGreenCells 3 3 35" xfId="14480" xr:uid="{00000000-0005-0000-0000-000090380000}"/>
    <cellStyle name="CustomizationGreenCells 3 3 36" xfId="14481" xr:uid="{00000000-0005-0000-0000-000091380000}"/>
    <cellStyle name="CustomizationGreenCells 3 3 37" xfId="14482" xr:uid="{00000000-0005-0000-0000-000092380000}"/>
    <cellStyle name="CustomizationGreenCells 3 3 38" xfId="14483" xr:uid="{00000000-0005-0000-0000-000093380000}"/>
    <cellStyle name="CustomizationGreenCells 3 3 39" xfId="14484" xr:uid="{00000000-0005-0000-0000-000094380000}"/>
    <cellStyle name="CustomizationGreenCells 3 3 4" xfId="14485" xr:uid="{00000000-0005-0000-0000-000095380000}"/>
    <cellStyle name="CustomizationGreenCells 3 3 40" xfId="14486" xr:uid="{00000000-0005-0000-0000-000096380000}"/>
    <cellStyle name="CustomizationGreenCells 3 3 41" xfId="14487" xr:uid="{00000000-0005-0000-0000-000097380000}"/>
    <cellStyle name="CustomizationGreenCells 3 3 42" xfId="14488" xr:uid="{00000000-0005-0000-0000-000098380000}"/>
    <cellStyle name="CustomizationGreenCells 3 3 43" xfId="14489" xr:uid="{00000000-0005-0000-0000-000099380000}"/>
    <cellStyle name="CustomizationGreenCells 3 3 44" xfId="14490" xr:uid="{00000000-0005-0000-0000-00009A380000}"/>
    <cellStyle name="CustomizationGreenCells 3 3 45" xfId="14491" xr:uid="{00000000-0005-0000-0000-00009B380000}"/>
    <cellStyle name="CustomizationGreenCells 3 3 46" xfId="14492" xr:uid="{00000000-0005-0000-0000-00009C380000}"/>
    <cellStyle name="CustomizationGreenCells 3 3 47" xfId="14493" xr:uid="{00000000-0005-0000-0000-00009D380000}"/>
    <cellStyle name="CustomizationGreenCells 3 3 48" xfId="14494" xr:uid="{00000000-0005-0000-0000-00009E380000}"/>
    <cellStyle name="CustomizationGreenCells 3 3 49" xfId="14495" xr:uid="{00000000-0005-0000-0000-00009F380000}"/>
    <cellStyle name="CustomizationGreenCells 3 3 5" xfId="14496" xr:uid="{00000000-0005-0000-0000-0000A0380000}"/>
    <cellStyle name="CustomizationGreenCells 3 3 50" xfId="14497" xr:uid="{00000000-0005-0000-0000-0000A1380000}"/>
    <cellStyle name="CustomizationGreenCells 3 3 51" xfId="14498" xr:uid="{00000000-0005-0000-0000-0000A2380000}"/>
    <cellStyle name="CustomizationGreenCells 3 3 52" xfId="14499" xr:uid="{00000000-0005-0000-0000-0000A3380000}"/>
    <cellStyle name="CustomizationGreenCells 3 3 53" xfId="14500" xr:uid="{00000000-0005-0000-0000-0000A4380000}"/>
    <cellStyle name="CustomizationGreenCells 3 3 54" xfId="14501" xr:uid="{00000000-0005-0000-0000-0000A5380000}"/>
    <cellStyle name="CustomizationGreenCells 3 3 55" xfId="14502" xr:uid="{00000000-0005-0000-0000-0000A6380000}"/>
    <cellStyle name="CustomizationGreenCells 3 3 56" xfId="14503" xr:uid="{00000000-0005-0000-0000-0000A7380000}"/>
    <cellStyle name="CustomizationGreenCells 3 3 57" xfId="14504" xr:uid="{00000000-0005-0000-0000-0000A8380000}"/>
    <cellStyle name="CustomizationGreenCells 3 3 58" xfId="14505" xr:uid="{00000000-0005-0000-0000-0000A9380000}"/>
    <cellStyle name="CustomizationGreenCells 3 3 59" xfId="14506" xr:uid="{00000000-0005-0000-0000-0000AA380000}"/>
    <cellStyle name="CustomizationGreenCells 3 3 6" xfId="14507" xr:uid="{00000000-0005-0000-0000-0000AB380000}"/>
    <cellStyle name="CustomizationGreenCells 3 3 60" xfId="14508" xr:uid="{00000000-0005-0000-0000-0000AC380000}"/>
    <cellStyle name="CustomizationGreenCells 3 3 61" xfId="14509" xr:uid="{00000000-0005-0000-0000-0000AD380000}"/>
    <cellStyle name="CustomizationGreenCells 3 3 62" xfId="14510" xr:uid="{00000000-0005-0000-0000-0000AE380000}"/>
    <cellStyle name="CustomizationGreenCells 3 3 63" xfId="14511" xr:uid="{00000000-0005-0000-0000-0000AF380000}"/>
    <cellStyle name="CustomizationGreenCells 3 3 64" xfId="14512" xr:uid="{00000000-0005-0000-0000-0000B0380000}"/>
    <cellStyle name="CustomizationGreenCells 3 3 65" xfId="14513" xr:uid="{00000000-0005-0000-0000-0000B1380000}"/>
    <cellStyle name="CustomizationGreenCells 3 3 66" xfId="14514" xr:uid="{00000000-0005-0000-0000-0000B2380000}"/>
    <cellStyle name="CustomizationGreenCells 3 3 7" xfId="14515" xr:uid="{00000000-0005-0000-0000-0000B3380000}"/>
    <cellStyle name="CustomizationGreenCells 3 3 8" xfId="14516" xr:uid="{00000000-0005-0000-0000-0000B4380000}"/>
    <cellStyle name="CustomizationGreenCells 3 3 9" xfId="14517" xr:uid="{00000000-0005-0000-0000-0000B5380000}"/>
    <cellStyle name="CustomizationGreenCells 3 30" xfId="14518" xr:uid="{00000000-0005-0000-0000-0000B6380000}"/>
    <cellStyle name="CustomizationGreenCells 3 31" xfId="14519" xr:uid="{00000000-0005-0000-0000-0000B7380000}"/>
    <cellStyle name="CustomizationGreenCells 3 32" xfId="14520" xr:uid="{00000000-0005-0000-0000-0000B8380000}"/>
    <cellStyle name="CustomizationGreenCells 3 33" xfId="14521" xr:uid="{00000000-0005-0000-0000-0000B9380000}"/>
    <cellStyle name="CustomizationGreenCells 3 34" xfId="14522" xr:uid="{00000000-0005-0000-0000-0000BA380000}"/>
    <cellStyle name="CustomizationGreenCells 3 35" xfId="14523" xr:uid="{00000000-0005-0000-0000-0000BB380000}"/>
    <cellStyle name="CustomizationGreenCells 3 36" xfId="14524" xr:uid="{00000000-0005-0000-0000-0000BC380000}"/>
    <cellStyle name="CustomizationGreenCells 3 37" xfId="14525" xr:uid="{00000000-0005-0000-0000-0000BD380000}"/>
    <cellStyle name="CustomizationGreenCells 3 38" xfId="14526" xr:uid="{00000000-0005-0000-0000-0000BE380000}"/>
    <cellStyle name="CustomizationGreenCells 3 39" xfId="14527" xr:uid="{00000000-0005-0000-0000-0000BF380000}"/>
    <cellStyle name="CustomizationGreenCells 3 4" xfId="14528" xr:uid="{00000000-0005-0000-0000-0000C0380000}"/>
    <cellStyle name="CustomizationGreenCells 3 4 10" xfId="14529" xr:uid="{00000000-0005-0000-0000-0000C1380000}"/>
    <cellStyle name="CustomizationGreenCells 3 4 11" xfId="14530" xr:uid="{00000000-0005-0000-0000-0000C2380000}"/>
    <cellStyle name="CustomizationGreenCells 3 4 12" xfId="14531" xr:uid="{00000000-0005-0000-0000-0000C3380000}"/>
    <cellStyle name="CustomizationGreenCells 3 4 13" xfId="14532" xr:uid="{00000000-0005-0000-0000-0000C4380000}"/>
    <cellStyle name="CustomizationGreenCells 3 4 14" xfId="14533" xr:uid="{00000000-0005-0000-0000-0000C5380000}"/>
    <cellStyle name="CustomizationGreenCells 3 4 15" xfId="14534" xr:uid="{00000000-0005-0000-0000-0000C6380000}"/>
    <cellStyle name="CustomizationGreenCells 3 4 16" xfId="14535" xr:uid="{00000000-0005-0000-0000-0000C7380000}"/>
    <cellStyle name="CustomizationGreenCells 3 4 17" xfId="14536" xr:uid="{00000000-0005-0000-0000-0000C8380000}"/>
    <cellStyle name="CustomizationGreenCells 3 4 18" xfId="14537" xr:uid="{00000000-0005-0000-0000-0000C9380000}"/>
    <cellStyle name="CustomizationGreenCells 3 4 19" xfId="14538" xr:uid="{00000000-0005-0000-0000-0000CA380000}"/>
    <cellStyle name="CustomizationGreenCells 3 4 2" xfId="14539" xr:uid="{00000000-0005-0000-0000-0000CB380000}"/>
    <cellStyle name="CustomizationGreenCells 3 4 2 10" xfId="14540" xr:uid="{00000000-0005-0000-0000-0000CC380000}"/>
    <cellStyle name="CustomizationGreenCells 3 4 2 11" xfId="14541" xr:uid="{00000000-0005-0000-0000-0000CD380000}"/>
    <cellStyle name="CustomizationGreenCells 3 4 2 12" xfId="14542" xr:uid="{00000000-0005-0000-0000-0000CE380000}"/>
    <cellStyle name="CustomizationGreenCells 3 4 2 13" xfId="14543" xr:uid="{00000000-0005-0000-0000-0000CF380000}"/>
    <cellStyle name="CustomizationGreenCells 3 4 2 14" xfId="14544" xr:uid="{00000000-0005-0000-0000-0000D0380000}"/>
    <cellStyle name="CustomizationGreenCells 3 4 2 15" xfId="14545" xr:uid="{00000000-0005-0000-0000-0000D1380000}"/>
    <cellStyle name="CustomizationGreenCells 3 4 2 16" xfId="14546" xr:uid="{00000000-0005-0000-0000-0000D2380000}"/>
    <cellStyle name="CustomizationGreenCells 3 4 2 17" xfId="14547" xr:uid="{00000000-0005-0000-0000-0000D3380000}"/>
    <cellStyle name="CustomizationGreenCells 3 4 2 18" xfId="14548" xr:uid="{00000000-0005-0000-0000-0000D4380000}"/>
    <cellStyle name="CustomizationGreenCells 3 4 2 19" xfId="14549" xr:uid="{00000000-0005-0000-0000-0000D5380000}"/>
    <cellStyle name="CustomizationGreenCells 3 4 2 2" xfId="14550" xr:uid="{00000000-0005-0000-0000-0000D6380000}"/>
    <cellStyle name="CustomizationGreenCells 3 4 2 20" xfId="14551" xr:uid="{00000000-0005-0000-0000-0000D7380000}"/>
    <cellStyle name="CustomizationGreenCells 3 4 2 21" xfId="14552" xr:uid="{00000000-0005-0000-0000-0000D8380000}"/>
    <cellStyle name="CustomizationGreenCells 3 4 2 22" xfId="14553" xr:uid="{00000000-0005-0000-0000-0000D9380000}"/>
    <cellStyle name="CustomizationGreenCells 3 4 2 23" xfId="14554" xr:uid="{00000000-0005-0000-0000-0000DA380000}"/>
    <cellStyle name="CustomizationGreenCells 3 4 2 24" xfId="14555" xr:uid="{00000000-0005-0000-0000-0000DB380000}"/>
    <cellStyle name="CustomizationGreenCells 3 4 2 25" xfId="14556" xr:uid="{00000000-0005-0000-0000-0000DC380000}"/>
    <cellStyle name="CustomizationGreenCells 3 4 2 26" xfId="14557" xr:uid="{00000000-0005-0000-0000-0000DD380000}"/>
    <cellStyle name="CustomizationGreenCells 3 4 2 27" xfId="14558" xr:uid="{00000000-0005-0000-0000-0000DE380000}"/>
    <cellStyle name="CustomizationGreenCells 3 4 2 28" xfId="14559" xr:uid="{00000000-0005-0000-0000-0000DF380000}"/>
    <cellStyle name="CustomizationGreenCells 3 4 2 29" xfId="14560" xr:uid="{00000000-0005-0000-0000-0000E0380000}"/>
    <cellStyle name="CustomizationGreenCells 3 4 2 3" xfId="14561" xr:uid="{00000000-0005-0000-0000-0000E1380000}"/>
    <cellStyle name="CustomizationGreenCells 3 4 2 30" xfId="14562" xr:uid="{00000000-0005-0000-0000-0000E2380000}"/>
    <cellStyle name="CustomizationGreenCells 3 4 2 31" xfId="14563" xr:uid="{00000000-0005-0000-0000-0000E3380000}"/>
    <cellStyle name="CustomizationGreenCells 3 4 2 32" xfId="14564" xr:uid="{00000000-0005-0000-0000-0000E4380000}"/>
    <cellStyle name="CustomizationGreenCells 3 4 2 33" xfId="14565" xr:uid="{00000000-0005-0000-0000-0000E5380000}"/>
    <cellStyle name="CustomizationGreenCells 3 4 2 34" xfId="14566" xr:uid="{00000000-0005-0000-0000-0000E6380000}"/>
    <cellStyle name="CustomizationGreenCells 3 4 2 35" xfId="14567" xr:uid="{00000000-0005-0000-0000-0000E7380000}"/>
    <cellStyle name="CustomizationGreenCells 3 4 2 36" xfId="14568" xr:uid="{00000000-0005-0000-0000-0000E8380000}"/>
    <cellStyle name="CustomizationGreenCells 3 4 2 37" xfId="14569" xr:uid="{00000000-0005-0000-0000-0000E9380000}"/>
    <cellStyle name="CustomizationGreenCells 3 4 2 38" xfId="14570" xr:uid="{00000000-0005-0000-0000-0000EA380000}"/>
    <cellStyle name="CustomizationGreenCells 3 4 2 39" xfId="14571" xr:uid="{00000000-0005-0000-0000-0000EB380000}"/>
    <cellStyle name="CustomizationGreenCells 3 4 2 4" xfId="14572" xr:uid="{00000000-0005-0000-0000-0000EC380000}"/>
    <cellStyle name="CustomizationGreenCells 3 4 2 40" xfId="14573" xr:uid="{00000000-0005-0000-0000-0000ED380000}"/>
    <cellStyle name="CustomizationGreenCells 3 4 2 41" xfId="14574" xr:uid="{00000000-0005-0000-0000-0000EE380000}"/>
    <cellStyle name="CustomizationGreenCells 3 4 2 42" xfId="14575" xr:uid="{00000000-0005-0000-0000-0000EF380000}"/>
    <cellStyle name="CustomizationGreenCells 3 4 2 43" xfId="14576" xr:uid="{00000000-0005-0000-0000-0000F0380000}"/>
    <cellStyle name="CustomizationGreenCells 3 4 2 44" xfId="14577" xr:uid="{00000000-0005-0000-0000-0000F1380000}"/>
    <cellStyle name="CustomizationGreenCells 3 4 2 45" xfId="14578" xr:uid="{00000000-0005-0000-0000-0000F2380000}"/>
    <cellStyle name="CustomizationGreenCells 3 4 2 46" xfId="14579" xr:uid="{00000000-0005-0000-0000-0000F3380000}"/>
    <cellStyle name="CustomizationGreenCells 3 4 2 47" xfId="14580" xr:uid="{00000000-0005-0000-0000-0000F4380000}"/>
    <cellStyle name="CustomizationGreenCells 3 4 2 48" xfId="14581" xr:uid="{00000000-0005-0000-0000-0000F5380000}"/>
    <cellStyle name="CustomizationGreenCells 3 4 2 49" xfId="14582" xr:uid="{00000000-0005-0000-0000-0000F6380000}"/>
    <cellStyle name="CustomizationGreenCells 3 4 2 5" xfId="14583" xr:uid="{00000000-0005-0000-0000-0000F7380000}"/>
    <cellStyle name="CustomizationGreenCells 3 4 2 50" xfId="14584" xr:uid="{00000000-0005-0000-0000-0000F8380000}"/>
    <cellStyle name="CustomizationGreenCells 3 4 2 51" xfId="14585" xr:uid="{00000000-0005-0000-0000-0000F9380000}"/>
    <cellStyle name="CustomizationGreenCells 3 4 2 52" xfId="14586" xr:uid="{00000000-0005-0000-0000-0000FA380000}"/>
    <cellStyle name="CustomizationGreenCells 3 4 2 53" xfId="14587" xr:uid="{00000000-0005-0000-0000-0000FB380000}"/>
    <cellStyle name="CustomizationGreenCells 3 4 2 54" xfId="14588" xr:uid="{00000000-0005-0000-0000-0000FC380000}"/>
    <cellStyle name="CustomizationGreenCells 3 4 2 55" xfId="14589" xr:uid="{00000000-0005-0000-0000-0000FD380000}"/>
    <cellStyle name="CustomizationGreenCells 3 4 2 56" xfId="14590" xr:uid="{00000000-0005-0000-0000-0000FE380000}"/>
    <cellStyle name="CustomizationGreenCells 3 4 2 57" xfId="14591" xr:uid="{00000000-0005-0000-0000-0000FF380000}"/>
    <cellStyle name="CustomizationGreenCells 3 4 2 58" xfId="14592" xr:uid="{00000000-0005-0000-0000-000000390000}"/>
    <cellStyle name="CustomizationGreenCells 3 4 2 59" xfId="14593" xr:uid="{00000000-0005-0000-0000-000001390000}"/>
    <cellStyle name="CustomizationGreenCells 3 4 2 6" xfId="14594" xr:uid="{00000000-0005-0000-0000-000002390000}"/>
    <cellStyle name="CustomizationGreenCells 3 4 2 60" xfId="14595" xr:uid="{00000000-0005-0000-0000-000003390000}"/>
    <cellStyle name="CustomizationGreenCells 3 4 2 61" xfId="14596" xr:uid="{00000000-0005-0000-0000-000004390000}"/>
    <cellStyle name="CustomizationGreenCells 3 4 2 62" xfId="14597" xr:uid="{00000000-0005-0000-0000-000005390000}"/>
    <cellStyle name="CustomizationGreenCells 3 4 2 63" xfId="14598" xr:uid="{00000000-0005-0000-0000-000006390000}"/>
    <cellStyle name="CustomizationGreenCells 3 4 2 64" xfId="14599" xr:uid="{00000000-0005-0000-0000-000007390000}"/>
    <cellStyle name="CustomizationGreenCells 3 4 2 65" xfId="14600" xr:uid="{00000000-0005-0000-0000-000008390000}"/>
    <cellStyle name="CustomizationGreenCells 3 4 2 7" xfId="14601" xr:uid="{00000000-0005-0000-0000-000009390000}"/>
    <cellStyle name="CustomizationGreenCells 3 4 2 8" xfId="14602" xr:uid="{00000000-0005-0000-0000-00000A390000}"/>
    <cellStyle name="CustomizationGreenCells 3 4 2 9" xfId="14603" xr:uid="{00000000-0005-0000-0000-00000B390000}"/>
    <cellStyle name="CustomizationGreenCells 3 4 20" xfId="14604" xr:uid="{00000000-0005-0000-0000-00000C390000}"/>
    <cellStyle name="CustomizationGreenCells 3 4 21" xfId="14605" xr:uid="{00000000-0005-0000-0000-00000D390000}"/>
    <cellStyle name="CustomizationGreenCells 3 4 22" xfId="14606" xr:uid="{00000000-0005-0000-0000-00000E390000}"/>
    <cellStyle name="CustomizationGreenCells 3 4 23" xfId="14607" xr:uid="{00000000-0005-0000-0000-00000F390000}"/>
    <cellStyle name="CustomizationGreenCells 3 4 24" xfId="14608" xr:uid="{00000000-0005-0000-0000-000010390000}"/>
    <cellStyle name="CustomizationGreenCells 3 4 25" xfId="14609" xr:uid="{00000000-0005-0000-0000-000011390000}"/>
    <cellStyle name="CustomizationGreenCells 3 4 26" xfId="14610" xr:uid="{00000000-0005-0000-0000-000012390000}"/>
    <cellStyle name="CustomizationGreenCells 3 4 27" xfId="14611" xr:uid="{00000000-0005-0000-0000-000013390000}"/>
    <cellStyle name="CustomizationGreenCells 3 4 28" xfId="14612" xr:uid="{00000000-0005-0000-0000-000014390000}"/>
    <cellStyle name="CustomizationGreenCells 3 4 29" xfId="14613" xr:uid="{00000000-0005-0000-0000-000015390000}"/>
    <cellStyle name="CustomizationGreenCells 3 4 3" xfId="14614" xr:uid="{00000000-0005-0000-0000-000016390000}"/>
    <cellStyle name="CustomizationGreenCells 3 4 30" xfId="14615" xr:uid="{00000000-0005-0000-0000-000017390000}"/>
    <cellStyle name="CustomizationGreenCells 3 4 31" xfId="14616" xr:uid="{00000000-0005-0000-0000-000018390000}"/>
    <cellStyle name="CustomizationGreenCells 3 4 32" xfId="14617" xr:uid="{00000000-0005-0000-0000-000019390000}"/>
    <cellStyle name="CustomizationGreenCells 3 4 33" xfId="14618" xr:uid="{00000000-0005-0000-0000-00001A390000}"/>
    <cellStyle name="CustomizationGreenCells 3 4 34" xfId="14619" xr:uid="{00000000-0005-0000-0000-00001B390000}"/>
    <cellStyle name="CustomizationGreenCells 3 4 35" xfId="14620" xr:uid="{00000000-0005-0000-0000-00001C390000}"/>
    <cellStyle name="CustomizationGreenCells 3 4 36" xfId="14621" xr:uid="{00000000-0005-0000-0000-00001D390000}"/>
    <cellStyle name="CustomizationGreenCells 3 4 37" xfId="14622" xr:uid="{00000000-0005-0000-0000-00001E390000}"/>
    <cellStyle name="CustomizationGreenCells 3 4 38" xfId="14623" xr:uid="{00000000-0005-0000-0000-00001F390000}"/>
    <cellStyle name="CustomizationGreenCells 3 4 39" xfId="14624" xr:uid="{00000000-0005-0000-0000-000020390000}"/>
    <cellStyle name="CustomizationGreenCells 3 4 4" xfId="14625" xr:uid="{00000000-0005-0000-0000-000021390000}"/>
    <cellStyle name="CustomizationGreenCells 3 4 40" xfId="14626" xr:uid="{00000000-0005-0000-0000-000022390000}"/>
    <cellStyle name="CustomizationGreenCells 3 4 41" xfId="14627" xr:uid="{00000000-0005-0000-0000-000023390000}"/>
    <cellStyle name="CustomizationGreenCells 3 4 42" xfId="14628" xr:uid="{00000000-0005-0000-0000-000024390000}"/>
    <cellStyle name="CustomizationGreenCells 3 4 43" xfId="14629" xr:uid="{00000000-0005-0000-0000-000025390000}"/>
    <cellStyle name="CustomizationGreenCells 3 4 44" xfId="14630" xr:uid="{00000000-0005-0000-0000-000026390000}"/>
    <cellStyle name="CustomizationGreenCells 3 4 45" xfId="14631" xr:uid="{00000000-0005-0000-0000-000027390000}"/>
    <cellStyle name="CustomizationGreenCells 3 4 46" xfId="14632" xr:uid="{00000000-0005-0000-0000-000028390000}"/>
    <cellStyle name="CustomizationGreenCells 3 4 47" xfId="14633" xr:uid="{00000000-0005-0000-0000-000029390000}"/>
    <cellStyle name="CustomizationGreenCells 3 4 48" xfId="14634" xr:uid="{00000000-0005-0000-0000-00002A390000}"/>
    <cellStyle name="CustomizationGreenCells 3 4 49" xfId="14635" xr:uid="{00000000-0005-0000-0000-00002B390000}"/>
    <cellStyle name="CustomizationGreenCells 3 4 5" xfId="14636" xr:uid="{00000000-0005-0000-0000-00002C390000}"/>
    <cellStyle name="CustomizationGreenCells 3 4 50" xfId="14637" xr:uid="{00000000-0005-0000-0000-00002D390000}"/>
    <cellStyle name="CustomizationGreenCells 3 4 51" xfId="14638" xr:uid="{00000000-0005-0000-0000-00002E390000}"/>
    <cellStyle name="CustomizationGreenCells 3 4 52" xfId="14639" xr:uid="{00000000-0005-0000-0000-00002F390000}"/>
    <cellStyle name="CustomizationGreenCells 3 4 53" xfId="14640" xr:uid="{00000000-0005-0000-0000-000030390000}"/>
    <cellStyle name="CustomizationGreenCells 3 4 54" xfId="14641" xr:uid="{00000000-0005-0000-0000-000031390000}"/>
    <cellStyle name="CustomizationGreenCells 3 4 55" xfId="14642" xr:uid="{00000000-0005-0000-0000-000032390000}"/>
    <cellStyle name="CustomizationGreenCells 3 4 56" xfId="14643" xr:uid="{00000000-0005-0000-0000-000033390000}"/>
    <cellStyle name="CustomizationGreenCells 3 4 57" xfId="14644" xr:uid="{00000000-0005-0000-0000-000034390000}"/>
    <cellStyle name="CustomizationGreenCells 3 4 58" xfId="14645" xr:uid="{00000000-0005-0000-0000-000035390000}"/>
    <cellStyle name="CustomizationGreenCells 3 4 59" xfId="14646" xr:uid="{00000000-0005-0000-0000-000036390000}"/>
    <cellStyle name="CustomizationGreenCells 3 4 6" xfId="14647" xr:uid="{00000000-0005-0000-0000-000037390000}"/>
    <cellStyle name="CustomizationGreenCells 3 4 60" xfId="14648" xr:uid="{00000000-0005-0000-0000-000038390000}"/>
    <cellStyle name="CustomizationGreenCells 3 4 61" xfId="14649" xr:uid="{00000000-0005-0000-0000-000039390000}"/>
    <cellStyle name="CustomizationGreenCells 3 4 62" xfId="14650" xr:uid="{00000000-0005-0000-0000-00003A390000}"/>
    <cellStyle name="CustomizationGreenCells 3 4 63" xfId="14651" xr:uid="{00000000-0005-0000-0000-00003B390000}"/>
    <cellStyle name="CustomizationGreenCells 3 4 64" xfId="14652" xr:uid="{00000000-0005-0000-0000-00003C390000}"/>
    <cellStyle name="CustomizationGreenCells 3 4 65" xfId="14653" xr:uid="{00000000-0005-0000-0000-00003D390000}"/>
    <cellStyle name="CustomizationGreenCells 3 4 66" xfId="14654" xr:uid="{00000000-0005-0000-0000-00003E390000}"/>
    <cellStyle name="CustomizationGreenCells 3 4 7" xfId="14655" xr:uid="{00000000-0005-0000-0000-00003F390000}"/>
    <cellStyle name="CustomizationGreenCells 3 4 8" xfId="14656" xr:uid="{00000000-0005-0000-0000-000040390000}"/>
    <cellStyle name="CustomizationGreenCells 3 4 9" xfId="14657" xr:uid="{00000000-0005-0000-0000-000041390000}"/>
    <cellStyle name="CustomizationGreenCells 3 40" xfId="14658" xr:uid="{00000000-0005-0000-0000-000042390000}"/>
    <cellStyle name="CustomizationGreenCells 3 41" xfId="14659" xr:uid="{00000000-0005-0000-0000-000043390000}"/>
    <cellStyle name="CustomizationGreenCells 3 42" xfId="14660" xr:uid="{00000000-0005-0000-0000-000044390000}"/>
    <cellStyle name="CustomizationGreenCells 3 43" xfId="14661" xr:uid="{00000000-0005-0000-0000-000045390000}"/>
    <cellStyle name="CustomizationGreenCells 3 44" xfId="14662" xr:uid="{00000000-0005-0000-0000-000046390000}"/>
    <cellStyle name="CustomizationGreenCells 3 45" xfId="14663" xr:uid="{00000000-0005-0000-0000-000047390000}"/>
    <cellStyle name="CustomizationGreenCells 3 46" xfId="14664" xr:uid="{00000000-0005-0000-0000-000048390000}"/>
    <cellStyle name="CustomizationGreenCells 3 47" xfId="14665" xr:uid="{00000000-0005-0000-0000-000049390000}"/>
    <cellStyle name="CustomizationGreenCells 3 48" xfId="14666" xr:uid="{00000000-0005-0000-0000-00004A390000}"/>
    <cellStyle name="CustomizationGreenCells 3 49" xfId="14667" xr:uid="{00000000-0005-0000-0000-00004B390000}"/>
    <cellStyle name="CustomizationGreenCells 3 5" xfId="14668" xr:uid="{00000000-0005-0000-0000-00004C390000}"/>
    <cellStyle name="CustomizationGreenCells 3 5 2" xfId="14669" xr:uid="{00000000-0005-0000-0000-00004D390000}"/>
    <cellStyle name="CustomizationGreenCells 3 5 3" xfId="14670" xr:uid="{00000000-0005-0000-0000-00004E390000}"/>
    <cellStyle name="CustomizationGreenCells 3 50" xfId="14671" xr:uid="{00000000-0005-0000-0000-00004F390000}"/>
    <cellStyle name="CustomizationGreenCells 3 51" xfId="14672" xr:uid="{00000000-0005-0000-0000-000050390000}"/>
    <cellStyle name="CustomizationGreenCells 3 52" xfId="14673" xr:uid="{00000000-0005-0000-0000-000051390000}"/>
    <cellStyle name="CustomizationGreenCells 3 53" xfId="14674" xr:uid="{00000000-0005-0000-0000-000052390000}"/>
    <cellStyle name="CustomizationGreenCells 3 54" xfId="14675" xr:uid="{00000000-0005-0000-0000-000053390000}"/>
    <cellStyle name="CustomizationGreenCells 3 55" xfId="14676" xr:uid="{00000000-0005-0000-0000-000054390000}"/>
    <cellStyle name="CustomizationGreenCells 3 56" xfId="14677" xr:uid="{00000000-0005-0000-0000-000055390000}"/>
    <cellStyle name="CustomizationGreenCells 3 57" xfId="14678" xr:uid="{00000000-0005-0000-0000-000056390000}"/>
    <cellStyle name="CustomizationGreenCells 3 58" xfId="14679" xr:uid="{00000000-0005-0000-0000-000057390000}"/>
    <cellStyle name="CustomizationGreenCells 3 59" xfId="14680" xr:uid="{00000000-0005-0000-0000-000058390000}"/>
    <cellStyle name="CustomizationGreenCells 3 6" xfId="14681" xr:uid="{00000000-0005-0000-0000-000059390000}"/>
    <cellStyle name="CustomizationGreenCells 3 60" xfId="14682" xr:uid="{00000000-0005-0000-0000-00005A390000}"/>
    <cellStyle name="CustomizationGreenCells 3 61" xfId="14683" xr:uid="{00000000-0005-0000-0000-00005B390000}"/>
    <cellStyle name="CustomizationGreenCells 3 62" xfId="14684" xr:uid="{00000000-0005-0000-0000-00005C390000}"/>
    <cellStyle name="CustomizationGreenCells 3 63" xfId="14685" xr:uid="{00000000-0005-0000-0000-00005D390000}"/>
    <cellStyle name="CustomizationGreenCells 3 64" xfId="14686" xr:uid="{00000000-0005-0000-0000-00005E390000}"/>
    <cellStyle name="CustomizationGreenCells 3 65" xfId="14687" xr:uid="{00000000-0005-0000-0000-00005F390000}"/>
    <cellStyle name="CustomizationGreenCells 3 66" xfId="14688" xr:uid="{00000000-0005-0000-0000-000060390000}"/>
    <cellStyle name="CustomizationGreenCells 3 67" xfId="14689" xr:uid="{00000000-0005-0000-0000-000061390000}"/>
    <cellStyle name="CustomizationGreenCells 3 68" xfId="14690" xr:uid="{00000000-0005-0000-0000-000062390000}"/>
    <cellStyle name="CustomizationGreenCells 3 69" xfId="14691" xr:uid="{00000000-0005-0000-0000-000063390000}"/>
    <cellStyle name="CustomizationGreenCells 3 7" xfId="14692" xr:uid="{00000000-0005-0000-0000-000064390000}"/>
    <cellStyle name="CustomizationGreenCells 3 8" xfId="14693" xr:uid="{00000000-0005-0000-0000-000065390000}"/>
    <cellStyle name="CustomizationGreenCells 3 9" xfId="14694" xr:uid="{00000000-0005-0000-0000-000066390000}"/>
    <cellStyle name="DocBox_EmptyRow" xfId="14695" xr:uid="{00000000-0005-0000-0000-000067390000}"/>
    <cellStyle name="Eingabe" xfId="14696" xr:uid="{00000000-0005-0000-0000-000068390000}"/>
    <cellStyle name="Eingabe 2" xfId="14697" xr:uid="{00000000-0005-0000-0000-000069390000}"/>
    <cellStyle name="Eingabe 3" xfId="14698" xr:uid="{00000000-0005-0000-0000-00006A390000}"/>
    <cellStyle name="Eingabe 3 10" xfId="14699" xr:uid="{00000000-0005-0000-0000-00006B390000}"/>
    <cellStyle name="Eingabe 3 11" xfId="14700" xr:uid="{00000000-0005-0000-0000-00006C390000}"/>
    <cellStyle name="Eingabe 3 12" xfId="14701" xr:uid="{00000000-0005-0000-0000-00006D390000}"/>
    <cellStyle name="Eingabe 3 13" xfId="14702" xr:uid="{00000000-0005-0000-0000-00006E390000}"/>
    <cellStyle name="Eingabe 3 14" xfId="14703" xr:uid="{00000000-0005-0000-0000-00006F390000}"/>
    <cellStyle name="Eingabe 3 15" xfId="14704" xr:uid="{00000000-0005-0000-0000-000070390000}"/>
    <cellStyle name="Eingabe 3 16" xfId="14705" xr:uid="{00000000-0005-0000-0000-000071390000}"/>
    <cellStyle name="Eingabe 3 17" xfId="14706" xr:uid="{00000000-0005-0000-0000-000072390000}"/>
    <cellStyle name="Eingabe 3 18" xfId="14707" xr:uid="{00000000-0005-0000-0000-000073390000}"/>
    <cellStyle name="Eingabe 3 19" xfId="14708" xr:uid="{00000000-0005-0000-0000-000074390000}"/>
    <cellStyle name="Eingabe 3 2" xfId="14709" xr:uid="{00000000-0005-0000-0000-000075390000}"/>
    <cellStyle name="Eingabe 3 2 10" xfId="14710" xr:uid="{00000000-0005-0000-0000-000076390000}"/>
    <cellStyle name="Eingabe 3 2 11" xfId="14711" xr:uid="{00000000-0005-0000-0000-000077390000}"/>
    <cellStyle name="Eingabe 3 2 12" xfId="14712" xr:uid="{00000000-0005-0000-0000-000078390000}"/>
    <cellStyle name="Eingabe 3 2 13" xfId="14713" xr:uid="{00000000-0005-0000-0000-000079390000}"/>
    <cellStyle name="Eingabe 3 2 14" xfId="14714" xr:uid="{00000000-0005-0000-0000-00007A390000}"/>
    <cellStyle name="Eingabe 3 2 15" xfId="14715" xr:uid="{00000000-0005-0000-0000-00007B390000}"/>
    <cellStyle name="Eingabe 3 2 16" xfId="14716" xr:uid="{00000000-0005-0000-0000-00007C390000}"/>
    <cellStyle name="Eingabe 3 2 17" xfId="14717" xr:uid="{00000000-0005-0000-0000-00007D390000}"/>
    <cellStyle name="Eingabe 3 2 18" xfId="14718" xr:uid="{00000000-0005-0000-0000-00007E390000}"/>
    <cellStyle name="Eingabe 3 2 19" xfId="14719" xr:uid="{00000000-0005-0000-0000-00007F390000}"/>
    <cellStyle name="Eingabe 3 2 2" xfId="14720" xr:uid="{00000000-0005-0000-0000-000080390000}"/>
    <cellStyle name="Eingabe 3 2 2 10" xfId="14721" xr:uid="{00000000-0005-0000-0000-000081390000}"/>
    <cellStyle name="Eingabe 3 2 2 11" xfId="14722" xr:uid="{00000000-0005-0000-0000-000082390000}"/>
    <cellStyle name="Eingabe 3 2 2 12" xfId="14723" xr:uid="{00000000-0005-0000-0000-000083390000}"/>
    <cellStyle name="Eingabe 3 2 2 13" xfId="14724" xr:uid="{00000000-0005-0000-0000-000084390000}"/>
    <cellStyle name="Eingabe 3 2 2 14" xfId="14725" xr:uid="{00000000-0005-0000-0000-000085390000}"/>
    <cellStyle name="Eingabe 3 2 2 15" xfId="14726" xr:uid="{00000000-0005-0000-0000-000086390000}"/>
    <cellStyle name="Eingabe 3 2 2 16" xfId="14727" xr:uid="{00000000-0005-0000-0000-000087390000}"/>
    <cellStyle name="Eingabe 3 2 2 17" xfId="14728" xr:uid="{00000000-0005-0000-0000-000088390000}"/>
    <cellStyle name="Eingabe 3 2 2 18" xfId="14729" xr:uid="{00000000-0005-0000-0000-000089390000}"/>
    <cellStyle name="Eingabe 3 2 2 19" xfId="14730" xr:uid="{00000000-0005-0000-0000-00008A390000}"/>
    <cellStyle name="Eingabe 3 2 2 2" xfId="14731" xr:uid="{00000000-0005-0000-0000-00008B390000}"/>
    <cellStyle name="Eingabe 3 2 2 20" xfId="14732" xr:uid="{00000000-0005-0000-0000-00008C390000}"/>
    <cellStyle name="Eingabe 3 2 2 21" xfId="14733" xr:uid="{00000000-0005-0000-0000-00008D390000}"/>
    <cellStyle name="Eingabe 3 2 2 22" xfId="14734" xr:uid="{00000000-0005-0000-0000-00008E390000}"/>
    <cellStyle name="Eingabe 3 2 2 23" xfId="14735" xr:uid="{00000000-0005-0000-0000-00008F390000}"/>
    <cellStyle name="Eingabe 3 2 2 24" xfId="14736" xr:uid="{00000000-0005-0000-0000-000090390000}"/>
    <cellStyle name="Eingabe 3 2 2 25" xfId="14737" xr:uid="{00000000-0005-0000-0000-000091390000}"/>
    <cellStyle name="Eingabe 3 2 2 26" xfId="14738" xr:uid="{00000000-0005-0000-0000-000092390000}"/>
    <cellStyle name="Eingabe 3 2 2 27" xfId="14739" xr:uid="{00000000-0005-0000-0000-000093390000}"/>
    <cellStyle name="Eingabe 3 2 2 28" xfId="14740" xr:uid="{00000000-0005-0000-0000-000094390000}"/>
    <cellStyle name="Eingabe 3 2 2 29" xfId="14741" xr:uid="{00000000-0005-0000-0000-000095390000}"/>
    <cellStyle name="Eingabe 3 2 2 3" xfId="14742" xr:uid="{00000000-0005-0000-0000-000096390000}"/>
    <cellStyle name="Eingabe 3 2 2 30" xfId="14743" xr:uid="{00000000-0005-0000-0000-000097390000}"/>
    <cellStyle name="Eingabe 3 2 2 31" xfId="14744" xr:uid="{00000000-0005-0000-0000-000098390000}"/>
    <cellStyle name="Eingabe 3 2 2 32" xfId="14745" xr:uid="{00000000-0005-0000-0000-000099390000}"/>
    <cellStyle name="Eingabe 3 2 2 33" xfId="14746" xr:uid="{00000000-0005-0000-0000-00009A390000}"/>
    <cellStyle name="Eingabe 3 2 2 34" xfId="14747" xr:uid="{00000000-0005-0000-0000-00009B390000}"/>
    <cellStyle name="Eingabe 3 2 2 35" xfId="14748" xr:uid="{00000000-0005-0000-0000-00009C390000}"/>
    <cellStyle name="Eingabe 3 2 2 36" xfId="14749" xr:uid="{00000000-0005-0000-0000-00009D390000}"/>
    <cellStyle name="Eingabe 3 2 2 37" xfId="14750" xr:uid="{00000000-0005-0000-0000-00009E390000}"/>
    <cellStyle name="Eingabe 3 2 2 38" xfId="14751" xr:uid="{00000000-0005-0000-0000-00009F390000}"/>
    <cellStyle name="Eingabe 3 2 2 39" xfId="14752" xr:uid="{00000000-0005-0000-0000-0000A0390000}"/>
    <cellStyle name="Eingabe 3 2 2 4" xfId="14753" xr:uid="{00000000-0005-0000-0000-0000A1390000}"/>
    <cellStyle name="Eingabe 3 2 2 40" xfId="14754" xr:uid="{00000000-0005-0000-0000-0000A2390000}"/>
    <cellStyle name="Eingabe 3 2 2 41" xfId="14755" xr:uid="{00000000-0005-0000-0000-0000A3390000}"/>
    <cellStyle name="Eingabe 3 2 2 42" xfId="14756" xr:uid="{00000000-0005-0000-0000-0000A4390000}"/>
    <cellStyle name="Eingabe 3 2 2 43" xfId="14757" xr:uid="{00000000-0005-0000-0000-0000A5390000}"/>
    <cellStyle name="Eingabe 3 2 2 44" xfId="14758" xr:uid="{00000000-0005-0000-0000-0000A6390000}"/>
    <cellStyle name="Eingabe 3 2 2 45" xfId="14759" xr:uid="{00000000-0005-0000-0000-0000A7390000}"/>
    <cellStyle name="Eingabe 3 2 2 46" xfId="14760" xr:uid="{00000000-0005-0000-0000-0000A8390000}"/>
    <cellStyle name="Eingabe 3 2 2 47" xfId="14761" xr:uid="{00000000-0005-0000-0000-0000A9390000}"/>
    <cellStyle name="Eingabe 3 2 2 48" xfId="14762" xr:uid="{00000000-0005-0000-0000-0000AA390000}"/>
    <cellStyle name="Eingabe 3 2 2 49" xfId="14763" xr:uid="{00000000-0005-0000-0000-0000AB390000}"/>
    <cellStyle name="Eingabe 3 2 2 5" xfId="14764" xr:uid="{00000000-0005-0000-0000-0000AC390000}"/>
    <cellStyle name="Eingabe 3 2 2 50" xfId="14765" xr:uid="{00000000-0005-0000-0000-0000AD390000}"/>
    <cellStyle name="Eingabe 3 2 2 51" xfId="14766" xr:uid="{00000000-0005-0000-0000-0000AE390000}"/>
    <cellStyle name="Eingabe 3 2 2 52" xfId="14767" xr:uid="{00000000-0005-0000-0000-0000AF390000}"/>
    <cellStyle name="Eingabe 3 2 2 53" xfId="14768" xr:uid="{00000000-0005-0000-0000-0000B0390000}"/>
    <cellStyle name="Eingabe 3 2 2 54" xfId="14769" xr:uid="{00000000-0005-0000-0000-0000B1390000}"/>
    <cellStyle name="Eingabe 3 2 2 55" xfId="14770" xr:uid="{00000000-0005-0000-0000-0000B2390000}"/>
    <cellStyle name="Eingabe 3 2 2 56" xfId="14771" xr:uid="{00000000-0005-0000-0000-0000B3390000}"/>
    <cellStyle name="Eingabe 3 2 2 57" xfId="14772" xr:uid="{00000000-0005-0000-0000-0000B4390000}"/>
    <cellStyle name="Eingabe 3 2 2 58" xfId="14773" xr:uid="{00000000-0005-0000-0000-0000B5390000}"/>
    <cellStyle name="Eingabe 3 2 2 59" xfId="14774" xr:uid="{00000000-0005-0000-0000-0000B6390000}"/>
    <cellStyle name="Eingabe 3 2 2 6" xfId="14775" xr:uid="{00000000-0005-0000-0000-0000B7390000}"/>
    <cellStyle name="Eingabe 3 2 2 60" xfId="14776" xr:uid="{00000000-0005-0000-0000-0000B8390000}"/>
    <cellStyle name="Eingabe 3 2 2 61" xfId="14777" xr:uid="{00000000-0005-0000-0000-0000B9390000}"/>
    <cellStyle name="Eingabe 3 2 2 62" xfId="14778" xr:uid="{00000000-0005-0000-0000-0000BA390000}"/>
    <cellStyle name="Eingabe 3 2 2 63" xfId="14779" xr:uid="{00000000-0005-0000-0000-0000BB390000}"/>
    <cellStyle name="Eingabe 3 2 2 64" xfId="14780" xr:uid="{00000000-0005-0000-0000-0000BC390000}"/>
    <cellStyle name="Eingabe 3 2 2 65" xfId="14781" xr:uid="{00000000-0005-0000-0000-0000BD390000}"/>
    <cellStyle name="Eingabe 3 2 2 7" xfId="14782" xr:uid="{00000000-0005-0000-0000-0000BE390000}"/>
    <cellStyle name="Eingabe 3 2 2 8" xfId="14783" xr:uid="{00000000-0005-0000-0000-0000BF390000}"/>
    <cellStyle name="Eingabe 3 2 2 9" xfId="14784" xr:uid="{00000000-0005-0000-0000-0000C0390000}"/>
    <cellStyle name="Eingabe 3 2 20" xfId="14785" xr:uid="{00000000-0005-0000-0000-0000C1390000}"/>
    <cellStyle name="Eingabe 3 2 21" xfId="14786" xr:uid="{00000000-0005-0000-0000-0000C2390000}"/>
    <cellStyle name="Eingabe 3 2 22" xfId="14787" xr:uid="{00000000-0005-0000-0000-0000C3390000}"/>
    <cellStyle name="Eingabe 3 2 23" xfId="14788" xr:uid="{00000000-0005-0000-0000-0000C4390000}"/>
    <cellStyle name="Eingabe 3 2 24" xfId="14789" xr:uid="{00000000-0005-0000-0000-0000C5390000}"/>
    <cellStyle name="Eingabe 3 2 25" xfId="14790" xr:uid="{00000000-0005-0000-0000-0000C6390000}"/>
    <cellStyle name="Eingabe 3 2 26" xfId="14791" xr:uid="{00000000-0005-0000-0000-0000C7390000}"/>
    <cellStyle name="Eingabe 3 2 27" xfId="14792" xr:uid="{00000000-0005-0000-0000-0000C8390000}"/>
    <cellStyle name="Eingabe 3 2 28" xfId="14793" xr:uid="{00000000-0005-0000-0000-0000C9390000}"/>
    <cellStyle name="Eingabe 3 2 29" xfId="14794" xr:uid="{00000000-0005-0000-0000-0000CA390000}"/>
    <cellStyle name="Eingabe 3 2 3" xfId="14795" xr:uid="{00000000-0005-0000-0000-0000CB390000}"/>
    <cellStyle name="Eingabe 3 2 30" xfId="14796" xr:uid="{00000000-0005-0000-0000-0000CC390000}"/>
    <cellStyle name="Eingabe 3 2 31" xfId="14797" xr:uid="{00000000-0005-0000-0000-0000CD390000}"/>
    <cellStyle name="Eingabe 3 2 32" xfId="14798" xr:uid="{00000000-0005-0000-0000-0000CE390000}"/>
    <cellStyle name="Eingabe 3 2 33" xfId="14799" xr:uid="{00000000-0005-0000-0000-0000CF390000}"/>
    <cellStyle name="Eingabe 3 2 34" xfId="14800" xr:uid="{00000000-0005-0000-0000-0000D0390000}"/>
    <cellStyle name="Eingabe 3 2 35" xfId="14801" xr:uid="{00000000-0005-0000-0000-0000D1390000}"/>
    <cellStyle name="Eingabe 3 2 36" xfId="14802" xr:uid="{00000000-0005-0000-0000-0000D2390000}"/>
    <cellStyle name="Eingabe 3 2 37" xfId="14803" xr:uid="{00000000-0005-0000-0000-0000D3390000}"/>
    <cellStyle name="Eingabe 3 2 38" xfId="14804" xr:uid="{00000000-0005-0000-0000-0000D4390000}"/>
    <cellStyle name="Eingabe 3 2 39" xfId="14805" xr:uid="{00000000-0005-0000-0000-0000D5390000}"/>
    <cellStyle name="Eingabe 3 2 4" xfId="14806" xr:uid="{00000000-0005-0000-0000-0000D6390000}"/>
    <cellStyle name="Eingabe 3 2 40" xfId="14807" xr:uid="{00000000-0005-0000-0000-0000D7390000}"/>
    <cellStyle name="Eingabe 3 2 41" xfId="14808" xr:uid="{00000000-0005-0000-0000-0000D8390000}"/>
    <cellStyle name="Eingabe 3 2 42" xfId="14809" xr:uid="{00000000-0005-0000-0000-0000D9390000}"/>
    <cellStyle name="Eingabe 3 2 43" xfId="14810" xr:uid="{00000000-0005-0000-0000-0000DA390000}"/>
    <cellStyle name="Eingabe 3 2 44" xfId="14811" xr:uid="{00000000-0005-0000-0000-0000DB390000}"/>
    <cellStyle name="Eingabe 3 2 45" xfId="14812" xr:uid="{00000000-0005-0000-0000-0000DC390000}"/>
    <cellStyle name="Eingabe 3 2 46" xfId="14813" xr:uid="{00000000-0005-0000-0000-0000DD390000}"/>
    <cellStyle name="Eingabe 3 2 47" xfId="14814" xr:uid="{00000000-0005-0000-0000-0000DE390000}"/>
    <cellStyle name="Eingabe 3 2 48" xfId="14815" xr:uid="{00000000-0005-0000-0000-0000DF390000}"/>
    <cellStyle name="Eingabe 3 2 49" xfId="14816" xr:uid="{00000000-0005-0000-0000-0000E0390000}"/>
    <cellStyle name="Eingabe 3 2 5" xfId="14817" xr:uid="{00000000-0005-0000-0000-0000E1390000}"/>
    <cellStyle name="Eingabe 3 2 50" xfId="14818" xr:uid="{00000000-0005-0000-0000-0000E2390000}"/>
    <cellStyle name="Eingabe 3 2 51" xfId="14819" xr:uid="{00000000-0005-0000-0000-0000E3390000}"/>
    <cellStyle name="Eingabe 3 2 52" xfId="14820" xr:uid="{00000000-0005-0000-0000-0000E4390000}"/>
    <cellStyle name="Eingabe 3 2 53" xfId="14821" xr:uid="{00000000-0005-0000-0000-0000E5390000}"/>
    <cellStyle name="Eingabe 3 2 54" xfId="14822" xr:uid="{00000000-0005-0000-0000-0000E6390000}"/>
    <cellStyle name="Eingabe 3 2 55" xfId="14823" xr:uid="{00000000-0005-0000-0000-0000E7390000}"/>
    <cellStyle name="Eingabe 3 2 56" xfId="14824" xr:uid="{00000000-0005-0000-0000-0000E8390000}"/>
    <cellStyle name="Eingabe 3 2 57" xfId="14825" xr:uid="{00000000-0005-0000-0000-0000E9390000}"/>
    <cellStyle name="Eingabe 3 2 58" xfId="14826" xr:uid="{00000000-0005-0000-0000-0000EA390000}"/>
    <cellStyle name="Eingabe 3 2 59" xfId="14827" xr:uid="{00000000-0005-0000-0000-0000EB390000}"/>
    <cellStyle name="Eingabe 3 2 6" xfId="14828" xr:uid="{00000000-0005-0000-0000-0000EC390000}"/>
    <cellStyle name="Eingabe 3 2 60" xfId="14829" xr:uid="{00000000-0005-0000-0000-0000ED390000}"/>
    <cellStyle name="Eingabe 3 2 61" xfId="14830" xr:uid="{00000000-0005-0000-0000-0000EE390000}"/>
    <cellStyle name="Eingabe 3 2 62" xfId="14831" xr:uid="{00000000-0005-0000-0000-0000EF390000}"/>
    <cellStyle name="Eingabe 3 2 63" xfId="14832" xr:uid="{00000000-0005-0000-0000-0000F0390000}"/>
    <cellStyle name="Eingabe 3 2 64" xfId="14833" xr:uid="{00000000-0005-0000-0000-0000F1390000}"/>
    <cellStyle name="Eingabe 3 2 65" xfId="14834" xr:uid="{00000000-0005-0000-0000-0000F2390000}"/>
    <cellStyle name="Eingabe 3 2 66" xfId="14835" xr:uid="{00000000-0005-0000-0000-0000F3390000}"/>
    <cellStyle name="Eingabe 3 2 7" xfId="14836" xr:uid="{00000000-0005-0000-0000-0000F4390000}"/>
    <cellStyle name="Eingabe 3 2 8" xfId="14837" xr:uid="{00000000-0005-0000-0000-0000F5390000}"/>
    <cellStyle name="Eingabe 3 2 9" xfId="14838" xr:uid="{00000000-0005-0000-0000-0000F6390000}"/>
    <cellStyle name="Eingabe 3 20" xfId="14839" xr:uid="{00000000-0005-0000-0000-0000F7390000}"/>
    <cellStyle name="Eingabe 3 21" xfId="14840" xr:uid="{00000000-0005-0000-0000-0000F8390000}"/>
    <cellStyle name="Eingabe 3 22" xfId="14841" xr:uid="{00000000-0005-0000-0000-0000F9390000}"/>
    <cellStyle name="Eingabe 3 23" xfId="14842" xr:uid="{00000000-0005-0000-0000-0000FA390000}"/>
    <cellStyle name="Eingabe 3 24" xfId="14843" xr:uid="{00000000-0005-0000-0000-0000FB390000}"/>
    <cellStyle name="Eingabe 3 25" xfId="14844" xr:uid="{00000000-0005-0000-0000-0000FC390000}"/>
    <cellStyle name="Eingabe 3 26" xfId="14845" xr:uid="{00000000-0005-0000-0000-0000FD390000}"/>
    <cellStyle name="Eingabe 3 27" xfId="14846" xr:uid="{00000000-0005-0000-0000-0000FE390000}"/>
    <cellStyle name="Eingabe 3 28" xfId="14847" xr:uid="{00000000-0005-0000-0000-0000FF390000}"/>
    <cellStyle name="Eingabe 3 29" xfId="14848" xr:uid="{00000000-0005-0000-0000-0000003A0000}"/>
    <cellStyle name="Eingabe 3 3" xfId="14849" xr:uid="{00000000-0005-0000-0000-0000013A0000}"/>
    <cellStyle name="Eingabe 3 3 10" xfId="14850" xr:uid="{00000000-0005-0000-0000-0000023A0000}"/>
    <cellStyle name="Eingabe 3 3 11" xfId="14851" xr:uid="{00000000-0005-0000-0000-0000033A0000}"/>
    <cellStyle name="Eingabe 3 3 12" xfId="14852" xr:uid="{00000000-0005-0000-0000-0000043A0000}"/>
    <cellStyle name="Eingabe 3 3 13" xfId="14853" xr:uid="{00000000-0005-0000-0000-0000053A0000}"/>
    <cellStyle name="Eingabe 3 3 14" xfId="14854" xr:uid="{00000000-0005-0000-0000-0000063A0000}"/>
    <cellStyle name="Eingabe 3 3 15" xfId="14855" xr:uid="{00000000-0005-0000-0000-0000073A0000}"/>
    <cellStyle name="Eingabe 3 3 16" xfId="14856" xr:uid="{00000000-0005-0000-0000-0000083A0000}"/>
    <cellStyle name="Eingabe 3 3 17" xfId="14857" xr:uid="{00000000-0005-0000-0000-0000093A0000}"/>
    <cellStyle name="Eingabe 3 3 18" xfId="14858" xr:uid="{00000000-0005-0000-0000-00000A3A0000}"/>
    <cellStyle name="Eingabe 3 3 19" xfId="14859" xr:uid="{00000000-0005-0000-0000-00000B3A0000}"/>
    <cellStyle name="Eingabe 3 3 2" xfId="14860" xr:uid="{00000000-0005-0000-0000-00000C3A0000}"/>
    <cellStyle name="Eingabe 3 3 2 10" xfId="14861" xr:uid="{00000000-0005-0000-0000-00000D3A0000}"/>
    <cellStyle name="Eingabe 3 3 2 11" xfId="14862" xr:uid="{00000000-0005-0000-0000-00000E3A0000}"/>
    <cellStyle name="Eingabe 3 3 2 12" xfId="14863" xr:uid="{00000000-0005-0000-0000-00000F3A0000}"/>
    <cellStyle name="Eingabe 3 3 2 13" xfId="14864" xr:uid="{00000000-0005-0000-0000-0000103A0000}"/>
    <cellStyle name="Eingabe 3 3 2 14" xfId="14865" xr:uid="{00000000-0005-0000-0000-0000113A0000}"/>
    <cellStyle name="Eingabe 3 3 2 15" xfId="14866" xr:uid="{00000000-0005-0000-0000-0000123A0000}"/>
    <cellStyle name="Eingabe 3 3 2 16" xfId="14867" xr:uid="{00000000-0005-0000-0000-0000133A0000}"/>
    <cellStyle name="Eingabe 3 3 2 17" xfId="14868" xr:uid="{00000000-0005-0000-0000-0000143A0000}"/>
    <cellStyle name="Eingabe 3 3 2 18" xfId="14869" xr:uid="{00000000-0005-0000-0000-0000153A0000}"/>
    <cellStyle name="Eingabe 3 3 2 19" xfId="14870" xr:uid="{00000000-0005-0000-0000-0000163A0000}"/>
    <cellStyle name="Eingabe 3 3 2 2" xfId="14871" xr:uid="{00000000-0005-0000-0000-0000173A0000}"/>
    <cellStyle name="Eingabe 3 3 2 20" xfId="14872" xr:uid="{00000000-0005-0000-0000-0000183A0000}"/>
    <cellStyle name="Eingabe 3 3 2 21" xfId="14873" xr:uid="{00000000-0005-0000-0000-0000193A0000}"/>
    <cellStyle name="Eingabe 3 3 2 22" xfId="14874" xr:uid="{00000000-0005-0000-0000-00001A3A0000}"/>
    <cellStyle name="Eingabe 3 3 2 23" xfId="14875" xr:uid="{00000000-0005-0000-0000-00001B3A0000}"/>
    <cellStyle name="Eingabe 3 3 2 24" xfId="14876" xr:uid="{00000000-0005-0000-0000-00001C3A0000}"/>
    <cellStyle name="Eingabe 3 3 2 25" xfId="14877" xr:uid="{00000000-0005-0000-0000-00001D3A0000}"/>
    <cellStyle name="Eingabe 3 3 2 26" xfId="14878" xr:uid="{00000000-0005-0000-0000-00001E3A0000}"/>
    <cellStyle name="Eingabe 3 3 2 27" xfId="14879" xr:uid="{00000000-0005-0000-0000-00001F3A0000}"/>
    <cellStyle name="Eingabe 3 3 2 28" xfId="14880" xr:uid="{00000000-0005-0000-0000-0000203A0000}"/>
    <cellStyle name="Eingabe 3 3 2 29" xfId="14881" xr:uid="{00000000-0005-0000-0000-0000213A0000}"/>
    <cellStyle name="Eingabe 3 3 2 3" xfId="14882" xr:uid="{00000000-0005-0000-0000-0000223A0000}"/>
    <cellStyle name="Eingabe 3 3 2 30" xfId="14883" xr:uid="{00000000-0005-0000-0000-0000233A0000}"/>
    <cellStyle name="Eingabe 3 3 2 31" xfId="14884" xr:uid="{00000000-0005-0000-0000-0000243A0000}"/>
    <cellStyle name="Eingabe 3 3 2 32" xfId="14885" xr:uid="{00000000-0005-0000-0000-0000253A0000}"/>
    <cellStyle name="Eingabe 3 3 2 33" xfId="14886" xr:uid="{00000000-0005-0000-0000-0000263A0000}"/>
    <cellStyle name="Eingabe 3 3 2 34" xfId="14887" xr:uid="{00000000-0005-0000-0000-0000273A0000}"/>
    <cellStyle name="Eingabe 3 3 2 35" xfId="14888" xr:uid="{00000000-0005-0000-0000-0000283A0000}"/>
    <cellStyle name="Eingabe 3 3 2 36" xfId="14889" xr:uid="{00000000-0005-0000-0000-0000293A0000}"/>
    <cellStyle name="Eingabe 3 3 2 37" xfId="14890" xr:uid="{00000000-0005-0000-0000-00002A3A0000}"/>
    <cellStyle name="Eingabe 3 3 2 38" xfId="14891" xr:uid="{00000000-0005-0000-0000-00002B3A0000}"/>
    <cellStyle name="Eingabe 3 3 2 39" xfId="14892" xr:uid="{00000000-0005-0000-0000-00002C3A0000}"/>
    <cellStyle name="Eingabe 3 3 2 4" xfId="14893" xr:uid="{00000000-0005-0000-0000-00002D3A0000}"/>
    <cellStyle name="Eingabe 3 3 2 40" xfId="14894" xr:uid="{00000000-0005-0000-0000-00002E3A0000}"/>
    <cellStyle name="Eingabe 3 3 2 41" xfId="14895" xr:uid="{00000000-0005-0000-0000-00002F3A0000}"/>
    <cellStyle name="Eingabe 3 3 2 42" xfId="14896" xr:uid="{00000000-0005-0000-0000-0000303A0000}"/>
    <cellStyle name="Eingabe 3 3 2 43" xfId="14897" xr:uid="{00000000-0005-0000-0000-0000313A0000}"/>
    <cellStyle name="Eingabe 3 3 2 44" xfId="14898" xr:uid="{00000000-0005-0000-0000-0000323A0000}"/>
    <cellStyle name="Eingabe 3 3 2 45" xfId="14899" xr:uid="{00000000-0005-0000-0000-0000333A0000}"/>
    <cellStyle name="Eingabe 3 3 2 46" xfId="14900" xr:uid="{00000000-0005-0000-0000-0000343A0000}"/>
    <cellStyle name="Eingabe 3 3 2 47" xfId="14901" xr:uid="{00000000-0005-0000-0000-0000353A0000}"/>
    <cellStyle name="Eingabe 3 3 2 48" xfId="14902" xr:uid="{00000000-0005-0000-0000-0000363A0000}"/>
    <cellStyle name="Eingabe 3 3 2 49" xfId="14903" xr:uid="{00000000-0005-0000-0000-0000373A0000}"/>
    <cellStyle name="Eingabe 3 3 2 5" xfId="14904" xr:uid="{00000000-0005-0000-0000-0000383A0000}"/>
    <cellStyle name="Eingabe 3 3 2 50" xfId="14905" xr:uid="{00000000-0005-0000-0000-0000393A0000}"/>
    <cellStyle name="Eingabe 3 3 2 51" xfId="14906" xr:uid="{00000000-0005-0000-0000-00003A3A0000}"/>
    <cellStyle name="Eingabe 3 3 2 52" xfId="14907" xr:uid="{00000000-0005-0000-0000-00003B3A0000}"/>
    <cellStyle name="Eingabe 3 3 2 53" xfId="14908" xr:uid="{00000000-0005-0000-0000-00003C3A0000}"/>
    <cellStyle name="Eingabe 3 3 2 54" xfId="14909" xr:uid="{00000000-0005-0000-0000-00003D3A0000}"/>
    <cellStyle name="Eingabe 3 3 2 55" xfId="14910" xr:uid="{00000000-0005-0000-0000-00003E3A0000}"/>
    <cellStyle name="Eingabe 3 3 2 56" xfId="14911" xr:uid="{00000000-0005-0000-0000-00003F3A0000}"/>
    <cellStyle name="Eingabe 3 3 2 57" xfId="14912" xr:uid="{00000000-0005-0000-0000-0000403A0000}"/>
    <cellStyle name="Eingabe 3 3 2 58" xfId="14913" xr:uid="{00000000-0005-0000-0000-0000413A0000}"/>
    <cellStyle name="Eingabe 3 3 2 59" xfId="14914" xr:uid="{00000000-0005-0000-0000-0000423A0000}"/>
    <cellStyle name="Eingabe 3 3 2 6" xfId="14915" xr:uid="{00000000-0005-0000-0000-0000433A0000}"/>
    <cellStyle name="Eingabe 3 3 2 60" xfId="14916" xr:uid="{00000000-0005-0000-0000-0000443A0000}"/>
    <cellStyle name="Eingabe 3 3 2 61" xfId="14917" xr:uid="{00000000-0005-0000-0000-0000453A0000}"/>
    <cellStyle name="Eingabe 3 3 2 62" xfId="14918" xr:uid="{00000000-0005-0000-0000-0000463A0000}"/>
    <cellStyle name="Eingabe 3 3 2 63" xfId="14919" xr:uid="{00000000-0005-0000-0000-0000473A0000}"/>
    <cellStyle name="Eingabe 3 3 2 64" xfId="14920" xr:uid="{00000000-0005-0000-0000-0000483A0000}"/>
    <cellStyle name="Eingabe 3 3 2 65" xfId="14921" xr:uid="{00000000-0005-0000-0000-0000493A0000}"/>
    <cellStyle name="Eingabe 3 3 2 7" xfId="14922" xr:uid="{00000000-0005-0000-0000-00004A3A0000}"/>
    <cellStyle name="Eingabe 3 3 2 8" xfId="14923" xr:uid="{00000000-0005-0000-0000-00004B3A0000}"/>
    <cellStyle name="Eingabe 3 3 2 9" xfId="14924" xr:uid="{00000000-0005-0000-0000-00004C3A0000}"/>
    <cellStyle name="Eingabe 3 3 20" xfId="14925" xr:uid="{00000000-0005-0000-0000-00004D3A0000}"/>
    <cellStyle name="Eingabe 3 3 21" xfId="14926" xr:uid="{00000000-0005-0000-0000-00004E3A0000}"/>
    <cellStyle name="Eingabe 3 3 22" xfId="14927" xr:uid="{00000000-0005-0000-0000-00004F3A0000}"/>
    <cellStyle name="Eingabe 3 3 23" xfId="14928" xr:uid="{00000000-0005-0000-0000-0000503A0000}"/>
    <cellStyle name="Eingabe 3 3 24" xfId="14929" xr:uid="{00000000-0005-0000-0000-0000513A0000}"/>
    <cellStyle name="Eingabe 3 3 25" xfId="14930" xr:uid="{00000000-0005-0000-0000-0000523A0000}"/>
    <cellStyle name="Eingabe 3 3 26" xfId="14931" xr:uid="{00000000-0005-0000-0000-0000533A0000}"/>
    <cellStyle name="Eingabe 3 3 27" xfId="14932" xr:uid="{00000000-0005-0000-0000-0000543A0000}"/>
    <cellStyle name="Eingabe 3 3 28" xfId="14933" xr:uid="{00000000-0005-0000-0000-0000553A0000}"/>
    <cellStyle name="Eingabe 3 3 29" xfId="14934" xr:uid="{00000000-0005-0000-0000-0000563A0000}"/>
    <cellStyle name="Eingabe 3 3 3" xfId="14935" xr:uid="{00000000-0005-0000-0000-0000573A0000}"/>
    <cellStyle name="Eingabe 3 3 30" xfId="14936" xr:uid="{00000000-0005-0000-0000-0000583A0000}"/>
    <cellStyle name="Eingabe 3 3 31" xfId="14937" xr:uid="{00000000-0005-0000-0000-0000593A0000}"/>
    <cellStyle name="Eingabe 3 3 32" xfId="14938" xr:uid="{00000000-0005-0000-0000-00005A3A0000}"/>
    <cellStyle name="Eingabe 3 3 33" xfId="14939" xr:uid="{00000000-0005-0000-0000-00005B3A0000}"/>
    <cellStyle name="Eingabe 3 3 34" xfId="14940" xr:uid="{00000000-0005-0000-0000-00005C3A0000}"/>
    <cellStyle name="Eingabe 3 3 35" xfId="14941" xr:uid="{00000000-0005-0000-0000-00005D3A0000}"/>
    <cellStyle name="Eingabe 3 3 36" xfId="14942" xr:uid="{00000000-0005-0000-0000-00005E3A0000}"/>
    <cellStyle name="Eingabe 3 3 37" xfId="14943" xr:uid="{00000000-0005-0000-0000-00005F3A0000}"/>
    <cellStyle name="Eingabe 3 3 38" xfId="14944" xr:uid="{00000000-0005-0000-0000-0000603A0000}"/>
    <cellStyle name="Eingabe 3 3 39" xfId="14945" xr:uid="{00000000-0005-0000-0000-0000613A0000}"/>
    <cellStyle name="Eingabe 3 3 4" xfId="14946" xr:uid="{00000000-0005-0000-0000-0000623A0000}"/>
    <cellStyle name="Eingabe 3 3 40" xfId="14947" xr:uid="{00000000-0005-0000-0000-0000633A0000}"/>
    <cellStyle name="Eingabe 3 3 41" xfId="14948" xr:uid="{00000000-0005-0000-0000-0000643A0000}"/>
    <cellStyle name="Eingabe 3 3 42" xfId="14949" xr:uid="{00000000-0005-0000-0000-0000653A0000}"/>
    <cellStyle name="Eingabe 3 3 43" xfId="14950" xr:uid="{00000000-0005-0000-0000-0000663A0000}"/>
    <cellStyle name="Eingabe 3 3 44" xfId="14951" xr:uid="{00000000-0005-0000-0000-0000673A0000}"/>
    <cellStyle name="Eingabe 3 3 45" xfId="14952" xr:uid="{00000000-0005-0000-0000-0000683A0000}"/>
    <cellStyle name="Eingabe 3 3 46" xfId="14953" xr:uid="{00000000-0005-0000-0000-0000693A0000}"/>
    <cellStyle name="Eingabe 3 3 47" xfId="14954" xr:uid="{00000000-0005-0000-0000-00006A3A0000}"/>
    <cellStyle name="Eingabe 3 3 48" xfId="14955" xr:uid="{00000000-0005-0000-0000-00006B3A0000}"/>
    <cellStyle name="Eingabe 3 3 49" xfId="14956" xr:uid="{00000000-0005-0000-0000-00006C3A0000}"/>
    <cellStyle name="Eingabe 3 3 5" xfId="14957" xr:uid="{00000000-0005-0000-0000-00006D3A0000}"/>
    <cellStyle name="Eingabe 3 3 50" xfId="14958" xr:uid="{00000000-0005-0000-0000-00006E3A0000}"/>
    <cellStyle name="Eingabe 3 3 51" xfId="14959" xr:uid="{00000000-0005-0000-0000-00006F3A0000}"/>
    <cellStyle name="Eingabe 3 3 52" xfId="14960" xr:uid="{00000000-0005-0000-0000-0000703A0000}"/>
    <cellStyle name="Eingabe 3 3 53" xfId="14961" xr:uid="{00000000-0005-0000-0000-0000713A0000}"/>
    <cellStyle name="Eingabe 3 3 54" xfId="14962" xr:uid="{00000000-0005-0000-0000-0000723A0000}"/>
    <cellStyle name="Eingabe 3 3 55" xfId="14963" xr:uid="{00000000-0005-0000-0000-0000733A0000}"/>
    <cellStyle name="Eingabe 3 3 56" xfId="14964" xr:uid="{00000000-0005-0000-0000-0000743A0000}"/>
    <cellStyle name="Eingabe 3 3 57" xfId="14965" xr:uid="{00000000-0005-0000-0000-0000753A0000}"/>
    <cellStyle name="Eingabe 3 3 58" xfId="14966" xr:uid="{00000000-0005-0000-0000-0000763A0000}"/>
    <cellStyle name="Eingabe 3 3 59" xfId="14967" xr:uid="{00000000-0005-0000-0000-0000773A0000}"/>
    <cellStyle name="Eingabe 3 3 6" xfId="14968" xr:uid="{00000000-0005-0000-0000-0000783A0000}"/>
    <cellStyle name="Eingabe 3 3 60" xfId="14969" xr:uid="{00000000-0005-0000-0000-0000793A0000}"/>
    <cellStyle name="Eingabe 3 3 61" xfId="14970" xr:uid="{00000000-0005-0000-0000-00007A3A0000}"/>
    <cellStyle name="Eingabe 3 3 62" xfId="14971" xr:uid="{00000000-0005-0000-0000-00007B3A0000}"/>
    <cellStyle name="Eingabe 3 3 63" xfId="14972" xr:uid="{00000000-0005-0000-0000-00007C3A0000}"/>
    <cellStyle name="Eingabe 3 3 64" xfId="14973" xr:uid="{00000000-0005-0000-0000-00007D3A0000}"/>
    <cellStyle name="Eingabe 3 3 65" xfId="14974" xr:uid="{00000000-0005-0000-0000-00007E3A0000}"/>
    <cellStyle name="Eingabe 3 3 66" xfId="14975" xr:uid="{00000000-0005-0000-0000-00007F3A0000}"/>
    <cellStyle name="Eingabe 3 3 7" xfId="14976" xr:uid="{00000000-0005-0000-0000-0000803A0000}"/>
    <cellStyle name="Eingabe 3 3 8" xfId="14977" xr:uid="{00000000-0005-0000-0000-0000813A0000}"/>
    <cellStyle name="Eingabe 3 3 9" xfId="14978" xr:uid="{00000000-0005-0000-0000-0000823A0000}"/>
    <cellStyle name="Eingabe 3 30" xfId="14979" xr:uid="{00000000-0005-0000-0000-0000833A0000}"/>
    <cellStyle name="Eingabe 3 31" xfId="14980" xr:uid="{00000000-0005-0000-0000-0000843A0000}"/>
    <cellStyle name="Eingabe 3 32" xfId="14981" xr:uid="{00000000-0005-0000-0000-0000853A0000}"/>
    <cellStyle name="Eingabe 3 33" xfId="14982" xr:uid="{00000000-0005-0000-0000-0000863A0000}"/>
    <cellStyle name="Eingabe 3 34" xfId="14983" xr:uid="{00000000-0005-0000-0000-0000873A0000}"/>
    <cellStyle name="Eingabe 3 35" xfId="14984" xr:uid="{00000000-0005-0000-0000-0000883A0000}"/>
    <cellStyle name="Eingabe 3 36" xfId="14985" xr:uid="{00000000-0005-0000-0000-0000893A0000}"/>
    <cellStyle name="Eingabe 3 37" xfId="14986" xr:uid="{00000000-0005-0000-0000-00008A3A0000}"/>
    <cellStyle name="Eingabe 3 38" xfId="14987" xr:uid="{00000000-0005-0000-0000-00008B3A0000}"/>
    <cellStyle name="Eingabe 3 39" xfId="14988" xr:uid="{00000000-0005-0000-0000-00008C3A0000}"/>
    <cellStyle name="Eingabe 3 4" xfId="14989" xr:uid="{00000000-0005-0000-0000-00008D3A0000}"/>
    <cellStyle name="Eingabe 3 4 10" xfId="14990" xr:uid="{00000000-0005-0000-0000-00008E3A0000}"/>
    <cellStyle name="Eingabe 3 4 11" xfId="14991" xr:uid="{00000000-0005-0000-0000-00008F3A0000}"/>
    <cellStyle name="Eingabe 3 4 12" xfId="14992" xr:uid="{00000000-0005-0000-0000-0000903A0000}"/>
    <cellStyle name="Eingabe 3 4 13" xfId="14993" xr:uid="{00000000-0005-0000-0000-0000913A0000}"/>
    <cellStyle name="Eingabe 3 4 14" xfId="14994" xr:uid="{00000000-0005-0000-0000-0000923A0000}"/>
    <cellStyle name="Eingabe 3 4 15" xfId="14995" xr:uid="{00000000-0005-0000-0000-0000933A0000}"/>
    <cellStyle name="Eingabe 3 4 16" xfId="14996" xr:uid="{00000000-0005-0000-0000-0000943A0000}"/>
    <cellStyle name="Eingabe 3 4 17" xfId="14997" xr:uid="{00000000-0005-0000-0000-0000953A0000}"/>
    <cellStyle name="Eingabe 3 4 18" xfId="14998" xr:uid="{00000000-0005-0000-0000-0000963A0000}"/>
    <cellStyle name="Eingabe 3 4 19" xfId="14999" xr:uid="{00000000-0005-0000-0000-0000973A0000}"/>
    <cellStyle name="Eingabe 3 4 2" xfId="15000" xr:uid="{00000000-0005-0000-0000-0000983A0000}"/>
    <cellStyle name="Eingabe 3 4 2 10" xfId="15001" xr:uid="{00000000-0005-0000-0000-0000993A0000}"/>
    <cellStyle name="Eingabe 3 4 2 11" xfId="15002" xr:uid="{00000000-0005-0000-0000-00009A3A0000}"/>
    <cellStyle name="Eingabe 3 4 2 12" xfId="15003" xr:uid="{00000000-0005-0000-0000-00009B3A0000}"/>
    <cellStyle name="Eingabe 3 4 2 13" xfId="15004" xr:uid="{00000000-0005-0000-0000-00009C3A0000}"/>
    <cellStyle name="Eingabe 3 4 2 14" xfId="15005" xr:uid="{00000000-0005-0000-0000-00009D3A0000}"/>
    <cellStyle name="Eingabe 3 4 2 15" xfId="15006" xr:uid="{00000000-0005-0000-0000-00009E3A0000}"/>
    <cellStyle name="Eingabe 3 4 2 16" xfId="15007" xr:uid="{00000000-0005-0000-0000-00009F3A0000}"/>
    <cellStyle name="Eingabe 3 4 2 17" xfId="15008" xr:uid="{00000000-0005-0000-0000-0000A03A0000}"/>
    <cellStyle name="Eingabe 3 4 2 18" xfId="15009" xr:uid="{00000000-0005-0000-0000-0000A13A0000}"/>
    <cellStyle name="Eingabe 3 4 2 19" xfId="15010" xr:uid="{00000000-0005-0000-0000-0000A23A0000}"/>
    <cellStyle name="Eingabe 3 4 2 2" xfId="15011" xr:uid="{00000000-0005-0000-0000-0000A33A0000}"/>
    <cellStyle name="Eingabe 3 4 2 20" xfId="15012" xr:uid="{00000000-0005-0000-0000-0000A43A0000}"/>
    <cellStyle name="Eingabe 3 4 2 21" xfId="15013" xr:uid="{00000000-0005-0000-0000-0000A53A0000}"/>
    <cellStyle name="Eingabe 3 4 2 22" xfId="15014" xr:uid="{00000000-0005-0000-0000-0000A63A0000}"/>
    <cellStyle name="Eingabe 3 4 2 23" xfId="15015" xr:uid="{00000000-0005-0000-0000-0000A73A0000}"/>
    <cellStyle name="Eingabe 3 4 2 24" xfId="15016" xr:uid="{00000000-0005-0000-0000-0000A83A0000}"/>
    <cellStyle name="Eingabe 3 4 2 25" xfId="15017" xr:uid="{00000000-0005-0000-0000-0000A93A0000}"/>
    <cellStyle name="Eingabe 3 4 2 26" xfId="15018" xr:uid="{00000000-0005-0000-0000-0000AA3A0000}"/>
    <cellStyle name="Eingabe 3 4 2 27" xfId="15019" xr:uid="{00000000-0005-0000-0000-0000AB3A0000}"/>
    <cellStyle name="Eingabe 3 4 2 28" xfId="15020" xr:uid="{00000000-0005-0000-0000-0000AC3A0000}"/>
    <cellStyle name="Eingabe 3 4 2 29" xfId="15021" xr:uid="{00000000-0005-0000-0000-0000AD3A0000}"/>
    <cellStyle name="Eingabe 3 4 2 3" xfId="15022" xr:uid="{00000000-0005-0000-0000-0000AE3A0000}"/>
    <cellStyle name="Eingabe 3 4 2 30" xfId="15023" xr:uid="{00000000-0005-0000-0000-0000AF3A0000}"/>
    <cellStyle name="Eingabe 3 4 2 31" xfId="15024" xr:uid="{00000000-0005-0000-0000-0000B03A0000}"/>
    <cellStyle name="Eingabe 3 4 2 32" xfId="15025" xr:uid="{00000000-0005-0000-0000-0000B13A0000}"/>
    <cellStyle name="Eingabe 3 4 2 33" xfId="15026" xr:uid="{00000000-0005-0000-0000-0000B23A0000}"/>
    <cellStyle name="Eingabe 3 4 2 34" xfId="15027" xr:uid="{00000000-0005-0000-0000-0000B33A0000}"/>
    <cellStyle name="Eingabe 3 4 2 35" xfId="15028" xr:uid="{00000000-0005-0000-0000-0000B43A0000}"/>
    <cellStyle name="Eingabe 3 4 2 36" xfId="15029" xr:uid="{00000000-0005-0000-0000-0000B53A0000}"/>
    <cellStyle name="Eingabe 3 4 2 37" xfId="15030" xr:uid="{00000000-0005-0000-0000-0000B63A0000}"/>
    <cellStyle name="Eingabe 3 4 2 38" xfId="15031" xr:uid="{00000000-0005-0000-0000-0000B73A0000}"/>
    <cellStyle name="Eingabe 3 4 2 39" xfId="15032" xr:uid="{00000000-0005-0000-0000-0000B83A0000}"/>
    <cellStyle name="Eingabe 3 4 2 4" xfId="15033" xr:uid="{00000000-0005-0000-0000-0000B93A0000}"/>
    <cellStyle name="Eingabe 3 4 2 40" xfId="15034" xr:uid="{00000000-0005-0000-0000-0000BA3A0000}"/>
    <cellStyle name="Eingabe 3 4 2 41" xfId="15035" xr:uid="{00000000-0005-0000-0000-0000BB3A0000}"/>
    <cellStyle name="Eingabe 3 4 2 42" xfId="15036" xr:uid="{00000000-0005-0000-0000-0000BC3A0000}"/>
    <cellStyle name="Eingabe 3 4 2 43" xfId="15037" xr:uid="{00000000-0005-0000-0000-0000BD3A0000}"/>
    <cellStyle name="Eingabe 3 4 2 44" xfId="15038" xr:uid="{00000000-0005-0000-0000-0000BE3A0000}"/>
    <cellStyle name="Eingabe 3 4 2 45" xfId="15039" xr:uid="{00000000-0005-0000-0000-0000BF3A0000}"/>
    <cellStyle name="Eingabe 3 4 2 46" xfId="15040" xr:uid="{00000000-0005-0000-0000-0000C03A0000}"/>
    <cellStyle name="Eingabe 3 4 2 47" xfId="15041" xr:uid="{00000000-0005-0000-0000-0000C13A0000}"/>
    <cellStyle name="Eingabe 3 4 2 48" xfId="15042" xr:uid="{00000000-0005-0000-0000-0000C23A0000}"/>
    <cellStyle name="Eingabe 3 4 2 49" xfId="15043" xr:uid="{00000000-0005-0000-0000-0000C33A0000}"/>
    <cellStyle name="Eingabe 3 4 2 5" xfId="15044" xr:uid="{00000000-0005-0000-0000-0000C43A0000}"/>
    <cellStyle name="Eingabe 3 4 2 50" xfId="15045" xr:uid="{00000000-0005-0000-0000-0000C53A0000}"/>
    <cellStyle name="Eingabe 3 4 2 51" xfId="15046" xr:uid="{00000000-0005-0000-0000-0000C63A0000}"/>
    <cellStyle name="Eingabe 3 4 2 52" xfId="15047" xr:uid="{00000000-0005-0000-0000-0000C73A0000}"/>
    <cellStyle name="Eingabe 3 4 2 53" xfId="15048" xr:uid="{00000000-0005-0000-0000-0000C83A0000}"/>
    <cellStyle name="Eingabe 3 4 2 54" xfId="15049" xr:uid="{00000000-0005-0000-0000-0000C93A0000}"/>
    <cellStyle name="Eingabe 3 4 2 55" xfId="15050" xr:uid="{00000000-0005-0000-0000-0000CA3A0000}"/>
    <cellStyle name="Eingabe 3 4 2 56" xfId="15051" xr:uid="{00000000-0005-0000-0000-0000CB3A0000}"/>
    <cellStyle name="Eingabe 3 4 2 57" xfId="15052" xr:uid="{00000000-0005-0000-0000-0000CC3A0000}"/>
    <cellStyle name="Eingabe 3 4 2 58" xfId="15053" xr:uid="{00000000-0005-0000-0000-0000CD3A0000}"/>
    <cellStyle name="Eingabe 3 4 2 59" xfId="15054" xr:uid="{00000000-0005-0000-0000-0000CE3A0000}"/>
    <cellStyle name="Eingabe 3 4 2 6" xfId="15055" xr:uid="{00000000-0005-0000-0000-0000CF3A0000}"/>
    <cellStyle name="Eingabe 3 4 2 60" xfId="15056" xr:uid="{00000000-0005-0000-0000-0000D03A0000}"/>
    <cellStyle name="Eingabe 3 4 2 61" xfId="15057" xr:uid="{00000000-0005-0000-0000-0000D13A0000}"/>
    <cellStyle name="Eingabe 3 4 2 62" xfId="15058" xr:uid="{00000000-0005-0000-0000-0000D23A0000}"/>
    <cellStyle name="Eingabe 3 4 2 63" xfId="15059" xr:uid="{00000000-0005-0000-0000-0000D33A0000}"/>
    <cellStyle name="Eingabe 3 4 2 64" xfId="15060" xr:uid="{00000000-0005-0000-0000-0000D43A0000}"/>
    <cellStyle name="Eingabe 3 4 2 65" xfId="15061" xr:uid="{00000000-0005-0000-0000-0000D53A0000}"/>
    <cellStyle name="Eingabe 3 4 2 7" xfId="15062" xr:uid="{00000000-0005-0000-0000-0000D63A0000}"/>
    <cellStyle name="Eingabe 3 4 2 8" xfId="15063" xr:uid="{00000000-0005-0000-0000-0000D73A0000}"/>
    <cellStyle name="Eingabe 3 4 2 9" xfId="15064" xr:uid="{00000000-0005-0000-0000-0000D83A0000}"/>
    <cellStyle name="Eingabe 3 4 20" xfId="15065" xr:uid="{00000000-0005-0000-0000-0000D93A0000}"/>
    <cellStyle name="Eingabe 3 4 21" xfId="15066" xr:uid="{00000000-0005-0000-0000-0000DA3A0000}"/>
    <cellStyle name="Eingabe 3 4 22" xfId="15067" xr:uid="{00000000-0005-0000-0000-0000DB3A0000}"/>
    <cellStyle name="Eingabe 3 4 23" xfId="15068" xr:uid="{00000000-0005-0000-0000-0000DC3A0000}"/>
    <cellStyle name="Eingabe 3 4 24" xfId="15069" xr:uid="{00000000-0005-0000-0000-0000DD3A0000}"/>
    <cellStyle name="Eingabe 3 4 25" xfId="15070" xr:uid="{00000000-0005-0000-0000-0000DE3A0000}"/>
    <cellStyle name="Eingabe 3 4 26" xfId="15071" xr:uid="{00000000-0005-0000-0000-0000DF3A0000}"/>
    <cellStyle name="Eingabe 3 4 27" xfId="15072" xr:uid="{00000000-0005-0000-0000-0000E03A0000}"/>
    <cellStyle name="Eingabe 3 4 28" xfId="15073" xr:uid="{00000000-0005-0000-0000-0000E13A0000}"/>
    <cellStyle name="Eingabe 3 4 29" xfId="15074" xr:uid="{00000000-0005-0000-0000-0000E23A0000}"/>
    <cellStyle name="Eingabe 3 4 3" xfId="15075" xr:uid="{00000000-0005-0000-0000-0000E33A0000}"/>
    <cellStyle name="Eingabe 3 4 30" xfId="15076" xr:uid="{00000000-0005-0000-0000-0000E43A0000}"/>
    <cellStyle name="Eingabe 3 4 31" xfId="15077" xr:uid="{00000000-0005-0000-0000-0000E53A0000}"/>
    <cellStyle name="Eingabe 3 4 32" xfId="15078" xr:uid="{00000000-0005-0000-0000-0000E63A0000}"/>
    <cellStyle name="Eingabe 3 4 33" xfId="15079" xr:uid="{00000000-0005-0000-0000-0000E73A0000}"/>
    <cellStyle name="Eingabe 3 4 34" xfId="15080" xr:uid="{00000000-0005-0000-0000-0000E83A0000}"/>
    <cellStyle name="Eingabe 3 4 35" xfId="15081" xr:uid="{00000000-0005-0000-0000-0000E93A0000}"/>
    <cellStyle name="Eingabe 3 4 36" xfId="15082" xr:uid="{00000000-0005-0000-0000-0000EA3A0000}"/>
    <cellStyle name="Eingabe 3 4 37" xfId="15083" xr:uid="{00000000-0005-0000-0000-0000EB3A0000}"/>
    <cellStyle name="Eingabe 3 4 38" xfId="15084" xr:uid="{00000000-0005-0000-0000-0000EC3A0000}"/>
    <cellStyle name="Eingabe 3 4 39" xfId="15085" xr:uid="{00000000-0005-0000-0000-0000ED3A0000}"/>
    <cellStyle name="Eingabe 3 4 4" xfId="15086" xr:uid="{00000000-0005-0000-0000-0000EE3A0000}"/>
    <cellStyle name="Eingabe 3 4 40" xfId="15087" xr:uid="{00000000-0005-0000-0000-0000EF3A0000}"/>
    <cellStyle name="Eingabe 3 4 41" xfId="15088" xr:uid="{00000000-0005-0000-0000-0000F03A0000}"/>
    <cellStyle name="Eingabe 3 4 42" xfId="15089" xr:uid="{00000000-0005-0000-0000-0000F13A0000}"/>
    <cellStyle name="Eingabe 3 4 43" xfId="15090" xr:uid="{00000000-0005-0000-0000-0000F23A0000}"/>
    <cellStyle name="Eingabe 3 4 44" xfId="15091" xr:uid="{00000000-0005-0000-0000-0000F33A0000}"/>
    <cellStyle name="Eingabe 3 4 45" xfId="15092" xr:uid="{00000000-0005-0000-0000-0000F43A0000}"/>
    <cellStyle name="Eingabe 3 4 46" xfId="15093" xr:uid="{00000000-0005-0000-0000-0000F53A0000}"/>
    <cellStyle name="Eingabe 3 4 47" xfId="15094" xr:uid="{00000000-0005-0000-0000-0000F63A0000}"/>
    <cellStyle name="Eingabe 3 4 48" xfId="15095" xr:uid="{00000000-0005-0000-0000-0000F73A0000}"/>
    <cellStyle name="Eingabe 3 4 49" xfId="15096" xr:uid="{00000000-0005-0000-0000-0000F83A0000}"/>
    <cellStyle name="Eingabe 3 4 5" xfId="15097" xr:uid="{00000000-0005-0000-0000-0000F93A0000}"/>
    <cellStyle name="Eingabe 3 4 50" xfId="15098" xr:uid="{00000000-0005-0000-0000-0000FA3A0000}"/>
    <cellStyle name="Eingabe 3 4 51" xfId="15099" xr:uid="{00000000-0005-0000-0000-0000FB3A0000}"/>
    <cellStyle name="Eingabe 3 4 52" xfId="15100" xr:uid="{00000000-0005-0000-0000-0000FC3A0000}"/>
    <cellStyle name="Eingabe 3 4 53" xfId="15101" xr:uid="{00000000-0005-0000-0000-0000FD3A0000}"/>
    <cellStyle name="Eingabe 3 4 54" xfId="15102" xr:uid="{00000000-0005-0000-0000-0000FE3A0000}"/>
    <cellStyle name="Eingabe 3 4 55" xfId="15103" xr:uid="{00000000-0005-0000-0000-0000FF3A0000}"/>
    <cellStyle name="Eingabe 3 4 56" xfId="15104" xr:uid="{00000000-0005-0000-0000-0000003B0000}"/>
    <cellStyle name="Eingabe 3 4 57" xfId="15105" xr:uid="{00000000-0005-0000-0000-0000013B0000}"/>
    <cellStyle name="Eingabe 3 4 58" xfId="15106" xr:uid="{00000000-0005-0000-0000-0000023B0000}"/>
    <cellStyle name="Eingabe 3 4 59" xfId="15107" xr:uid="{00000000-0005-0000-0000-0000033B0000}"/>
    <cellStyle name="Eingabe 3 4 6" xfId="15108" xr:uid="{00000000-0005-0000-0000-0000043B0000}"/>
    <cellStyle name="Eingabe 3 4 60" xfId="15109" xr:uid="{00000000-0005-0000-0000-0000053B0000}"/>
    <cellStyle name="Eingabe 3 4 61" xfId="15110" xr:uid="{00000000-0005-0000-0000-0000063B0000}"/>
    <cellStyle name="Eingabe 3 4 62" xfId="15111" xr:uid="{00000000-0005-0000-0000-0000073B0000}"/>
    <cellStyle name="Eingabe 3 4 63" xfId="15112" xr:uid="{00000000-0005-0000-0000-0000083B0000}"/>
    <cellStyle name="Eingabe 3 4 64" xfId="15113" xr:uid="{00000000-0005-0000-0000-0000093B0000}"/>
    <cellStyle name="Eingabe 3 4 65" xfId="15114" xr:uid="{00000000-0005-0000-0000-00000A3B0000}"/>
    <cellStyle name="Eingabe 3 4 66" xfId="15115" xr:uid="{00000000-0005-0000-0000-00000B3B0000}"/>
    <cellStyle name="Eingabe 3 4 7" xfId="15116" xr:uid="{00000000-0005-0000-0000-00000C3B0000}"/>
    <cellStyle name="Eingabe 3 4 8" xfId="15117" xr:uid="{00000000-0005-0000-0000-00000D3B0000}"/>
    <cellStyle name="Eingabe 3 4 9" xfId="15118" xr:uid="{00000000-0005-0000-0000-00000E3B0000}"/>
    <cellStyle name="Eingabe 3 40" xfId="15119" xr:uid="{00000000-0005-0000-0000-00000F3B0000}"/>
    <cellStyle name="Eingabe 3 41" xfId="15120" xr:uid="{00000000-0005-0000-0000-0000103B0000}"/>
    <cellStyle name="Eingabe 3 42" xfId="15121" xr:uid="{00000000-0005-0000-0000-0000113B0000}"/>
    <cellStyle name="Eingabe 3 43" xfId="15122" xr:uid="{00000000-0005-0000-0000-0000123B0000}"/>
    <cellStyle name="Eingabe 3 44" xfId="15123" xr:uid="{00000000-0005-0000-0000-0000133B0000}"/>
    <cellStyle name="Eingabe 3 45" xfId="15124" xr:uid="{00000000-0005-0000-0000-0000143B0000}"/>
    <cellStyle name="Eingabe 3 46" xfId="15125" xr:uid="{00000000-0005-0000-0000-0000153B0000}"/>
    <cellStyle name="Eingabe 3 47" xfId="15126" xr:uid="{00000000-0005-0000-0000-0000163B0000}"/>
    <cellStyle name="Eingabe 3 48" xfId="15127" xr:uid="{00000000-0005-0000-0000-0000173B0000}"/>
    <cellStyle name="Eingabe 3 49" xfId="15128" xr:uid="{00000000-0005-0000-0000-0000183B0000}"/>
    <cellStyle name="Eingabe 3 5" xfId="15129" xr:uid="{00000000-0005-0000-0000-0000193B0000}"/>
    <cellStyle name="Eingabe 3 5 10" xfId="15130" xr:uid="{00000000-0005-0000-0000-00001A3B0000}"/>
    <cellStyle name="Eingabe 3 5 11" xfId="15131" xr:uid="{00000000-0005-0000-0000-00001B3B0000}"/>
    <cellStyle name="Eingabe 3 5 12" xfId="15132" xr:uid="{00000000-0005-0000-0000-00001C3B0000}"/>
    <cellStyle name="Eingabe 3 5 13" xfId="15133" xr:uid="{00000000-0005-0000-0000-00001D3B0000}"/>
    <cellStyle name="Eingabe 3 5 14" xfId="15134" xr:uid="{00000000-0005-0000-0000-00001E3B0000}"/>
    <cellStyle name="Eingabe 3 5 15" xfId="15135" xr:uid="{00000000-0005-0000-0000-00001F3B0000}"/>
    <cellStyle name="Eingabe 3 5 16" xfId="15136" xr:uid="{00000000-0005-0000-0000-0000203B0000}"/>
    <cellStyle name="Eingabe 3 5 17" xfId="15137" xr:uid="{00000000-0005-0000-0000-0000213B0000}"/>
    <cellStyle name="Eingabe 3 5 18" xfId="15138" xr:uid="{00000000-0005-0000-0000-0000223B0000}"/>
    <cellStyle name="Eingabe 3 5 19" xfId="15139" xr:uid="{00000000-0005-0000-0000-0000233B0000}"/>
    <cellStyle name="Eingabe 3 5 2" xfId="15140" xr:uid="{00000000-0005-0000-0000-0000243B0000}"/>
    <cellStyle name="Eingabe 3 5 20" xfId="15141" xr:uid="{00000000-0005-0000-0000-0000253B0000}"/>
    <cellStyle name="Eingabe 3 5 21" xfId="15142" xr:uid="{00000000-0005-0000-0000-0000263B0000}"/>
    <cellStyle name="Eingabe 3 5 22" xfId="15143" xr:uid="{00000000-0005-0000-0000-0000273B0000}"/>
    <cellStyle name="Eingabe 3 5 23" xfId="15144" xr:uid="{00000000-0005-0000-0000-0000283B0000}"/>
    <cellStyle name="Eingabe 3 5 24" xfId="15145" xr:uid="{00000000-0005-0000-0000-0000293B0000}"/>
    <cellStyle name="Eingabe 3 5 25" xfId="15146" xr:uid="{00000000-0005-0000-0000-00002A3B0000}"/>
    <cellStyle name="Eingabe 3 5 26" xfId="15147" xr:uid="{00000000-0005-0000-0000-00002B3B0000}"/>
    <cellStyle name="Eingabe 3 5 27" xfId="15148" xr:uid="{00000000-0005-0000-0000-00002C3B0000}"/>
    <cellStyle name="Eingabe 3 5 28" xfId="15149" xr:uid="{00000000-0005-0000-0000-00002D3B0000}"/>
    <cellStyle name="Eingabe 3 5 29" xfId="15150" xr:uid="{00000000-0005-0000-0000-00002E3B0000}"/>
    <cellStyle name="Eingabe 3 5 3" xfId="15151" xr:uid="{00000000-0005-0000-0000-00002F3B0000}"/>
    <cellStyle name="Eingabe 3 5 30" xfId="15152" xr:uid="{00000000-0005-0000-0000-0000303B0000}"/>
    <cellStyle name="Eingabe 3 5 31" xfId="15153" xr:uid="{00000000-0005-0000-0000-0000313B0000}"/>
    <cellStyle name="Eingabe 3 5 32" xfId="15154" xr:uid="{00000000-0005-0000-0000-0000323B0000}"/>
    <cellStyle name="Eingabe 3 5 33" xfId="15155" xr:uid="{00000000-0005-0000-0000-0000333B0000}"/>
    <cellStyle name="Eingabe 3 5 34" xfId="15156" xr:uid="{00000000-0005-0000-0000-0000343B0000}"/>
    <cellStyle name="Eingabe 3 5 35" xfId="15157" xr:uid="{00000000-0005-0000-0000-0000353B0000}"/>
    <cellStyle name="Eingabe 3 5 36" xfId="15158" xr:uid="{00000000-0005-0000-0000-0000363B0000}"/>
    <cellStyle name="Eingabe 3 5 37" xfId="15159" xr:uid="{00000000-0005-0000-0000-0000373B0000}"/>
    <cellStyle name="Eingabe 3 5 38" xfId="15160" xr:uid="{00000000-0005-0000-0000-0000383B0000}"/>
    <cellStyle name="Eingabe 3 5 39" xfId="15161" xr:uid="{00000000-0005-0000-0000-0000393B0000}"/>
    <cellStyle name="Eingabe 3 5 4" xfId="15162" xr:uid="{00000000-0005-0000-0000-00003A3B0000}"/>
    <cellStyle name="Eingabe 3 5 40" xfId="15163" xr:uid="{00000000-0005-0000-0000-00003B3B0000}"/>
    <cellStyle name="Eingabe 3 5 41" xfId="15164" xr:uid="{00000000-0005-0000-0000-00003C3B0000}"/>
    <cellStyle name="Eingabe 3 5 42" xfId="15165" xr:uid="{00000000-0005-0000-0000-00003D3B0000}"/>
    <cellStyle name="Eingabe 3 5 43" xfId="15166" xr:uid="{00000000-0005-0000-0000-00003E3B0000}"/>
    <cellStyle name="Eingabe 3 5 44" xfId="15167" xr:uid="{00000000-0005-0000-0000-00003F3B0000}"/>
    <cellStyle name="Eingabe 3 5 45" xfId="15168" xr:uid="{00000000-0005-0000-0000-0000403B0000}"/>
    <cellStyle name="Eingabe 3 5 46" xfId="15169" xr:uid="{00000000-0005-0000-0000-0000413B0000}"/>
    <cellStyle name="Eingabe 3 5 47" xfId="15170" xr:uid="{00000000-0005-0000-0000-0000423B0000}"/>
    <cellStyle name="Eingabe 3 5 48" xfId="15171" xr:uid="{00000000-0005-0000-0000-0000433B0000}"/>
    <cellStyle name="Eingabe 3 5 49" xfId="15172" xr:uid="{00000000-0005-0000-0000-0000443B0000}"/>
    <cellStyle name="Eingabe 3 5 5" xfId="15173" xr:uid="{00000000-0005-0000-0000-0000453B0000}"/>
    <cellStyle name="Eingabe 3 5 50" xfId="15174" xr:uid="{00000000-0005-0000-0000-0000463B0000}"/>
    <cellStyle name="Eingabe 3 5 51" xfId="15175" xr:uid="{00000000-0005-0000-0000-0000473B0000}"/>
    <cellStyle name="Eingabe 3 5 52" xfId="15176" xr:uid="{00000000-0005-0000-0000-0000483B0000}"/>
    <cellStyle name="Eingabe 3 5 53" xfId="15177" xr:uid="{00000000-0005-0000-0000-0000493B0000}"/>
    <cellStyle name="Eingabe 3 5 54" xfId="15178" xr:uid="{00000000-0005-0000-0000-00004A3B0000}"/>
    <cellStyle name="Eingabe 3 5 55" xfId="15179" xr:uid="{00000000-0005-0000-0000-00004B3B0000}"/>
    <cellStyle name="Eingabe 3 5 56" xfId="15180" xr:uid="{00000000-0005-0000-0000-00004C3B0000}"/>
    <cellStyle name="Eingabe 3 5 57" xfId="15181" xr:uid="{00000000-0005-0000-0000-00004D3B0000}"/>
    <cellStyle name="Eingabe 3 5 58" xfId="15182" xr:uid="{00000000-0005-0000-0000-00004E3B0000}"/>
    <cellStyle name="Eingabe 3 5 59" xfId="15183" xr:uid="{00000000-0005-0000-0000-00004F3B0000}"/>
    <cellStyle name="Eingabe 3 5 6" xfId="15184" xr:uid="{00000000-0005-0000-0000-0000503B0000}"/>
    <cellStyle name="Eingabe 3 5 60" xfId="15185" xr:uid="{00000000-0005-0000-0000-0000513B0000}"/>
    <cellStyle name="Eingabe 3 5 61" xfId="15186" xr:uid="{00000000-0005-0000-0000-0000523B0000}"/>
    <cellStyle name="Eingabe 3 5 62" xfId="15187" xr:uid="{00000000-0005-0000-0000-0000533B0000}"/>
    <cellStyle name="Eingabe 3 5 63" xfId="15188" xr:uid="{00000000-0005-0000-0000-0000543B0000}"/>
    <cellStyle name="Eingabe 3 5 64" xfId="15189" xr:uid="{00000000-0005-0000-0000-0000553B0000}"/>
    <cellStyle name="Eingabe 3 5 65" xfId="15190" xr:uid="{00000000-0005-0000-0000-0000563B0000}"/>
    <cellStyle name="Eingabe 3 5 7" xfId="15191" xr:uid="{00000000-0005-0000-0000-0000573B0000}"/>
    <cellStyle name="Eingabe 3 5 8" xfId="15192" xr:uid="{00000000-0005-0000-0000-0000583B0000}"/>
    <cellStyle name="Eingabe 3 5 9" xfId="15193" xr:uid="{00000000-0005-0000-0000-0000593B0000}"/>
    <cellStyle name="Eingabe 3 50" xfId="15194" xr:uid="{00000000-0005-0000-0000-00005A3B0000}"/>
    <cellStyle name="Eingabe 3 51" xfId="15195" xr:uid="{00000000-0005-0000-0000-00005B3B0000}"/>
    <cellStyle name="Eingabe 3 6" xfId="15196" xr:uid="{00000000-0005-0000-0000-00005C3B0000}"/>
    <cellStyle name="Eingabe 3 7" xfId="15197" xr:uid="{00000000-0005-0000-0000-00005D3B0000}"/>
    <cellStyle name="Eingabe 3 8" xfId="15198" xr:uid="{00000000-0005-0000-0000-00005E3B0000}"/>
    <cellStyle name="Eingabe 3 9" xfId="15199" xr:uid="{00000000-0005-0000-0000-00005F3B0000}"/>
    <cellStyle name="Eingabe 4" xfId="15200" xr:uid="{00000000-0005-0000-0000-0000603B0000}"/>
    <cellStyle name="Eingabe 4 10" xfId="15201" xr:uid="{00000000-0005-0000-0000-0000613B0000}"/>
    <cellStyle name="Eingabe 4 11" xfId="15202" xr:uid="{00000000-0005-0000-0000-0000623B0000}"/>
    <cellStyle name="Eingabe 4 12" xfId="15203" xr:uid="{00000000-0005-0000-0000-0000633B0000}"/>
    <cellStyle name="Eingabe 4 13" xfId="15204" xr:uid="{00000000-0005-0000-0000-0000643B0000}"/>
    <cellStyle name="Eingabe 4 14" xfId="15205" xr:uid="{00000000-0005-0000-0000-0000653B0000}"/>
    <cellStyle name="Eingabe 4 15" xfId="15206" xr:uid="{00000000-0005-0000-0000-0000663B0000}"/>
    <cellStyle name="Eingabe 4 16" xfId="15207" xr:uid="{00000000-0005-0000-0000-0000673B0000}"/>
    <cellStyle name="Eingabe 4 17" xfId="15208" xr:uid="{00000000-0005-0000-0000-0000683B0000}"/>
    <cellStyle name="Eingabe 4 18" xfId="15209" xr:uid="{00000000-0005-0000-0000-0000693B0000}"/>
    <cellStyle name="Eingabe 4 19" xfId="15210" xr:uid="{00000000-0005-0000-0000-00006A3B0000}"/>
    <cellStyle name="Eingabe 4 2" xfId="15211" xr:uid="{00000000-0005-0000-0000-00006B3B0000}"/>
    <cellStyle name="Eingabe 4 2 10" xfId="15212" xr:uid="{00000000-0005-0000-0000-00006C3B0000}"/>
    <cellStyle name="Eingabe 4 2 11" xfId="15213" xr:uid="{00000000-0005-0000-0000-00006D3B0000}"/>
    <cellStyle name="Eingabe 4 2 12" xfId="15214" xr:uid="{00000000-0005-0000-0000-00006E3B0000}"/>
    <cellStyle name="Eingabe 4 2 13" xfId="15215" xr:uid="{00000000-0005-0000-0000-00006F3B0000}"/>
    <cellStyle name="Eingabe 4 2 14" xfId="15216" xr:uid="{00000000-0005-0000-0000-0000703B0000}"/>
    <cellStyle name="Eingabe 4 2 15" xfId="15217" xr:uid="{00000000-0005-0000-0000-0000713B0000}"/>
    <cellStyle name="Eingabe 4 2 16" xfId="15218" xr:uid="{00000000-0005-0000-0000-0000723B0000}"/>
    <cellStyle name="Eingabe 4 2 17" xfId="15219" xr:uid="{00000000-0005-0000-0000-0000733B0000}"/>
    <cellStyle name="Eingabe 4 2 18" xfId="15220" xr:uid="{00000000-0005-0000-0000-0000743B0000}"/>
    <cellStyle name="Eingabe 4 2 19" xfId="15221" xr:uid="{00000000-0005-0000-0000-0000753B0000}"/>
    <cellStyle name="Eingabe 4 2 2" xfId="15222" xr:uid="{00000000-0005-0000-0000-0000763B0000}"/>
    <cellStyle name="Eingabe 4 2 2 10" xfId="15223" xr:uid="{00000000-0005-0000-0000-0000773B0000}"/>
    <cellStyle name="Eingabe 4 2 2 11" xfId="15224" xr:uid="{00000000-0005-0000-0000-0000783B0000}"/>
    <cellStyle name="Eingabe 4 2 2 12" xfId="15225" xr:uid="{00000000-0005-0000-0000-0000793B0000}"/>
    <cellStyle name="Eingabe 4 2 2 13" xfId="15226" xr:uid="{00000000-0005-0000-0000-00007A3B0000}"/>
    <cellStyle name="Eingabe 4 2 2 14" xfId="15227" xr:uid="{00000000-0005-0000-0000-00007B3B0000}"/>
    <cellStyle name="Eingabe 4 2 2 15" xfId="15228" xr:uid="{00000000-0005-0000-0000-00007C3B0000}"/>
    <cellStyle name="Eingabe 4 2 2 16" xfId="15229" xr:uid="{00000000-0005-0000-0000-00007D3B0000}"/>
    <cellStyle name="Eingabe 4 2 2 17" xfId="15230" xr:uid="{00000000-0005-0000-0000-00007E3B0000}"/>
    <cellStyle name="Eingabe 4 2 2 18" xfId="15231" xr:uid="{00000000-0005-0000-0000-00007F3B0000}"/>
    <cellStyle name="Eingabe 4 2 2 19" xfId="15232" xr:uid="{00000000-0005-0000-0000-0000803B0000}"/>
    <cellStyle name="Eingabe 4 2 2 2" xfId="15233" xr:uid="{00000000-0005-0000-0000-0000813B0000}"/>
    <cellStyle name="Eingabe 4 2 2 20" xfId="15234" xr:uid="{00000000-0005-0000-0000-0000823B0000}"/>
    <cellStyle name="Eingabe 4 2 2 21" xfId="15235" xr:uid="{00000000-0005-0000-0000-0000833B0000}"/>
    <cellStyle name="Eingabe 4 2 2 22" xfId="15236" xr:uid="{00000000-0005-0000-0000-0000843B0000}"/>
    <cellStyle name="Eingabe 4 2 2 23" xfId="15237" xr:uid="{00000000-0005-0000-0000-0000853B0000}"/>
    <cellStyle name="Eingabe 4 2 2 24" xfId="15238" xr:uid="{00000000-0005-0000-0000-0000863B0000}"/>
    <cellStyle name="Eingabe 4 2 2 25" xfId="15239" xr:uid="{00000000-0005-0000-0000-0000873B0000}"/>
    <cellStyle name="Eingabe 4 2 2 26" xfId="15240" xr:uid="{00000000-0005-0000-0000-0000883B0000}"/>
    <cellStyle name="Eingabe 4 2 2 27" xfId="15241" xr:uid="{00000000-0005-0000-0000-0000893B0000}"/>
    <cellStyle name="Eingabe 4 2 2 28" xfId="15242" xr:uid="{00000000-0005-0000-0000-00008A3B0000}"/>
    <cellStyle name="Eingabe 4 2 2 29" xfId="15243" xr:uid="{00000000-0005-0000-0000-00008B3B0000}"/>
    <cellStyle name="Eingabe 4 2 2 3" xfId="15244" xr:uid="{00000000-0005-0000-0000-00008C3B0000}"/>
    <cellStyle name="Eingabe 4 2 2 30" xfId="15245" xr:uid="{00000000-0005-0000-0000-00008D3B0000}"/>
    <cellStyle name="Eingabe 4 2 2 31" xfId="15246" xr:uid="{00000000-0005-0000-0000-00008E3B0000}"/>
    <cellStyle name="Eingabe 4 2 2 32" xfId="15247" xr:uid="{00000000-0005-0000-0000-00008F3B0000}"/>
    <cellStyle name="Eingabe 4 2 2 33" xfId="15248" xr:uid="{00000000-0005-0000-0000-0000903B0000}"/>
    <cellStyle name="Eingabe 4 2 2 34" xfId="15249" xr:uid="{00000000-0005-0000-0000-0000913B0000}"/>
    <cellStyle name="Eingabe 4 2 2 35" xfId="15250" xr:uid="{00000000-0005-0000-0000-0000923B0000}"/>
    <cellStyle name="Eingabe 4 2 2 36" xfId="15251" xr:uid="{00000000-0005-0000-0000-0000933B0000}"/>
    <cellStyle name="Eingabe 4 2 2 37" xfId="15252" xr:uid="{00000000-0005-0000-0000-0000943B0000}"/>
    <cellStyle name="Eingabe 4 2 2 38" xfId="15253" xr:uid="{00000000-0005-0000-0000-0000953B0000}"/>
    <cellStyle name="Eingabe 4 2 2 39" xfId="15254" xr:uid="{00000000-0005-0000-0000-0000963B0000}"/>
    <cellStyle name="Eingabe 4 2 2 4" xfId="15255" xr:uid="{00000000-0005-0000-0000-0000973B0000}"/>
    <cellStyle name="Eingabe 4 2 2 40" xfId="15256" xr:uid="{00000000-0005-0000-0000-0000983B0000}"/>
    <cellStyle name="Eingabe 4 2 2 41" xfId="15257" xr:uid="{00000000-0005-0000-0000-0000993B0000}"/>
    <cellStyle name="Eingabe 4 2 2 42" xfId="15258" xr:uid="{00000000-0005-0000-0000-00009A3B0000}"/>
    <cellStyle name="Eingabe 4 2 2 43" xfId="15259" xr:uid="{00000000-0005-0000-0000-00009B3B0000}"/>
    <cellStyle name="Eingabe 4 2 2 44" xfId="15260" xr:uid="{00000000-0005-0000-0000-00009C3B0000}"/>
    <cellStyle name="Eingabe 4 2 2 45" xfId="15261" xr:uid="{00000000-0005-0000-0000-00009D3B0000}"/>
    <cellStyle name="Eingabe 4 2 2 46" xfId="15262" xr:uid="{00000000-0005-0000-0000-00009E3B0000}"/>
    <cellStyle name="Eingabe 4 2 2 47" xfId="15263" xr:uid="{00000000-0005-0000-0000-00009F3B0000}"/>
    <cellStyle name="Eingabe 4 2 2 48" xfId="15264" xr:uid="{00000000-0005-0000-0000-0000A03B0000}"/>
    <cellStyle name="Eingabe 4 2 2 49" xfId="15265" xr:uid="{00000000-0005-0000-0000-0000A13B0000}"/>
    <cellStyle name="Eingabe 4 2 2 5" xfId="15266" xr:uid="{00000000-0005-0000-0000-0000A23B0000}"/>
    <cellStyle name="Eingabe 4 2 2 50" xfId="15267" xr:uid="{00000000-0005-0000-0000-0000A33B0000}"/>
    <cellStyle name="Eingabe 4 2 2 51" xfId="15268" xr:uid="{00000000-0005-0000-0000-0000A43B0000}"/>
    <cellStyle name="Eingabe 4 2 2 52" xfId="15269" xr:uid="{00000000-0005-0000-0000-0000A53B0000}"/>
    <cellStyle name="Eingabe 4 2 2 53" xfId="15270" xr:uid="{00000000-0005-0000-0000-0000A63B0000}"/>
    <cellStyle name="Eingabe 4 2 2 54" xfId="15271" xr:uid="{00000000-0005-0000-0000-0000A73B0000}"/>
    <cellStyle name="Eingabe 4 2 2 55" xfId="15272" xr:uid="{00000000-0005-0000-0000-0000A83B0000}"/>
    <cellStyle name="Eingabe 4 2 2 56" xfId="15273" xr:uid="{00000000-0005-0000-0000-0000A93B0000}"/>
    <cellStyle name="Eingabe 4 2 2 57" xfId="15274" xr:uid="{00000000-0005-0000-0000-0000AA3B0000}"/>
    <cellStyle name="Eingabe 4 2 2 58" xfId="15275" xr:uid="{00000000-0005-0000-0000-0000AB3B0000}"/>
    <cellStyle name="Eingabe 4 2 2 59" xfId="15276" xr:uid="{00000000-0005-0000-0000-0000AC3B0000}"/>
    <cellStyle name="Eingabe 4 2 2 6" xfId="15277" xr:uid="{00000000-0005-0000-0000-0000AD3B0000}"/>
    <cellStyle name="Eingabe 4 2 2 60" xfId="15278" xr:uid="{00000000-0005-0000-0000-0000AE3B0000}"/>
    <cellStyle name="Eingabe 4 2 2 61" xfId="15279" xr:uid="{00000000-0005-0000-0000-0000AF3B0000}"/>
    <cellStyle name="Eingabe 4 2 2 62" xfId="15280" xr:uid="{00000000-0005-0000-0000-0000B03B0000}"/>
    <cellStyle name="Eingabe 4 2 2 63" xfId="15281" xr:uid="{00000000-0005-0000-0000-0000B13B0000}"/>
    <cellStyle name="Eingabe 4 2 2 64" xfId="15282" xr:uid="{00000000-0005-0000-0000-0000B23B0000}"/>
    <cellStyle name="Eingabe 4 2 2 65" xfId="15283" xr:uid="{00000000-0005-0000-0000-0000B33B0000}"/>
    <cellStyle name="Eingabe 4 2 2 7" xfId="15284" xr:uid="{00000000-0005-0000-0000-0000B43B0000}"/>
    <cellStyle name="Eingabe 4 2 2 8" xfId="15285" xr:uid="{00000000-0005-0000-0000-0000B53B0000}"/>
    <cellStyle name="Eingabe 4 2 2 9" xfId="15286" xr:uid="{00000000-0005-0000-0000-0000B63B0000}"/>
    <cellStyle name="Eingabe 4 2 20" xfId="15287" xr:uid="{00000000-0005-0000-0000-0000B73B0000}"/>
    <cellStyle name="Eingabe 4 2 21" xfId="15288" xr:uid="{00000000-0005-0000-0000-0000B83B0000}"/>
    <cellStyle name="Eingabe 4 2 22" xfId="15289" xr:uid="{00000000-0005-0000-0000-0000B93B0000}"/>
    <cellStyle name="Eingabe 4 2 23" xfId="15290" xr:uid="{00000000-0005-0000-0000-0000BA3B0000}"/>
    <cellStyle name="Eingabe 4 2 24" xfId="15291" xr:uid="{00000000-0005-0000-0000-0000BB3B0000}"/>
    <cellStyle name="Eingabe 4 2 25" xfId="15292" xr:uid="{00000000-0005-0000-0000-0000BC3B0000}"/>
    <cellStyle name="Eingabe 4 2 26" xfId="15293" xr:uid="{00000000-0005-0000-0000-0000BD3B0000}"/>
    <cellStyle name="Eingabe 4 2 27" xfId="15294" xr:uid="{00000000-0005-0000-0000-0000BE3B0000}"/>
    <cellStyle name="Eingabe 4 2 28" xfId="15295" xr:uid="{00000000-0005-0000-0000-0000BF3B0000}"/>
    <cellStyle name="Eingabe 4 2 29" xfId="15296" xr:uid="{00000000-0005-0000-0000-0000C03B0000}"/>
    <cellStyle name="Eingabe 4 2 3" xfId="15297" xr:uid="{00000000-0005-0000-0000-0000C13B0000}"/>
    <cellStyle name="Eingabe 4 2 30" xfId="15298" xr:uid="{00000000-0005-0000-0000-0000C23B0000}"/>
    <cellStyle name="Eingabe 4 2 31" xfId="15299" xr:uid="{00000000-0005-0000-0000-0000C33B0000}"/>
    <cellStyle name="Eingabe 4 2 32" xfId="15300" xr:uid="{00000000-0005-0000-0000-0000C43B0000}"/>
    <cellStyle name="Eingabe 4 2 33" xfId="15301" xr:uid="{00000000-0005-0000-0000-0000C53B0000}"/>
    <cellStyle name="Eingabe 4 2 34" xfId="15302" xr:uid="{00000000-0005-0000-0000-0000C63B0000}"/>
    <cellStyle name="Eingabe 4 2 35" xfId="15303" xr:uid="{00000000-0005-0000-0000-0000C73B0000}"/>
    <cellStyle name="Eingabe 4 2 36" xfId="15304" xr:uid="{00000000-0005-0000-0000-0000C83B0000}"/>
    <cellStyle name="Eingabe 4 2 37" xfId="15305" xr:uid="{00000000-0005-0000-0000-0000C93B0000}"/>
    <cellStyle name="Eingabe 4 2 38" xfId="15306" xr:uid="{00000000-0005-0000-0000-0000CA3B0000}"/>
    <cellStyle name="Eingabe 4 2 39" xfId="15307" xr:uid="{00000000-0005-0000-0000-0000CB3B0000}"/>
    <cellStyle name="Eingabe 4 2 4" xfId="15308" xr:uid="{00000000-0005-0000-0000-0000CC3B0000}"/>
    <cellStyle name="Eingabe 4 2 40" xfId="15309" xr:uid="{00000000-0005-0000-0000-0000CD3B0000}"/>
    <cellStyle name="Eingabe 4 2 41" xfId="15310" xr:uid="{00000000-0005-0000-0000-0000CE3B0000}"/>
    <cellStyle name="Eingabe 4 2 42" xfId="15311" xr:uid="{00000000-0005-0000-0000-0000CF3B0000}"/>
    <cellStyle name="Eingabe 4 2 43" xfId="15312" xr:uid="{00000000-0005-0000-0000-0000D03B0000}"/>
    <cellStyle name="Eingabe 4 2 44" xfId="15313" xr:uid="{00000000-0005-0000-0000-0000D13B0000}"/>
    <cellStyle name="Eingabe 4 2 45" xfId="15314" xr:uid="{00000000-0005-0000-0000-0000D23B0000}"/>
    <cellStyle name="Eingabe 4 2 46" xfId="15315" xr:uid="{00000000-0005-0000-0000-0000D33B0000}"/>
    <cellStyle name="Eingabe 4 2 47" xfId="15316" xr:uid="{00000000-0005-0000-0000-0000D43B0000}"/>
    <cellStyle name="Eingabe 4 2 48" xfId="15317" xr:uid="{00000000-0005-0000-0000-0000D53B0000}"/>
    <cellStyle name="Eingabe 4 2 49" xfId="15318" xr:uid="{00000000-0005-0000-0000-0000D63B0000}"/>
    <cellStyle name="Eingabe 4 2 5" xfId="15319" xr:uid="{00000000-0005-0000-0000-0000D73B0000}"/>
    <cellStyle name="Eingabe 4 2 50" xfId="15320" xr:uid="{00000000-0005-0000-0000-0000D83B0000}"/>
    <cellStyle name="Eingabe 4 2 51" xfId="15321" xr:uid="{00000000-0005-0000-0000-0000D93B0000}"/>
    <cellStyle name="Eingabe 4 2 52" xfId="15322" xr:uid="{00000000-0005-0000-0000-0000DA3B0000}"/>
    <cellStyle name="Eingabe 4 2 53" xfId="15323" xr:uid="{00000000-0005-0000-0000-0000DB3B0000}"/>
    <cellStyle name="Eingabe 4 2 54" xfId="15324" xr:uid="{00000000-0005-0000-0000-0000DC3B0000}"/>
    <cellStyle name="Eingabe 4 2 55" xfId="15325" xr:uid="{00000000-0005-0000-0000-0000DD3B0000}"/>
    <cellStyle name="Eingabe 4 2 56" xfId="15326" xr:uid="{00000000-0005-0000-0000-0000DE3B0000}"/>
    <cellStyle name="Eingabe 4 2 57" xfId="15327" xr:uid="{00000000-0005-0000-0000-0000DF3B0000}"/>
    <cellStyle name="Eingabe 4 2 58" xfId="15328" xr:uid="{00000000-0005-0000-0000-0000E03B0000}"/>
    <cellStyle name="Eingabe 4 2 59" xfId="15329" xr:uid="{00000000-0005-0000-0000-0000E13B0000}"/>
    <cellStyle name="Eingabe 4 2 6" xfId="15330" xr:uid="{00000000-0005-0000-0000-0000E23B0000}"/>
    <cellStyle name="Eingabe 4 2 60" xfId="15331" xr:uid="{00000000-0005-0000-0000-0000E33B0000}"/>
    <cellStyle name="Eingabe 4 2 61" xfId="15332" xr:uid="{00000000-0005-0000-0000-0000E43B0000}"/>
    <cellStyle name="Eingabe 4 2 62" xfId="15333" xr:uid="{00000000-0005-0000-0000-0000E53B0000}"/>
    <cellStyle name="Eingabe 4 2 63" xfId="15334" xr:uid="{00000000-0005-0000-0000-0000E63B0000}"/>
    <cellStyle name="Eingabe 4 2 64" xfId="15335" xr:uid="{00000000-0005-0000-0000-0000E73B0000}"/>
    <cellStyle name="Eingabe 4 2 65" xfId="15336" xr:uid="{00000000-0005-0000-0000-0000E83B0000}"/>
    <cellStyle name="Eingabe 4 2 66" xfId="15337" xr:uid="{00000000-0005-0000-0000-0000E93B0000}"/>
    <cellStyle name="Eingabe 4 2 7" xfId="15338" xr:uid="{00000000-0005-0000-0000-0000EA3B0000}"/>
    <cellStyle name="Eingabe 4 2 8" xfId="15339" xr:uid="{00000000-0005-0000-0000-0000EB3B0000}"/>
    <cellStyle name="Eingabe 4 2 9" xfId="15340" xr:uid="{00000000-0005-0000-0000-0000EC3B0000}"/>
    <cellStyle name="Eingabe 4 20" xfId="15341" xr:uid="{00000000-0005-0000-0000-0000ED3B0000}"/>
    <cellStyle name="Eingabe 4 21" xfId="15342" xr:uid="{00000000-0005-0000-0000-0000EE3B0000}"/>
    <cellStyle name="Eingabe 4 22" xfId="15343" xr:uid="{00000000-0005-0000-0000-0000EF3B0000}"/>
    <cellStyle name="Eingabe 4 23" xfId="15344" xr:uid="{00000000-0005-0000-0000-0000F03B0000}"/>
    <cellStyle name="Eingabe 4 24" xfId="15345" xr:uid="{00000000-0005-0000-0000-0000F13B0000}"/>
    <cellStyle name="Eingabe 4 25" xfId="15346" xr:uid="{00000000-0005-0000-0000-0000F23B0000}"/>
    <cellStyle name="Eingabe 4 26" xfId="15347" xr:uid="{00000000-0005-0000-0000-0000F33B0000}"/>
    <cellStyle name="Eingabe 4 27" xfId="15348" xr:uid="{00000000-0005-0000-0000-0000F43B0000}"/>
    <cellStyle name="Eingabe 4 28" xfId="15349" xr:uid="{00000000-0005-0000-0000-0000F53B0000}"/>
    <cellStyle name="Eingabe 4 29" xfId="15350" xr:uid="{00000000-0005-0000-0000-0000F63B0000}"/>
    <cellStyle name="Eingabe 4 3" xfId="15351" xr:uid="{00000000-0005-0000-0000-0000F73B0000}"/>
    <cellStyle name="Eingabe 4 3 10" xfId="15352" xr:uid="{00000000-0005-0000-0000-0000F83B0000}"/>
    <cellStyle name="Eingabe 4 3 11" xfId="15353" xr:uid="{00000000-0005-0000-0000-0000F93B0000}"/>
    <cellStyle name="Eingabe 4 3 12" xfId="15354" xr:uid="{00000000-0005-0000-0000-0000FA3B0000}"/>
    <cellStyle name="Eingabe 4 3 13" xfId="15355" xr:uid="{00000000-0005-0000-0000-0000FB3B0000}"/>
    <cellStyle name="Eingabe 4 3 14" xfId="15356" xr:uid="{00000000-0005-0000-0000-0000FC3B0000}"/>
    <cellStyle name="Eingabe 4 3 15" xfId="15357" xr:uid="{00000000-0005-0000-0000-0000FD3B0000}"/>
    <cellStyle name="Eingabe 4 3 16" xfId="15358" xr:uid="{00000000-0005-0000-0000-0000FE3B0000}"/>
    <cellStyle name="Eingabe 4 3 17" xfId="15359" xr:uid="{00000000-0005-0000-0000-0000FF3B0000}"/>
    <cellStyle name="Eingabe 4 3 18" xfId="15360" xr:uid="{00000000-0005-0000-0000-0000003C0000}"/>
    <cellStyle name="Eingabe 4 3 19" xfId="15361" xr:uid="{00000000-0005-0000-0000-0000013C0000}"/>
    <cellStyle name="Eingabe 4 3 2" xfId="15362" xr:uid="{00000000-0005-0000-0000-0000023C0000}"/>
    <cellStyle name="Eingabe 4 3 2 10" xfId="15363" xr:uid="{00000000-0005-0000-0000-0000033C0000}"/>
    <cellStyle name="Eingabe 4 3 2 11" xfId="15364" xr:uid="{00000000-0005-0000-0000-0000043C0000}"/>
    <cellStyle name="Eingabe 4 3 2 12" xfId="15365" xr:uid="{00000000-0005-0000-0000-0000053C0000}"/>
    <cellStyle name="Eingabe 4 3 2 13" xfId="15366" xr:uid="{00000000-0005-0000-0000-0000063C0000}"/>
    <cellStyle name="Eingabe 4 3 2 14" xfId="15367" xr:uid="{00000000-0005-0000-0000-0000073C0000}"/>
    <cellStyle name="Eingabe 4 3 2 15" xfId="15368" xr:uid="{00000000-0005-0000-0000-0000083C0000}"/>
    <cellStyle name="Eingabe 4 3 2 16" xfId="15369" xr:uid="{00000000-0005-0000-0000-0000093C0000}"/>
    <cellStyle name="Eingabe 4 3 2 17" xfId="15370" xr:uid="{00000000-0005-0000-0000-00000A3C0000}"/>
    <cellStyle name="Eingabe 4 3 2 18" xfId="15371" xr:uid="{00000000-0005-0000-0000-00000B3C0000}"/>
    <cellStyle name="Eingabe 4 3 2 19" xfId="15372" xr:uid="{00000000-0005-0000-0000-00000C3C0000}"/>
    <cellStyle name="Eingabe 4 3 2 2" xfId="15373" xr:uid="{00000000-0005-0000-0000-00000D3C0000}"/>
    <cellStyle name="Eingabe 4 3 2 20" xfId="15374" xr:uid="{00000000-0005-0000-0000-00000E3C0000}"/>
    <cellStyle name="Eingabe 4 3 2 21" xfId="15375" xr:uid="{00000000-0005-0000-0000-00000F3C0000}"/>
    <cellStyle name="Eingabe 4 3 2 22" xfId="15376" xr:uid="{00000000-0005-0000-0000-0000103C0000}"/>
    <cellStyle name="Eingabe 4 3 2 23" xfId="15377" xr:uid="{00000000-0005-0000-0000-0000113C0000}"/>
    <cellStyle name="Eingabe 4 3 2 24" xfId="15378" xr:uid="{00000000-0005-0000-0000-0000123C0000}"/>
    <cellStyle name="Eingabe 4 3 2 25" xfId="15379" xr:uid="{00000000-0005-0000-0000-0000133C0000}"/>
    <cellStyle name="Eingabe 4 3 2 26" xfId="15380" xr:uid="{00000000-0005-0000-0000-0000143C0000}"/>
    <cellStyle name="Eingabe 4 3 2 27" xfId="15381" xr:uid="{00000000-0005-0000-0000-0000153C0000}"/>
    <cellStyle name="Eingabe 4 3 2 28" xfId="15382" xr:uid="{00000000-0005-0000-0000-0000163C0000}"/>
    <cellStyle name="Eingabe 4 3 2 29" xfId="15383" xr:uid="{00000000-0005-0000-0000-0000173C0000}"/>
    <cellStyle name="Eingabe 4 3 2 3" xfId="15384" xr:uid="{00000000-0005-0000-0000-0000183C0000}"/>
    <cellStyle name="Eingabe 4 3 2 30" xfId="15385" xr:uid="{00000000-0005-0000-0000-0000193C0000}"/>
    <cellStyle name="Eingabe 4 3 2 31" xfId="15386" xr:uid="{00000000-0005-0000-0000-00001A3C0000}"/>
    <cellStyle name="Eingabe 4 3 2 32" xfId="15387" xr:uid="{00000000-0005-0000-0000-00001B3C0000}"/>
    <cellStyle name="Eingabe 4 3 2 33" xfId="15388" xr:uid="{00000000-0005-0000-0000-00001C3C0000}"/>
    <cellStyle name="Eingabe 4 3 2 34" xfId="15389" xr:uid="{00000000-0005-0000-0000-00001D3C0000}"/>
    <cellStyle name="Eingabe 4 3 2 35" xfId="15390" xr:uid="{00000000-0005-0000-0000-00001E3C0000}"/>
    <cellStyle name="Eingabe 4 3 2 36" xfId="15391" xr:uid="{00000000-0005-0000-0000-00001F3C0000}"/>
    <cellStyle name="Eingabe 4 3 2 37" xfId="15392" xr:uid="{00000000-0005-0000-0000-0000203C0000}"/>
    <cellStyle name="Eingabe 4 3 2 38" xfId="15393" xr:uid="{00000000-0005-0000-0000-0000213C0000}"/>
    <cellStyle name="Eingabe 4 3 2 39" xfId="15394" xr:uid="{00000000-0005-0000-0000-0000223C0000}"/>
    <cellStyle name="Eingabe 4 3 2 4" xfId="15395" xr:uid="{00000000-0005-0000-0000-0000233C0000}"/>
    <cellStyle name="Eingabe 4 3 2 40" xfId="15396" xr:uid="{00000000-0005-0000-0000-0000243C0000}"/>
    <cellStyle name="Eingabe 4 3 2 41" xfId="15397" xr:uid="{00000000-0005-0000-0000-0000253C0000}"/>
    <cellStyle name="Eingabe 4 3 2 42" xfId="15398" xr:uid="{00000000-0005-0000-0000-0000263C0000}"/>
    <cellStyle name="Eingabe 4 3 2 43" xfId="15399" xr:uid="{00000000-0005-0000-0000-0000273C0000}"/>
    <cellStyle name="Eingabe 4 3 2 44" xfId="15400" xr:uid="{00000000-0005-0000-0000-0000283C0000}"/>
    <cellStyle name="Eingabe 4 3 2 45" xfId="15401" xr:uid="{00000000-0005-0000-0000-0000293C0000}"/>
    <cellStyle name="Eingabe 4 3 2 46" xfId="15402" xr:uid="{00000000-0005-0000-0000-00002A3C0000}"/>
    <cellStyle name="Eingabe 4 3 2 47" xfId="15403" xr:uid="{00000000-0005-0000-0000-00002B3C0000}"/>
    <cellStyle name="Eingabe 4 3 2 48" xfId="15404" xr:uid="{00000000-0005-0000-0000-00002C3C0000}"/>
    <cellStyle name="Eingabe 4 3 2 49" xfId="15405" xr:uid="{00000000-0005-0000-0000-00002D3C0000}"/>
    <cellStyle name="Eingabe 4 3 2 5" xfId="15406" xr:uid="{00000000-0005-0000-0000-00002E3C0000}"/>
    <cellStyle name="Eingabe 4 3 2 50" xfId="15407" xr:uid="{00000000-0005-0000-0000-00002F3C0000}"/>
    <cellStyle name="Eingabe 4 3 2 51" xfId="15408" xr:uid="{00000000-0005-0000-0000-0000303C0000}"/>
    <cellStyle name="Eingabe 4 3 2 52" xfId="15409" xr:uid="{00000000-0005-0000-0000-0000313C0000}"/>
    <cellStyle name="Eingabe 4 3 2 53" xfId="15410" xr:uid="{00000000-0005-0000-0000-0000323C0000}"/>
    <cellStyle name="Eingabe 4 3 2 54" xfId="15411" xr:uid="{00000000-0005-0000-0000-0000333C0000}"/>
    <cellStyle name="Eingabe 4 3 2 55" xfId="15412" xr:uid="{00000000-0005-0000-0000-0000343C0000}"/>
    <cellStyle name="Eingabe 4 3 2 56" xfId="15413" xr:uid="{00000000-0005-0000-0000-0000353C0000}"/>
    <cellStyle name="Eingabe 4 3 2 57" xfId="15414" xr:uid="{00000000-0005-0000-0000-0000363C0000}"/>
    <cellStyle name="Eingabe 4 3 2 58" xfId="15415" xr:uid="{00000000-0005-0000-0000-0000373C0000}"/>
    <cellStyle name="Eingabe 4 3 2 59" xfId="15416" xr:uid="{00000000-0005-0000-0000-0000383C0000}"/>
    <cellStyle name="Eingabe 4 3 2 6" xfId="15417" xr:uid="{00000000-0005-0000-0000-0000393C0000}"/>
    <cellStyle name="Eingabe 4 3 2 60" xfId="15418" xr:uid="{00000000-0005-0000-0000-00003A3C0000}"/>
    <cellStyle name="Eingabe 4 3 2 61" xfId="15419" xr:uid="{00000000-0005-0000-0000-00003B3C0000}"/>
    <cellStyle name="Eingabe 4 3 2 62" xfId="15420" xr:uid="{00000000-0005-0000-0000-00003C3C0000}"/>
    <cellStyle name="Eingabe 4 3 2 63" xfId="15421" xr:uid="{00000000-0005-0000-0000-00003D3C0000}"/>
    <cellStyle name="Eingabe 4 3 2 64" xfId="15422" xr:uid="{00000000-0005-0000-0000-00003E3C0000}"/>
    <cellStyle name="Eingabe 4 3 2 65" xfId="15423" xr:uid="{00000000-0005-0000-0000-00003F3C0000}"/>
    <cellStyle name="Eingabe 4 3 2 7" xfId="15424" xr:uid="{00000000-0005-0000-0000-0000403C0000}"/>
    <cellStyle name="Eingabe 4 3 2 8" xfId="15425" xr:uid="{00000000-0005-0000-0000-0000413C0000}"/>
    <cellStyle name="Eingabe 4 3 2 9" xfId="15426" xr:uid="{00000000-0005-0000-0000-0000423C0000}"/>
    <cellStyle name="Eingabe 4 3 20" xfId="15427" xr:uid="{00000000-0005-0000-0000-0000433C0000}"/>
    <cellStyle name="Eingabe 4 3 21" xfId="15428" xr:uid="{00000000-0005-0000-0000-0000443C0000}"/>
    <cellStyle name="Eingabe 4 3 22" xfId="15429" xr:uid="{00000000-0005-0000-0000-0000453C0000}"/>
    <cellStyle name="Eingabe 4 3 23" xfId="15430" xr:uid="{00000000-0005-0000-0000-0000463C0000}"/>
    <cellStyle name="Eingabe 4 3 24" xfId="15431" xr:uid="{00000000-0005-0000-0000-0000473C0000}"/>
    <cellStyle name="Eingabe 4 3 25" xfId="15432" xr:uid="{00000000-0005-0000-0000-0000483C0000}"/>
    <cellStyle name="Eingabe 4 3 26" xfId="15433" xr:uid="{00000000-0005-0000-0000-0000493C0000}"/>
    <cellStyle name="Eingabe 4 3 27" xfId="15434" xr:uid="{00000000-0005-0000-0000-00004A3C0000}"/>
    <cellStyle name="Eingabe 4 3 28" xfId="15435" xr:uid="{00000000-0005-0000-0000-00004B3C0000}"/>
    <cellStyle name="Eingabe 4 3 29" xfId="15436" xr:uid="{00000000-0005-0000-0000-00004C3C0000}"/>
    <cellStyle name="Eingabe 4 3 3" xfId="15437" xr:uid="{00000000-0005-0000-0000-00004D3C0000}"/>
    <cellStyle name="Eingabe 4 3 30" xfId="15438" xr:uid="{00000000-0005-0000-0000-00004E3C0000}"/>
    <cellStyle name="Eingabe 4 3 31" xfId="15439" xr:uid="{00000000-0005-0000-0000-00004F3C0000}"/>
    <cellStyle name="Eingabe 4 3 32" xfId="15440" xr:uid="{00000000-0005-0000-0000-0000503C0000}"/>
    <cellStyle name="Eingabe 4 3 33" xfId="15441" xr:uid="{00000000-0005-0000-0000-0000513C0000}"/>
    <cellStyle name="Eingabe 4 3 34" xfId="15442" xr:uid="{00000000-0005-0000-0000-0000523C0000}"/>
    <cellStyle name="Eingabe 4 3 35" xfId="15443" xr:uid="{00000000-0005-0000-0000-0000533C0000}"/>
    <cellStyle name="Eingabe 4 3 36" xfId="15444" xr:uid="{00000000-0005-0000-0000-0000543C0000}"/>
    <cellStyle name="Eingabe 4 3 37" xfId="15445" xr:uid="{00000000-0005-0000-0000-0000553C0000}"/>
    <cellStyle name="Eingabe 4 3 38" xfId="15446" xr:uid="{00000000-0005-0000-0000-0000563C0000}"/>
    <cellStyle name="Eingabe 4 3 39" xfId="15447" xr:uid="{00000000-0005-0000-0000-0000573C0000}"/>
    <cellStyle name="Eingabe 4 3 4" xfId="15448" xr:uid="{00000000-0005-0000-0000-0000583C0000}"/>
    <cellStyle name="Eingabe 4 3 40" xfId="15449" xr:uid="{00000000-0005-0000-0000-0000593C0000}"/>
    <cellStyle name="Eingabe 4 3 41" xfId="15450" xr:uid="{00000000-0005-0000-0000-00005A3C0000}"/>
    <cellStyle name="Eingabe 4 3 42" xfId="15451" xr:uid="{00000000-0005-0000-0000-00005B3C0000}"/>
    <cellStyle name="Eingabe 4 3 43" xfId="15452" xr:uid="{00000000-0005-0000-0000-00005C3C0000}"/>
    <cellStyle name="Eingabe 4 3 44" xfId="15453" xr:uid="{00000000-0005-0000-0000-00005D3C0000}"/>
    <cellStyle name="Eingabe 4 3 45" xfId="15454" xr:uid="{00000000-0005-0000-0000-00005E3C0000}"/>
    <cellStyle name="Eingabe 4 3 46" xfId="15455" xr:uid="{00000000-0005-0000-0000-00005F3C0000}"/>
    <cellStyle name="Eingabe 4 3 47" xfId="15456" xr:uid="{00000000-0005-0000-0000-0000603C0000}"/>
    <cellStyle name="Eingabe 4 3 48" xfId="15457" xr:uid="{00000000-0005-0000-0000-0000613C0000}"/>
    <cellStyle name="Eingabe 4 3 49" xfId="15458" xr:uid="{00000000-0005-0000-0000-0000623C0000}"/>
    <cellStyle name="Eingabe 4 3 5" xfId="15459" xr:uid="{00000000-0005-0000-0000-0000633C0000}"/>
    <cellStyle name="Eingabe 4 3 50" xfId="15460" xr:uid="{00000000-0005-0000-0000-0000643C0000}"/>
    <cellStyle name="Eingabe 4 3 51" xfId="15461" xr:uid="{00000000-0005-0000-0000-0000653C0000}"/>
    <cellStyle name="Eingabe 4 3 52" xfId="15462" xr:uid="{00000000-0005-0000-0000-0000663C0000}"/>
    <cellStyle name="Eingabe 4 3 53" xfId="15463" xr:uid="{00000000-0005-0000-0000-0000673C0000}"/>
    <cellStyle name="Eingabe 4 3 54" xfId="15464" xr:uid="{00000000-0005-0000-0000-0000683C0000}"/>
    <cellStyle name="Eingabe 4 3 55" xfId="15465" xr:uid="{00000000-0005-0000-0000-0000693C0000}"/>
    <cellStyle name="Eingabe 4 3 56" xfId="15466" xr:uid="{00000000-0005-0000-0000-00006A3C0000}"/>
    <cellStyle name="Eingabe 4 3 57" xfId="15467" xr:uid="{00000000-0005-0000-0000-00006B3C0000}"/>
    <cellStyle name="Eingabe 4 3 58" xfId="15468" xr:uid="{00000000-0005-0000-0000-00006C3C0000}"/>
    <cellStyle name="Eingabe 4 3 59" xfId="15469" xr:uid="{00000000-0005-0000-0000-00006D3C0000}"/>
    <cellStyle name="Eingabe 4 3 6" xfId="15470" xr:uid="{00000000-0005-0000-0000-00006E3C0000}"/>
    <cellStyle name="Eingabe 4 3 60" xfId="15471" xr:uid="{00000000-0005-0000-0000-00006F3C0000}"/>
    <cellStyle name="Eingabe 4 3 61" xfId="15472" xr:uid="{00000000-0005-0000-0000-0000703C0000}"/>
    <cellStyle name="Eingabe 4 3 62" xfId="15473" xr:uid="{00000000-0005-0000-0000-0000713C0000}"/>
    <cellStyle name="Eingabe 4 3 63" xfId="15474" xr:uid="{00000000-0005-0000-0000-0000723C0000}"/>
    <cellStyle name="Eingabe 4 3 64" xfId="15475" xr:uid="{00000000-0005-0000-0000-0000733C0000}"/>
    <cellStyle name="Eingabe 4 3 65" xfId="15476" xr:uid="{00000000-0005-0000-0000-0000743C0000}"/>
    <cellStyle name="Eingabe 4 3 66" xfId="15477" xr:uid="{00000000-0005-0000-0000-0000753C0000}"/>
    <cellStyle name="Eingabe 4 3 7" xfId="15478" xr:uid="{00000000-0005-0000-0000-0000763C0000}"/>
    <cellStyle name="Eingabe 4 3 8" xfId="15479" xr:uid="{00000000-0005-0000-0000-0000773C0000}"/>
    <cellStyle name="Eingabe 4 3 9" xfId="15480" xr:uid="{00000000-0005-0000-0000-0000783C0000}"/>
    <cellStyle name="Eingabe 4 30" xfId="15481" xr:uid="{00000000-0005-0000-0000-0000793C0000}"/>
    <cellStyle name="Eingabe 4 31" xfId="15482" xr:uid="{00000000-0005-0000-0000-00007A3C0000}"/>
    <cellStyle name="Eingabe 4 32" xfId="15483" xr:uid="{00000000-0005-0000-0000-00007B3C0000}"/>
    <cellStyle name="Eingabe 4 33" xfId="15484" xr:uid="{00000000-0005-0000-0000-00007C3C0000}"/>
    <cellStyle name="Eingabe 4 34" xfId="15485" xr:uid="{00000000-0005-0000-0000-00007D3C0000}"/>
    <cellStyle name="Eingabe 4 35" xfId="15486" xr:uid="{00000000-0005-0000-0000-00007E3C0000}"/>
    <cellStyle name="Eingabe 4 36" xfId="15487" xr:uid="{00000000-0005-0000-0000-00007F3C0000}"/>
    <cellStyle name="Eingabe 4 37" xfId="15488" xr:uid="{00000000-0005-0000-0000-0000803C0000}"/>
    <cellStyle name="Eingabe 4 38" xfId="15489" xr:uid="{00000000-0005-0000-0000-0000813C0000}"/>
    <cellStyle name="Eingabe 4 39" xfId="15490" xr:uid="{00000000-0005-0000-0000-0000823C0000}"/>
    <cellStyle name="Eingabe 4 4" xfId="15491" xr:uid="{00000000-0005-0000-0000-0000833C0000}"/>
    <cellStyle name="Eingabe 4 4 10" xfId="15492" xr:uid="{00000000-0005-0000-0000-0000843C0000}"/>
    <cellStyle name="Eingabe 4 4 11" xfId="15493" xr:uid="{00000000-0005-0000-0000-0000853C0000}"/>
    <cellStyle name="Eingabe 4 4 12" xfId="15494" xr:uid="{00000000-0005-0000-0000-0000863C0000}"/>
    <cellStyle name="Eingabe 4 4 13" xfId="15495" xr:uid="{00000000-0005-0000-0000-0000873C0000}"/>
    <cellStyle name="Eingabe 4 4 14" xfId="15496" xr:uid="{00000000-0005-0000-0000-0000883C0000}"/>
    <cellStyle name="Eingabe 4 4 15" xfId="15497" xr:uid="{00000000-0005-0000-0000-0000893C0000}"/>
    <cellStyle name="Eingabe 4 4 16" xfId="15498" xr:uid="{00000000-0005-0000-0000-00008A3C0000}"/>
    <cellStyle name="Eingabe 4 4 17" xfId="15499" xr:uid="{00000000-0005-0000-0000-00008B3C0000}"/>
    <cellStyle name="Eingabe 4 4 18" xfId="15500" xr:uid="{00000000-0005-0000-0000-00008C3C0000}"/>
    <cellStyle name="Eingabe 4 4 19" xfId="15501" xr:uid="{00000000-0005-0000-0000-00008D3C0000}"/>
    <cellStyle name="Eingabe 4 4 2" xfId="15502" xr:uid="{00000000-0005-0000-0000-00008E3C0000}"/>
    <cellStyle name="Eingabe 4 4 2 10" xfId="15503" xr:uid="{00000000-0005-0000-0000-00008F3C0000}"/>
    <cellStyle name="Eingabe 4 4 2 11" xfId="15504" xr:uid="{00000000-0005-0000-0000-0000903C0000}"/>
    <cellStyle name="Eingabe 4 4 2 12" xfId="15505" xr:uid="{00000000-0005-0000-0000-0000913C0000}"/>
    <cellStyle name="Eingabe 4 4 2 13" xfId="15506" xr:uid="{00000000-0005-0000-0000-0000923C0000}"/>
    <cellStyle name="Eingabe 4 4 2 14" xfId="15507" xr:uid="{00000000-0005-0000-0000-0000933C0000}"/>
    <cellStyle name="Eingabe 4 4 2 15" xfId="15508" xr:uid="{00000000-0005-0000-0000-0000943C0000}"/>
    <cellStyle name="Eingabe 4 4 2 16" xfId="15509" xr:uid="{00000000-0005-0000-0000-0000953C0000}"/>
    <cellStyle name="Eingabe 4 4 2 17" xfId="15510" xr:uid="{00000000-0005-0000-0000-0000963C0000}"/>
    <cellStyle name="Eingabe 4 4 2 18" xfId="15511" xr:uid="{00000000-0005-0000-0000-0000973C0000}"/>
    <cellStyle name="Eingabe 4 4 2 19" xfId="15512" xr:uid="{00000000-0005-0000-0000-0000983C0000}"/>
    <cellStyle name="Eingabe 4 4 2 2" xfId="15513" xr:uid="{00000000-0005-0000-0000-0000993C0000}"/>
    <cellStyle name="Eingabe 4 4 2 20" xfId="15514" xr:uid="{00000000-0005-0000-0000-00009A3C0000}"/>
    <cellStyle name="Eingabe 4 4 2 21" xfId="15515" xr:uid="{00000000-0005-0000-0000-00009B3C0000}"/>
    <cellStyle name="Eingabe 4 4 2 22" xfId="15516" xr:uid="{00000000-0005-0000-0000-00009C3C0000}"/>
    <cellStyle name="Eingabe 4 4 2 23" xfId="15517" xr:uid="{00000000-0005-0000-0000-00009D3C0000}"/>
    <cellStyle name="Eingabe 4 4 2 24" xfId="15518" xr:uid="{00000000-0005-0000-0000-00009E3C0000}"/>
    <cellStyle name="Eingabe 4 4 2 25" xfId="15519" xr:uid="{00000000-0005-0000-0000-00009F3C0000}"/>
    <cellStyle name="Eingabe 4 4 2 26" xfId="15520" xr:uid="{00000000-0005-0000-0000-0000A03C0000}"/>
    <cellStyle name="Eingabe 4 4 2 27" xfId="15521" xr:uid="{00000000-0005-0000-0000-0000A13C0000}"/>
    <cellStyle name="Eingabe 4 4 2 28" xfId="15522" xr:uid="{00000000-0005-0000-0000-0000A23C0000}"/>
    <cellStyle name="Eingabe 4 4 2 29" xfId="15523" xr:uid="{00000000-0005-0000-0000-0000A33C0000}"/>
    <cellStyle name="Eingabe 4 4 2 3" xfId="15524" xr:uid="{00000000-0005-0000-0000-0000A43C0000}"/>
    <cellStyle name="Eingabe 4 4 2 30" xfId="15525" xr:uid="{00000000-0005-0000-0000-0000A53C0000}"/>
    <cellStyle name="Eingabe 4 4 2 31" xfId="15526" xr:uid="{00000000-0005-0000-0000-0000A63C0000}"/>
    <cellStyle name="Eingabe 4 4 2 32" xfId="15527" xr:uid="{00000000-0005-0000-0000-0000A73C0000}"/>
    <cellStyle name="Eingabe 4 4 2 33" xfId="15528" xr:uid="{00000000-0005-0000-0000-0000A83C0000}"/>
    <cellStyle name="Eingabe 4 4 2 34" xfId="15529" xr:uid="{00000000-0005-0000-0000-0000A93C0000}"/>
    <cellStyle name="Eingabe 4 4 2 35" xfId="15530" xr:uid="{00000000-0005-0000-0000-0000AA3C0000}"/>
    <cellStyle name="Eingabe 4 4 2 36" xfId="15531" xr:uid="{00000000-0005-0000-0000-0000AB3C0000}"/>
    <cellStyle name="Eingabe 4 4 2 37" xfId="15532" xr:uid="{00000000-0005-0000-0000-0000AC3C0000}"/>
    <cellStyle name="Eingabe 4 4 2 38" xfId="15533" xr:uid="{00000000-0005-0000-0000-0000AD3C0000}"/>
    <cellStyle name="Eingabe 4 4 2 39" xfId="15534" xr:uid="{00000000-0005-0000-0000-0000AE3C0000}"/>
    <cellStyle name="Eingabe 4 4 2 4" xfId="15535" xr:uid="{00000000-0005-0000-0000-0000AF3C0000}"/>
    <cellStyle name="Eingabe 4 4 2 40" xfId="15536" xr:uid="{00000000-0005-0000-0000-0000B03C0000}"/>
    <cellStyle name="Eingabe 4 4 2 41" xfId="15537" xr:uid="{00000000-0005-0000-0000-0000B13C0000}"/>
    <cellStyle name="Eingabe 4 4 2 42" xfId="15538" xr:uid="{00000000-0005-0000-0000-0000B23C0000}"/>
    <cellStyle name="Eingabe 4 4 2 43" xfId="15539" xr:uid="{00000000-0005-0000-0000-0000B33C0000}"/>
    <cellStyle name="Eingabe 4 4 2 44" xfId="15540" xr:uid="{00000000-0005-0000-0000-0000B43C0000}"/>
    <cellStyle name="Eingabe 4 4 2 45" xfId="15541" xr:uid="{00000000-0005-0000-0000-0000B53C0000}"/>
    <cellStyle name="Eingabe 4 4 2 46" xfId="15542" xr:uid="{00000000-0005-0000-0000-0000B63C0000}"/>
    <cellStyle name="Eingabe 4 4 2 47" xfId="15543" xr:uid="{00000000-0005-0000-0000-0000B73C0000}"/>
    <cellStyle name="Eingabe 4 4 2 48" xfId="15544" xr:uid="{00000000-0005-0000-0000-0000B83C0000}"/>
    <cellStyle name="Eingabe 4 4 2 49" xfId="15545" xr:uid="{00000000-0005-0000-0000-0000B93C0000}"/>
    <cellStyle name="Eingabe 4 4 2 5" xfId="15546" xr:uid="{00000000-0005-0000-0000-0000BA3C0000}"/>
    <cellStyle name="Eingabe 4 4 2 50" xfId="15547" xr:uid="{00000000-0005-0000-0000-0000BB3C0000}"/>
    <cellStyle name="Eingabe 4 4 2 51" xfId="15548" xr:uid="{00000000-0005-0000-0000-0000BC3C0000}"/>
    <cellStyle name="Eingabe 4 4 2 52" xfId="15549" xr:uid="{00000000-0005-0000-0000-0000BD3C0000}"/>
    <cellStyle name="Eingabe 4 4 2 53" xfId="15550" xr:uid="{00000000-0005-0000-0000-0000BE3C0000}"/>
    <cellStyle name="Eingabe 4 4 2 54" xfId="15551" xr:uid="{00000000-0005-0000-0000-0000BF3C0000}"/>
    <cellStyle name="Eingabe 4 4 2 55" xfId="15552" xr:uid="{00000000-0005-0000-0000-0000C03C0000}"/>
    <cellStyle name="Eingabe 4 4 2 56" xfId="15553" xr:uid="{00000000-0005-0000-0000-0000C13C0000}"/>
    <cellStyle name="Eingabe 4 4 2 57" xfId="15554" xr:uid="{00000000-0005-0000-0000-0000C23C0000}"/>
    <cellStyle name="Eingabe 4 4 2 58" xfId="15555" xr:uid="{00000000-0005-0000-0000-0000C33C0000}"/>
    <cellStyle name="Eingabe 4 4 2 59" xfId="15556" xr:uid="{00000000-0005-0000-0000-0000C43C0000}"/>
    <cellStyle name="Eingabe 4 4 2 6" xfId="15557" xr:uid="{00000000-0005-0000-0000-0000C53C0000}"/>
    <cellStyle name="Eingabe 4 4 2 60" xfId="15558" xr:uid="{00000000-0005-0000-0000-0000C63C0000}"/>
    <cellStyle name="Eingabe 4 4 2 61" xfId="15559" xr:uid="{00000000-0005-0000-0000-0000C73C0000}"/>
    <cellStyle name="Eingabe 4 4 2 62" xfId="15560" xr:uid="{00000000-0005-0000-0000-0000C83C0000}"/>
    <cellStyle name="Eingabe 4 4 2 63" xfId="15561" xr:uid="{00000000-0005-0000-0000-0000C93C0000}"/>
    <cellStyle name="Eingabe 4 4 2 64" xfId="15562" xr:uid="{00000000-0005-0000-0000-0000CA3C0000}"/>
    <cellStyle name="Eingabe 4 4 2 65" xfId="15563" xr:uid="{00000000-0005-0000-0000-0000CB3C0000}"/>
    <cellStyle name="Eingabe 4 4 2 7" xfId="15564" xr:uid="{00000000-0005-0000-0000-0000CC3C0000}"/>
    <cellStyle name="Eingabe 4 4 2 8" xfId="15565" xr:uid="{00000000-0005-0000-0000-0000CD3C0000}"/>
    <cellStyle name="Eingabe 4 4 2 9" xfId="15566" xr:uid="{00000000-0005-0000-0000-0000CE3C0000}"/>
    <cellStyle name="Eingabe 4 4 20" xfId="15567" xr:uid="{00000000-0005-0000-0000-0000CF3C0000}"/>
    <cellStyle name="Eingabe 4 4 21" xfId="15568" xr:uid="{00000000-0005-0000-0000-0000D03C0000}"/>
    <cellStyle name="Eingabe 4 4 22" xfId="15569" xr:uid="{00000000-0005-0000-0000-0000D13C0000}"/>
    <cellStyle name="Eingabe 4 4 23" xfId="15570" xr:uid="{00000000-0005-0000-0000-0000D23C0000}"/>
    <cellStyle name="Eingabe 4 4 24" xfId="15571" xr:uid="{00000000-0005-0000-0000-0000D33C0000}"/>
    <cellStyle name="Eingabe 4 4 25" xfId="15572" xr:uid="{00000000-0005-0000-0000-0000D43C0000}"/>
    <cellStyle name="Eingabe 4 4 26" xfId="15573" xr:uid="{00000000-0005-0000-0000-0000D53C0000}"/>
    <cellStyle name="Eingabe 4 4 27" xfId="15574" xr:uid="{00000000-0005-0000-0000-0000D63C0000}"/>
    <cellStyle name="Eingabe 4 4 28" xfId="15575" xr:uid="{00000000-0005-0000-0000-0000D73C0000}"/>
    <cellStyle name="Eingabe 4 4 29" xfId="15576" xr:uid="{00000000-0005-0000-0000-0000D83C0000}"/>
    <cellStyle name="Eingabe 4 4 3" xfId="15577" xr:uid="{00000000-0005-0000-0000-0000D93C0000}"/>
    <cellStyle name="Eingabe 4 4 30" xfId="15578" xr:uid="{00000000-0005-0000-0000-0000DA3C0000}"/>
    <cellStyle name="Eingabe 4 4 31" xfId="15579" xr:uid="{00000000-0005-0000-0000-0000DB3C0000}"/>
    <cellStyle name="Eingabe 4 4 32" xfId="15580" xr:uid="{00000000-0005-0000-0000-0000DC3C0000}"/>
    <cellStyle name="Eingabe 4 4 33" xfId="15581" xr:uid="{00000000-0005-0000-0000-0000DD3C0000}"/>
    <cellStyle name="Eingabe 4 4 34" xfId="15582" xr:uid="{00000000-0005-0000-0000-0000DE3C0000}"/>
    <cellStyle name="Eingabe 4 4 35" xfId="15583" xr:uid="{00000000-0005-0000-0000-0000DF3C0000}"/>
    <cellStyle name="Eingabe 4 4 36" xfId="15584" xr:uid="{00000000-0005-0000-0000-0000E03C0000}"/>
    <cellStyle name="Eingabe 4 4 37" xfId="15585" xr:uid="{00000000-0005-0000-0000-0000E13C0000}"/>
    <cellStyle name="Eingabe 4 4 38" xfId="15586" xr:uid="{00000000-0005-0000-0000-0000E23C0000}"/>
    <cellStyle name="Eingabe 4 4 39" xfId="15587" xr:uid="{00000000-0005-0000-0000-0000E33C0000}"/>
    <cellStyle name="Eingabe 4 4 4" xfId="15588" xr:uid="{00000000-0005-0000-0000-0000E43C0000}"/>
    <cellStyle name="Eingabe 4 4 40" xfId="15589" xr:uid="{00000000-0005-0000-0000-0000E53C0000}"/>
    <cellStyle name="Eingabe 4 4 41" xfId="15590" xr:uid="{00000000-0005-0000-0000-0000E63C0000}"/>
    <cellStyle name="Eingabe 4 4 42" xfId="15591" xr:uid="{00000000-0005-0000-0000-0000E73C0000}"/>
    <cellStyle name="Eingabe 4 4 43" xfId="15592" xr:uid="{00000000-0005-0000-0000-0000E83C0000}"/>
    <cellStyle name="Eingabe 4 4 44" xfId="15593" xr:uid="{00000000-0005-0000-0000-0000E93C0000}"/>
    <cellStyle name="Eingabe 4 4 45" xfId="15594" xr:uid="{00000000-0005-0000-0000-0000EA3C0000}"/>
    <cellStyle name="Eingabe 4 4 46" xfId="15595" xr:uid="{00000000-0005-0000-0000-0000EB3C0000}"/>
    <cellStyle name="Eingabe 4 4 47" xfId="15596" xr:uid="{00000000-0005-0000-0000-0000EC3C0000}"/>
    <cellStyle name="Eingabe 4 4 48" xfId="15597" xr:uid="{00000000-0005-0000-0000-0000ED3C0000}"/>
    <cellStyle name="Eingabe 4 4 49" xfId="15598" xr:uid="{00000000-0005-0000-0000-0000EE3C0000}"/>
    <cellStyle name="Eingabe 4 4 5" xfId="15599" xr:uid="{00000000-0005-0000-0000-0000EF3C0000}"/>
    <cellStyle name="Eingabe 4 4 50" xfId="15600" xr:uid="{00000000-0005-0000-0000-0000F03C0000}"/>
    <cellStyle name="Eingabe 4 4 51" xfId="15601" xr:uid="{00000000-0005-0000-0000-0000F13C0000}"/>
    <cellStyle name="Eingabe 4 4 52" xfId="15602" xr:uid="{00000000-0005-0000-0000-0000F23C0000}"/>
    <cellStyle name="Eingabe 4 4 53" xfId="15603" xr:uid="{00000000-0005-0000-0000-0000F33C0000}"/>
    <cellStyle name="Eingabe 4 4 54" xfId="15604" xr:uid="{00000000-0005-0000-0000-0000F43C0000}"/>
    <cellStyle name="Eingabe 4 4 55" xfId="15605" xr:uid="{00000000-0005-0000-0000-0000F53C0000}"/>
    <cellStyle name="Eingabe 4 4 56" xfId="15606" xr:uid="{00000000-0005-0000-0000-0000F63C0000}"/>
    <cellStyle name="Eingabe 4 4 57" xfId="15607" xr:uid="{00000000-0005-0000-0000-0000F73C0000}"/>
    <cellStyle name="Eingabe 4 4 58" xfId="15608" xr:uid="{00000000-0005-0000-0000-0000F83C0000}"/>
    <cellStyle name="Eingabe 4 4 59" xfId="15609" xr:uid="{00000000-0005-0000-0000-0000F93C0000}"/>
    <cellStyle name="Eingabe 4 4 6" xfId="15610" xr:uid="{00000000-0005-0000-0000-0000FA3C0000}"/>
    <cellStyle name="Eingabe 4 4 60" xfId="15611" xr:uid="{00000000-0005-0000-0000-0000FB3C0000}"/>
    <cellStyle name="Eingabe 4 4 61" xfId="15612" xr:uid="{00000000-0005-0000-0000-0000FC3C0000}"/>
    <cellStyle name="Eingabe 4 4 62" xfId="15613" xr:uid="{00000000-0005-0000-0000-0000FD3C0000}"/>
    <cellStyle name="Eingabe 4 4 63" xfId="15614" xr:uid="{00000000-0005-0000-0000-0000FE3C0000}"/>
    <cellStyle name="Eingabe 4 4 64" xfId="15615" xr:uid="{00000000-0005-0000-0000-0000FF3C0000}"/>
    <cellStyle name="Eingabe 4 4 65" xfId="15616" xr:uid="{00000000-0005-0000-0000-0000003D0000}"/>
    <cellStyle name="Eingabe 4 4 66" xfId="15617" xr:uid="{00000000-0005-0000-0000-0000013D0000}"/>
    <cellStyle name="Eingabe 4 4 7" xfId="15618" xr:uid="{00000000-0005-0000-0000-0000023D0000}"/>
    <cellStyle name="Eingabe 4 4 8" xfId="15619" xr:uid="{00000000-0005-0000-0000-0000033D0000}"/>
    <cellStyle name="Eingabe 4 4 9" xfId="15620" xr:uid="{00000000-0005-0000-0000-0000043D0000}"/>
    <cellStyle name="Eingabe 4 40" xfId="15621" xr:uid="{00000000-0005-0000-0000-0000053D0000}"/>
    <cellStyle name="Eingabe 4 41" xfId="15622" xr:uid="{00000000-0005-0000-0000-0000063D0000}"/>
    <cellStyle name="Eingabe 4 42" xfId="15623" xr:uid="{00000000-0005-0000-0000-0000073D0000}"/>
    <cellStyle name="Eingabe 4 43" xfId="15624" xr:uid="{00000000-0005-0000-0000-0000083D0000}"/>
    <cellStyle name="Eingabe 4 44" xfId="15625" xr:uid="{00000000-0005-0000-0000-0000093D0000}"/>
    <cellStyle name="Eingabe 4 45" xfId="15626" xr:uid="{00000000-0005-0000-0000-00000A3D0000}"/>
    <cellStyle name="Eingabe 4 46" xfId="15627" xr:uid="{00000000-0005-0000-0000-00000B3D0000}"/>
    <cellStyle name="Eingabe 4 47" xfId="15628" xr:uid="{00000000-0005-0000-0000-00000C3D0000}"/>
    <cellStyle name="Eingabe 4 48" xfId="15629" xr:uid="{00000000-0005-0000-0000-00000D3D0000}"/>
    <cellStyle name="Eingabe 4 49" xfId="15630" xr:uid="{00000000-0005-0000-0000-00000E3D0000}"/>
    <cellStyle name="Eingabe 4 5" xfId="15631" xr:uid="{00000000-0005-0000-0000-00000F3D0000}"/>
    <cellStyle name="Eingabe 4 5 10" xfId="15632" xr:uid="{00000000-0005-0000-0000-0000103D0000}"/>
    <cellStyle name="Eingabe 4 5 11" xfId="15633" xr:uid="{00000000-0005-0000-0000-0000113D0000}"/>
    <cellStyle name="Eingabe 4 5 12" xfId="15634" xr:uid="{00000000-0005-0000-0000-0000123D0000}"/>
    <cellStyle name="Eingabe 4 5 13" xfId="15635" xr:uid="{00000000-0005-0000-0000-0000133D0000}"/>
    <cellStyle name="Eingabe 4 5 14" xfId="15636" xr:uid="{00000000-0005-0000-0000-0000143D0000}"/>
    <cellStyle name="Eingabe 4 5 15" xfId="15637" xr:uid="{00000000-0005-0000-0000-0000153D0000}"/>
    <cellStyle name="Eingabe 4 5 16" xfId="15638" xr:uid="{00000000-0005-0000-0000-0000163D0000}"/>
    <cellStyle name="Eingabe 4 5 17" xfId="15639" xr:uid="{00000000-0005-0000-0000-0000173D0000}"/>
    <cellStyle name="Eingabe 4 5 18" xfId="15640" xr:uid="{00000000-0005-0000-0000-0000183D0000}"/>
    <cellStyle name="Eingabe 4 5 19" xfId="15641" xr:uid="{00000000-0005-0000-0000-0000193D0000}"/>
    <cellStyle name="Eingabe 4 5 2" xfId="15642" xr:uid="{00000000-0005-0000-0000-00001A3D0000}"/>
    <cellStyle name="Eingabe 4 5 20" xfId="15643" xr:uid="{00000000-0005-0000-0000-00001B3D0000}"/>
    <cellStyle name="Eingabe 4 5 21" xfId="15644" xr:uid="{00000000-0005-0000-0000-00001C3D0000}"/>
    <cellStyle name="Eingabe 4 5 22" xfId="15645" xr:uid="{00000000-0005-0000-0000-00001D3D0000}"/>
    <cellStyle name="Eingabe 4 5 23" xfId="15646" xr:uid="{00000000-0005-0000-0000-00001E3D0000}"/>
    <cellStyle name="Eingabe 4 5 24" xfId="15647" xr:uid="{00000000-0005-0000-0000-00001F3D0000}"/>
    <cellStyle name="Eingabe 4 5 25" xfId="15648" xr:uid="{00000000-0005-0000-0000-0000203D0000}"/>
    <cellStyle name="Eingabe 4 5 26" xfId="15649" xr:uid="{00000000-0005-0000-0000-0000213D0000}"/>
    <cellStyle name="Eingabe 4 5 27" xfId="15650" xr:uid="{00000000-0005-0000-0000-0000223D0000}"/>
    <cellStyle name="Eingabe 4 5 28" xfId="15651" xr:uid="{00000000-0005-0000-0000-0000233D0000}"/>
    <cellStyle name="Eingabe 4 5 29" xfId="15652" xr:uid="{00000000-0005-0000-0000-0000243D0000}"/>
    <cellStyle name="Eingabe 4 5 3" xfId="15653" xr:uid="{00000000-0005-0000-0000-0000253D0000}"/>
    <cellStyle name="Eingabe 4 5 30" xfId="15654" xr:uid="{00000000-0005-0000-0000-0000263D0000}"/>
    <cellStyle name="Eingabe 4 5 31" xfId="15655" xr:uid="{00000000-0005-0000-0000-0000273D0000}"/>
    <cellStyle name="Eingabe 4 5 32" xfId="15656" xr:uid="{00000000-0005-0000-0000-0000283D0000}"/>
    <cellStyle name="Eingabe 4 5 33" xfId="15657" xr:uid="{00000000-0005-0000-0000-0000293D0000}"/>
    <cellStyle name="Eingabe 4 5 34" xfId="15658" xr:uid="{00000000-0005-0000-0000-00002A3D0000}"/>
    <cellStyle name="Eingabe 4 5 35" xfId="15659" xr:uid="{00000000-0005-0000-0000-00002B3D0000}"/>
    <cellStyle name="Eingabe 4 5 36" xfId="15660" xr:uid="{00000000-0005-0000-0000-00002C3D0000}"/>
    <cellStyle name="Eingabe 4 5 37" xfId="15661" xr:uid="{00000000-0005-0000-0000-00002D3D0000}"/>
    <cellStyle name="Eingabe 4 5 38" xfId="15662" xr:uid="{00000000-0005-0000-0000-00002E3D0000}"/>
    <cellStyle name="Eingabe 4 5 39" xfId="15663" xr:uid="{00000000-0005-0000-0000-00002F3D0000}"/>
    <cellStyle name="Eingabe 4 5 4" xfId="15664" xr:uid="{00000000-0005-0000-0000-0000303D0000}"/>
    <cellStyle name="Eingabe 4 5 40" xfId="15665" xr:uid="{00000000-0005-0000-0000-0000313D0000}"/>
    <cellStyle name="Eingabe 4 5 41" xfId="15666" xr:uid="{00000000-0005-0000-0000-0000323D0000}"/>
    <cellStyle name="Eingabe 4 5 42" xfId="15667" xr:uid="{00000000-0005-0000-0000-0000333D0000}"/>
    <cellStyle name="Eingabe 4 5 43" xfId="15668" xr:uid="{00000000-0005-0000-0000-0000343D0000}"/>
    <cellStyle name="Eingabe 4 5 44" xfId="15669" xr:uid="{00000000-0005-0000-0000-0000353D0000}"/>
    <cellStyle name="Eingabe 4 5 45" xfId="15670" xr:uid="{00000000-0005-0000-0000-0000363D0000}"/>
    <cellStyle name="Eingabe 4 5 46" xfId="15671" xr:uid="{00000000-0005-0000-0000-0000373D0000}"/>
    <cellStyle name="Eingabe 4 5 47" xfId="15672" xr:uid="{00000000-0005-0000-0000-0000383D0000}"/>
    <cellStyle name="Eingabe 4 5 48" xfId="15673" xr:uid="{00000000-0005-0000-0000-0000393D0000}"/>
    <cellStyle name="Eingabe 4 5 49" xfId="15674" xr:uid="{00000000-0005-0000-0000-00003A3D0000}"/>
    <cellStyle name="Eingabe 4 5 5" xfId="15675" xr:uid="{00000000-0005-0000-0000-00003B3D0000}"/>
    <cellStyle name="Eingabe 4 5 50" xfId="15676" xr:uid="{00000000-0005-0000-0000-00003C3D0000}"/>
    <cellStyle name="Eingabe 4 5 51" xfId="15677" xr:uid="{00000000-0005-0000-0000-00003D3D0000}"/>
    <cellStyle name="Eingabe 4 5 52" xfId="15678" xr:uid="{00000000-0005-0000-0000-00003E3D0000}"/>
    <cellStyle name="Eingabe 4 5 53" xfId="15679" xr:uid="{00000000-0005-0000-0000-00003F3D0000}"/>
    <cellStyle name="Eingabe 4 5 54" xfId="15680" xr:uid="{00000000-0005-0000-0000-0000403D0000}"/>
    <cellStyle name="Eingabe 4 5 55" xfId="15681" xr:uid="{00000000-0005-0000-0000-0000413D0000}"/>
    <cellStyle name="Eingabe 4 5 56" xfId="15682" xr:uid="{00000000-0005-0000-0000-0000423D0000}"/>
    <cellStyle name="Eingabe 4 5 57" xfId="15683" xr:uid="{00000000-0005-0000-0000-0000433D0000}"/>
    <cellStyle name="Eingabe 4 5 58" xfId="15684" xr:uid="{00000000-0005-0000-0000-0000443D0000}"/>
    <cellStyle name="Eingabe 4 5 59" xfId="15685" xr:uid="{00000000-0005-0000-0000-0000453D0000}"/>
    <cellStyle name="Eingabe 4 5 6" xfId="15686" xr:uid="{00000000-0005-0000-0000-0000463D0000}"/>
    <cellStyle name="Eingabe 4 5 60" xfId="15687" xr:uid="{00000000-0005-0000-0000-0000473D0000}"/>
    <cellStyle name="Eingabe 4 5 61" xfId="15688" xr:uid="{00000000-0005-0000-0000-0000483D0000}"/>
    <cellStyle name="Eingabe 4 5 62" xfId="15689" xr:uid="{00000000-0005-0000-0000-0000493D0000}"/>
    <cellStyle name="Eingabe 4 5 63" xfId="15690" xr:uid="{00000000-0005-0000-0000-00004A3D0000}"/>
    <cellStyle name="Eingabe 4 5 64" xfId="15691" xr:uid="{00000000-0005-0000-0000-00004B3D0000}"/>
    <cellStyle name="Eingabe 4 5 65" xfId="15692" xr:uid="{00000000-0005-0000-0000-00004C3D0000}"/>
    <cellStyle name="Eingabe 4 5 7" xfId="15693" xr:uid="{00000000-0005-0000-0000-00004D3D0000}"/>
    <cellStyle name="Eingabe 4 5 8" xfId="15694" xr:uid="{00000000-0005-0000-0000-00004E3D0000}"/>
    <cellStyle name="Eingabe 4 5 9" xfId="15695" xr:uid="{00000000-0005-0000-0000-00004F3D0000}"/>
    <cellStyle name="Eingabe 4 50" xfId="15696" xr:uid="{00000000-0005-0000-0000-0000503D0000}"/>
    <cellStyle name="Eingabe 4 51" xfId="15697" xr:uid="{00000000-0005-0000-0000-0000513D0000}"/>
    <cellStyle name="Eingabe 4 6" xfId="15698" xr:uid="{00000000-0005-0000-0000-0000523D0000}"/>
    <cellStyle name="Eingabe 4 7" xfId="15699" xr:uid="{00000000-0005-0000-0000-0000533D0000}"/>
    <cellStyle name="Eingabe 4 8" xfId="15700" xr:uid="{00000000-0005-0000-0000-0000543D0000}"/>
    <cellStyle name="Eingabe 4 9" xfId="15701" xr:uid="{00000000-0005-0000-0000-0000553D0000}"/>
    <cellStyle name="Eingabe 5" xfId="15702" xr:uid="{00000000-0005-0000-0000-0000563D0000}"/>
    <cellStyle name="Eingabe 5 10" xfId="15703" xr:uid="{00000000-0005-0000-0000-0000573D0000}"/>
    <cellStyle name="Eingabe 5 11" xfId="15704" xr:uid="{00000000-0005-0000-0000-0000583D0000}"/>
    <cellStyle name="Eingabe 5 12" xfId="15705" xr:uid="{00000000-0005-0000-0000-0000593D0000}"/>
    <cellStyle name="Eingabe 5 13" xfId="15706" xr:uid="{00000000-0005-0000-0000-00005A3D0000}"/>
    <cellStyle name="Eingabe 5 14" xfId="15707" xr:uid="{00000000-0005-0000-0000-00005B3D0000}"/>
    <cellStyle name="Eingabe 5 15" xfId="15708" xr:uid="{00000000-0005-0000-0000-00005C3D0000}"/>
    <cellStyle name="Eingabe 5 16" xfId="15709" xr:uid="{00000000-0005-0000-0000-00005D3D0000}"/>
    <cellStyle name="Eingabe 5 17" xfId="15710" xr:uid="{00000000-0005-0000-0000-00005E3D0000}"/>
    <cellStyle name="Eingabe 5 18" xfId="15711" xr:uid="{00000000-0005-0000-0000-00005F3D0000}"/>
    <cellStyle name="Eingabe 5 19" xfId="15712" xr:uid="{00000000-0005-0000-0000-0000603D0000}"/>
    <cellStyle name="Eingabe 5 2" xfId="15713" xr:uid="{00000000-0005-0000-0000-0000613D0000}"/>
    <cellStyle name="Eingabe 5 2 10" xfId="15714" xr:uid="{00000000-0005-0000-0000-0000623D0000}"/>
    <cellStyle name="Eingabe 5 2 11" xfId="15715" xr:uid="{00000000-0005-0000-0000-0000633D0000}"/>
    <cellStyle name="Eingabe 5 2 12" xfId="15716" xr:uid="{00000000-0005-0000-0000-0000643D0000}"/>
    <cellStyle name="Eingabe 5 2 13" xfId="15717" xr:uid="{00000000-0005-0000-0000-0000653D0000}"/>
    <cellStyle name="Eingabe 5 2 14" xfId="15718" xr:uid="{00000000-0005-0000-0000-0000663D0000}"/>
    <cellStyle name="Eingabe 5 2 15" xfId="15719" xr:uid="{00000000-0005-0000-0000-0000673D0000}"/>
    <cellStyle name="Eingabe 5 2 16" xfId="15720" xr:uid="{00000000-0005-0000-0000-0000683D0000}"/>
    <cellStyle name="Eingabe 5 2 17" xfId="15721" xr:uid="{00000000-0005-0000-0000-0000693D0000}"/>
    <cellStyle name="Eingabe 5 2 18" xfId="15722" xr:uid="{00000000-0005-0000-0000-00006A3D0000}"/>
    <cellStyle name="Eingabe 5 2 19" xfId="15723" xr:uid="{00000000-0005-0000-0000-00006B3D0000}"/>
    <cellStyle name="Eingabe 5 2 2" xfId="15724" xr:uid="{00000000-0005-0000-0000-00006C3D0000}"/>
    <cellStyle name="Eingabe 5 2 20" xfId="15725" xr:uid="{00000000-0005-0000-0000-00006D3D0000}"/>
    <cellStyle name="Eingabe 5 2 21" xfId="15726" xr:uid="{00000000-0005-0000-0000-00006E3D0000}"/>
    <cellStyle name="Eingabe 5 2 22" xfId="15727" xr:uid="{00000000-0005-0000-0000-00006F3D0000}"/>
    <cellStyle name="Eingabe 5 2 23" xfId="15728" xr:uid="{00000000-0005-0000-0000-0000703D0000}"/>
    <cellStyle name="Eingabe 5 2 24" xfId="15729" xr:uid="{00000000-0005-0000-0000-0000713D0000}"/>
    <cellStyle name="Eingabe 5 2 25" xfId="15730" xr:uid="{00000000-0005-0000-0000-0000723D0000}"/>
    <cellStyle name="Eingabe 5 2 26" xfId="15731" xr:uid="{00000000-0005-0000-0000-0000733D0000}"/>
    <cellStyle name="Eingabe 5 2 27" xfId="15732" xr:uid="{00000000-0005-0000-0000-0000743D0000}"/>
    <cellStyle name="Eingabe 5 2 28" xfId="15733" xr:uid="{00000000-0005-0000-0000-0000753D0000}"/>
    <cellStyle name="Eingabe 5 2 29" xfId="15734" xr:uid="{00000000-0005-0000-0000-0000763D0000}"/>
    <cellStyle name="Eingabe 5 2 3" xfId="15735" xr:uid="{00000000-0005-0000-0000-0000773D0000}"/>
    <cellStyle name="Eingabe 5 2 30" xfId="15736" xr:uid="{00000000-0005-0000-0000-0000783D0000}"/>
    <cellStyle name="Eingabe 5 2 31" xfId="15737" xr:uid="{00000000-0005-0000-0000-0000793D0000}"/>
    <cellStyle name="Eingabe 5 2 32" xfId="15738" xr:uid="{00000000-0005-0000-0000-00007A3D0000}"/>
    <cellStyle name="Eingabe 5 2 33" xfId="15739" xr:uid="{00000000-0005-0000-0000-00007B3D0000}"/>
    <cellStyle name="Eingabe 5 2 34" xfId="15740" xr:uid="{00000000-0005-0000-0000-00007C3D0000}"/>
    <cellStyle name="Eingabe 5 2 35" xfId="15741" xr:uid="{00000000-0005-0000-0000-00007D3D0000}"/>
    <cellStyle name="Eingabe 5 2 36" xfId="15742" xr:uid="{00000000-0005-0000-0000-00007E3D0000}"/>
    <cellStyle name="Eingabe 5 2 37" xfId="15743" xr:uid="{00000000-0005-0000-0000-00007F3D0000}"/>
    <cellStyle name="Eingabe 5 2 38" xfId="15744" xr:uid="{00000000-0005-0000-0000-0000803D0000}"/>
    <cellStyle name="Eingabe 5 2 39" xfId="15745" xr:uid="{00000000-0005-0000-0000-0000813D0000}"/>
    <cellStyle name="Eingabe 5 2 4" xfId="15746" xr:uid="{00000000-0005-0000-0000-0000823D0000}"/>
    <cellStyle name="Eingabe 5 2 40" xfId="15747" xr:uid="{00000000-0005-0000-0000-0000833D0000}"/>
    <cellStyle name="Eingabe 5 2 41" xfId="15748" xr:uid="{00000000-0005-0000-0000-0000843D0000}"/>
    <cellStyle name="Eingabe 5 2 42" xfId="15749" xr:uid="{00000000-0005-0000-0000-0000853D0000}"/>
    <cellStyle name="Eingabe 5 2 43" xfId="15750" xr:uid="{00000000-0005-0000-0000-0000863D0000}"/>
    <cellStyle name="Eingabe 5 2 44" xfId="15751" xr:uid="{00000000-0005-0000-0000-0000873D0000}"/>
    <cellStyle name="Eingabe 5 2 45" xfId="15752" xr:uid="{00000000-0005-0000-0000-0000883D0000}"/>
    <cellStyle name="Eingabe 5 2 46" xfId="15753" xr:uid="{00000000-0005-0000-0000-0000893D0000}"/>
    <cellStyle name="Eingabe 5 2 47" xfId="15754" xr:uid="{00000000-0005-0000-0000-00008A3D0000}"/>
    <cellStyle name="Eingabe 5 2 48" xfId="15755" xr:uid="{00000000-0005-0000-0000-00008B3D0000}"/>
    <cellStyle name="Eingabe 5 2 49" xfId="15756" xr:uid="{00000000-0005-0000-0000-00008C3D0000}"/>
    <cellStyle name="Eingabe 5 2 5" xfId="15757" xr:uid="{00000000-0005-0000-0000-00008D3D0000}"/>
    <cellStyle name="Eingabe 5 2 50" xfId="15758" xr:uid="{00000000-0005-0000-0000-00008E3D0000}"/>
    <cellStyle name="Eingabe 5 2 51" xfId="15759" xr:uid="{00000000-0005-0000-0000-00008F3D0000}"/>
    <cellStyle name="Eingabe 5 2 52" xfId="15760" xr:uid="{00000000-0005-0000-0000-0000903D0000}"/>
    <cellStyle name="Eingabe 5 2 53" xfId="15761" xr:uid="{00000000-0005-0000-0000-0000913D0000}"/>
    <cellStyle name="Eingabe 5 2 54" xfId="15762" xr:uid="{00000000-0005-0000-0000-0000923D0000}"/>
    <cellStyle name="Eingabe 5 2 55" xfId="15763" xr:uid="{00000000-0005-0000-0000-0000933D0000}"/>
    <cellStyle name="Eingabe 5 2 56" xfId="15764" xr:uid="{00000000-0005-0000-0000-0000943D0000}"/>
    <cellStyle name="Eingabe 5 2 57" xfId="15765" xr:uid="{00000000-0005-0000-0000-0000953D0000}"/>
    <cellStyle name="Eingabe 5 2 58" xfId="15766" xr:uid="{00000000-0005-0000-0000-0000963D0000}"/>
    <cellStyle name="Eingabe 5 2 59" xfId="15767" xr:uid="{00000000-0005-0000-0000-0000973D0000}"/>
    <cellStyle name="Eingabe 5 2 6" xfId="15768" xr:uid="{00000000-0005-0000-0000-0000983D0000}"/>
    <cellStyle name="Eingabe 5 2 60" xfId="15769" xr:uid="{00000000-0005-0000-0000-0000993D0000}"/>
    <cellStyle name="Eingabe 5 2 61" xfId="15770" xr:uid="{00000000-0005-0000-0000-00009A3D0000}"/>
    <cellStyle name="Eingabe 5 2 62" xfId="15771" xr:uid="{00000000-0005-0000-0000-00009B3D0000}"/>
    <cellStyle name="Eingabe 5 2 63" xfId="15772" xr:uid="{00000000-0005-0000-0000-00009C3D0000}"/>
    <cellStyle name="Eingabe 5 2 64" xfId="15773" xr:uid="{00000000-0005-0000-0000-00009D3D0000}"/>
    <cellStyle name="Eingabe 5 2 65" xfId="15774" xr:uid="{00000000-0005-0000-0000-00009E3D0000}"/>
    <cellStyle name="Eingabe 5 2 7" xfId="15775" xr:uid="{00000000-0005-0000-0000-00009F3D0000}"/>
    <cellStyle name="Eingabe 5 2 8" xfId="15776" xr:uid="{00000000-0005-0000-0000-0000A03D0000}"/>
    <cellStyle name="Eingabe 5 2 9" xfId="15777" xr:uid="{00000000-0005-0000-0000-0000A13D0000}"/>
    <cellStyle name="Eingabe 5 20" xfId="15778" xr:uid="{00000000-0005-0000-0000-0000A23D0000}"/>
    <cellStyle name="Eingabe 5 21" xfId="15779" xr:uid="{00000000-0005-0000-0000-0000A33D0000}"/>
    <cellStyle name="Eingabe 5 22" xfId="15780" xr:uid="{00000000-0005-0000-0000-0000A43D0000}"/>
    <cellStyle name="Eingabe 5 23" xfId="15781" xr:uid="{00000000-0005-0000-0000-0000A53D0000}"/>
    <cellStyle name="Eingabe 5 24" xfId="15782" xr:uid="{00000000-0005-0000-0000-0000A63D0000}"/>
    <cellStyle name="Eingabe 5 25" xfId="15783" xr:uid="{00000000-0005-0000-0000-0000A73D0000}"/>
    <cellStyle name="Eingabe 5 26" xfId="15784" xr:uid="{00000000-0005-0000-0000-0000A83D0000}"/>
    <cellStyle name="Eingabe 5 27" xfId="15785" xr:uid="{00000000-0005-0000-0000-0000A93D0000}"/>
    <cellStyle name="Eingabe 5 28" xfId="15786" xr:uid="{00000000-0005-0000-0000-0000AA3D0000}"/>
    <cellStyle name="Eingabe 5 29" xfId="15787" xr:uid="{00000000-0005-0000-0000-0000AB3D0000}"/>
    <cellStyle name="Eingabe 5 3" xfId="15788" xr:uid="{00000000-0005-0000-0000-0000AC3D0000}"/>
    <cellStyle name="Eingabe 5 30" xfId="15789" xr:uid="{00000000-0005-0000-0000-0000AD3D0000}"/>
    <cellStyle name="Eingabe 5 31" xfId="15790" xr:uid="{00000000-0005-0000-0000-0000AE3D0000}"/>
    <cellStyle name="Eingabe 5 32" xfId="15791" xr:uid="{00000000-0005-0000-0000-0000AF3D0000}"/>
    <cellStyle name="Eingabe 5 33" xfId="15792" xr:uid="{00000000-0005-0000-0000-0000B03D0000}"/>
    <cellStyle name="Eingabe 5 34" xfId="15793" xr:uid="{00000000-0005-0000-0000-0000B13D0000}"/>
    <cellStyle name="Eingabe 5 35" xfId="15794" xr:uid="{00000000-0005-0000-0000-0000B23D0000}"/>
    <cellStyle name="Eingabe 5 36" xfId="15795" xr:uid="{00000000-0005-0000-0000-0000B33D0000}"/>
    <cellStyle name="Eingabe 5 37" xfId="15796" xr:uid="{00000000-0005-0000-0000-0000B43D0000}"/>
    <cellStyle name="Eingabe 5 38" xfId="15797" xr:uid="{00000000-0005-0000-0000-0000B53D0000}"/>
    <cellStyle name="Eingabe 5 39" xfId="15798" xr:uid="{00000000-0005-0000-0000-0000B63D0000}"/>
    <cellStyle name="Eingabe 5 4" xfId="15799" xr:uid="{00000000-0005-0000-0000-0000B73D0000}"/>
    <cellStyle name="Eingabe 5 40" xfId="15800" xr:uid="{00000000-0005-0000-0000-0000B83D0000}"/>
    <cellStyle name="Eingabe 5 41" xfId="15801" xr:uid="{00000000-0005-0000-0000-0000B93D0000}"/>
    <cellStyle name="Eingabe 5 42" xfId="15802" xr:uid="{00000000-0005-0000-0000-0000BA3D0000}"/>
    <cellStyle name="Eingabe 5 43" xfId="15803" xr:uid="{00000000-0005-0000-0000-0000BB3D0000}"/>
    <cellStyle name="Eingabe 5 44" xfId="15804" xr:uid="{00000000-0005-0000-0000-0000BC3D0000}"/>
    <cellStyle name="Eingabe 5 45" xfId="15805" xr:uid="{00000000-0005-0000-0000-0000BD3D0000}"/>
    <cellStyle name="Eingabe 5 46" xfId="15806" xr:uid="{00000000-0005-0000-0000-0000BE3D0000}"/>
    <cellStyle name="Eingabe 5 47" xfId="15807" xr:uid="{00000000-0005-0000-0000-0000BF3D0000}"/>
    <cellStyle name="Eingabe 5 48" xfId="15808" xr:uid="{00000000-0005-0000-0000-0000C03D0000}"/>
    <cellStyle name="Eingabe 5 49" xfId="15809" xr:uid="{00000000-0005-0000-0000-0000C13D0000}"/>
    <cellStyle name="Eingabe 5 5" xfId="15810" xr:uid="{00000000-0005-0000-0000-0000C23D0000}"/>
    <cellStyle name="Eingabe 5 50" xfId="15811" xr:uid="{00000000-0005-0000-0000-0000C33D0000}"/>
    <cellStyle name="Eingabe 5 51" xfId="15812" xr:uid="{00000000-0005-0000-0000-0000C43D0000}"/>
    <cellStyle name="Eingabe 5 52" xfId="15813" xr:uid="{00000000-0005-0000-0000-0000C53D0000}"/>
    <cellStyle name="Eingabe 5 53" xfId="15814" xr:uid="{00000000-0005-0000-0000-0000C63D0000}"/>
    <cellStyle name="Eingabe 5 54" xfId="15815" xr:uid="{00000000-0005-0000-0000-0000C73D0000}"/>
    <cellStyle name="Eingabe 5 55" xfId="15816" xr:uid="{00000000-0005-0000-0000-0000C83D0000}"/>
    <cellStyle name="Eingabe 5 56" xfId="15817" xr:uid="{00000000-0005-0000-0000-0000C93D0000}"/>
    <cellStyle name="Eingabe 5 57" xfId="15818" xr:uid="{00000000-0005-0000-0000-0000CA3D0000}"/>
    <cellStyle name="Eingabe 5 58" xfId="15819" xr:uid="{00000000-0005-0000-0000-0000CB3D0000}"/>
    <cellStyle name="Eingabe 5 59" xfId="15820" xr:uid="{00000000-0005-0000-0000-0000CC3D0000}"/>
    <cellStyle name="Eingabe 5 6" xfId="15821" xr:uid="{00000000-0005-0000-0000-0000CD3D0000}"/>
    <cellStyle name="Eingabe 5 60" xfId="15822" xr:uid="{00000000-0005-0000-0000-0000CE3D0000}"/>
    <cellStyle name="Eingabe 5 61" xfId="15823" xr:uid="{00000000-0005-0000-0000-0000CF3D0000}"/>
    <cellStyle name="Eingabe 5 62" xfId="15824" xr:uid="{00000000-0005-0000-0000-0000D03D0000}"/>
    <cellStyle name="Eingabe 5 63" xfId="15825" xr:uid="{00000000-0005-0000-0000-0000D13D0000}"/>
    <cellStyle name="Eingabe 5 64" xfId="15826" xr:uid="{00000000-0005-0000-0000-0000D23D0000}"/>
    <cellStyle name="Eingabe 5 65" xfId="15827" xr:uid="{00000000-0005-0000-0000-0000D33D0000}"/>
    <cellStyle name="Eingabe 5 66" xfId="15828" xr:uid="{00000000-0005-0000-0000-0000D43D0000}"/>
    <cellStyle name="Eingabe 5 7" xfId="15829" xr:uid="{00000000-0005-0000-0000-0000D53D0000}"/>
    <cellStyle name="Eingabe 5 8" xfId="15830" xr:uid="{00000000-0005-0000-0000-0000D63D0000}"/>
    <cellStyle name="Eingabe 5 9" xfId="15831" xr:uid="{00000000-0005-0000-0000-0000D73D0000}"/>
    <cellStyle name="Eingabe 6" xfId="15832" xr:uid="{00000000-0005-0000-0000-0000D83D0000}"/>
    <cellStyle name="Eingabe 6 10" xfId="15833" xr:uid="{00000000-0005-0000-0000-0000D93D0000}"/>
    <cellStyle name="Eingabe 6 11" xfId="15834" xr:uid="{00000000-0005-0000-0000-0000DA3D0000}"/>
    <cellStyle name="Eingabe 6 12" xfId="15835" xr:uid="{00000000-0005-0000-0000-0000DB3D0000}"/>
    <cellStyle name="Eingabe 6 13" xfId="15836" xr:uid="{00000000-0005-0000-0000-0000DC3D0000}"/>
    <cellStyle name="Eingabe 6 14" xfId="15837" xr:uid="{00000000-0005-0000-0000-0000DD3D0000}"/>
    <cellStyle name="Eingabe 6 15" xfId="15838" xr:uid="{00000000-0005-0000-0000-0000DE3D0000}"/>
    <cellStyle name="Eingabe 6 16" xfId="15839" xr:uid="{00000000-0005-0000-0000-0000DF3D0000}"/>
    <cellStyle name="Eingabe 6 17" xfId="15840" xr:uid="{00000000-0005-0000-0000-0000E03D0000}"/>
    <cellStyle name="Eingabe 6 18" xfId="15841" xr:uid="{00000000-0005-0000-0000-0000E13D0000}"/>
    <cellStyle name="Eingabe 6 19" xfId="15842" xr:uid="{00000000-0005-0000-0000-0000E23D0000}"/>
    <cellStyle name="Eingabe 6 2" xfId="15843" xr:uid="{00000000-0005-0000-0000-0000E33D0000}"/>
    <cellStyle name="Eingabe 6 2 10" xfId="15844" xr:uid="{00000000-0005-0000-0000-0000E43D0000}"/>
    <cellStyle name="Eingabe 6 2 11" xfId="15845" xr:uid="{00000000-0005-0000-0000-0000E53D0000}"/>
    <cellStyle name="Eingabe 6 2 12" xfId="15846" xr:uid="{00000000-0005-0000-0000-0000E63D0000}"/>
    <cellStyle name="Eingabe 6 2 13" xfId="15847" xr:uid="{00000000-0005-0000-0000-0000E73D0000}"/>
    <cellStyle name="Eingabe 6 2 14" xfId="15848" xr:uid="{00000000-0005-0000-0000-0000E83D0000}"/>
    <cellStyle name="Eingabe 6 2 15" xfId="15849" xr:uid="{00000000-0005-0000-0000-0000E93D0000}"/>
    <cellStyle name="Eingabe 6 2 16" xfId="15850" xr:uid="{00000000-0005-0000-0000-0000EA3D0000}"/>
    <cellStyle name="Eingabe 6 2 17" xfId="15851" xr:uid="{00000000-0005-0000-0000-0000EB3D0000}"/>
    <cellStyle name="Eingabe 6 2 18" xfId="15852" xr:uid="{00000000-0005-0000-0000-0000EC3D0000}"/>
    <cellStyle name="Eingabe 6 2 19" xfId="15853" xr:uid="{00000000-0005-0000-0000-0000ED3D0000}"/>
    <cellStyle name="Eingabe 6 2 2" xfId="15854" xr:uid="{00000000-0005-0000-0000-0000EE3D0000}"/>
    <cellStyle name="Eingabe 6 2 20" xfId="15855" xr:uid="{00000000-0005-0000-0000-0000EF3D0000}"/>
    <cellStyle name="Eingabe 6 2 21" xfId="15856" xr:uid="{00000000-0005-0000-0000-0000F03D0000}"/>
    <cellStyle name="Eingabe 6 2 22" xfId="15857" xr:uid="{00000000-0005-0000-0000-0000F13D0000}"/>
    <cellStyle name="Eingabe 6 2 23" xfId="15858" xr:uid="{00000000-0005-0000-0000-0000F23D0000}"/>
    <cellStyle name="Eingabe 6 2 24" xfId="15859" xr:uid="{00000000-0005-0000-0000-0000F33D0000}"/>
    <cellStyle name="Eingabe 6 2 25" xfId="15860" xr:uid="{00000000-0005-0000-0000-0000F43D0000}"/>
    <cellStyle name="Eingabe 6 2 26" xfId="15861" xr:uid="{00000000-0005-0000-0000-0000F53D0000}"/>
    <cellStyle name="Eingabe 6 2 27" xfId="15862" xr:uid="{00000000-0005-0000-0000-0000F63D0000}"/>
    <cellStyle name="Eingabe 6 2 28" xfId="15863" xr:uid="{00000000-0005-0000-0000-0000F73D0000}"/>
    <cellStyle name="Eingabe 6 2 29" xfId="15864" xr:uid="{00000000-0005-0000-0000-0000F83D0000}"/>
    <cellStyle name="Eingabe 6 2 3" xfId="15865" xr:uid="{00000000-0005-0000-0000-0000F93D0000}"/>
    <cellStyle name="Eingabe 6 2 30" xfId="15866" xr:uid="{00000000-0005-0000-0000-0000FA3D0000}"/>
    <cellStyle name="Eingabe 6 2 31" xfId="15867" xr:uid="{00000000-0005-0000-0000-0000FB3D0000}"/>
    <cellStyle name="Eingabe 6 2 32" xfId="15868" xr:uid="{00000000-0005-0000-0000-0000FC3D0000}"/>
    <cellStyle name="Eingabe 6 2 33" xfId="15869" xr:uid="{00000000-0005-0000-0000-0000FD3D0000}"/>
    <cellStyle name="Eingabe 6 2 34" xfId="15870" xr:uid="{00000000-0005-0000-0000-0000FE3D0000}"/>
    <cellStyle name="Eingabe 6 2 35" xfId="15871" xr:uid="{00000000-0005-0000-0000-0000FF3D0000}"/>
    <cellStyle name="Eingabe 6 2 36" xfId="15872" xr:uid="{00000000-0005-0000-0000-0000003E0000}"/>
    <cellStyle name="Eingabe 6 2 37" xfId="15873" xr:uid="{00000000-0005-0000-0000-0000013E0000}"/>
    <cellStyle name="Eingabe 6 2 38" xfId="15874" xr:uid="{00000000-0005-0000-0000-0000023E0000}"/>
    <cellStyle name="Eingabe 6 2 39" xfId="15875" xr:uid="{00000000-0005-0000-0000-0000033E0000}"/>
    <cellStyle name="Eingabe 6 2 4" xfId="15876" xr:uid="{00000000-0005-0000-0000-0000043E0000}"/>
    <cellStyle name="Eingabe 6 2 40" xfId="15877" xr:uid="{00000000-0005-0000-0000-0000053E0000}"/>
    <cellStyle name="Eingabe 6 2 41" xfId="15878" xr:uid="{00000000-0005-0000-0000-0000063E0000}"/>
    <cellStyle name="Eingabe 6 2 42" xfId="15879" xr:uid="{00000000-0005-0000-0000-0000073E0000}"/>
    <cellStyle name="Eingabe 6 2 43" xfId="15880" xr:uid="{00000000-0005-0000-0000-0000083E0000}"/>
    <cellStyle name="Eingabe 6 2 44" xfId="15881" xr:uid="{00000000-0005-0000-0000-0000093E0000}"/>
    <cellStyle name="Eingabe 6 2 45" xfId="15882" xr:uid="{00000000-0005-0000-0000-00000A3E0000}"/>
    <cellStyle name="Eingabe 6 2 46" xfId="15883" xr:uid="{00000000-0005-0000-0000-00000B3E0000}"/>
    <cellStyle name="Eingabe 6 2 47" xfId="15884" xr:uid="{00000000-0005-0000-0000-00000C3E0000}"/>
    <cellStyle name="Eingabe 6 2 48" xfId="15885" xr:uid="{00000000-0005-0000-0000-00000D3E0000}"/>
    <cellStyle name="Eingabe 6 2 49" xfId="15886" xr:uid="{00000000-0005-0000-0000-00000E3E0000}"/>
    <cellStyle name="Eingabe 6 2 5" xfId="15887" xr:uid="{00000000-0005-0000-0000-00000F3E0000}"/>
    <cellStyle name="Eingabe 6 2 50" xfId="15888" xr:uid="{00000000-0005-0000-0000-0000103E0000}"/>
    <cellStyle name="Eingabe 6 2 51" xfId="15889" xr:uid="{00000000-0005-0000-0000-0000113E0000}"/>
    <cellStyle name="Eingabe 6 2 52" xfId="15890" xr:uid="{00000000-0005-0000-0000-0000123E0000}"/>
    <cellStyle name="Eingabe 6 2 53" xfId="15891" xr:uid="{00000000-0005-0000-0000-0000133E0000}"/>
    <cellStyle name="Eingabe 6 2 54" xfId="15892" xr:uid="{00000000-0005-0000-0000-0000143E0000}"/>
    <cellStyle name="Eingabe 6 2 55" xfId="15893" xr:uid="{00000000-0005-0000-0000-0000153E0000}"/>
    <cellStyle name="Eingabe 6 2 56" xfId="15894" xr:uid="{00000000-0005-0000-0000-0000163E0000}"/>
    <cellStyle name="Eingabe 6 2 57" xfId="15895" xr:uid="{00000000-0005-0000-0000-0000173E0000}"/>
    <cellStyle name="Eingabe 6 2 58" xfId="15896" xr:uid="{00000000-0005-0000-0000-0000183E0000}"/>
    <cellStyle name="Eingabe 6 2 59" xfId="15897" xr:uid="{00000000-0005-0000-0000-0000193E0000}"/>
    <cellStyle name="Eingabe 6 2 6" xfId="15898" xr:uid="{00000000-0005-0000-0000-00001A3E0000}"/>
    <cellStyle name="Eingabe 6 2 60" xfId="15899" xr:uid="{00000000-0005-0000-0000-00001B3E0000}"/>
    <cellStyle name="Eingabe 6 2 61" xfId="15900" xr:uid="{00000000-0005-0000-0000-00001C3E0000}"/>
    <cellStyle name="Eingabe 6 2 62" xfId="15901" xr:uid="{00000000-0005-0000-0000-00001D3E0000}"/>
    <cellStyle name="Eingabe 6 2 63" xfId="15902" xr:uid="{00000000-0005-0000-0000-00001E3E0000}"/>
    <cellStyle name="Eingabe 6 2 64" xfId="15903" xr:uid="{00000000-0005-0000-0000-00001F3E0000}"/>
    <cellStyle name="Eingabe 6 2 65" xfId="15904" xr:uid="{00000000-0005-0000-0000-0000203E0000}"/>
    <cellStyle name="Eingabe 6 2 7" xfId="15905" xr:uid="{00000000-0005-0000-0000-0000213E0000}"/>
    <cellStyle name="Eingabe 6 2 8" xfId="15906" xr:uid="{00000000-0005-0000-0000-0000223E0000}"/>
    <cellStyle name="Eingabe 6 2 9" xfId="15907" xr:uid="{00000000-0005-0000-0000-0000233E0000}"/>
    <cellStyle name="Eingabe 6 20" xfId="15908" xr:uid="{00000000-0005-0000-0000-0000243E0000}"/>
    <cellStyle name="Eingabe 6 21" xfId="15909" xr:uid="{00000000-0005-0000-0000-0000253E0000}"/>
    <cellStyle name="Eingabe 6 22" xfId="15910" xr:uid="{00000000-0005-0000-0000-0000263E0000}"/>
    <cellStyle name="Eingabe 6 23" xfId="15911" xr:uid="{00000000-0005-0000-0000-0000273E0000}"/>
    <cellStyle name="Eingabe 6 24" xfId="15912" xr:uid="{00000000-0005-0000-0000-0000283E0000}"/>
    <cellStyle name="Eingabe 6 25" xfId="15913" xr:uid="{00000000-0005-0000-0000-0000293E0000}"/>
    <cellStyle name="Eingabe 6 26" xfId="15914" xr:uid="{00000000-0005-0000-0000-00002A3E0000}"/>
    <cellStyle name="Eingabe 6 27" xfId="15915" xr:uid="{00000000-0005-0000-0000-00002B3E0000}"/>
    <cellStyle name="Eingabe 6 28" xfId="15916" xr:uid="{00000000-0005-0000-0000-00002C3E0000}"/>
    <cellStyle name="Eingabe 6 29" xfId="15917" xr:uid="{00000000-0005-0000-0000-00002D3E0000}"/>
    <cellStyle name="Eingabe 6 3" xfId="15918" xr:uid="{00000000-0005-0000-0000-00002E3E0000}"/>
    <cellStyle name="Eingabe 6 30" xfId="15919" xr:uid="{00000000-0005-0000-0000-00002F3E0000}"/>
    <cellStyle name="Eingabe 6 31" xfId="15920" xr:uid="{00000000-0005-0000-0000-0000303E0000}"/>
    <cellStyle name="Eingabe 6 32" xfId="15921" xr:uid="{00000000-0005-0000-0000-0000313E0000}"/>
    <cellStyle name="Eingabe 6 33" xfId="15922" xr:uid="{00000000-0005-0000-0000-0000323E0000}"/>
    <cellStyle name="Eingabe 6 34" xfId="15923" xr:uid="{00000000-0005-0000-0000-0000333E0000}"/>
    <cellStyle name="Eingabe 6 35" xfId="15924" xr:uid="{00000000-0005-0000-0000-0000343E0000}"/>
    <cellStyle name="Eingabe 6 36" xfId="15925" xr:uid="{00000000-0005-0000-0000-0000353E0000}"/>
    <cellStyle name="Eingabe 6 37" xfId="15926" xr:uid="{00000000-0005-0000-0000-0000363E0000}"/>
    <cellStyle name="Eingabe 6 38" xfId="15927" xr:uid="{00000000-0005-0000-0000-0000373E0000}"/>
    <cellStyle name="Eingabe 6 39" xfId="15928" xr:uid="{00000000-0005-0000-0000-0000383E0000}"/>
    <cellStyle name="Eingabe 6 4" xfId="15929" xr:uid="{00000000-0005-0000-0000-0000393E0000}"/>
    <cellStyle name="Eingabe 6 40" xfId="15930" xr:uid="{00000000-0005-0000-0000-00003A3E0000}"/>
    <cellStyle name="Eingabe 6 41" xfId="15931" xr:uid="{00000000-0005-0000-0000-00003B3E0000}"/>
    <cellStyle name="Eingabe 6 42" xfId="15932" xr:uid="{00000000-0005-0000-0000-00003C3E0000}"/>
    <cellStyle name="Eingabe 6 43" xfId="15933" xr:uid="{00000000-0005-0000-0000-00003D3E0000}"/>
    <cellStyle name="Eingabe 6 44" xfId="15934" xr:uid="{00000000-0005-0000-0000-00003E3E0000}"/>
    <cellStyle name="Eingabe 6 45" xfId="15935" xr:uid="{00000000-0005-0000-0000-00003F3E0000}"/>
    <cellStyle name="Eingabe 6 46" xfId="15936" xr:uid="{00000000-0005-0000-0000-0000403E0000}"/>
    <cellStyle name="Eingabe 6 47" xfId="15937" xr:uid="{00000000-0005-0000-0000-0000413E0000}"/>
    <cellStyle name="Eingabe 6 48" xfId="15938" xr:uid="{00000000-0005-0000-0000-0000423E0000}"/>
    <cellStyle name="Eingabe 6 49" xfId="15939" xr:uid="{00000000-0005-0000-0000-0000433E0000}"/>
    <cellStyle name="Eingabe 6 5" xfId="15940" xr:uid="{00000000-0005-0000-0000-0000443E0000}"/>
    <cellStyle name="Eingabe 6 50" xfId="15941" xr:uid="{00000000-0005-0000-0000-0000453E0000}"/>
    <cellStyle name="Eingabe 6 51" xfId="15942" xr:uid="{00000000-0005-0000-0000-0000463E0000}"/>
    <cellStyle name="Eingabe 6 52" xfId="15943" xr:uid="{00000000-0005-0000-0000-0000473E0000}"/>
    <cellStyle name="Eingabe 6 53" xfId="15944" xr:uid="{00000000-0005-0000-0000-0000483E0000}"/>
    <cellStyle name="Eingabe 6 54" xfId="15945" xr:uid="{00000000-0005-0000-0000-0000493E0000}"/>
    <cellStyle name="Eingabe 6 55" xfId="15946" xr:uid="{00000000-0005-0000-0000-00004A3E0000}"/>
    <cellStyle name="Eingabe 6 56" xfId="15947" xr:uid="{00000000-0005-0000-0000-00004B3E0000}"/>
    <cellStyle name="Eingabe 6 57" xfId="15948" xr:uid="{00000000-0005-0000-0000-00004C3E0000}"/>
    <cellStyle name="Eingabe 6 58" xfId="15949" xr:uid="{00000000-0005-0000-0000-00004D3E0000}"/>
    <cellStyle name="Eingabe 6 59" xfId="15950" xr:uid="{00000000-0005-0000-0000-00004E3E0000}"/>
    <cellStyle name="Eingabe 6 6" xfId="15951" xr:uid="{00000000-0005-0000-0000-00004F3E0000}"/>
    <cellStyle name="Eingabe 6 60" xfId="15952" xr:uid="{00000000-0005-0000-0000-0000503E0000}"/>
    <cellStyle name="Eingabe 6 61" xfId="15953" xr:uid="{00000000-0005-0000-0000-0000513E0000}"/>
    <cellStyle name="Eingabe 6 62" xfId="15954" xr:uid="{00000000-0005-0000-0000-0000523E0000}"/>
    <cellStyle name="Eingabe 6 63" xfId="15955" xr:uid="{00000000-0005-0000-0000-0000533E0000}"/>
    <cellStyle name="Eingabe 6 64" xfId="15956" xr:uid="{00000000-0005-0000-0000-0000543E0000}"/>
    <cellStyle name="Eingabe 6 65" xfId="15957" xr:uid="{00000000-0005-0000-0000-0000553E0000}"/>
    <cellStyle name="Eingabe 6 66" xfId="15958" xr:uid="{00000000-0005-0000-0000-0000563E0000}"/>
    <cellStyle name="Eingabe 6 7" xfId="15959" xr:uid="{00000000-0005-0000-0000-0000573E0000}"/>
    <cellStyle name="Eingabe 6 8" xfId="15960" xr:uid="{00000000-0005-0000-0000-0000583E0000}"/>
    <cellStyle name="Eingabe 6 9" xfId="15961" xr:uid="{00000000-0005-0000-0000-0000593E0000}"/>
    <cellStyle name="Eingabe 7" xfId="15962" xr:uid="{00000000-0005-0000-0000-00005A3E0000}"/>
    <cellStyle name="Eingabe 7 10" xfId="15963" xr:uid="{00000000-0005-0000-0000-00005B3E0000}"/>
    <cellStyle name="Eingabe 7 11" xfId="15964" xr:uid="{00000000-0005-0000-0000-00005C3E0000}"/>
    <cellStyle name="Eingabe 7 12" xfId="15965" xr:uid="{00000000-0005-0000-0000-00005D3E0000}"/>
    <cellStyle name="Eingabe 7 13" xfId="15966" xr:uid="{00000000-0005-0000-0000-00005E3E0000}"/>
    <cellStyle name="Eingabe 7 14" xfId="15967" xr:uid="{00000000-0005-0000-0000-00005F3E0000}"/>
    <cellStyle name="Eingabe 7 15" xfId="15968" xr:uid="{00000000-0005-0000-0000-0000603E0000}"/>
    <cellStyle name="Eingabe 7 16" xfId="15969" xr:uid="{00000000-0005-0000-0000-0000613E0000}"/>
    <cellStyle name="Eingabe 7 17" xfId="15970" xr:uid="{00000000-0005-0000-0000-0000623E0000}"/>
    <cellStyle name="Eingabe 7 18" xfId="15971" xr:uid="{00000000-0005-0000-0000-0000633E0000}"/>
    <cellStyle name="Eingabe 7 19" xfId="15972" xr:uid="{00000000-0005-0000-0000-0000643E0000}"/>
    <cellStyle name="Eingabe 7 2" xfId="15973" xr:uid="{00000000-0005-0000-0000-0000653E0000}"/>
    <cellStyle name="Eingabe 7 2 10" xfId="15974" xr:uid="{00000000-0005-0000-0000-0000663E0000}"/>
    <cellStyle name="Eingabe 7 2 11" xfId="15975" xr:uid="{00000000-0005-0000-0000-0000673E0000}"/>
    <cellStyle name="Eingabe 7 2 12" xfId="15976" xr:uid="{00000000-0005-0000-0000-0000683E0000}"/>
    <cellStyle name="Eingabe 7 2 13" xfId="15977" xr:uid="{00000000-0005-0000-0000-0000693E0000}"/>
    <cellStyle name="Eingabe 7 2 14" xfId="15978" xr:uid="{00000000-0005-0000-0000-00006A3E0000}"/>
    <cellStyle name="Eingabe 7 2 15" xfId="15979" xr:uid="{00000000-0005-0000-0000-00006B3E0000}"/>
    <cellStyle name="Eingabe 7 2 16" xfId="15980" xr:uid="{00000000-0005-0000-0000-00006C3E0000}"/>
    <cellStyle name="Eingabe 7 2 17" xfId="15981" xr:uid="{00000000-0005-0000-0000-00006D3E0000}"/>
    <cellStyle name="Eingabe 7 2 18" xfId="15982" xr:uid="{00000000-0005-0000-0000-00006E3E0000}"/>
    <cellStyle name="Eingabe 7 2 19" xfId="15983" xr:uid="{00000000-0005-0000-0000-00006F3E0000}"/>
    <cellStyle name="Eingabe 7 2 2" xfId="15984" xr:uid="{00000000-0005-0000-0000-0000703E0000}"/>
    <cellStyle name="Eingabe 7 2 20" xfId="15985" xr:uid="{00000000-0005-0000-0000-0000713E0000}"/>
    <cellStyle name="Eingabe 7 2 21" xfId="15986" xr:uid="{00000000-0005-0000-0000-0000723E0000}"/>
    <cellStyle name="Eingabe 7 2 22" xfId="15987" xr:uid="{00000000-0005-0000-0000-0000733E0000}"/>
    <cellStyle name="Eingabe 7 2 23" xfId="15988" xr:uid="{00000000-0005-0000-0000-0000743E0000}"/>
    <cellStyle name="Eingabe 7 2 24" xfId="15989" xr:uid="{00000000-0005-0000-0000-0000753E0000}"/>
    <cellStyle name="Eingabe 7 2 25" xfId="15990" xr:uid="{00000000-0005-0000-0000-0000763E0000}"/>
    <cellStyle name="Eingabe 7 2 26" xfId="15991" xr:uid="{00000000-0005-0000-0000-0000773E0000}"/>
    <cellStyle name="Eingabe 7 2 27" xfId="15992" xr:uid="{00000000-0005-0000-0000-0000783E0000}"/>
    <cellStyle name="Eingabe 7 2 28" xfId="15993" xr:uid="{00000000-0005-0000-0000-0000793E0000}"/>
    <cellStyle name="Eingabe 7 2 29" xfId="15994" xr:uid="{00000000-0005-0000-0000-00007A3E0000}"/>
    <cellStyle name="Eingabe 7 2 3" xfId="15995" xr:uid="{00000000-0005-0000-0000-00007B3E0000}"/>
    <cellStyle name="Eingabe 7 2 30" xfId="15996" xr:uid="{00000000-0005-0000-0000-00007C3E0000}"/>
    <cellStyle name="Eingabe 7 2 31" xfId="15997" xr:uid="{00000000-0005-0000-0000-00007D3E0000}"/>
    <cellStyle name="Eingabe 7 2 32" xfId="15998" xr:uid="{00000000-0005-0000-0000-00007E3E0000}"/>
    <cellStyle name="Eingabe 7 2 33" xfId="15999" xr:uid="{00000000-0005-0000-0000-00007F3E0000}"/>
    <cellStyle name="Eingabe 7 2 34" xfId="16000" xr:uid="{00000000-0005-0000-0000-0000803E0000}"/>
    <cellStyle name="Eingabe 7 2 35" xfId="16001" xr:uid="{00000000-0005-0000-0000-0000813E0000}"/>
    <cellStyle name="Eingabe 7 2 36" xfId="16002" xr:uid="{00000000-0005-0000-0000-0000823E0000}"/>
    <cellStyle name="Eingabe 7 2 37" xfId="16003" xr:uid="{00000000-0005-0000-0000-0000833E0000}"/>
    <cellStyle name="Eingabe 7 2 38" xfId="16004" xr:uid="{00000000-0005-0000-0000-0000843E0000}"/>
    <cellStyle name="Eingabe 7 2 39" xfId="16005" xr:uid="{00000000-0005-0000-0000-0000853E0000}"/>
    <cellStyle name="Eingabe 7 2 4" xfId="16006" xr:uid="{00000000-0005-0000-0000-0000863E0000}"/>
    <cellStyle name="Eingabe 7 2 40" xfId="16007" xr:uid="{00000000-0005-0000-0000-0000873E0000}"/>
    <cellStyle name="Eingabe 7 2 41" xfId="16008" xr:uid="{00000000-0005-0000-0000-0000883E0000}"/>
    <cellStyle name="Eingabe 7 2 42" xfId="16009" xr:uid="{00000000-0005-0000-0000-0000893E0000}"/>
    <cellStyle name="Eingabe 7 2 43" xfId="16010" xr:uid="{00000000-0005-0000-0000-00008A3E0000}"/>
    <cellStyle name="Eingabe 7 2 44" xfId="16011" xr:uid="{00000000-0005-0000-0000-00008B3E0000}"/>
    <cellStyle name="Eingabe 7 2 45" xfId="16012" xr:uid="{00000000-0005-0000-0000-00008C3E0000}"/>
    <cellStyle name="Eingabe 7 2 46" xfId="16013" xr:uid="{00000000-0005-0000-0000-00008D3E0000}"/>
    <cellStyle name="Eingabe 7 2 47" xfId="16014" xr:uid="{00000000-0005-0000-0000-00008E3E0000}"/>
    <cellStyle name="Eingabe 7 2 48" xfId="16015" xr:uid="{00000000-0005-0000-0000-00008F3E0000}"/>
    <cellStyle name="Eingabe 7 2 49" xfId="16016" xr:uid="{00000000-0005-0000-0000-0000903E0000}"/>
    <cellStyle name="Eingabe 7 2 5" xfId="16017" xr:uid="{00000000-0005-0000-0000-0000913E0000}"/>
    <cellStyle name="Eingabe 7 2 50" xfId="16018" xr:uid="{00000000-0005-0000-0000-0000923E0000}"/>
    <cellStyle name="Eingabe 7 2 51" xfId="16019" xr:uid="{00000000-0005-0000-0000-0000933E0000}"/>
    <cellStyle name="Eingabe 7 2 52" xfId="16020" xr:uid="{00000000-0005-0000-0000-0000943E0000}"/>
    <cellStyle name="Eingabe 7 2 53" xfId="16021" xr:uid="{00000000-0005-0000-0000-0000953E0000}"/>
    <cellStyle name="Eingabe 7 2 54" xfId="16022" xr:uid="{00000000-0005-0000-0000-0000963E0000}"/>
    <cellStyle name="Eingabe 7 2 55" xfId="16023" xr:uid="{00000000-0005-0000-0000-0000973E0000}"/>
    <cellStyle name="Eingabe 7 2 56" xfId="16024" xr:uid="{00000000-0005-0000-0000-0000983E0000}"/>
    <cellStyle name="Eingabe 7 2 57" xfId="16025" xr:uid="{00000000-0005-0000-0000-0000993E0000}"/>
    <cellStyle name="Eingabe 7 2 58" xfId="16026" xr:uid="{00000000-0005-0000-0000-00009A3E0000}"/>
    <cellStyle name="Eingabe 7 2 59" xfId="16027" xr:uid="{00000000-0005-0000-0000-00009B3E0000}"/>
    <cellStyle name="Eingabe 7 2 6" xfId="16028" xr:uid="{00000000-0005-0000-0000-00009C3E0000}"/>
    <cellStyle name="Eingabe 7 2 60" xfId="16029" xr:uid="{00000000-0005-0000-0000-00009D3E0000}"/>
    <cellStyle name="Eingabe 7 2 61" xfId="16030" xr:uid="{00000000-0005-0000-0000-00009E3E0000}"/>
    <cellStyle name="Eingabe 7 2 62" xfId="16031" xr:uid="{00000000-0005-0000-0000-00009F3E0000}"/>
    <cellStyle name="Eingabe 7 2 63" xfId="16032" xr:uid="{00000000-0005-0000-0000-0000A03E0000}"/>
    <cellStyle name="Eingabe 7 2 64" xfId="16033" xr:uid="{00000000-0005-0000-0000-0000A13E0000}"/>
    <cellStyle name="Eingabe 7 2 65" xfId="16034" xr:uid="{00000000-0005-0000-0000-0000A23E0000}"/>
    <cellStyle name="Eingabe 7 2 7" xfId="16035" xr:uid="{00000000-0005-0000-0000-0000A33E0000}"/>
    <cellStyle name="Eingabe 7 2 8" xfId="16036" xr:uid="{00000000-0005-0000-0000-0000A43E0000}"/>
    <cellStyle name="Eingabe 7 2 9" xfId="16037" xr:uid="{00000000-0005-0000-0000-0000A53E0000}"/>
    <cellStyle name="Eingabe 7 20" xfId="16038" xr:uid="{00000000-0005-0000-0000-0000A63E0000}"/>
    <cellStyle name="Eingabe 7 21" xfId="16039" xr:uid="{00000000-0005-0000-0000-0000A73E0000}"/>
    <cellStyle name="Eingabe 7 22" xfId="16040" xr:uid="{00000000-0005-0000-0000-0000A83E0000}"/>
    <cellStyle name="Eingabe 7 23" xfId="16041" xr:uid="{00000000-0005-0000-0000-0000A93E0000}"/>
    <cellStyle name="Eingabe 7 24" xfId="16042" xr:uid="{00000000-0005-0000-0000-0000AA3E0000}"/>
    <cellStyle name="Eingabe 7 25" xfId="16043" xr:uid="{00000000-0005-0000-0000-0000AB3E0000}"/>
    <cellStyle name="Eingabe 7 26" xfId="16044" xr:uid="{00000000-0005-0000-0000-0000AC3E0000}"/>
    <cellStyle name="Eingabe 7 27" xfId="16045" xr:uid="{00000000-0005-0000-0000-0000AD3E0000}"/>
    <cellStyle name="Eingabe 7 28" xfId="16046" xr:uid="{00000000-0005-0000-0000-0000AE3E0000}"/>
    <cellStyle name="Eingabe 7 29" xfId="16047" xr:uid="{00000000-0005-0000-0000-0000AF3E0000}"/>
    <cellStyle name="Eingabe 7 3" xfId="16048" xr:uid="{00000000-0005-0000-0000-0000B03E0000}"/>
    <cellStyle name="Eingabe 7 30" xfId="16049" xr:uid="{00000000-0005-0000-0000-0000B13E0000}"/>
    <cellStyle name="Eingabe 7 31" xfId="16050" xr:uid="{00000000-0005-0000-0000-0000B23E0000}"/>
    <cellStyle name="Eingabe 7 32" xfId="16051" xr:uid="{00000000-0005-0000-0000-0000B33E0000}"/>
    <cellStyle name="Eingabe 7 33" xfId="16052" xr:uid="{00000000-0005-0000-0000-0000B43E0000}"/>
    <cellStyle name="Eingabe 7 34" xfId="16053" xr:uid="{00000000-0005-0000-0000-0000B53E0000}"/>
    <cellStyle name="Eingabe 7 35" xfId="16054" xr:uid="{00000000-0005-0000-0000-0000B63E0000}"/>
    <cellStyle name="Eingabe 7 36" xfId="16055" xr:uid="{00000000-0005-0000-0000-0000B73E0000}"/>
    <cellStyle name="Eingabe 7 37" xfId="16056" xr:uid="{00000000-0005-0000-0000-0000B83E0000}"/>
    <cellStyle name="Eingabe 7 38" xfId="16057" xr:uid="{00000000-0005-0000-0000-0000B93E0000}"/>
    <cellStyle name="Eingabe 7 39" xfId="16058" xr:uid="{00000000-0005-0000-0000-0000BA3E0000}"/>
    <cellStyle name="Eingabe 7 4" xfId="16059" xr:uid="{00000000-0005-0000-0000-0000BB3E0000}"/>
    <cellStyle name="Eingabe 7 40" xfId="16060" xr:uid="{00000000-0005-0000-0000-0000BC3E0000}"/>
    <cellStyle name="Eingabe 7 41" xfId="16061" xr:uid="{00000000-0005-0000-0000-0000BD3E0000}"/>
    <cellStyle name="Eingabe 7 42" xfId="16062" xr:uid="{00000000-0005-0000-0000-0000BE3E0000}"/>
    <cellStyle name="Eingabe 7 43" xfId="16063" xr:uid="{00000000-0005-0000-0000-0000BF3E0000}"/>
    <cellStyle name="Eingabe 7 44" xfId="16064" xr:uid="{00000000-0005-0000-0000-0000C03E0000}"/>
    <cellStyle name="Eingabe 7 45" xfId="16065" xr:uid="{00000000-0005-0000-0000-0000C13E0000}"/>
    <cellStyle name="Eingabe 7 46" xfId="16066" xr:uid="{00000000-0005-0000-0000-0000C23E0000}"/>
    <cellStyle name="Eingabe 7 47" xfId="16067" xr:uid="{00000000-0005-0000-0000-0000C33E0000}"/>
    <cellStyle name="Eingabe 7 48" xfId="16068" xr:uid="{00000000-0005-0000-0000-0000C43E0000}"/>
    <cellStyle name="Eingabe 7 49" xfId="16069" xr:uid="{00000000-0005-0000-0000-0000C53E0000}"/>
    <cellStyle name="Eingabe 7 5" xfId="16070" xr:uid="{00000000-0005-0000-0000-0000C63E0000}"/>
    <cellStyle name="Eingabe 7 50" xfId="16071" xr:uid="{00000000-0005-0000-0000-0000C73E0000}"/>
    <cellStyle name="Eingabe 7 51" xfId="16072" xr:uid="{00000000-0005-0000-0000-0000C83E0000}"/>
    <cellStyle name="Eingabe 7 52" xfId="16073" xr:uid="{00000000-0005-0000-0000-0000C93E0000}"/>
    <cellStyle name="Eingabe 7 53" xfId="16074" xr:uid="{00000000-0005-0000-0000-0000CA3E0000}"/>
    <cellStyle name="Eingabe 7 54" xfId="16075" xr:uid="{00000000-0005-0000-0000-0000CB3E0000}"/>
    <cellStyle name="Eingabe 7 55" xfId="16076" xr:uid="{00000000-0005-0000-0000-0000CC3E0000}"/>
    <cellStyle name="Eingabe 7 56" xfId="16077" xr:uid="{00000000-0005-0000-0000-0000CD3E0000}"/>
    <cellStyle name="Eingabe 7 57" xfId="16078" xr:uid="{00000000-0005-0000-0000-0000CE3E0000}"/>
    <cellStyle name="Eingabe 7 58" xfId="16079" xr:uid="{00000000-0005-0000-0000-0000CF3E0000}"/>
    <cellStyle name="Eingabe 7 59" xfId="16080" xr:uid="{00000000-0005-0000-0000-0000D03E0000}"/>
    <cellStyle name="Eingabe 7 6" xfId="16081" xr:uid="{00000000-0005-0000-0000-0000D13E0000}"/>
    <cellStyle name="Eingabe 7 60" xfId="16082" xr:uid="{00000000-0005-0000-0000-0000D23E0000}"/>
    <cellStyle name="Eingabe 7 61" xfId="16083" xr:uid="{00000000-0005-0000-0000-0000D33E0000}"/>
    <cellStyle name="Eingabe 7 62" xfId="16084" xr:uid="{00000000-0005-0000-0000-0000D43E0000}"/>
    <cellStyle name="Eingabe 7 63" xfId="16085" xr:uid="{00000000-0005-0000-0000-0000D53E0000}"/>
    <cellStyle name="Eingabe 7 64" xfId="16086" xr:uid="{00000000-0005-0000-0000-0000D63E0000}"/>
    <cellStyle name="Eingabe 7 65" xfId="16087" xr:uid="{00000000-0005-0000-0000-0000D73E0000}"/>
    <cellStyle name="Eingabe 7 66" xfId="16088" xr:uid="{00000000-0005-0000-0000-0000D83E0000}"/>
    <cellStyle name="Eingabe 7 7" xfId="16089" xr:uid="{00000000-0005-0000-0000-0000D93E0000}"/>
    <cellStyle name="Eingabe 7 8" xfId="16090" xr:uid="{00000000-0005-0000-0000-0000DA3E0000}"/>
    <cellStyle name="Eingabe 7 9" xfId="16091" xr:uid="{00000000-0005-0000-0000-0000DB3E0000}"/>
    <cellStyle name="Eingabe 8" xfId="16092" xr:uid="{00000000-0005-0000-0000-0000DC3E0000}"/>
    <cellStyle name="Eingabe 8 10" xfId="16093" xr:uid="{00000000-0005-0000-0000-0000DD3E0000}"/>
    <cellStyle name="Eingabe 8 11" xfId="16094" xr:uid="{00000000-0005-0000-0000-0000DE3E0000}"/>
    <cellStyle name="Eingabe 8 12" xfId="16095" xr:uid="{00000000-0005-0000-0000-0000DF3E0000}"/>
    <cellStyle name="Eingabe 8 13" xfId="16096" xr:uid="{00000000-0005-0000-0000-0000E03E0000}"/>
    <cellStyle name="Eingabe 8 14" xfId="16097" xr:uid="{00000000-0005-0000-0000-0000E13E0000}"/>
    <cellStyle name="Eingabe 8 15" xfId="16098" xr:uid="{00000000-0005-0000-0000-0000E23E0000}"/>
    <cellStyle name="Eingabe 8 16" xfId="16099" xr:uid="{00000000-0005-0000-0000-0000E33E0000}"/>
    <cellStyle name="Eingabe 8 17" xfId="16100" xr:uid="{00000000-0005-0000-0000-0000E43E0000}"/>
    <cellStyle name="Eingabe 8 18" xfId="16101" xr:uid="{00000000-0005-0000-0000-0000E53E0000}"/>
    <cellStyle name="Eingabe 8 19" xfId="16102" xr:uid="{00000000-0005-0000-0000-0000E63E0000}"/>
    <cellStyle name="Eingabe 8 2" xfId="16103" xr:uid="{00000000-0005-0000-0000-0000E73E0000}"/>
    <cellStyle name="Eingabe 8 20" xfId="16104" xr:uid="{00000000-0005-0000-0000-0000E83E0000}"/>
    <cellStyle name="Eingabe 8 21" xfId="16105" xr:uid="{00000000-0005-0000-0000-0000E93E0000}"/>
    <cellStyle name="Eingabe 8 22" xfId="16106" xr:uid="{00000000-0005-0000-0000-0000EA3E0000}"/>
    <cellStyle name="Eingabe 8 23" xfId="16107" xr:uid="{00000000-0005-0000-0000-0000EB3E0000}"/>
    <cellStyle name="Eingabe 8 24" xfId="16108" xr:uid="{00000000-0005-0000-0000-0000EC3E0000}"/>
    <cellStyle name="Eingabe 8 25" xfId="16109" xr:uid="{00000000-0005-0000-0000-0000ED3E0000}"/>
    <cellStyle name="Eingabe 8 26" xfId="16110" xr:uid="{00000000-0005-0000-0000-0000EE3E0000}"/>
    <cellStyle name="Eingabe 8 27" xfId="16111" xr:uid="{00000000-0005-0000-0000-0000EF3E0000}"/>
    <cellStyle name="Eingabe 8 28" xfId="16112" xr:uid="{00000000-0005-0000-0000-0000F03E0000}"/>
    <cellStyle name="Eingabe 8 29" xfId="16113" xr:uid="{00000000-0005-0000-0000-0000F13E0000}"/>
    <cellStyle name="Eingabe 8 3" xfId="16114" xr:uid="{00000000-0005-0000-0000-0000F23E0000}"/>
    <cellStyle name="Eingabe 8 30" xfId="16115" xr:uid="{00000000-0005-0000-0000-0000F33E0000}"/>
    <cellStyle name="Eingabe 8 31" xfId="16116" xr:uid="{00000000-0005-0000-0000-0000F43E0000}"/>
    <cellStyle name="Eingabe 8 32" xfId="16117" xr:uid="{00000000-0005-0000-0000-0000F53E0000}"/>
    <cellStyle name="Eingabe 8 33" xfId="16118" xr:uid="{00000000-0005-0000-0000-0000F63E0000}"/>
    <cellStyle name="Eingabe 8 34" xfId="16119" xr:uid="{00000000-0005-0000-0000-0000F73E0000}"/>
    <cellStyle name="Eingabe 8 35" xfId="16120" xr:uid="{00000000-0005-0000-0000-0000F83E0000}"/>
    <cellStyle name="Eingabe 8 36" xfId="16121" xr:uid="{00000000-0005-0000-0000-0000F93E0000}"/>
    <cellStyle name="Eingabe 8 37" xfId="16122" xr:uid="{00000000-0005-0000-0000-0000FA3E0000}"/>
    <cellStyle name="Eingabe 8 38" xfId="16123" xr:uid="{00000000-0005-0000-0000-0000FB3E0000}"/>
    <cellStyle name="Eingabe 8 39" xfId="16124" xr:uid="{00000000-0005-0000-0000-0000FC3E0000}"/>
    <cellStyle name="Eingabe 8 4" xfId="16125" xr:uid="{00000000-0005-0000-0000-0000FD3E0000}"/>
    <cellStyle name="Eingabe 8 40" xfId="16126" xr:uid="{00000000-0005-0000-0000-0000FE3E0000}"/>
    <cellStyle name="Eingabe 8 41" xfId="16127" xr:uid="{00000000-0005-0000-0000-0000FF3E0000}"/>
    <cellStyle name="Eingabe 8 42" xfId="16128" xr:uid="{00000000-0005-0000-0000-0000003F0000}"/>
    <cellStyle name="Eingabe 8 43" xfId="16129" xr:uid="{00000000-0005-0000-0000-0000013F0000}"/>
    <cellStyle name="Eingabe 8 44" xfId="16130" xr:uid="{00000000-0005-0000-0000-0000023F0000}"/>
    <cellStyle name="Eingabe 8 45" xfId="16131" xr:uid="{00000000-0005-0000-0000-0000033F0000}"/>
    <cellStyle name="Eingabe 8 46" xfId="16132" xr:uid="{00000000-0005-0000-0000-0000043F0000}"/>
    <cellStyle name="Eingabe 8 47" xfId="16133" xr:uid="{00000000-0005-0000-0000-0000053F0000}"/>
    <cellStyle name="Eingabe 8 48" xfId="16134" xr:uid="{00000000-0005-0000-0000-0000063F0000}"/>
    <cellStyle name="Eingabe 8 49" xfId="16135" xr:uid="{00000000-0005-0000-0000-0000073F0000}"/>
    <cellStyle name="Eingabe 8 5" xfId="16136" xr:uid="{00000000-0005-0000-0000-0000083F0000}"/>
    <cellStyle name="Eingabe 8 50" xfId="16137" xr:uid="{00000000-0005-0000-0000-0000093F0000}"/>
    <cellStyle name="Eingabe 8 51" xfId="16138" xr:uid="{00000000-0005-0000-0000-00000A3F0000}"/>
    <cellStyle name="Eingabe 8 52" xfId="16139" xr:uid="{00000000-0005-0000-0000-00000B3F0000}"/>
    <cellStyle name="Eingabe 8 53" xfId="16140" xr:uid="{00000000-0005-0000-0000-00000C3F0000}"/>
    <cellStyle name="Eingabe 8 54" xfId="16141" xr:uid="{00000000-0005-0000-0000-00000D3F0000}"/>
    <cellStyle name="Eingabe 8 55" xfId="16142" xr:uid="{00000000-0005-0000-0000-00000E3F0000}"/>
    <cellStyle name="Eingabe 8 56" xfId="16143" xr:uid="{00000000-0005-0000-0000-00000F3F0000}"/>
    <cellStyle name="Eingabe 8 57" xfId="16144" xr:uid="{00000000-0005-0000-0000-0000103F0000}"/>
    <cellStyle name="Eingabe 8 58" xfId="16145" xr:uid="{00000000-0005-0000-0000-0000113F0000}"/>
    <cellStyle name="Eingabe 8 59" xfId="16146" xr:uid="{00000000-0005-0000-0000-0000123F0000}"/>
    <cellStyle name="Eingabe 8 6" xfId="16147" xr:uid="{00000000-0005-0000-0000-0000133F0000}"/>
    <cellStyle name="Eingabe 8 60" xfId="16148" xr:uid="{00000000-0005-0000-0000-0000143F0000}"/>
    <cellStyle name="Eingabe 8 61" xfId="16149" xr:uid="{00000000-0005-0000-0000-0000153F0000}"/>
    <cellStyle name="Eingabe 8 62" xfId="16150" xr:uid="{00000000-0005-0000-0000-0000163F0000}"/>
    <cellStyle name="Eingabe 8 63" xfId="16151" xr:uid="{00000000-0005-0000-0000-0000173F0000}"/>
    <cellStyle name="Eingabe 8 64" xfId="16152" xr:uid="{00000000-0005-0000-0000-0000183F0000}"/>
    <cellStyle name="Eingabe 8 65" xfId="16153" xr:uid="{00000000-0005-0000-0000-0000193F0000}"/>
    <cellStyle name="Eingabe 8 7" xfId="16154" xr:uid="{00000000-0005-0000-0000-00001A3F0000}"/>
    <cellStyle name="Eingabe 8 8" xfId="16155" xr:uid="{00000000-0005-0000-0000-00001B3F0000}"/>
    <cellStyle name="Eingabe 8 9" xfId="16156" xr:uid="{00000000-0005-0000-0000-00001C3F0000}"/>
    <cellStyle name="Empty_B_border" xfId="16157" xr:uid="{00000000-0005-0000-0000-00001D3F0000}"/>
    <cellStyle name="Ergebnis" xfId="16158" xr:uid="{00000000-0005-0000-0000-00001E3F0000}"/>
    <cellStyle name="Ergebnis 2" xfId="16159" xr:uid="{00000000-0005-0000-0000-00001F3F0000}"/>
    <cellStyle name="Ergebnis 2 10" xfId="16160" xr:uid="{00000000-0005-0000-0000-0000203F0000}"/>
    <cellStyle name="Ergebnis 2 11" xfId="16161" xr:uid="{00000000-0005-0000-0000-0000213F0000}"/>
    <cellStyle name="Ergebnis 2 12" xfId="16162" xr:uid="{00000000-0005-0000-0000-0000223F0000}"/>
    <cellStyle name="Ergebnis 2 13" xfId="16163" xr:uid="{00000000-0005-0000-0000-0000233F0000}"/>
    <cellStyle name="Ergebnis 2 14" xfId="16164" xr:uid="{00000000-0005-0000-0000-0000243F0000}"/>
    <cellStyle name="Ergebnis 2 15" xfId="16165" xr:uid="{00000000-0005-0000-0000-0000253F0000}"/>
    <cellStyle name="Ergebnis 2 16" xfId="16166" xr:uid="{00000000-0005-0000-0000-0000263F0000}"/>
    <cellStyle name="Ergebnis 2 17" xfId="16167" xr:uid="{00000000-0005-0000-0000-0000273F0000}"/>
    <cellStyle name="Ergebnis 2 18" xfId="16168" xr:uid="{00000000-0005-0000-0000-0000283F0000}"/>
    <cellStyle name="Ergebnis 2 19" xfId="16169" xr:uid="{00000000-0005-0000-0000-0000293F0000}"/>
    <cellStyle name="Ergebnis 2 2" xfId="16170" xr:uid="{00000000-0005-0000-0000-00002A3F0000}"/>
    <cellStyle name="Ergebnis 2 2 10" xfId="16171" xr:uid="{00000000-0005-0000-0000-00002B3F0000}"/>
    <cellStyle name="Ergebnis 2 2 11" xfId="16172" xr:uid="{00000000-0005-0000-0000-00002C3F0000}"/>
    <cellStyle name="Ergebnis 2 2 12" xfId="16173" xr:uid="{00000000-0005-0000-0000-00002D3F0000}"/>
    <cellStyle name="Ergebnis 2 2 13" xfId="16174" xr:uid="{00000000-0005-0000-0000-00002E3F0000}"/>
    <cellStyle name="Ergebnis 2 2 14" xfId="16175" xr:uid="{00000000-0005-0000-0000-00002F3F0000}"/>
    <cellStyle name="Ergebnis 2 2 15" xfId="16176" xr:uid="{00000000-0005-0000-0000-0000303F0000}"/>
    <cellStyle name="Ergebnis 2 2 16" xfId="16177" xr:uid="{00000000-0005-0000-0000-0000313F0000}"/>
    <cellStyle name="Ergebnis 2 2 17" xfId="16178" xr:uid="{00000000-0005-0000-0000-0000323F0000}"/>
    <cellStyle name="Ergebnis 2 2 18" xfId="16179" xr:uid="{00000000-0005-0000-0000-0000333F0000}"/>
    <cellStyle name="Ergebnis 2 2 19" xfId="16180" xr:uid="{00000000-0005-0000-0000-0000343F0000}"/>
    <cellStyle name="Ergebnis 2 2 2" xfId="16181" xr:uid="{00000000-0005-0000-0000-0000353F0000}"/>
    <cellStyle name="Ergebnis 2 2 2 10" xfId="16182" xr:uid="{00000000-0005-0000-0000-0000363F0000}"/>
    <cellStyle name="Ergebnis 2 2 2 11" xfId="16183" xr:uid="{00000000-0005-0000-0000-0000373F0000}"/>
    <cellStyle name="Ergebnis 2 2 2 12" xfId="16184" xr:uid="{00000000-0005-0000-0000-0000383F0000}"/>
    <cellStyle name="Ergebnis 2 2 2 13" xfId="16185" xr:uid="{00000000-0005-0000-0000-0000393F0000}"/>
    <cellStyle name="Ergebnis 2 2 2 14" xfId="16186" xr:uid="{00000000-0005-0000-0000-00003A3F0000}"/>
    <cellStyle name="Ergebnis 2 2 2 15" xfId="16187" xr:uid="{00000000-0005-0000-0000-00003B3F0000}"/>
    <cellStyle name="Ergebnis 2 2 2 16" xfId="16188" xr:uid="{00000000-0005-0000-0000-00003C3F0000}"/>
    <cellStyle name="Ergebnis 2 2 2 17" xfId="16189" xr:uid="{00000000-0005-0000-0000-00003D3F0000}"/>
    <cellStyle name="Ergebnis 2 2 2 18" xfId="16190" xr:uid="{00000000-0005-0000-0000-00003E3F0000}"/>
    <cellStyle name="Ergebnis 2 2 2 19" xfId="16191" xr:uid="{00000000-0005-0000-0000-00003F3F0000}"/>
    <cellStyle name="Ergebnis 2 2 2 2" xfId="16192" xr:uid="{00000000-0005-0000-0000-0000403F0000}"/>
    <cellStyle name="Ergebnis 2 2 2 20" xfId="16193" xr:uid="{00000000-0005-0000-0000-0000413F0000}"/>
    <cellStyle name="Ergebnis 2 2 2 21" xfId="16194" xr:uid="{00000000-0005-0000-0000-0000423F0000}"/>
    <cellStyle name="Ergebnis 2 2 2 22" xfId="16195" xr:uid="{00000000-0005-0000-0000-0000433F0000}"/>
    <cellStyle name="Ergebnis 2 2 2 23" xfId="16196" xr:uid="{00000000-0005-0000-0000-0000443F0000}"/>
    <cellStyle name="Ergebnis 2 2 2 24" xfId="16197" xr:uid="{00000000-0005-0000-0000-0000453F0000}"/>
    <cellStyle name="Ergebnis 2 2 2 25" xfId="16198" xr:uid="{00000000-0005-0000-0000-0000463F0000}"/>
    <cellStyle name="Ergebnis 2 2 2 26" xfId="16199" xr:uid="{00000000-0005-0000-0000-0000473F0000}"/>
    <cellStyle name="Ergebnis 2 2 2 27" xfId="16200" xr:uid="{00000000-0005-0000-0000-0000483F0000}"/>
    <cellStyle name="Ergebnis 2 2 2 28" xfId="16201" xr:uid="{00000000-0005-0000-0000-0000493F0000}"/>
    <cellStyle name="Ergebnis 2 2 2 29" xfId="16202" xr:uid="{00000000-0005-0000-0000-00004A3F0000}"/>
    <cellStyle name="Ergebnis 2 2 2 3" xfId="16203" xr:uid="{00000000-0005-0000-0000-00004B3F0000}"/>
    <cellStyle name="Ergebnis 2 2 2 30" xfId="16204" xr:uid="{00000000-0005-0000-0000-00004C3F0000}"/>
    <cellStyle name="Ergebnis 2 2 2 31" xfId="16205" xr:uid="{00000000-0005-0000-0000-00004D3F0000}"/>
    <cellStyle name="Ergebnis 2 2 2 32" xfId="16206" xr:uid="{00000000-0005-0000-0000-00004E3F0000}"/>
    <cellStyle name="Ergebnis 2 2 2 33" xfId="16207" xr:uid="{00000000-0005-0000-0000-00004F3F0000}"/>
    <cellStyle name="Ergebnis 2 2 2 34" xfId="16208" xr:uid="{00000000-0005-0000-0000-0000503F0000}"/>
    <cellStyle name="Ergebnis 2 2 2 35" xfId="16209" xr:uid="{00000000-0005-0000-0000-0000513F0000}"/>
    <cellStyle name="Ergebnis 2 2 2 36" xfId="16210" xr:uid="{00000000-0005-0000-0000-0000523F0000}"/>
    <cellStyle name="Ergebnis 2 2 2 37" xfId="16211" xr:uid="{00000000-0005-0000-0000-0000533F0000}"/>
    <cellStyle name="Ergebnis 2 2 2 38" xfId="16212" xr:uid="{00000000-0005-0000-0000-0000543F0000}"/>
    <cellStyle name="Ergebnis 2 2 2 39" xfId="16213" xr:uid="{00000000-0005-0000-0000-0000553F0000}"/>
    <cellStyle name="Ergebnis 2 2 2 4" xfId="16214" xr:uid="{00000000-0005-0000-0000-0000563F0000}"/>
    <cellStyle name="Ergebnis 2 2 2 40" xfId="16215" xr:uid="{00000000-0005-0000-0000-0000573F0000}"/>
    <cellStyle name="Ergebnis 2 2 2 41" xfId="16216" xr:uid="{00000000-0005-0000-0000-0000583F0000}"/>
    <cellStyle name="Ergebnis 2 2 2 42" xfId="16217" xr:uid="{00000000-0005-0000-0000-0000593F0000}"/>
    <cellStyle name="Ergebnis 2 2 2 43" xfId="16218" xr:uid="{00000000-0005-0000-0000-00005A3F0000}"/>
    <cellStyle name="Ergebnis 2 2 2 44" xfId="16219" xr:uid="{00000000-0005-0000-0000-00005B3F0000}"/>
    <cellStyle name="Ergebnis 2 2 2 45" xfId="16220" xr:uid="{00000000-0005-0000-0000-00005C3F0000}"/>
    <cellStyle name="Ergebnis 2 2 2 46" xfId="16221" xr:uid="{00000000-0005-0000-0000-00005D3F0000}"/>
    <cellStyle name="Ergebnis 2 2 2 47" xfId="16222" xr:uid="{00000000-0005-0000-0000-00005E3F0000}"/>
    <cellStyle name="Ergebnis 2 2 2 48" xfId="16223" xr:uid="{00000000-0005-0000-0000-00005F3F0000}"/>
    <cellStyle name="Ergebnis 2 2 2 49" xfId="16224" xr:uid="{00000000-0005-0000-0000-0000603F0000}"/>
    <cellStyle name="Ergebnis 2 2 2 5" xfId="16225" xr:uid="{00000000-0005-0000-0000-0000613F0000}"/>
    <cellStyle name="Ergebnis 2 2 2 50" xfId="16226" xr:uid="{00000000-0005-0000-0000-0000623F0000}"/>
    <cellStyle name="Ergebnis 2 2 2 51" xfId="16227" xr:uid="{00000000-0005-0000-0000-0000633F0000}"/>
    <cellStyle name="Ergebnis 2 2 2 52" xfId="16228" xr:uid="{00000000-0005-0000-0000-0000643F0000}"/>
    <cellStyle name="Ergebnis 2 2 2 53" xfId="16229" xr:uid="{00000000-0005-0000-0000-0000653F0000}"/>
    <cellStyle name="Ergebnis 2 2 2 54" xfId="16230" xr:uid="{00000000-0005-0000-0000-0000663F0000}"/>
    <cellStyle name="Ergebnis 2 2 2 55" xfId="16231" xr:uid="{00000000-0005-0000-0000-0000673F0000}"/>
    <cellStyle name="Ergebnis 2 2 2 56" xfId="16232" xr:uid="{00000000-0005-0000-0000-0000683F0000}"/>
    <cellStyle name="Ergebnis 2 2 2 57" xfId="16233" xr:uid="{00000000-0005-0000-0000-0000693F0000}"/>
    <cellStyle name="Ergebnis 2 2 2 58" xfId="16234" xr:uid="{00000000-0005-0000-0000-00006A3F0000}"/>
    <cellStyle name="Ergebnis 2 2 2 59" xfId="16235" xr:uid="{00000000-0005-0000-0000-00006B3F0000}"/>
    <cellStyle name="Ergebnis 2 2 2 6" xfId="16236" xr:uid="{00000000-0005-0000-0000-00006C3F0000}"/>
    <cellStyle name="Ergebnis 2 2 2 60" xfId="16237" xr:uid="{00000000-0005-0000-0000-00006D3F0000}"/>
    <cellStyle name="Ergebnis 2 2 2 61" xfId="16238" xr:uid="{00000000-0005-0000-0000-00006E3F0000}"/>
    <cellStyle name="Ergebnis 2 2 2 62" xfId="16239" xr:uid="{00000000-0005-0000-0000-00006F3F0000}"/>
    <cellStyle name="Ergebnis 2 2 2 63" xfId="16240" xr:uid="{00000000-0005-0000-0000-0000703F0000}"/>
    <cellStyle name="Ergebnis 2 2 2 64" xfId="16241" xr:uid="{00000000-0005-0000-0000-0000713F0000}"/>
    <cellStyle name="Ergebnis 2 2 2 65" xfId="16242" xr:uid="{00000000-0005-0000-0000-0000723F0000}"/>
    <cellStyle name="Ergebnis 2 2 2 7" xfId="16243" xr:uid="{00000000-0005-0000-0000-0000733F0000}"/>
    <cellStyle name="Ergebnis 2 2 2 8" xfId="16244" xr:uid="{00000000-0005-0000-0000-0000743F0000}"/>
    <cellStyle name="Ergebnis 2 2 2 9" xfId="16245" xr:uid="{00000000-0005-0000-0000-0000753F0000}"/>
    <cellStyle name="Ergebnis 2 2 20" xfId="16246" xr:uid="{00000000-0005-0000-0000-0000763F0000}"/>
    <cellStyle name="Ergebnis 2 2 21" xfId="16247" xr:uid="{00000000-0005-0000-0000-0000773F0000}"/>
    <cellStyle name="Ergebnis 2 2 22" xfId="16248" xr:uid="{00000000-0005-0000-0000-0000783F0000}"/>
    <cellStyle name="Ergebnis 2 2 23" xfId="16249" xr:uid="{00000000-0005-0000-0000-0000793F0000}"/>
    <cellStyle name="Ergebnis 2 2 24" xfId="16250" xr:uid="{00000000-0005-0000-0000-00007A3F0000}"/>
    <cellStyle name="Ergebnis 2 2 25" xfId="16251" xr:uid="{00000000-0005-0000-0000-00007B3F0000}"/>
    <cellStyle name="Ergebnis 2 2 26" xfId="16252" xr:uid="{00000000-0005-0000-0000-00007C3F0000}"/>
    <cellStyle name="Ergebnis 2 2 27" xfId="16253" xr:uid="{00000000-0005-0000-0000-00007D3F0000}"/>
    <cellStyle name="Ergebnis 2 2 28" xfId="16254" xr:uid="{00000000-0005-0000-0000-00007E3F0000}"/>
    <cellStyle name="Ergebnis 2 2 29" xfId="16255" xr:uid="{00000000-0005-0000-0000-00007F3F0000}"/>
    <cellStyle name="Ergebnis 2 2 3" xfId="16256" xr:uid="{00000000-0005-0000-0000-0000803F0000}"/>
    <cellStyle name="Ergebnis 2 2 30" xfId="16257" xr:uid="{00000000-0005-0000-0000-0000813F0000}"/>
    <cellStyle name="Ergebnis 2 2 31" xfId="16258" xr:uid="{00000000-0005-0000-0000-0000823F0000}"/>
    <cellStyle name="Ergebnis 2 2 32" xfId="16259" xr:uid="{00000000-0005-0000-0000-0000833F0000}"/>
    <cellStyle name="Ergebnis 2 2 33" xfId="16260" xr:uid="{00000000-0005-0000-0000-0000843F0000}"/>
    <cellStyle name="Ergebnis 2 2 34" xfId="16261" xr:uid="{00000000-0005-0000-0000-0000853F0000}"/>
    <cellStyle name="Ergebnis 2 2 35" xfId="16262" xr:uid="{00000000-0005-0000-0000-0000863F0000}"/>
    <cellStyle name="Ergebnis 2 2 36" xfId="16263" xr:uid="{00000000-0005-0000-0000-0000873F0000}"/>
    <cellStyle name="Ergebnis 2 2 37" xfId="16264" xr:uid="{00000000-0005-0000-0000-0000883F0000}"/>
    <cellStyle name="Ergebnis 2 2 38" xfId="16265" xr:uid="{00000000-0005-0000-0000-0000893F0000}"/>
    <cellStyle name="Ergebnis 2 2 39" xfId="16266" xr:uid="{00000000-0005-0000-0000-00008A3F0000}"/>
    <cellStyle name="Ergebnis 2 2 4" xfId="16267" xr:uid="{00000000-0005-0000-0000-00008B3F0000}"/>
    <cellStyle name="Ergebnis 2 2 40" xfId="16268" xr:uid="{00000000-0005-0000-0000-00008C3F0000}"/>
    <cellStyle name="Ergebnis 2 2 41" xfId="16269" xr:uid="{00000000-0005-0000-0000-00008D3F0000}"/>
    <cellStyle name="Ergebnis 2 2 42" xfId="16270" xr:uid="{00000000-0005-0000-0000-00008E3F0000}"/>
    <cellStyle name="Ergebnis 2 2 43" xfId="16271" xr:uid="{00000000-0005-0000-0000-00008F3F0000}"/>
    <cellStyle name="Ergebnis 2 2 44" xfId="16272" xr:uid="{00000000-0005-0000-0000-0000903F0000}"/>
    <cellStyle name="Ergebnis 2 2 45" xfId="16273" xr:uid="{00000000-0005-0000-0000-0000913F0000}"/>
    <cellStyle name="Ergebnis 2 2 46" xfId="16274" xr:uid="{00000000-0005-0000-0000-0000923F0000}"/>
    <cellStyle name="Ergebnis 2 2 47" xfId="16275" xr:uid="{00000000-0005-0000-0000-0000933F0000}"/>
    <cellStyle name="Ergebnis 2 2 48" xfId="16276" xr:uid="{00000000-0005-0000-0000-0000943F0000}"/>
    <cellStyle name="Ergebnis 2 2 49" xfId="16277" xr:uid="{00000000-0005-0000-0000-0000953F0000}"/>
    <cellStyle name="Ergebnis 2 2 5" xfId="16278" xr:uid="{00000000-0005-0000-0000-0000963F0000}"/>
    <cellStyle name="Ergebnis 2 2 50" xfId="16279" xr:uid="{00000000-0005-0000-0000-0000973F0000}"/>
    <cellStyle name="Ergebnis 2 2 51" xfId="16280" xr:uid="{00000000-0005-0000-0000-0000983F0000}"/>
    <cellStyle name="Ergebnis 2 2 52" xfId="16281" xr:uid="{00000000-0005-0000-0000-0000993F0000}"/>
    <cellStyle name="Ergebnis 2 2 53" xfId="16282" xr:uid="{00000000-0005-0000-0000-00009A3F0000}"/>
    <cellStyle name="Ergebnis 2 2 54" xfId="16283" xr:uid="{00000000-0005-0000-0000-00009B3F0000}"/>
    <cellStyle name="Ergebnis 2 2 55" xfId="16284" xr:uid="{00000000-0005-0000-0000-00009C3F0000}"/>
    <cellStyle name="Ergebnis 2 2 56" xfId="16285" xr:uid="{00000000-0005-0000-0000-00009D3F0000}"/>
    <cellStyle name="Ergebnis 2 2 57" xfId="16286" xr:uid="{00000000-0005-0000-0000-00009E3F0000}"/>
    <cellStyle name="Ergebnis 2 2 58" xfId="16287" xr:uid="{00000000-0005-0000-0000-00009F3F0000}"/>
    <cellStyle name="Ergebnis 2 2 59" xfId="16288" xr:uid="{00000000-0005-0000-0000-0000A03F0000}"/>
    <cellStyle name="Ergebnis 2 2 6" xfId="16289" xr:uid="{00000000-0005-0000-0000-0000A13F0000}"/>
    <cellStyle name="Ergebnis 2 2 60" xfId="16290" xr:uid="{00000000-0005-0000-0000-0000A23F0000}"/>
    <cellStyle name="Ergebnis 2 2 61" xfId="16291" xr:uid="{00000000-0005-0000-0000-0000A33F0000}"/>
    <cellStyle name="Ergebnis 2 2 62" xfId="16292" xr:uid="{00000000-0005-0000-0000-0000A43F0000}"/>
    <cellStyle name="Ergebnis 2 2 63" xfId="16293" xr:uid="{00000000-0005-0000-0000-0000A53F0000}"/>
    <cellStyle name="Ergebnis 2 2 64" xfId="16294" xr:uid="{00000000-0005-0000-0000-0000A63F0000}"/>
    <cellStyle name="Ergebnis 2 2 65" xfId="16295" xr:uid="{00000000-0005-0000-0000-0000A73F0000}"/>
    <cellStyle name="Ergebnis 2 2 66" xfId="16296" xr:uid="{00000000-0005-0000-0000-0000A83F0000}"/>
    <cellStyle name="Ergebnis 2 2 7" xfId="16297" xr:uid="{00000000-0005-0000-0000-0000A93F0000}"/>
    <cellStyle name="Ergebnis 2 2 8" xfId="16298" xr:uid="{00000000-0005-0000-0000-0000AA3F0000}"/>
    <cellStyle name="Ergebnis 2 2 9" xfId="16299" xr:uid="{00000000-0005-0000-0000-0000AB3F0000}"/>
    <cellStyle name="Ergebnis 2 20" xfId="16300" xr:uid="{00000000-0005-0000-0000-0000AC3F0000}"/>
    <cellStyle name="Ergebnis 2 21" xfId="16301" xr:uid="{00000000-0005-0000-0000-0000AD3F0000}"/>
    <cellStyle name="Ergebnis 2 22" xfId="16302" xr:uid="{00000000-0005-0000-0000-0000AE3F0000}"/>
    <cellStyle name="Ergebnis 2 23" xfId="16303" xr:uid="{00000000-0005-0000-0000-0000AF3F0000}"/>
    <cellStyle name="Ergebnis 2 24" xfId="16304" xr:uid="{00000000-0005-0000-0000-0000B03F0000}"/>
    <cellStyle name="Ergebnis 2 25" xfId="16305" xr:uid="{00000000-0005-0000-0000-0000B13F0000}"/>
    <cellStyle name="Ergebnis 2 26" xfId="16306" xr:uid="{00000000-0005-0000-0000-0000B23F0000}"/>
    <cellStyle name="Ergebnis 2 27" xfId="16307" xr:uid="{00000000-0005-0000-0000-0000B33F0000}"/>
    <cellStyle name="Ergebnis 2 28" xfId="16308" xr:uid="{00000000-0005-0000-0000-0000B43F0000}"/>
    <cellStyle name="Ergebnis 2 29" xfId="16309" xr:uid="{00000000-0005-0000-0000-0000B53F0000}"/>
    <cellStyle name="Ergebnis 2 3" xfId="16310" xr:uid="{00000000-0005-0000-0000-0000B63F0000}"/>
    <cellStyle name="Ergebnis 2 3 10" xfId="16311" xr:uid="{00000000-0005-0000-0000-0000B73F0000}"/>
    <cellStyle name="Ergebnis 2 3 11" xfId="16312" xr:uid="{00000000-0005-0000-0000-0000B83F0000}"/>
    <cellStyle name="Ergebnis 2 3 12" xfId="16313" xr:uid="{00000000-0005-0000-0000-0000B93F0000}"/>
    <cellStyle name="Ergebnis 2 3 13" xfId="16314" xr:uid="{00000000-0005-0000-0000-0000BA3F0000}"/>
    <cellStyle name="Ergebnis 2 3 14" xfId="16315" xr:uid="{00000000-0005-0000-0000-0000BB3F0000}"/>
    <cellStyle name="Ergebnis 2 3 15" xfId="16316" xr:uid="{00000000-0005-0000-0000-0000BC3F0000}"/>
    <cellStyle name="Ergebnis 2 3 16" xfId="16317" xr:uid="{00000000-0005-0000-0000-0000BD3F0000}"/>
    <cellStyle name="Ergebnis 2 3 17" xfId="16318" xr:uid="{00000000-0005-0000-0000-0000BE3F0000}"/>
    <cellStyle name="Ergebnis 2 3 18" xfId="16319" xr:uid="{00000000-0005-0000-0000-0000BF3F0000}"/>
    <cellStyle name="Ergebnis 2 3 19" xfId="16320" xr:uid="{00000000-0005-0000-0000-0000C03F0000}"/>
    <cellStyle name="Ergebnis 2 3 2" xfId="16321" xr:uid="{00000000-0005-0000-0000-0000C13F0000}"/>
    <cellStyle name="Ergebnis 2 3 2 10" xfId="16322" xr:uid="{00000000-0005-0000-0000-0000C23F0000}"/>
    <cellStyle name="Ergebnis 2 3 2 11" xfId="16323" xr:uid="{00000000-0005-0000-0000-0000C33F0000}"/>
    <cellStyle name="Ergebnis 2 3 2 12" xfId="16324" xr:uid="{00000000-0005-0000-0000-0000C43F0000}"/>
    <cellStyle name="Ergebnis 2 3 2 13" xfId="16325" xr:uid="{00000000-0005-0000-0000-0000C53F0000}"/>
    <cellStyle name="Ergebnis 2 3 2 14" xfId="16326" xr:uid="{00000000-0005-0000-0000-0000C63F0000}"/>
    <cellStyle name="Ergebnis 2 3 2 15" xfId="16327" xr:uid="{00000000-0005-0000-0000-0000C73F0000}"/>
    <cellStyle name="Ergebnis 2 3 2 16" xfId="16328" xr:uid="{00000000-0005-0000-0000-0000C83F0000}"/>
    <cellStyle name="Ergebnis 2 3 2 17" xfId="16329" xr:uid="{00000000-0005-0000-0000-0000C93F0000}"/>
    <cellStyle name="Ergebnis 2 3 2 18" xfId="16330" xr:uid="{00000000-0005-0000-0000-0000CA3F0000}"/>
    <cellStyle name="Ergebnis 2 3 2 19" xfId="16331" xr:uid="{00000000-0005-0000-0000-0000CB3F0000}"/>
    <cellStyle name="Ergebnis 2 3 2 2" xfId="16332" xr:uid="{00000000-0005-0000-0000-0000CC3F0000}"/>
    <cellStyle name="Ergebnis 2 3 2 20" xfId="16333" xr:uid="{00000000-0005-0000-0000-0000CD3F0000}"/>
    <cellStyle name="Ergebnis 2 3 2 21" xfId="16334" xr:uid="{00000000-0005-0000-0000-0000CE3F0000}"/>
    <cellStyle name="Ergebnis 2 3 2 22" xfId="16335" xr:uid="{00000000-0005-0000-0000-0000CF3F0000}"/>
    <cellStyle name="Ergebnis 2 3 2 23" xfId="16336" xr:uid="{00000000-0005-0000-0000-0000D03F0000}"/>
    <cellStyle name="Ergebnis 2 3 2 24" xfId="16337" xr:uid="{00000000-0005-0000-0000-0000D13F0000}"/>
    <cellStyle name="Ergebnis 2 3 2 25" xfId="16338" xr:uid="{00000000-0005-0000-0000-0000D23F0000}"/>
    <cellStyle name="Ergebnis 2 3 2 26" xfId="16339" xr:uid="{00000000-0005-0000-0000-0000D33F0000}"/>
    <cellStyle name="Ergebnis 2 3 2 27" xfId="16340" xr:uid="{00000000-0005-0000-0000-0000D43F0000}"/>
    <cellStyle name="Ergebnis 2 3 2 28" xfId="16341" xr:uid="{00000000-0005-0000-0000-0000D53F0000}"/>
    <cellStyle name="Ergebnis 2 3 2 29" xfId="16342" xr:uid="{00000000-0005-0000-0000-0000D63F0000}"/>
    <cellStyle name="Ergebnis 2 3 2 3" xfId="16343" xr:uid="{00000000-0005-0000-0000-0000D73F0000}"/>
    <cellStyle name="Ergebnis 2 3 2 30" xfId="16344" xr:uid="{00000000-0005-0000-0000-0000D83F0000}"/>
    <cellStyle name="Ergebnis 2 3 2 31" xfId="16345" xr:uid="{00000000-0005-0000-0000-0000D93F0000}"/>
    <cellStyle name="Ergebnis 2 3 2 32" xfId="16346" xr:uid="{00000000-0005-0000-0000-0000DA3F0000}"/>
    <cellStyle name="Ergebnis 2 3 2 33" xfId="16347" xr:uid="{00000000-0005-0000-0000-0000DB3F0000}"/>
    <cellStyle name="Ergebnis 2 3 2 34" xfId="16348" xr:uid="{00000000-0005-0000-0000-0000DC3F0000}"/>
    <cellStyle name="Ergebnis 2 3 2 35" xfId="16349" xr:uid="{00000000-0005-0000-0000-0000DD3F0000}"/>
    <cellStyle name="Ergebnis 2 3 2 36" xfId="16350" xr:uid="{00000000-0005-0000-0000-0000DE3F0000}"/>
    <cellStyle name="Ergebnis 2 3 2 37" xfId="16351" xr:uid="{00000000-0005-0000-0000-0000DF3F0000}"/>
    <cellStyle name="Ergebnis 2 3 2 38" xfId="16352" xr:uid="{00000000-0005-0000-0000-0000E03F0000}"/>
    <cellStyle name="Ergebnis 2 3 2 39" xfId="16353" xr:uid="{00000000-0005-0000-0000-0000E13F0000}"/>
    <cellStyle name="Ergebnis 2 3 2 4" xfId="16354" xr:uid="{00000000-0005-0000-0000-0000E23F0000}"/>
    <cellStyle name="Ergebnis 2 3 2 40" xfId="16355" xr:uid="{00000000-0005-0000-0000-0000E33F0000}"/>
    <cellStyle name="Ergebnis 2 3 2 41" xfId="16356" xr:uid="{00000000-0005-0000-0000-0000E43F0000}"/>
    <cellStyle name="Ergebnis 2 3 2 42" xfId="16357" xr:uid="{00000000-0005-0000-0000-0000E53F0000}"/>
    <cellStyle name="Ergebnis 2 3 2 43" xfId="16358" xr:uid="{00000000-0005-0000-0000-0000E63F0000}"/>
    <cellStyle name="Ergebnis 2 3 2 44" xfId="16359" xr:uid="{00000000-0005-0000-0000-0000E73F0000}"/>
    <cellStyle name="Ergebnis 2 3 2 45" xfId="16360" xr:uid="{00000000-0005-0000-0000-0000E83F0000}"/>
    <cellStyle name="Ergebnis 2 3 2 46" xfId="16361" xr:uid="{00000000-0005-0000-0000-0000E93F0000}"/>
    <cellStyle name="Ergebnis 2 3 2 47" xfId="16362" xr:uid="{00000000-0005-0000-0000-0000EA3F0000}"/>
    <cellStyle name="Ergebnis 2 3 2 48" xfId="16363" xr:uid="{00000000-0005-0000-0000-0000EB3F0000}"/>
    <cellStyle name="Ergebnis 2 3 2 49" xfId="16364" xr:uid="{00000000-0005-0000-0000-0000EC3F0000}"/>
    <cellStyle name="Ergebnis 2 3 2 5" xfId="16365" xr:uid="{00000000-0005-0000-0000-0000ED3F0000}"/>
    <cellStyle name="Ergebnis 2 3 2 50" xfId="16366" xr:uid="{00000000-0005-0000-0000-0000EE3F0000}"/>
    <cellStyle name="Ergebnis 2 3 2 51" xfId="16367" xr:uid="{00000000-0005-0000-0000-0000EF3F0000}"/>
    <cellStyle name="Ergebnis 2 3 2 52" xfId="16368" xr:uid="{00000000-0005-0000-0000-0000F03F0000}"/>
    <cellStyle name="Ergebnis 2 3 2 53" xfId="16369" xr:uid="{00000000-0005-0000-0000-0000F13F0000}"/>
    <cellStyle name="Ergebnis 2 3 2 54" xfId="16370" xr:uid="{00000000-0005-0000-0000-0000F23F0000}"/>
    <cellStyle name="Ergebnis 2 3 2 55" xfId="16371" xr:uid="{00000000-0005-0000-0000-0000F33F0000}"/>
    <cellStyle name="Ergebnis 2 3 2 56" xfId="16372" xr:uid="{00000000-0005-0000-0000-0000F43F0000}"/>
    <cellStyle name="Ergebnis 2 3 2 57" xfId="16373" xr:uid="{00000000-0005-0000-0000-0000F53F0000}"/>
    <cellStyle name="Ergebnis 2 3 2 58" xfId="16374" xr:uid="{00000000-0005-0000-0000-0000F63F0000}"/>
    <cellStyle name="Ergebnis 2 3 2 59" xfId="16375" xr:uid="{00000000-0005-0000-0000-0000F73F0000}"/>
    <cellStyle name="Ergebnis 2 3 2 6" xfId="16376" xr:uid="{00000000-0005-0000-0000-0000F83F0000}"/>
    <cellStyle name="Ergebnis 2 3 2 60" xfId="16377" xr:uid="{00000000-0005-0000-0000-0000F93F0000}"/>
    <cellStyle name="Ergebnis 2 3 2 61" xfId="16378" xr:uid="{00000000-0005-0000-0000-0000FA3F0000}"/>
    <cellStyle name="Ergebnis 2 3 2 62" xfId="16379" xr:uid="{00000000-0005-0000-0000-0000FB3F0000}"/>
    <cellStyle name="Ergebnis 2 3 2 63" xfId="16380" xr:uid="{00000000-0005-0000-0000-0000FC3F0000}"/>
    <cellStyle name="Ergebnis 2 3 2 64" xfId="16381" xr:uid="{00000000-0005-0000-0000-0000FD3F0000}"/>
    <cellStyle name="Ergebnis 2 3 2 65" xfId="16382" xr:uid="{00000000-0005-0000-0000-0000FE3F0000}"/>
    <cellStyle name="Ergebnis 2 3 2 7" xfId="16383" xr:uid="{00000000-0005-0000-0000-0000FF3F0000}"/>
    <cellStyle name="Ergebnis 2 3 2 8" xfId="16384" xr:uid="{00000000-0005-0000-0000-000000400000}"/>
    <cellStyle name="Ergebnis 2 3 2 9" xfId="16385" xr:uid="{00000000-0005-0000-0000-000001400000}"/>
    <cellStyle name="Ergebnis 2 3 20" xfId="16386" xr:uid="{00000000-0005-0000-0000-000002400000}"/>
    <cellStyle name="Ergebnis 2 3 21" xfId="16387" xr:uid="{00000000-0005-0000-0000-000003400000}"/>
    <cellStyle name="Ergebnis 2 3 22" xfId="16388" xr:uid="{00000000-0005-0000-0000-000004400000}"/>
    <cellStyle name="Ergebnis 2 3 23" xfId="16389" xr:uid="{00000000-0005-0000-0000-000005400000}"/>
    <cellStyle name="Ergebnis 2 3 24" xfId="16390" xr:uid="{00000000-0005-0000-0000-000006400000}"/>
    <cellStyle name="Ergebnis 2 3 25" xfId="16391" xr:uid="{00000000-0005-0000-0000-000007400000}"/>
    <cellStyle name="Ergebnis 2 3 26" xfId="16392" xr:uid="{00000000-0005-0000-0000-000008400000}"/>
    <cellStyle name="Ergebnis 2 3 27" xfId="16393" xr:uid="{00000000-0005-0000-0000-000009400000}"/>
    <cellStyle name="Ergebnis 2 3 28" xfId="16394" xr:uid="{00000000-0005-0000-0000-00000A400000}"/>
    <cellStyle name="Ergebnis 2 3 29" xfId="16395" xr:uid="{00000000-0005-0000-0000-00000B400000}"/>
    <cellStyle name="Ergebnis 2 3 3" xfId="16396" xr:uid="{00000000-0005-0000-0000-00000C400000}"/>
    <cellStyle name="Ergebnis 2 3 30" xfId="16397" xr:uid="{00000000-0005-0000-0000-00000D400000}"/>
    <cellStyle name="Ergebnis 2 3 31" xfId="16398" xr:uid="{00000000-0005-0000-0000-00000E400000}"/>
    <cellStyle name="Ergebnis 2 3 32" xfId="16399" xr:uid="{00000000-0005-0000-0000-00000F400000}"/>
    <cellStyle name="Ergebnis 2 3 33" xfId="16400" xr:uid="{00000000-0005-0000-0000-000010400000}"/>
    <cellStyle name="Ergebnis 2 3 34" xfId="16401" xr:uid="{00000000-0005-0000-0000-000011400000}"/>
    <cellStyle name="Ergebnis 2 3 35" xfId="16402" xr:uid="{00000000-0005-0000-0000-000012400000}"/>
    <cellStyle name="Ergebnis 2 3 36" xfId="16403" xr:uid="{00000000-0005-0000-0000-000013400000}"/>
    <cellStyle name="Ergebnis 2 3 37" xfId="16404" xr:uid="{00000000-0005-0000-0000-000014400000}"/>
    <cellStyle name="Ergebnis 2 3 38" xfId="16405" xr:uid="{00000000-0005-0000-0000-000015400000}"/>
    <cellStyle name="Ergebnis 2 3 39" xfId="16406" xr:uid="{00000000-0005-0000-0000-000016400000}"/>
    <cellStyle name="Ergebnis 2 3 4" xfId="16407" xr:uid="{00000000-0005-0000-0000-000017400000}"/>
    <cellStyle name="Ergebnis 2 3 40" xfId="16408" xr:uid="{00000000-0005-0000-0000-000018400000}"/>
    <cellStyle name="Ergebnis 2 3 41" xfId="16409" xr:uid="{00000000-0005-0000-0000-000019400000}"/>
    <cellStyle name="Ergebnis 2 3 42" xfId="16410" xr:uid="{00000000-0005-0000-0000-00001A400000}"/>
    <cellStyle name="Ergebnis 2 3 43" xfId="16411" xr:uid="{00000000-0005-0000-0000-00001B400000}"/>
    <cellStyle name="Ergebnis 2 3 44" xfId="16412" xr:uid="{00000000-0005-0000-0000-00001C400000}"/>
    <cellStyle name="Ergebnis 2 3 45" xfId="16413" xr:uid="{00000000-0005-0000-0000-00001D400000}"/>
    <cellStyle name="Ergebnis 2 3 46" xfId="16414" xr:uid="{00000000-0005-0000-0000-00001E400000}"/>
    <cellStyle name="Ergebnis 2 3 47" xfId="16415" xr:uid="{00000000-0005-0000-0000-00001F400000}"/>
    <cellStyle name="Ergebnis 2 3 48" xfId="16416" xr:uid="{00000000-0005-0000-0000-000020400000}"/>
    <cellStyle name="Ergebnis 2 3 49" xfId="16417" xr:uid="{00000000-0005-0000-0000-000021400000}"/>
    <cellStyle name="Ergebnis 2 3 5" xfId="16418" xr:uid="{00000000-0005-0000-0000-000022400000}"/>
    <cellStyle name="Ergebnis 2 3 50" xfId="16419" xr:uid="{00000000-0005-0000-0000-000023400000}"/>
    <cellStyle name="Ergebnis 2 3 51" xfId="16420" xr:uid="{00000000-0005-0000-0000-000024400000}"/>
    <cellStyle name="Ergebnis 2 3 52" xfId="16421" xr:uid="{00000000-0005-0000-0000-000025400000}"/>
    <cellStyle name="Ergebnis 2 3 53" xfId="16422" xr:uid="{00000000-0005-0000-0000-000026400000}"/>
    <cellStyle name="Ergebnis 2 3 54" xfId="16423" xr:uid="{00000000-0005-0000-0000-000027400000}"/>
    <cellStyle name="Ergebnis 2 3 55" xfId="16424" xr:uid="{00000000-0005-0000-0000-000028400000}"/>
    <cellStyle name="Ergebnis 2 3 56" xfId="16425" xr:uid="{00000000-0005-0000-0000-000029400000}"/>
    <cellStyle name="Ergebnis 2 3 57" xfId="16426" xr:uid="{00000000-0005-0000-0000-00002A400000}"/>
    <cellStyle name="Ergebnis 2 3 58" xfId="16427" xr:uid="{00000000-0005-0000-0000-00002B400000}"/>
    <cellStyle name="Ergebnis 2 3 59" xfId="16428" xr:uid="{00000000-0005-0000-0000-00002C400000}"/>
    <cellStyle name="Ergebnis 2 3 6" xfId="16429" xr:uid="{00000000-0005-0000-0000-00002D400000}"/>
    <cellStyle name="Ergebnis 2 3 60" xfId="16430" xr:uid="{00000000-0005-0000-0000-00002E400000}"/>
    <cellStyle name="Ergebnis 2 3 61" xfId="16431" xr:uid="{00000000-0005-0000-0000-00002F400000}"/>
    <cellStyle name="Ergebnis 2 3 62" xfId="16432" xr:uid="{00000000-0005-0000-0000-000030400000}"/>
    <cellStyle name="Ergebnis 2 3 63" xfId="16433" xr:uid="{00000000-0005-0000-0000-000031400000}"/>
    <cellStyle name="Ergebnis 2 3 64" xfId="16434" xr:uid="{00000000-0005-0000-0000-000032400000}"/>
    <cellStyle name="Ergebnis 2 3 65" xfId="16435" xr:uid="{00000000-0005-0000-0000-000033400000}"/>
    <cellStyle name="Ergebnis 2 3 66" xfId="16436" xr:uid="{00000000-0005-0000-0000-000034400000}"/>
    <cellStyle name="Ergebnis 2 3 7" xfId="16437" xr:uid="{00000000-0005-0000-0000-000035400000}"/>
    <cellStyle name="Ergebnis 2 3 8" xfId="16438" xr:uid="{00000000-0005-0000-0000-000036400000}"/>
    <cellStyle name="Ergebnis 2 3 9" xfId="16439" xr:uid="{00000000-0005-0000-0000-000037400000}"/>
    <cellStyle name="Ergebnis 2 30" xfId="16440" xr:uid="{00000000-0005-0000-0000-000038400000}"/>
    <cellStyle name="Ergebnis 2 31" xfId="16441" xr:uid="{00000000-0005-0000-0000-000039400000}"/>
    <cellStyle name="Ergebnis 2 32" xfId="16442" xr:uid="{00000000-0005-0000-0000-00003A400000}"/>
    <cellStyle name="Ergebnis 2 33" xfId="16443" xr:uid="{00000000-0005-0000-0000-00003B400000}"/>
    <cellStyle name="Ergebnis 2 34" xfId="16444" xr:uid="{00000000-0005-0000-0000-00003C400000}"/>
    <cellStyle name="Ergebnis 2 35" xfId="16445" xr:uid="{00000000-0005-0000-0000-00003D400000}"/>
    <cellStyle name="Ergebnis 2 36" xfId="16446" xr:uid="{00000000-0005-0000-0000-00003E400000}"/>
    <cellStyle name="Ergebnis 2 37" xfId="16447" xr:uid="{00000000-0005-0000-0000-00003F400000}"/>
    <cellStyle name="Ergebnis 2 38" xfId="16448" xr:uid="{00000000-0005-0000-0000-000040400000}"/>
    <cellStyle name="Ergebnis 2 39" xfId="16449" xr:uid="{00000000-0005-0000-0000-000041400000}"/>
    <cellStyle name="Ergebnis 2 4" xfId="16450" xr:uid="{00000000-0005-0000-0000-000042400000}"/>
    <cellStyle name="Ergebnis 2 4 10" xfId="16451" xr:uid="{00000000-0005-0000-0000-000043400000}"/>
    <cellStyle name="Ergebnis 2 4 11" xfId="16452" xr:uid="{00000000-0005-0000-0000-000044400000}"/>
    <cellStyle name="Ergebnis 2 4 12" xfId="16453" xr:uid="{00000000-0005-0000-0000-000045400000}"/>
    <cellStyle name="Ergebnis 2 4 13" xfId="16454" xr:uid="{00000000-0005-0000-0000-000046400000}"/>
    <cellStyle name="Ergebnis 2 4 14" xfId="16455" xr:uid="{00000000-0005-0000-0000-000047400000}"/>
    <cellStyle name="Ergebnis 2 4 15" xfId="16456" xr:uid="{00000000-0005-0000-0000-000048400000}"/>
    <cellStyle name="Ergebnis 2 4 16" xfId="16457" xr:uid="{00000000-0005-0000-0000-000049400000}"/>
    <cellStyle name="Ergebnis 2 4 17" xfId="16458" xr:uid="{00000000-0005-0000-0000-00004A400000}"/>
    <cellStyle name="Ergebnis 2 4 18" xfId="16459" xr:uid="{00000000-0005-0000-0000-00004B400000}"/>
    <cellStyle name="Ergebnis 2 4 19" xfId="16460" xr:uid="{00000000-0005-0000-0000-00004C400000}"/>
    <cellStyle name="Ergebnis 2 4 2" xfId="16461" xr:uid="{00000000-0005-0000-0000-00004D400000}"/>
    <cellStyle name="Ergebnis 2 4 2 10" xfId="16462" xr:uid="{00000000-0005-0000-0000-00004E400000}"/>
    <cellStyle name="Ergebnis 2 4 2 11" xfId="16463" xr:uid="{00000000-0005-0000-0000-00004F400000}"/>
    <cellStyle name="Ergebnis 2 4 2 12" xfId="16464" xr:uid="{00000000-0005-0000-0000-000050400000}"/>
    <cellStyle name="Ergebnis 2 4 2 13" xfId="16465" xr:uid="{00000000-0005-0000-0000-000051400000}"/>
    <cellStyle name="Ergebnis 2 4 2 14" xfId="16466" xr:uid="{00000000-0005-0000-0000-000052400000}"/>
    <cellStyle name="Ergebnis 2 4 2 15" xfId="16467" xr:uid="{00000000-0005-0000-0000-000053400000}"/>
    <cellStyle name="Ergebnis 2 4 2 16" xfId="16468" xr:uid="{00000000-0005-0000-0000-000054400000}"/>
    <cellStyle name="Ergebnis 2 4 2 17" xfId="16469" xr:uid="{00000000-0005-0000-0000-000055400000}"/>
    <cellStyle name="Ergebnis 2 4 2 18" xfId="16470" xr:uid="{00000000-0005-0000-0000-000056400000}"/>
    <cellStyle name="Ergebnis 2 4 2 19" xfId="16471" xr:uid="{00000000-0005-0000-0000-000057400000}"/>
    <cellStyle name="Ergebnis 2 4 2 2" xfId="16472" xr:uid="{00000000-0005-0000-0000-000058400000}"/>
    <cellStyle name="Ergebnis 2 4 2 20" xfId="16473" xr:uid="{00000000-0005-0000-0000-000059400000}"/>
    <cellStyle name="Ergebnis 2 4 2 21" xfId="16474" xr:uid="{00000000-0005-0000-0000-00005A400000}"/>
    <cellStyle name="Ergebnis 2 4 2 22" xfId="16475" xr:uid="{00000000-0005-0000-0000-00005B400000}"/>
    <cellStyle name="Ergebnis 2 4 2 23" xfId="16476" xr:uid="{00000000-0005-0000-0000-00005C400000}"/>
    <cellStyle name="Ergebnis 2 4 2 24" xfId="16477" xr:uid="{00000000-0005-0000-0000-00005D400000}"/>
    <cellStyle name="Ergebnis 2 4 2 25" xfId="16478" xr:uid="{00000000-0005-0000-0000-00005E400000}"/>
    <cellStyle name="Ergebnis 2 4 2 26" xfId="16479" xr:uid="{00000000-0005-0000-0000-00005F400000}"/>
    <cellStyle name="Ergebnis 2 4 2 27" xfId="16480" xr:uid="{00000000-0005-0000-0000-000060400000}"/>
    <cellStyle name="Ergebnis 2 4 2 28" xfId="16481" xr:uid="{00000000-0005-0000-0000-000061400000}"/>
    <cellStyle name="Ergebnis 2 4 2 29" xfId="16482" xr:uid="{00000000-0005-0000-0000-000062400000}"/>
    <cellStyle name="Ergebnis 2 4 2 3" xfId="16483" xr:uid="{00000000-0005-0000-0000-000063400000}"/>
    <cellStyle name="Ergebnis 2 4 2 30" xfId="16484" xr:uid="{00000000-0005-0000-0000-000064400000}"/>
    <cellStyle name="Ergebnis 2 4 2 31" xfId="16485" xr:uid="{00000000-0005-0000-0000-000065400000}"/>
    <cellStyle name="Ergebnis 2 4 2 32" xfId="16486" xr:uid="{00000000-0005-0000-0000-000066400000}"/>
    <cellStyle name="Ergebnis 2 4 2 33" xfId="16487" xr:uid="{00000000-0005-0000-0000-000067400000}"/>
    <cellStyle name="Ergebnis 2 4 2 34" xfId="16488" xr:uid="{00000000-0005-0000-0000-000068400000}"/>
    <cellStyle name="Ergebnis 2 4 2 35" xfId="16489" xr:uid="{00000000-0005-0000-0000-000069400000}"/>
    <cellStyle name="Ergebnis 2 4 2 36" xfId="16490" xr:uid="{00000000-0005-0000-0000-00006A400000}"/>
    <cellStyle name="Ergebnis 2 4 2 37" xfId="16491" xr:uid="{00000000-0005-0000-0000-00006B400000}"/>
    <cellStyle name="Ergebnis 2 4 2 38" xfId="16492" xr:uid="{00000000-0005-0000-0000-00006C400000}"/>
    <cellStyle name="Ergebnis 2 4 2 39" xfId="16493" xr:uid="{00000000-0005-0000-0000-00006D400000}"/>
    <cellStyle name="Ergebnis 2 4 2 4" xfId="16494" xr:uid="{00000000-0005-0000-0000-00006E400000}"/>
    <cellStyle name="Ergebnis 2 4 2 40" xfId="16495" xr:uid="{00000000-0005-0000-0000-00006F400000}"/>
    <cellStyle name="Ergebnis 2 4 2 41" xfId="16496" xr:uid="{00000000-0005-0000-0000-000070400000}"/>
    <cellStyle name="Ergebnis 2 4 2 42" xfId="16497" xr:uid="{00000000-0005-0000-0000-000071400000}"/>
    <cellStyle name="Ergebnis 2 4 2 43" xfId="16498" xr:uid="{00000000-0005-0000-0000-000072400000}"/>
    <cellStyle name="Ergebnis 2 4 2 44" xfId="16499" xr:uid="{00000000-0005-0000-0000-000073400000}"/>
    <cellStyle name="Ergebnis 2 4 2 45" xfId="16500" xr:uid="{00000000-0005-0000-0000-000074400000}"/>
    <cellStyle name="Ergebnis 2 4 2 46" xfId="16501" xr:uid="{00000000-0005-0000-0000-000075400000}"/>
    <cellStyle name="Ergebnis 2 4 2 47" xfId="16502" xr:uid="{00000000-0005-0000-0000-000076400000}"/>
    <cellStyle name="Ergebnis 2 4 2 48" xfId="16503" xr:uid="{00000000-0005-0000-0000-000077400000}"/>
    <cellStyle name="Ergebnis 2 4 2 49" xfId="16504" xr:uid="{00000000-0005-0000-0000-000078400000}"/>
    <cellStyle name="Ergebnis 2 4 2 5" xfId="16505" xr:uid="{00000000-0005-0000-0000-000079400000}"/>
    <cellStyle name="Ergebnis 2 4 2 50" xfId="16506" xr:uid="{00000000-0005-0000-0000-00007A400000}"/>
    <cellStyle name="Ergebnis 2 4 2 51" xfId="16507" xr:uid="{00000000-0005-0000-0000-00007B400000}"/>
    <cellStyle name="Ergebnis 2 4 2 52" xfId="16508" xr:uid="{00000000-0005-0000-0000-00007C400000}"/>
    <cellStyle name="Ergebnis 2 4 2 53" xfId="16509" xr:uid="{00000000-0005-0000-0000-00007D400000}"/>
    <cellStyle name="Ergebnis 2 4 2 54" xfId="16510" xr:uid="{00000000-0005-0000-0000-00007E400000}"/>
    <cellStyle name="Ergebnis 2 4 2 55" xfId="16511" xr:uid="{00000000-0005-0000-0000-00007F400000}"/>
    <cellStyle name="Ergebnis 2 4 2 56" xfId="16512" xr:uid="{00000000-0005-0000-0000-000080400000}"/>
    <cellStyle name="Ergebnis 2 4 2 57" xfId="16513" xr:uid="{00000000-0005-0000-0000-000081400000}"/>
    <cellStyle name="Ergebnis 2 4 2 58" xfId="16514" xr:uid="{00000000-0005-0000-0000-000082400000}"/>
    <cellStyle name="Ergebnis 2 4 2 59" xfId="16515" xr:uid="{00000000-0005-0000-0000-000083400000}"/>
    <cellStyle name="Ergebnis 2 4 2 6" xfId="16516" xr:uid="{00000000-0005-0000-0000-000084400000}"/>
    <cellStyle name="Ergebnis 2 4 2 60" xfId="16517" xr:uid="{00000000-0005-0000-0000-000085400000}"/>
    <cellStyle name="Ergebnis 2 4 2 61" xfId="16518" xr:uid="{00000000-0005-0000-0000-000086400000}"/>
    <cellStyle name="Ergebnis 2 4 2 62" xfId="16519" xr:uid="{00000000-0005-0000-0000-000087400000}"/>
    <cellStyle name="Ergebnis 2 4 2 63" xfId="16520" xr:uid="{00000000-0005-0000-0000-000088400000}"/>
    <cellStyle name="Ergebnis 2 4 2 64" xfId="16521" xr:uid="{00000000-0005-0000-0000-000089400000}"/>
    <cellStyle name="Ergebnis 2 4 2 65" xfId="16522" xr:uid="{00000000-0005-0000-0000-00008A400000}"/>
    <cellStyle name="Ergebnis 2 4 2 7" xfId="16523" xr:uid="{00000000-0005-0000-0000-00008B400000}"/>
    <cellStyle name="Ergebnis 2 4 2 8" xfId="16524" xr:uid="{00000000-0005-0000-0000-00008C400000}"/>
    <cellStyle name="Ergebnis 2 4 2 9" xfId="16525" xr:uid="{00000000-0005-0000-0000-00008D400000}"/>
    <cellStyle name="Ergebnis 2 4 20" xfId="16526" xr:uid="{00000000-0005-0000-0000-00008E400000}"/>
    <cellStyle name="Ergebnis 2 4 21" xfId="16527" xr:uid="{00000000-0005-0000-0000-00008F400000}"/>
    <cellStyle name="Ergebnis 2 4 22" xfId="16528" xr:uid="{00000000-0005-0000-0000-000090400000}"/>
    <cellStyle name="Ergebnis 2 4 23" xfId="16529" xr:uid="{00000000-0005-0000-0000-000091400000}"/>
    <cellStyle name="Ergebnis 2 4 24" xfId="16530" xr:uid="{00000000-0005-0000-0000-000092400000}"/>
    <cellStyle name="Ergebnis 2 4 25" xfId="16531" xr:uid="{00000000-0005-0000-0000-000093400000}"/>
    <cellStyle name="Ergebnis 2 4 26" xfId="16532" xr:uid="{00000000-0005-0000-0000-000094400000}"/>
    <cellStyle name="Ergebnis 2 4 27" xfId="16533" xr:uid="{00000000-0005-0000-0000-000095400000}"/>
    <cellStyle name="Ergebnis 2 4 28" xfId="16534" xr:uid="{00000000-0005-0000-0000-000096400000}"/>
    <cellStyle name="Ergebnis 2 4 29" xfId="16535" xr:uid="{00000000-0005-0000-0000-000097400000}"/>
    <cellStyle name="Ergebnis 2 4 3" xfId="16536" xr:uid="{00000000-0005-0000-0000-000098400000}"/>
    <cellStyle name="Ergebnis 2 4 30" xfId="16537" xr:uid="{00000000-0005-0000-0000-000099400000}"/>
    <cellStyle name="Ergebnis 2 4 31" xfId="16538" xr:uid="{00000000-0005-0000-0000-00009A400000}"/>
    <cellStyle name="Ergebnis 2 4 32" xfId="16539" xr:uid="{00000000-0005-0000-0000-00009B400000}"/>
    <cellStyle name="Ergebnis 2 4 33" xfId="16540" xr:uid="{00000000-0005-0000-0000-00009C400000}"/>
    <cellStyle name="Ergebnis 2 4 34" xfId="16541" xr:uid="{00000000-0005-0000-0000-00009D400000}"/>
    <cellStyle name="Ergebnis 2 4 35" xfId="16542" xr:uid="{00000000-0005-0000-0000-00009E400000}"/>
    <cellStyle name="Ergebnis 2 4 36" xfId="16543" xr:uid="{00000000-0005-0000-0000-00009F400000}"/>
    <cellStyle name="Ergebnis 2 4 37" xfId="16544" xr:uid="{00000000-0005-0000-0000-0000A0400000}"/>
    <cellStyle name="Ergebnis 2 4 38" xfId="16545" xr:uid="{00000000-0005-0000-0000-0000A1400000}"/>
    <cellStyle name="Ergebnis 2 4 39" xfId="16546" xr:uid="{00000000-0005-0000-0000-0000A2400000}"/>
    <cellStyle name="Ergebnis 2 4 4" xfId="16547" xr:uid="{00000000-0005-0000-0000-0000A3400000}"/>
    <cellStyle name="Ergebnis 2 4 40" xfId="16548" xr:uid="{00000000-0005-0000-0000-0000A4400000}"/>
    <cellStyle name="Ergebnis 2 4 41" xfId="16549" xr:uid="{00000000-0005-0000-0000-0000A5400000}"/>
    <cellStyle name="Ergebnis 2 4 42" xfId="16550" xr:uid="{00000000-0005-0000-0000-0000A6400000}"/>
    <cellStyle name="Ergebnis 2 4 43" xfId="16551" xr:uid="{00000000-0005-0000-0000-0000A7400000}"/>
    <cellStyle name="Ergebnis 2 4 44" xfId="16552" xr:uid="{00000000-0005-0000-0000-0000A8400000}"/>
    <cellStyle name="Ergebnis 2 4 45" xfId="16553" xr:uid="{00000000-0005-0000-0000-0000A9400000}"/>
    <cellStyle name="Ergebnis 2 4 46" xfId="16554" xr:uid="{00000000-0005-0000-0000-0000AA400000}"/>
    <cellStyle name="Ergebnis 2 4 47" xfId="16555" xr:uid="{00000000-0005-0000-0000-0000AB400000}"/>
    <cellStyle name="Ergebnis 2 4 48" xfId="16556" xr:uid="{00000000-0005-0000-0000-0000AC400000}"/>
    <cellStyle name="Ergebnis 2 4 49" xfId="16557" xr:uid="{00000000-0005-0000-0000-0000AD400000}"/>
    <cellStyle name="Ergebnis 2 4 5" xfId="16558" xr:uid="{00000000-0005-0000-0000-0000AE400000}"/>
    <cellStyle name="Ergebnis 2 4 50" xfId="16559" xr:uid="{00000000-0005-0000-0000-0000AF400000}"/>
    <cellStyle name="Ergebnis 2 4 51" xfId="16560" xr:uid="{00000000-0005-0000-0000-0000B0400000}"/>
    <cellStyle name="Ergebnis 2 4 52" xfId="16561" xr:uid="{00000000-0005-0000-0000-0000B1400000}"/>
    <cellStyle name="Ergebnis 2 4 53" xfId="16562" xr:uid="{00000000-0005-0000-0000-0000B2400000}"/>
    <cellStyle name="Ergebnis 2 4 54" xfId="16563" xr:uid="{00000000-0005-0000-0000-0000B3400000}"/>
    <cellStyle name="Ergebnis 2 4 55" xfId="16564" xr:uid="{00000000-0005-0000-0000-0000B4400000}"/>
    <cellStyle name="Ergebnis 2 4 56" xfId="16565" xr:uid="{00000000-0005-0000-0000-0000B5400000}"/>
    <cellStyle name="Ergebnis 2 4 57" xfId="16566" xr:uid="{00000000-0005-0000-0000-0000B6400000}"/>
    <cellStyle name="Ergebnis 2 4 58" xfId="16567" xr:uid="{00000000-0005-0000-0000-0000B7400000}"/>
    <cellStyle name="Ergebnis 2 4 59" xfId="16568" xr:uid="{00000000-0005-0000-0000-0000B8400000}"/>
    <cellStyle name="Ergebnis 2 4 6" xfId="16569" xr:uid="{00000000-0005-0000-0000-0000B9400000}"/>
    <cellStyle name="Ergebnis 2 4 60" xfId="16570" xr:uid="{00000000-0005-0000-0000-0000BA400000}"/>
    <cellStyle name="Ergebnis 2 4 61" xfId="16571" xr:uid="{00000000-0005-0000-0000-0000BB400000}"/>
    <cellStyle name="Ergebnis 2 4 62" xfId="16572" xr:uid="{00000000-0005-0000-0000-0000BC400000}"/>
    <cellStyle name="Ergebnis 2 4 63" xfId="16573" xr:uid="{00000000-0005-0000-0000-0000BD400000}"/>
    <cellStyle name="Ergebnis 2 4 64" xfId="16574" xr:uid="{00000000-0005-0000-0000-0000BE400000}"/>
    <cellStyle name="Ergebnis 2 4 65" xfId="16575" xr:uid="{00000000-0005-0000-0000-0000BF400000}"/>
    <cellStyle name="Ergebnis 2 4 66" xfId="16576" xr:uid="{00000000-0005-0000-0000-0000C0400000}"/>
    <cellStyle name="Ergebnis 2 4 7" xfId="16577" xr:uid="{00000000-0005-0000-0000-0000C1400000}"/>
    <cellStyle name="Ergebnis 2 4 8" xfId="16578" xr:uid="{00000000-0005-0000-0000-0000C2400000}"/>
    <cellStyle name="Ergebnis 2 4 9" xfId="16579" xr:uid="{00000000-0005-0000-0000-0000C3400000}"/>
    <cellStyle name="Ergebnis 2 40" xfId="16580" xr:uid="{00000000-0005-0000-0000-0000C4400000}"/>
    <cellStyle name="Ergebnis 2 41" xfId="16581" xr:uid="{00000000-0005-0000-0000-0000C5400000}"/>
    <cellStyle name="Ergebnis 2 42" xfId="16582" xr:uid="{00000000-0005-0000-0000-0000C6400000}"/>
    <cellStyle name="Ergebnis 2 43" xfId="16583" xr:uid="{00000000-0005-0000-0000-0000C7400000}"/>
    <cellStyle name="Ergebnis 2 44" xfId="16584" xr:uid="{00000000-0005-0000-0000-0000C8400000}"/>
    <cellStyle name="Ergebnis 2 45" xfId="16585" xr:uid="{00000000-0005-0000-0000-0000C9400000}"/>
    <cellStyle name="Ergebnis 2 46" xfId="16586" xr:uid="{00000000-0005-0000-0000-0000CA400000}"/>
    <cellStyle name="Ergebnis 2 47" xfId="16587" xr:uid="{00000000-0005-0000-0000-0000CB400000}"/>
    <cellStyle name="Ergebnis 2 48" xfId="16588" xr:uid="{00000000-0005-0000-0000-0000CC400000}"/>
    <cellStyle name="Ergebnis 2 49" xfId="16589" xr:uid="{00000000-0005-0000-0000-0000CD400000}"/>
    <cellStyle name="Ergebnis 2 5" xfId="16590" xr:uid="{00000000-0005-0000-0000-0000CE400000}"/>
    <cellStyle name="Ergebnis 2 5 10" xfId="16591" xr:uid="{00000000-0005-0000-0000-0000CF400000}"/>
    <cellStyle name="Ergebnis 2 5 11" xfId="16592" xr:uid="{00000000-0005-0000-0000-0000D0400000}"/>
    <cellStyle name="Ergebnis 2 5 12" xfId="16593" xr:uid="{00000000-0005-0000-0000-0000D1400000}"/>
    <cellStyle name="Ergebnis 2 5 13" xfId="16594" xr:uid="{00000000-0005-0000-0000-0000D2400000}"/>
    <cellStyle name="Ergebnis 2 5 14" xfId="16595" xr:uid="{00000000-0005-0000-0000-0000D3400000}"/>
    <cellStyle name="Ergebnis 2 5 15" xfId="16596" xr:uid="{00000000-0005-0000-0000-0000D4400000}"/>
    <cellStyle name="Ergebnis 2 5 16" xfId="16597" xr:uid="{00000000-0005-0000-0000-0000D5400000}"/>
    <cellStyle name="Ergebnis 2 5 17" xfId="16598" xr:uid="{00000000-0005-0000-0000-0000D6400000}"/>
    <cellStyle name="Ergebnis 2 5 18" xfId="16599" xr:uid="{00000000-0005-0000-0000-0000D7400000}"/>
    <cellStyle name="Ergebnis 2 5 19" xfId="16600" xr:uid="{00000000-0005-0000-0000-0000D8400000}"/>
    <cellStyle name="Ergebnis 2 5 2" xfId="16601" xr:uid="{00000000-0005-0000-0000-0000D9400000}"/>
    <cellStyle name="Ergebnis 2 5 20" xfId="16602" xr:uid="{00000000-0005-0000-0000-0000DA400000}"/>
    <cellStyle name="Ergebnis 2 5 21" xfId="16603" xr:uid="{00000000-0005-0000-0000-0000DB400000}"/>
    <cellStyle name="Ergebnis 2 5 22" xfId="16604" xr:uid="{00000000-0005-0000-0000-0000DC400000}"/>
    <cellStyle name="Ergebnis 2 5 23" xfId="16605" xr:uid="{00000000-0005-0000-0000-0000DD400000}"/>
    <cellStyle name="Ergebnis 2 5 24" xfId="16606" xr:uid="{00000000-0005-0000-0000-0000DE400000}"/>
    <cellStyle name="Ergebnis 2 5 25" xfId="16607" xr:uid="{00000000-0005-0000-0000-0000DF400000}"/>
    <cellStyle name="Ergebnis 2 5 26" xfId="16608" xr:uid="{00000000-0005-0000-0000-0000E0400000}"/>
    <cellStyle name="Ergebnis 2 5 27" xfId="16609" xr:uid="{00000000-0005-0000-0000-0000E1400000}"/>
    <cellStyle name="Ergebnis 2 5 28" xfId="16610" xr:uid="{00000000-0005-0000-0000-0000E2400000}"/>
    <cellStyle name="Ergebnis 2 5 29" xfId="16611" xr:uid="{00000000-0005-0000-0000-0000E3400000}"/>
    <cellStyle name="Ergebnis 2 5 3" xfId="16612" xr:uid="{00000000-0005-0000-0000-0000E4400000}"/>
    <cellStyle name="Ergebnis 2 5 30" xfId="16613" xr:uid="{00000000-0005-0000-0000-0000E5400000}"/>
    <cellStyle name="Ergebnis 2 5 31" xfId="16614" xr:uid="{00000000-0005-0000-0000-0000E6400000}"/>
    <cellStyle name="Ergebnis 2 5 32" xfId="16615" xr:uid="{00000000-0005-0000-0000-0000E7400000}"/>
    <cellStyle name="Ergebnis 2 5 33" xfId="16616" xr:uid="{00000000-0005-0000-0000-0000E8400000}"/>
    <cellStyle name="Ergebnis 2 5 34" xfId="16617" xr:uid="{00000000-0005-0000-0000-0000E9400000}"/>
    <cellStyle name="Ergebnis 2 5 35" xfId="16618" xr:uid="{00000000-0005-0000-0000-0000EA400000}"/>
    <cellStyle name="Ergebnis 2 5 36" xfId="16619" xr:uid="{00000000-0005-0000-0000-0000EB400000}"/>
    <cellStyle name="Ergebnis 2 5 37" xfId="16620" xr:uid="{00000000-0005-0000-0000-0000EC400000}"/>
    <cellStyle name="Ergebnis 2 5 38" xfId="16621" xr:uid="{00000000-0005-0000-0000-0000ED400000}"/>
    <cellStyle name="Ergebnis 2 5 39" xfId="16622" xr:uid="{00000000-0005-0000-0000-0000EE400000}"/>
    <cellStyle name="Ergebnis 2 5 4" xfId="16623" xr:uid="{00000000-0005-0000-0000-0000EF400000}"/>
    <cellStyle name="Ergebnis 2 5 40" xfId="16624" xr:uid="{00000000-0005-0000-0000-0000F0400000}"/>
    <cellStyle name="Ergebnis 2 5 41" xfId="16625" xr:uid="{00000000-0005-0000-0000-0000F1400000}"/>
    <cellStyle name="Ergebnis 2 5 42" xfId="16626" xr:uid="{00000000-0005-0000-0000-0000F2400000}"/>
    <cellStyle name="Ergebnis 2 5 43" xfId="16627" xr:uid="{00000000-0005-0000-0000-0000F3400000}"/>
    <cellStyle name="Ergebnis 2 5 44" xfId="16628" xr:uid="{00000000-0005-0000-0000-0000F4400000}"/>
    <cellStyle name="Ergebnis 2 5 45" xfId="16629" xr:uid="{00000000-0005-0000-0000-0000F5400000}"/>
    <cellStyle name="Ergebnis 2 5 46" xfId="16630" xr:uid="{00000000-0005-0000-0000-0000F6400000}"/>
    <cellStyle name="Ergebnis 2 5 47" xfId="16631" xr:uid="{00000000-0005-0000-0000-0000F7400000}"/>
    <cellStyle name="Ergebnis 2 5 48" xfId="16632" xr:uid="{00000000-0005-0000-0000-0000F8400000}"/>
    <cellStyle name="Ergebnis 2 5 49" xfId="16633" xr:uid="{00000000-0005-0000-0000-0000F9400000}"/>
    <cellStyle name="Ergebnis 2 5 5" xfId="16634" xr:uid="{00000000-0005-0000-0000-0000FA400000}"/>
    <cellStyle name="Ergebnis 2 5 50" xfId="16635" xr:uid="{00000000-0005-0000-0000-0000FB400000}"/>
    <cellStyle name="Ergebnis 2 5 51" xfId="16636" xr:uid="{00000000-0005-0000-0000-0000FC400000}"/>
    <cellStyle name="Ergebnis 2 5 52" xfId="16637" xr:uid="{00000000-0005-0000-0000-0000FD400000}"/>
    <cellStyle name="Ergebnis 2 5 53" xfId="16638" xr:uid="{00000000-0005-0000-0000-0000FE400000}"/>
    <cellStyle name="Ergebnis 2 5 54" xfId="16639" xr:uid="{00000000-0005-0000-0000-0000FF400000}"/>
    <cellStyle name="Ergebnis 2 5 55" xfId="16640" xr:uid="{00000000-0005-0000-0000-000000410000}"/>
    <cellStyle name="Ergebnis 2 5 56" xfId="16641" xr:uid="{00000000-0005-0000-0000-000001410000}"/>
    <cellStyle name="Ergebnis 2 5 57" xfId="16642" xr:uid="{00000000-0005-0000-0000-000002410000}"/>
    <cellStyle name="Ergebnis 2 5 58" xfId="16643" xr:uid="{00000000-0005-0000-0000-000003410000}"/>
    <cellStyle name="Ergebnis 2 5 59" xfId="16644" xr:uid="{00000000-0005-0000-0000-000004410000}"/>
    <cellStyle name="Ergebnis 2 5 6" xfId="16645" xr:uid="{00000000-0005-0000-0000-000005410000}"/>
    <cellStyle name="Ergebnis 2 5 60" xfId="16646" xr:uid="{00000000-0005-0000-0000-000006410000}"/>
    <cellStyle name="Ergebnis 2 5 61" xfId="16647" xr:uid="{00000000-0005-0000-0000-000007410000}"/>
    <cellStyle name="Ergebnis 2 5 62" xfId="16648" xr:uid="{00000000-0005-0000-0000-000008410000}"/>
    <cellStyle name="Ergebnis 2 5 63" xfId="16649" xr:uid="{00000000-0005-0000-0000-000009410000}"/>
    <cellStyle name="Ergebnis 2 5 64" xfId="16650" xr:uid="{00000000-0005-0000-0000-00000A410000}"/>
    <cellStyle name="Ergebnis 2 5 65" xfId="16651" xr:uid="{00000000-0005-0000-0000-00000B410000}"/>
    <cellStyle name="Ergebnis 2 5 7" xfId="16652" xr:uid="{00000000-0005-0000-0000-00000C410000}"/>
    <cellStyle name="Ergebnis 2 5 8" xfId="16653" xr:uid="{00000000-0005-0000-0000-00000D410000}"/>
    <cellStyle name="Ergebnis 2 5 9" xfId="16654" xr:uid="{00000000-0005-0000-0000-00000E410000}"/>
    <cellStyle name="Ergebnis 2 50" xfId="16655" xr:uid="{00000000-0005-0000-0000-00000F410000}"/>
    <cellStyle name="Ergebnis 2 51" xfId="16656" xr:uid="{00000000-0005-0000-0000-000010410000}"/>
    <cellStyle name="Ergebnis 2 6" xfId="16657" xr:uid="{00000000-0005-0000-0000-000011410000}"/>
    <cellStyle name="Ergebnis 2 7" xfId="16658" xr:uid="{00000000-0005-0000-0000-000012410000}"/>
    <cellStyle name="Ergebnis 2 8" xfId="16659" xr:uid="{00000000-0005-0000-0000-000013410000}"/>
    <cellStyle name="Ergebnis 2 9" xfId="16660" xr:uid="{00000000-0005-0000-0000-000014410000}"/>
    <cellStyle name="Ergebnis 3" xfId="16661" xr:uid="{00000000-0005-0000-0000-000015410000}"/>
    <cellStyle name="Ergebnis 3 10" xfId="16662" xr:uid="{00000000-0005-0000-0000-000016410000}"/>
    <cellStyle name="Ergebnis 3 11" xfId="16663" xr:uid="{00000000-0005-0000-0000-000017410000}"/>
    <cellStyle name="Ergebnis 3 12" xfId="16664" xr:uid="{00000000-0005-0000-0000-000018410000}"/>
    <cellStyle name="Ergebnis 3 13" xfId="16665" xr:uid="{00000000-0005-0000-0000-000019410000}"/>
    <cellStyle name="Ergebnis 3 14" xfId="16666" xr:uid="{00000000-0005-0000-0000-00001A410000}"/>
    <cellStyle name="Ergebnis 3 15" xfId="16667" xr:uid="{00000000-0005-0000-0000-00001B410000}"/>
    <cellStyle name="Ergebnis 3 16" xfId="16668" xr:uid="{00000000-0005-0000-0000-00001C410000}"/>
    <cellStyle name="Ergebnis 3 17" xfId="16669" xr:uid="{00000000-0005-0000-0000-00001D410000}"/>
    <cellStyle name="Ergebnis 3 18" xfId="16670" xr:uid="{00000000-0005-0000-0000-00001E410000}"/>
    <cellStyle name="Ergebnis 3 19" xfId="16671" xr:uid="{00000000-0005-0000-0000-00001F410000}"/>
    <cellStyle name="Ergebnis 3 2" xfId="16672" xr:uid="{00000000-0005-0000-0000-000020410000}"/>
    <cellStyle name="Ergebnis 3 2 10" xfId="16673" xr:uid="{00000000-0005-0000-0000-000021410000}"/>
    <cellStyle name="Ergebnis 3 2 11" xfId="16674" xr:uid="{00000000-0005-0000-0000-000022410000}"/>
    <cellStyle name="Ergebnis 3 2 12" xfId="16675" xr:uid="{00000000-0005-0000-0000-000023410000}"/>
    <cellStyle name="Ergebnis 3 2 13" xfId="16676" xr:uid="{00000000-0005-0000-0000-000024410000}"/>
    <cellStyle name="Ergebnis 3 2 14" xfId="16677" xr:uid="{00000000-0005-0000-0000-000025410000}"/>
    <cellStyle name="Ergebnis 3 2 15" xfId="16678" xr:uid="{00000000-0005-0000-0000-000026410000}"/>
    <cellStyle name="Ergebnis 3 2 16" xfId="16679" xr:uid="{00000000-0005-0000-0000-000027410000}"/>
    <cellStyle name="Ergebnis 3 2 17" xfId="16680" xr:uid="{00000000-0005-0000-0000-000028410000}"/>
    <cellStyle name="Ergebnis 3 2 18" xfId="16681" xr:uid="{00000000-0005-0000-0000-000029410000}"/>
    <cellStyle name="Ergebnis 3 2 19" xfId="16682" xr:uid="{00000000-0005-0000-0000-00002A410000}"/>
    <cellStyle name="Ergebnis 3 2 2" xfId="16683" xr:uid="{00000000-0005-0000-0000-00002B410000}"/>
    <cellStyle name="Ergebnis 3 2 2 10" xfId="16684" xr:uid="{00000000-0005-0000-0000-00002C410000}"/>
    <cellStyle name="Ergebnis 3 2 2 11" xfId="16685" xr:uid="{00000000-0005-0000-0000-00002D410000}"/>
    <cellStyle name="Ergebnis 3 2 2 12" xfId="16686" xr:uid="{00000000-0005-0000-0000-00002E410000}"/>
    <cellStyle name="Ergebnis 3 2 2 13" xfId="16687" xr:uid="{00000000-0005-0000-0000-00002F410000}"/>
    <cellStyle name="Ergebnis 3 2 2 14" xfId="16688" xr:uid="{00000000-0005-0000-0000-000030410000}"/>
    <cellStyle name="Ergebnis 3 2 2 15" xfId="16689" xr:uid="{00000000-0005-0000-0000-000031410000}"/>
    <cellStyle name="Ergebnis 3 2 2 16" xfId="16690" xr:uid="{00000000-0005-0000-0000-000032410000}"/>
    <cellStyle name="Ergebnis 3 2 2 17" xfId="16691" xr:uid="{00000000-0005-0000-0000-000033410000}"/>
    <cellStyle name="Ergebnis 3 2 2 18" xfId="16692" xr:uid="{00000000-0005-0000-0000-000034410000}"/>
    <cellStyle name="Ergebnis 3 2 2 19" xfId="16693" xr:uid="{00000000-0005-0000-0000-000035410000}"/>
    <cellStyle name="Ergebnis 3 2 2 2" xfId="16694" xr:uid="{00000000-0005-0000-0000-000036410000}"/>
    <cellStyle name="Ergebnis 3 2 2 20" xfId="16695" xr:uid="{00000000-0005-0000-0000-000037410000}"/>
    <cellStyle name="Ergebnis 3 2 2 21" xfId="16696" xr:uid="{00000000-0005-0000-0000-000038410000}"/>
    <cellStyle name="Ergebnis 3 2 2 22" xfId="16697" xr:uid="{00000000-0005-0000-0000-000039410000}"/>
    <cellStyle name="Ergebnis 3 2 2 23" xfId="16698" xr:uid="{00000000-0005-0000-0000-00003A410000}"/>
    <cellStyle name="Ergebnis 3 2 2 24" xfId="16699" xr:uid="{00000000-0005-0000-0000-00003B410000}"/>
    <cellStyle name="Ergebnis 3 2 2 25" xfId="16700" xr:uid="{00000000-0005-0000-0000-00003C410000}"/>
    <cellStyle name="Ergebnis 3 2 2 26" xfId="16701" xr:uid="{00000000-0005-0000-0000-00003D410000}"/>
    <cellStyle name="Ergebnis 3 2 2 27" xfId="16702" xr:uid="{00000000-0005-0000-0000-00003E410000}"/>
    <cellStyle name="Ergebnis 3 2 2 28" xfId="16703" xr:uid="{00000000-0005-0000-0000-00003F410000}"/>
    <cellStyle name="Ergebnis 3 2 2 29" xfId="16704" xr:uid="{00000000-0005-0000-0000-000040410000}"/>
    <cellStyle name="Ergebnis 3 2 2 3" xfId="16705" xr:uid="{00000000-0005-0000-0000-000041410000}"/>
    <cellStyle name="Ergebnis 3 2 2 30" xfId="16706" xr:uid="{00000000-0005-0000-0000-000042410000}"/>
    <cellStyle name="Ergebnis 3 2 2 31" xfId="16707" xr:uid="{00000000-0005-0000-0000-000043410000}"/>
    <cellStyle name="Ergebnis 3 2 2 32" xfId="16708" xr:uid="{00000000-0005-0000-0000-000044410000}"/>
    <cellStyle name="Ergebnis 3 2 2 33" xfId="16709" xr:uid="{00000000-0005-0000-0000-000045410000}"/>
    <cellStyle name="Ergebnis 3 2 2 34" xfId="16710" xr:uid="{00000000-0005-0000-0000-000046410000}"/>
    <cellStyle name="Ergebnis 3 2 2 35" xfId="16711" xr:uid="{00000000-0005-0000-0000-000047410000}"/>
    <cellStyle name="Ergebnis 3 2 2 36" xfId="16712" xr:uid="{00000000-0005-0000-0000-000048410000}"/>
    <cellStyle name="Ergebnis 3 2 2 37" xfId="16713" xr:uid="{00000000-0005-0000-0000-000049410000}"/>
    <cellStyle name="Ergebnis 3 2 2 38" xfId="16714" xr:uid="{00000000-0005-0000-0000-00004A410000}"/>
    <cellStyle name="Ergebnis 3 2 2 39" xfId="16715" xr:uid="{00000000-0005-0000-0000-00004B410000}"/>
    <cellStyle name="Ergebnis 3 2 2 4" xfId="16716" xr:uid="{00000000-0005-0000-0000-00004C410000}"/>
    <cellStyle name="Ergebnis 3 2 2 40" xfId="16717" xr:uid="{00000000-0005-0000-0000-00004D410000}"/>
    <cellStyle name="Ergebnis 3 2 2 41" xfId="16718" xr:uid="{00000000-0005-0000-0000-00004E410000}"/>
    <cellStyle name="Ergebnis 3 2 2 42" xfId="16719" xr:uid="{00000000-0005-0000-0000-00004F410000}"/>
    <cellStyle name="Ergebnis 3 2 2 43" xfId="16720" xr:uid="{00000000-0005-0000-0000-000050410000}"/>
    <cellStyle name="Ergebnis 3 2 2 44" xfId="16721" xr:uid="{00000000-0005-0000-0000-000051410000}"/>
    <cellStyle name="Ergebnis 3 2 2 45" xfId="16722" xr:uid="{00000000-0005-0000-0000-000052410000}"/>
    <cellStyle name="Ergebnis 3 2 2 46" xfId="16723" xr:uid="{00000000-0005-0000-0000-000053410000}"/>
    <cellStyle name="Ergebnis 3 2 2 47" xfId="16724" xr:uid="{00000000-0005-0000-0000-000054410000}"/>
    <cellStyle name="Ergebnis 3 2 2 48" xfId="16725" xr:uid="{00000000-0005-0000-0000-000055410000}"/>
    <cellStyle name="Ergebnis 3 2 2 49" xfId="16726" xr:uid="{00000000-0005-0000-0000-000056410000}"/>
    <cellStyle name="Ergebnis 3 2 2 5" xfId="16727" xr:uid="{00000000-0005-0000-0000-000057410000}"/>
    <cellStyle name="Ergebnis 3 2 2 50" xfId="16728" xr:uid="{00000000-0005-0000-0000-000058410000}"/>
    <cellStyle name="Ergebnis 3 2 2 51" xfId="16729" xr:uid="{00000000-0005-0000-0000-000059410000}"/>
    <cellStyle name="Ergebnis 3 2 2 52" xfId="16730" xr:uid="{00000000-0005-0000-0000-00005A410000}"/>
    <cellStyle name="Ergebnis 3 2 2 53" xfId="16731" xr:uid="{00000000-0005-0000-0000-00005B410000}"/>
    <cellStyle name="Ergebnis 3 2 2 54" xfId="16732" xr:uid="{00000000-0005-0000-0000-00005C410000}"/>
    <cellStyle name="Ergebnis 3 2 2 55" xfId="16733" xr:uid="{00000000-0005-0000-0000-00005D410000}"/>
    <cellStyle name="Ergebnis 3 2 2 56" xfId="16734" xr:uid="{00000000-0005-0000-0000-00005E410000}"/>
    <cellStyle name="Ergebnis 3 2 2 57" xfId="16735" xr:uid="{00000000-0005-0000-0000-00005F410000}"/>
    <cellStyle name="Ergebnis 3 2 2 58" xfId="16736" xr:uid="{00000000-0005-0000-0000-000060410000}"/>
    <cellStyle name="Ergebnis 3 2 2 59" xfId="16737" xr:uid="{00000000-0005-0000-0000-000061410000}"/>
    <cellStyle name="Ergebnis 3 2 2 6" xfId="16738" xr:uid="{00000000-0005-0000-0000-000062410000}"/>
    <cellStyle name="Ergebnis 3 2 2 60" xfId="16739" xr:uid="{00000000-0005-0000-0000-000063410000}"/>
    <cellStyle name="Ergebnis 3 2 2 61" xfId="16740" xr:uid="{00000000-0005-0000-0000-000064410000}"/>
    <cellStyle name="Ergebnis 3 2 2 62" xfId="16741" xr:uid="{00000000-0005-0000-0000-000065410000}"/>
    <cellStyle name="Ergebnis 3 2 2 63" xfId="16742" xr:uid="{00000000-0005-0000-0000-000066410000}"/>
    <cellStyle name="Ergebnis 3 2 2 64" xfId="16743" xr:uid="{00000000-0005-0000-0000-000067410000}"/>
    <cellStyle name="Ergebnis 3 2 2 65" xfId="16744" xr:uid="{00000000-0005-0000-0000-000068410000}"/>
    <cellStyle name="Ergebnis 3 2 2 7" xfId="16745" xr:uid="{00000000-0005-0000-0000-000069410000}"/>
    <cellStyle name="Ergebnis 3 2 2 8" xfId="16746" xr:uid="{00000000-0005-0000-0000-00006A410000}"/>
    <cellStyle name="Ergebnis 3 2 2 9" xfId="16747" xr:uid="{00000000-0005-0000-0000-00006B410000}"/>
    <cellStyle name="Ergebnis 3 2 20" xfId="16748" xr:uid="{00000000-0005-0000-0000-00006C410000}"/>
    <cellStyle name="Ergebnis 3 2 21" xfId="16749" xr:uid="{00000000-0005-0000-0000-00006D410000}"/>
    <cellStyle name="Ergebnis 3 2 22" xfId="16750" xr:uid="{00000000-0005-0000-0000-00006E410000}"/>
    <cellStyle name="Ergebnis 3 2 23" xfId="16751" xr:uid="{00000000-0005-0000-0000-00006F410000}"/>
    <cellStyle name="Ergebnis 3 2 24" xfId="16752" xr:uid="{00000000-0005-0000-0000-000070410000}"/>
    <cellStyle name="Ergebnis 3 2 25" xfId="16753" xr:uid="{00000000-0005-0000-0000-000071410000}"/>
    <cellStyle name="Ergebnis 3 2 26" xfId="16754" xr:uid="{00000000-0005-0000-0000-000072410000}"/>
    <cellStyle name="Ergebnis 3 2 27" xfId="16755" xr:uid="{00000000-0005-0000-0000-000073410000}"/>
    <cellStyle name="Ergebnis 3 2 28" xfId="16756" xr:uid="{00000000-0005-0000-0000-000074410000}"/>
    <cellStyle name="Ergebnis 3 2 29" xfId="16757" xr:uid="{00000000-0005-0000-0000-000075410000}"/>
    <cellStyle name="Ergebnis 3 2 3" xfId="16758" xr:uid="{00000000-0005-0000-0000-000076410000}"/>
    <cellStyle name="Ergebnis 3 2 30" xfId="16759" xr:uid="{00000000-0005-0000-0000-000077410000}"/>
    <cellStyle name="Ergebnis 3 2 31" xfId="16760" xr:uid="{00000000-0005-0000-0000-000078410000}"/>
    <cellStyle name="Ergebnis 3 2 32" xfId="16761" xr:uid="{00000000-0005-0000-0000-000079410000}"/>
    <cellStyle name="Ergebnis 3 2 33" xfId="16762" xr:uid="{00000000-0005-0000-0000-00007A410000}"/>
    <cellStyle name="Ergebnis 3 2 34" xfId="16763" xr:uid="{00000000-0005-0000-0000-00007B410000}"/>
    <cellStyle name="Ergebnis 3 2 35" xfId="16764" xr:uid="{00000000-0005-0000-0000-00007C410000}"/>
    <cellStyle name="Ergebnis 3 2 36" xfId="16765" xr:uid="{00000000-0005-0000-0000-00007D410000}"/>
    <cellStyle name="Ergebnis 3 2 37" xfId="16766" xr:uid="{00000000-0005-0000-0000-00007E410000}"/>
    <cellStyle name="Ergebnis 3 2 38" xfId="16767" xr:uid="{00000000-0005-0000-0000-00007F410000}"/>
    <cellStyle name="Ergebnis 3 2 39" xfId="16768" xr:uid="{00000000-0005-0000-0000-000080410000}"/>
    <cellStyle name="Ergebnis 3 2 4" xfId="16769" xr:uid="{00000000-0005-0000-0000-000081410000}"/>
    <cellStyle name="Ergebnis 3 2 40" xfId="16770" xr:uid="{00000000-0005-0000-0000-000082410000}"/>
    <cellStyle name="Ergebnis 3 2 41" xfId="16771" xr:uid="{00000000-0005-0000-0000-000083410000}"/>
    <cellStyle name="Ergebnis 3 2 42" xfId="16772" xr:uid="{00000000-0005-0000-0000-000084410000}"/>
    <cellStyle name="Ergebnis 3 2 43" xfId="16773" xr:uid="{00000000-0005-0000-0000-000085410000}"/>
    <cellStyle name="Ergebnis 3 2 44" xfId="16774" xr:uid="{00000000-0005-0000-0000-000086410000}"/>
    <cellStyle name="Ergebnis 3 2 45" xfId="16775" xr:uid="{00000000-0005-0000-0000-000087410000}"/>
    <cellStyle name="Ergebnis 3 2 46" xfId="16776" xr:uid="{00000000-0005-0000-0000-000088410000}"/>
    <cellStyle name="Ergebnis 3 2 47" xfId="16777" xr:uid="{00000000-0005-0000-0000-000089410000}"/>
    <cellStyle name="Ergebnis 3 2 48" xfId="16778" xr:uid="{00000000-0005-0000-0000-00008A410000}"/>
    <cellStyle name="Ergebnis 3 2 49" xfId="16779" xr:uid="{00000000-0005-0000-0000-00008B410000}"/>
    <cellStyle name="Ergebnis 3 2 5" xfId="16780" xr:uid="{00000000-0005-0000-0000-00008C410000}"/>
    <cellStyle name="Ergebnis 3 2 50" xfId="16781" xr:uid="{00000000-0005-0000-0000-00008D410000}"/>
    <cellStyle name="Ergebnis 3 2 51" xfId="16782" xr:uid="{00000000-0005-0000-0000-00008E410000}"/>
    <cellStyle name="Ergebnis 3 2 52" xfId="16783" xr:uid="{00000000-0005-0000-0000-00008F410000}"/>
    <cellStyle name="Ergebnis 3 2 53" xfId="16784" xr:uid="{00000000-0005-0000-0000-000090410000}"/>
    <cellStyle name="Ergebnis 3 2 54" xfId="16785" xr:uid="{00000000-0005-0000-0000-000091410000}"/>
    <cellStyle name="Ergebnis 3 2 55" xfId="16786" xr:uid="{00000000-0005-0000-0000-000092410000}"/>
    <cellStyle name="Ergebnis 3 2 56" xfId="16787" xr:uid="{00000000-0005-0000-0000-000093410000}"/>
    <cellStyle name="Ergebnis 3 2 57" xfId="16788" xr:uid="{00000000-0005-0000-0000-000094410000}"/>
    <cellStyle name="Ergebnis 3 2 58" xfId="16789" xr:uid="{00000000-0005-0000-0000-000095410000}"/>
    <cellStyle name="Ergebnis 3 2 59" xfId="16790" xr:uid="{00000000-0005-0000-0000-000096410000}"/>
    <cellStyle name="Ergebnis 3 2 6" xfId="16791" xr:uid="{00000000-0005-0000-0000-000097410000}"/>
    <cellStyle name="Ergebnis 3 2 60" xfId="16792" xr:uid="{00000000-0005-0000-0000-000098410000}"/>
    <cellStyle name="Ergebnis 3 2 61" xfId="16793" xr:uid="{00000000-0005-0000-0000-000099410000}"/>
    <cellStyle name="Ergebnis 3 2 62" xfId="16794" xr:uid="{00000000-0005-0000-0000-00009A410000}"/>
    <cellStyle name="Ergebnis 3 2 63" xfId="16795" xr:uid="{00000000-0005-0000-0000-00009B410000}"/>
    <cellStyle name="Ergebnis 3 2 64" xfId="16796" xr:uid="{00000000-0005-0000-0000-00009C410000}"/>
    <cellStyle name="Ergebnis 3 2 65" xfId="16797" xr:uid="{00000000-0005-0000-0000-00009D410000}"/>
    <cellStyle name="Ergebnis 3 2 66" xfId="16798" xr:uid="{00000000-0005-0000-0000-00009E410000}"/>
    <cellStyle name="Ergebnis 3 2 7" xfId="16799" xr:uid="{00000000-0005-0000-0000-00009F410000}"/>
    <cellStyle name="Ergebnis 3 2 8" xfId="16800" xr:uid="{00000000-0005-0000-0000-0000A0410000}"/>
    <cellStyle name="Ergebnis 3 2 9" xfId="16801" xr:uid="{00000000-0005-0000-0000-0000A1410000}"/>
    <cellStyle name="Ergebnis 3 20" xfId="16802" xr:uid="{00000000-0005-0000-0000-0000A2410000}"/>
    <cellStyle name="Ergebnis 3 21" xfId="16803" xr:uid="{00000000-0005-0000-0000-0000A3410000}"/>
    <cellStyle name="Ergebnis 3 22" xfId="16804" xr:uid="{00000000-0005-0000-0000-0000A4410000}"/>
    <cellStyle name="Ergebnis 3 23" xfId="16805" xr:uid="{00000000-0005-0000-0000-0000A5410000}"/>
    <cellStyle name="Ergebnis 3 24" xfId="16806" xr:uid="{00000000-0005-0000-0000-0000A6410000}"/>
    <cellStyle name="Ergebnis 3 25" xfId="16807" xr:uid="{00000000-0005-0000-0000-0000A7410000}"/>
    <cellStyle name="Ergebnis 3 26" xfId="16808" xr:uid="{00000000-0005-0000-0000-0000A8410000}"/>
    <cellStyle name="Ergebnis 3 27" xfId="16809" xr:uid="{00000000-0005-0000-0000-0000A9410000}"/>
    <cellStyle name="Ergebnis 3 28" xfId="16810" xr:uid="{00000000-0005-0000-0000-0000AA410000}"/>
    <cellStyle name="Ergebnis 3 29" xfId="16811" xr:uid="{00000000-0005-0000-0000-0000AB410000}"/>
    <cellStyle name="Ergebnis 3 3" xfId="16812" xr:uid="{00000000-0005-0000-0000-0000AC410000}"/>
    <cellStyle name="Ergebnis 3 3 10" xfId="16813" xr:uid="{00000000-0005-0000-0000-0000AD410000}"/>
    <cellStyle name="Ergebnis 3 3 11" xfId="16814" xr:uid="{00000000-0005-0000-0000-0000AE410000}"/>
    <cellStyle name="Ergebnis 3 3 12" xfId="16815" xr:uid="{00000000-0005-0000-0000-0000AF410000}"/>
    <cellStyle name="Ergebnis 3 3 13" xfId="16816" xr:uid="{00000000-0005-0000-0000-0000B0410000}"/>
    <cellStyle name="Ergebnis 3 3 14" xfId="16817" xr:uid="{00000000-0005-0000-0000-0000B1410000}"/>
    <cellStyle name="Ergebnis 3 3 15" xfId="16818" xr:uid="{00000000-0005-0000-0000-0000B2410000}"/>
    <cellStyle name="Ergebnis 3 3 16" xfId="16819" xr:uid="{00000000-0005-0000-0000-0000B3410000}"/>
    <cellStyle name="Ergebnis 3 3 17" xfId="16820" xr:uid="{00000000-0005-0000-0000-0000B4410000}"/>
    <cellStyle name="Ergebnis 3 3 18" xfId="16821" xr:uid="{00000000-0005-0000-0000-0000B5410000}"/>
    <cellStyle name="Ergebnis 3 3 19" xfId="16822" xr:uid="{00000000-0005-0000-0000-0000B6410000}"/>
    <cellStyle name="Ergebnis 3 3 2" xfId="16823" xr:uid="{00000000-0005-0000-0000-0000B7410000}"/>
    <cellStyle name="Ergebnis 3 3 2 10" xfId="16824" xr:uid="{00000000-0005-0000-0000-0000B8410000}"/>
    <cellStyle name="Ergebnis 3 3 2 11" xfId="16825" xr:uid="{00000000-0005-0000-0000-0000B9410000}"/>
    <cellStyle name="Ergebnis 3 3 2 12" xfId="16826" xr:uid="{00000000-0005-0000-0000-0000BA410000}"/>
    <cellStyle name="Ergebnis 3 3 2 13" xfId="16827" xr:uid="{00000000-0005-0000-0000-0000BB410000}"/>
    <cellStyle name="Ergebnis 3 3 2 14" xfId="16828" xr:uid="{00000000-0005-0000-0000-0000BC410000}"/>
    <cellStyle name="Ergebnis 3 3 2 15" xfId="16829" xr:uid="{00000000-0005-0000-0000-0000BD410000}"/>
    <cellStyle name="Ergebnis 3 3 2 16" xfId="16830" xr:uid="{00000000-0005-0000-0000-0000BE410000}"/>
    <cellStyle name="Ergebnis 3 3 2 17" xfId="16831" xr:uid="{00000000-0005-0000-0000-0000BF410000}"/>
    <cellStyle name="Ergebnis 3 3 2 18" xfId="16832" xr:uid="{00000000-0005-0000-0000-0000C0410000}"/>
    <cellStyle name="Ergebnis 3 3 2 19" xfId="16833" xr:uid="{00000000-0005-0000-0000-0000C1410000}"/>
    <cellStyle name="Ergebnis 3 3 2 2" xfId="16834" xr:uid="{00000000-0005-0000-0000-0000C2410000}"/>
    <cellStyle name="Ergebnis 3 3 2 20" xfId="16835" xr:uid="{00000000-0005-0000-0000-0000C3410000}"/>
    <cellStyle name="Ergebnis 3 3 2 21" xfId="16836" xr:uid="{00000000-0005-0000-0000-0000C4410000}"/>
    <cellStyle name="Ergebnis 3 3 2 22" xfId="16837" xr:uid="{00000000-0005-0000-0000-0000C5410000}"/>
    <cellStyle name="Ergebnis 3 3 2 23" xfId="16838" xr:uid="{00000000-0005-0000-0000-0000C6410000}"/>
    <cellStyle name="Ergebnis 3 3 2 24" xfId="16839" xr:uid="{00000000-0005-0000-0000-0000C7410000}"/>
    <cellStyle name="Ergebnis 3 3 2 25" xfId="16840" xr:uid="{00000000-0005-0000-0000-0000C8410000}"/>
    <cellStyle name="Ergebnis 3 3 2 26" xfId="16841" xr:uid="{00000000-0005-0000-0000-0000C9410000}"/>
    <cellStyle name="Ergebnis 3 3 2 27" xfId="16842" xr:uid="{00000000-0005-0000-0000-0000CA410000}"/>
    <cellStyle name="Ergebnis 3 3 2 28" xfId="16843" xr:uid="{00000000-0005-0000-0000-0000CB410000}"/>
    <cellStyle name="Ergebnis 3 3 2 29" xfId="16844" xr:uid="{00000000-0005-0000-0000-0000CC410000}"/>
    <cellStyle name="Ergebnis 3 3 2 3" xfId="16845" xr:uid="{00000000-0005-0000-0000-0000CD410000}"/>
    <cellStyle name="Ergebnis 3 3 2 30" xfId="16846" xr:uid="{00000000-0005-0000-0000-0000CE410000}"/>
    <cellStyle name="Ergebnis 3 3 2 31" xfId="16847" xr:uid="{00000000-0005-0000-0000-0000CF410000}"/>
    <cellStyle name="Ergebnis 3 3 2 32" xfId="16848" xr:uid="{00000000-0005-0000-0000-0000D0410000}"/>
    <cellStyle name="Ergebnis 3 3 2 33" xfId="16849" xr:uid="{00000000-0005-0000-0000-0000D1410000}"/>
    <cellStyle name="Ergebnis 3 3 2 34" xfId="16850" xr:uid="{00000000-0005-0000-0000-0000D2410000}"/>
    <cellStyle name="Ergebnis 3 3 2 35" xfId="16851" xr:uid="{00000000-0005-0000-0000-0000D3410000}"/>
    <cellStyle name="Ergebnis 3 3 2 36" xfId="16852" xr:uid="{00000000-0005-0000-0000-0000D4410000}"/>
    <cellStyle name="Ergebnis 3 3 2 37" xfId="16853" xr:uid="{00000000-0005-0000-0000-0000D5410000}"/>
    <cellStyle name="Ergebnis 3 3 2 38" xfId="16854" xr:uid="{00000000-0005-0000-0000-0000D6410000}"/>
    <cellStyle name="Ergebnis 3 3 2 39" xfId="16855" xr:uid="{00000000-0005-0000-0000-0000D7410000}"/>
    <cellStyle name="Ergebnis 3 3 2 4" xfId="16856" xr:uid="{00000000-0005-0000-0000-0000D8410000}"/>
    <cellStyle name="Ergebnis 3 3 2 40" xfId="16857" xr:uid="{00000000-0005-0000-0000-0000D9410000}"/>
    <cellStyle name="Ergebnis 3 3 2 41" xfId="16858" xr:uid="{00000000-0005-0000-0000-0000DA410000}"/>
    <cellStyle name="Ergebnis 3 3 2 42" xfId="16859" xr:uid="{00000000-0005-0000-0000-0000DB410000}"/>
    <cellStyle name="Ergebnis 3 3 2 43" xfId="16860" xr:uid="{00000000-0005-0000-0000-0000DC410000}"/>
    <cellStyle name="Ergebnis 3 3 2 44" xfId="16861" xr:uid="{00000000-0005-0000-0000-0000DD410000}"/>
    <cellStyle name="Ergebnis 3 3 2 45" xfId="16862" xr:uid="{00000000-0005-0000-0000-0000DE410000}"/>
    <cellStyle name="Ergebnis 3 3 2 46" xfId="16863" xr:uid="{00000000-0005-0000-0000-0000DF410000}"/>
    <cellStyle name="Ergebnis 3 3 2 47" xfId="16864" xr:uid="{00000000-0005-0000-0000-0000E0410000}"/>
    <cellStyle name="Ergebnis 3 3 2 48" xfId="16865" xr:uid="{00000000-0005-0000-0000-0000E1410000}"/>
    <cellStyle name="Ergebnis 3 3 2 49" xfId="16866" xr:uid="{00000000-0005-0000-0000-0000E2410000}"/>
    <cellStyle name="Ergebnis 3 3 2 5" xfId="16867" xr:uid="{00000000-0005-0000-0000-0000E3410000}"/>
    <cellStyle name="Ergebnis 3 3 2 50" xfId="16868" xr:uid="{00000000-0005-0000-0000-0000E4410000}"/>
    <cellStyle name="Ergebnis 3 3 2 51" xfId="16869" xr:uid="{00000000-0005-0000-0000-0000E5410000}"/>
    <cellStyle name="Ergebnis 3 3 2 52" xfId="16870" xr:uid="{00000000-0005-0000-0000-0000E6410000}"/>
    <cellStyle name="Ergebnis 3 3 2 53" xfId="16871" xr:uid="{00000000-0005-0000-0000-0000E7410000}"/>
    <cellStyle name="Ergebnis 3 3 2 54" xfId="16872" xr:uid="{00000000-0005-0000-0000-0000E8410000}"/>
    <cellStyle name="Ergebnis 3 3 2 55" xfId="16873" xr:uid="{00000000-0005-0000-0000-0000E9410000}"/>
    <cellStyle name="Ergebnis 3 3 2 56" xfId="16874" xr:uid="{00000000-0005-0000-0000-0000EA410000}"/>
    <cellStyle name="Ergebnis 3 3 2 57" xfId="16875" xr:uid="{00000000-0005-0000-0000-0000EB410000}"/>
    <cellStyle name="Ergebnis 3 3 2 58" xfId="16876" xr:uid="{00000000-0005-0000-0000-0000EC410000}"/>
    <cellStyle name="Ergebnis 3 3 2 59" xfId="16877" xr:uid="{00000000-0005-0000-0000-0000ED410000}"/>
    <cellStyle name="Ergebnis 3 3 2 6" xfId="16878" xr:uid="{00000000-0005-0000-0000-0000EE410000}"/>
    <cellStyle name="Ergebnis 3 3 2 60" xfId="16879" xr:uid="{00000000-0005-0000-0000-0000EF410000}"/>
    <cellStyle name="Ergebnis 3 3 2 61" xfId="16880" xr:uid="{00000000-0005-0000-0000-0000F0410000}"/>
    <cellStyle name="Ergebnis 3 3 2 62" xfId="16881" xr:uid="{00000000-0005-0000-0000-0000F1410000}"/>
    <cellStyle name="Ergebnis 3 3 2 63" xfId="16882" xr:uid="{00000000-0005-0000-0000-0000F2410000}"/>
    <cellStyle name="Ergebnis 3 3 2 64" xfId="16883" xr:uid="{00000000-0005-0000-0000-0000F3410000}"/>
    <cellStyle name="Ergebnis 3 3 2 65" xfId="16884" xr:uid="{00000000-0005-0000-0000-0000F4410000}"/>
    <cellStyle name="Ergebnis 3 3 2 7" xfId="16885" xr:uid="{00000000-0005-0000-0000-0000F5410000}"/>
    <cellStyle name="Ergebnis 3 3 2 8" xfId="16886" xr:uid="{00000000-0005-0000-0000-0000F6410000}"/>
    <cellStyle name="Ergebnis 3 3 2 9" xfId="16887" xr:uid="{00000000-0005-0000-0000-0000F7410000}"/>
    <cellStyle name="Ergebnis 3 3 20" xfId="16888" xr:uid="{00000000-0005-0000-0000-0000F8410000}"/>
    <cellStyle name="Ergebnis 3 3 21" xfId="16889" xr:uid="{00000000-0005-0000-0000-0000F9410000}"/>
    <cellStyle name="Ergebnis 3 3 22" xfId="16890" xr:uid="{00000000-0005-0000-0000-0000FA410000}"/>
    <cellStyle name="Ergebnis 3 3 23" xfId="16891" xr:uid="{00000000-0005-0000-0000-0000FB410000}"/>
    <cellStyle name="Ergebnis 3 3 24" xfId="16892" xr:uid="{00000000-0005-0000-0000-0000FC410000}"/>
    <cellStyle name="Ergebnis 3 3 25" xfId="16893" xr:uid="{00000000-0005-0000-0000-0000FD410000}"/>
    <cellStyle name="Ergebnis 3 3 26" xfId="16894" xr:uid="{00000000-0005-0000-0000-0000FE410000}"/>
    <cellStyle name="Ergebnis 3 3 27" xfId="16895" xr:uid="{00000000-0005-0000-0000-0000FF410000}"/>
    <cellStyle name="Ergebnis 3 3 28" xfId="16896" xr:uid="{00000000-0005-0000-0000-000000420000}"/>
    <cellStyle name="Ergebnis 3 3 29" xfId="16897" xr:uid="{00000000-0005-0000-0000-000001420000}"/>
    <cellStyle name="Ergebnis 3 3 3" xfId="16898" xr:uid="{00000000-0005-0000-0000-000002420000}"/>
    <cellStyle name="Ergebnis 3 3 30" xfId="16899" xr:uid="{00000000-0005-0000-0000-000003420000}"/>
    <cellStyle name="Ergebnis 3 3 31" xfId="16900" xr:uid="{00000000-0005-0000-0000-000004420000}"/>
    <cellStyle name="Ergebnis 3 3 32" xfId="16901" xr:uid="{00000000-0005-0000-0000-000005420000}"/>
    <cellStyle name="Ergebnis 3 3 33" xfId="16902" xr:uid="{00000000-0005-0000-0000-000006420000}"/>
    <cellStyle name="Ergebnis 3 3 34" xfId="16903" xr:uid="{00000000-0005-0000-0000-000007420000}"/>
    <cellStyle name="Ergebnis 3 3 35" xfId="16904" xr:uid="{00000000-0005-0000-0000-000008420000}"/>
    <cellStyle name="Ergebnis 3 3 36" xfId="16905" xr:uid="{00000000-0005-0000-0000-000009420000}"/>
    <cellStyle name="Ergebnis 3 3 37" xfId="16906" xr:uid="{00000000-0005-0000-0000-00000A420000}"/>
    <cellStyle name="Ergebnis 3 3 38" xfId="16907" xr:uid="{00000000-0005-0000-0000-00000B420000}"/>
    <cellStyle name="Ergebnis 3 3 39" xfId="16908" xr:uid="{00000000-0005-0000-0000-00000C420000}"/>
    <cellStyle name="Ergebnis 3 3 4" xfId="16909" xr:uid="{00000000-0005-0000-0000-00000D420000}"/>
    <cellStyle name="Ergebnis 3 3 40" xfId="16910" xr:uid="{00000000-0005-0000-0000-00000E420000}"/>
    <cellStyle name="Ergebnis 3 3 41" xfId="16911" xr:uid="{00000000-0005-0000-0000-00000F420000}"/>
    <cellStyle name="Ergebnis 3 3 42" xfId="16912" xr:uid="{00000000-0005-0000-0000-000010420000}"/>
    <cellStyle name="Ergebnis 3 3 43" xfId="16913" xr:uid="{00000000-0005-0000-0000-000011420000}"/>
    <cellStyle name="Ergebnis 3 3 44" xfId="16914" xr:uid="{00000000-0005-0000-0000-000012420000}"/>
    <cellStyle name="Ergebnis 3 3 45" xfId="16915" xr:uid="{00000000-0005-0000-0000-000013420000}"/>
    <cellStyle name="Ergebnis 3 3 46" xfId="16916" xr:uid="{00000000-0005-0000-0000-000014420000}"/>
    <cellStyle name="Ergebnis 3 3 47" xfId="16917" xr:uid="{00000000-0005-0000-0000-000015420000}"/>
    <cellStyle name="Ergebnis 3 3 48" xfId="16918" xr:uid="{00000000-0005-0000-0000-000016420000}"/>
    <cellStyle name="Ergebnis 3 3 49" xfId="16919" xr:uid="{00000000-0005-0000-0000-000017420000}"/>
    <cellStyle name="Ergebnis 3 3 5" xfId="16920" xr:uid="{00000000-0005-0000-0000-000018420000}"/>
    <cellStyle name="Ergebnis 3 3 50" xfId="16921" xr:uid="{00000000-0005-0000-0000-000019420000}"/>
    <cellStyle name="Ergebnis 3 3 51" xfId="16922" xr:uid="{00000000-0005-0000-0000-00001A420000}"/>
    <cellStyle name="Ergebnis 3 3 52" xfId="16923" xr:uid="{00000000-0005-0000-0000-00001B420000}"/>
    <cellStyle name="Ergebnis 3 3 53" xfId="16924" xr:uid="{00000000-0005-0000-0000-00001C420000}"/>
    <cellStyle name="Ergebnis 3 3 54" xfId="16925" xr:uid="{00000000-0005-0000-0000-00001D420000}"/>
    <cellStyle name="Ergebnis 3 3 55" xfId="16926" xr:uid="{00000000-0005-0000-0000-00001E420000}"/>
    <cellStyle name="Ergebnis 3 3 56" xfId="16927" xr:uid="{00000000-0005-0000-0000-00001F420000}"/>
    <cellStyle name="Ergebnis 3 3 57" xfId="16928" xr:uid="{00000000-0005-0000-0000-000020420000}"/>
    <cellStyle name="Ergebnis 3 3 58" xfId="16929" xr:uid="{00000000-0005-0000-0000-000021420000}"/>
    <cellStyle name="Ergebnis 3 3 59" xfId="16930" xr:uid="{00000000-0005-0000-0000-000022420000}"/>
    <cellStyle name="Ergebnis 3 3 6" xfId="16931" xr:uid="{00000000-0005-0000-0000-000023420000}"/>
    <cellStyle name="Ergebnis 3 3 60" xfId="16932" xr:uid="{00000000-0005-0000-0000-000024420000}"/>
    <cellStyle name="Ergebnis 3 3 61" xfId="16933" xr:uid="{00000000-0005-0000-0000-000025420000}"/>
    <cellStyle name="Ergebnis 3 3 62" xfId="16934" xr:uid="{00000000-0005-0000-0000-000026420000}"/>
    <cellStyle name="Ergebnis 3 3 63" xfId="16935" xr:uid="{00000000-0005-0000-0000-000027420000}"/>
    <cellStyle name="Ergebnis 3 3 64" xfId="16936" xr:uid="{00000000-0005-0000-0000-000028420000}"/>
    <cellStyle name="Ergebnis 3 3 65" xfId="16937" xr:uid="{00000000-0005-0000-0000-000029420000}"/>
    <cellStyle name="Ergebnis 3 3 66" xfId="16938" xr:uid="{00000000-0005-0000-0000-00002A420000}"/>
    <cellStyle name="Ergebnis 3 3 7" xfId="16939" xr:uid="{00000000-0005-0000-0000-00002B420000}"/>
    <cellStyle name="Ergebnis 3 3 8" xfId="16940" xr:uid="{00000000-0005-0000-0000-00002C420000}"/>
    <cellStyle name="Ergebnis 3 3 9" xfId="16941" xr:uid="{00000000-0005-0000-0000-00002D420000}"/>
    <cellStyle name="Ergebnis 3 30" xfId="16942" xr:uid="{00000000-0005-0000-0000-00002E420000}"/>
    <cellStyle name="Ergebnis 3 31" xfId="16943" xr:uid="{00000000-0005-0000-0000-00002F420000}"/>
    <cellStyle name="Ergebnis 3 32" xfId="16944" xr:uid="{00000000-0005-0000-0000-000030420000}"/>
    <cellStyle name="Ergebnis 3 33" xfId="16945" xr:uid="{00000000-0005-0000-0000-000031420000}"/>
    <cellStyle name="Ergebnis 3 34" xfId="16946" xr:uid="{00000000-0005-0000-0000-000032420000}"/>
    <cellStyle name="Ergebnis 3 35" xfId="16947" xr:uid="{00000000-0005-0000-0000-000033420000}"/>
    <cellStyle name="Ergebnis 3 36" xfId="16948" xr:uid="{00000000-0005-0000-0000-000034420000}"/>
    <cellStyle name="Ergebnis 3 37" xfId="16949" xr:uid="{00000000-0005-0000-0000-000035420000}"/>
    <cellStyle name="Ergebnis 3 38" xfId="16950" xr:uid="{00000000-0005-0000-0000-000036420000}"/>
    <cellStyle name="Ergebnis 3 39" xfId="16951" xr:uid="{00000000-0005-0000-0000-000037420000}"/>
    <cellStyle name="Ergebnis 3 4" xfId="16952" xr:uid="{00000000-0005-0000-0000-000038420000}"/>
    <cellStyle name="Ergebnis 3 4 10" xfId="16953" xr:uid="{00000000-0005-0000-0000-000039420000}"/>
    <cellStyle name="Ergebnis 3 4 11" xfId="16954" xr:uid="{00000000-0005-0000-0000-00003A420000}"/>
    <cellStyle name="Ergebnis 3 4 12" xfId="16955" xr:uid="{00000000-0005-0000-0000-00003B420000}"/>
    <cellStyle name="Ergebnis 3 4 13" xfId="16956" xr:uid="{00000000-0005-0000-0000-00003C420000}"/>
    <cellStyle name="Ergebnis 3 4 14" xfId="16957" xr:uid="{00000000-0005-0000-0000-00003D420000}"/>
    <cellStyle name="Ergebnis 3 4 15" xfId="16958" xr:uid="{00000000-0005-0000-0000-00003E420000}"/>
    <cellStyle name="Ergebnis 3 4 16" xfId="16959" xr:uid="{00000000-0005-0000-0000-00003F420000}"/>
    <cellStyle name="Ergebnis 3 4 17" xfId="16960" xr:uid="{00000000-0005-0000-0000-000040420000}"/>
    <cellStyle name="Ergebnis 3 4 18" xfId="16961" xr:uid="{00000000-0005-0000-0000-000041420000}"/>
    <cellStyle name="Ergebnis 3 4 19" xfId="16962" xr:uid="{00000000-0005-0000-0000-000042420000}"/>
    <cellStyle name="Ergebnis 3 4 2" xfId="16963" xr:uid="{00000000-0005-0000-0000-000043420000}"/>
    <cellStyle name="Ergebnis 3 4 2 10" xfId="16964" xr:uid="{00000000-0005-0000-0000-000044420000}"/>
    <cellStyle name="Ergebnis 3 4 2 11" xfId="16965" xr:uid="{00000000-0005-0000-0000-000045420000}"/>
    <cellStyle name="Ergebnis 3 4 2 12" xfId="16966" xr:uid="{00000000-0005-0000-0000-000046420000}"/>
    <cellStyle name="Ergebnis 3 4 2 13" xfId="16967" xr:uid="{00000000-0005-0000-0000-000047420000}"/>
    <cellStyle name="Ergebnis 3 4 2 14" xfId="16968" xr:uid="{00000000-0005-0000-0000-000048420000}"/>
    <cellStyle name="Ergebnis 3 4 2 15" xfId="16969" xr:uid="{00000000-0005-0000-0000-000049420000}"/>
    <cellStyle name="Ergebnis 3 4 2 16" xfId="16970" xr:uid="{00000000-0005-0000-0000-00004A420000}"/>
    <cellStyle name="Ergebnis 3 4 2 17" xfId="16971" xr:uid="{00000000-0005-0000-0000-00004B420000}"/>
    <cellStyle name="Ergebnis 3 4 2 18" xfId="16972" xr:uid="{00000000-0005-0000-0000-00004C420000}"/>
    <cellStyle name="Ergebnis 3 4 2 19" xfId="16973" xr:uid="{00000000-0005-0000-0000-00004D420000}"/>
    <cellStyle name="Ergebnis 3 4 2 2" xfId="16974" xr:uid="{00000000-0005-0000-0000-00004E420000}"/>
    <cellStyle name="Ergebnis 3 4 2 20" xfId="16975" xr:uid="{00000000-0005-0000-0000-00004F420000}"/>
    <cellStyle name="Ergebnis 3 4 2 21" xfId="16976" xr:uid="{00000000-0005-0000-0000-000050420000}"/>
    <cellStyle name="Ergebnis 3 4 2 22" xfId="16977" xr:uid="{00000000-0005-0000-0000-000051420000}"/>
    <cellStyle name="Ergebnis 3 4 2 23" xfId="16978" xr:uid="{00000000-0005-0000-0000-000052420000}"/>
    <cellStyle name="Ergebnis 3 4 2 24" xfId="16979" xr:uid="{00000000-0005-0000-0000-000053420000}"/>
    <cellStyle name="Ergebnis 3 4 2 25" xfId="16980" xr:uid="{00000000-0005-0000-0000-000054420000}"/>
    <cellStyle name="Ergebnis 3 4 2 26" xfId="16981" xr:uid="{00000000-0005-0000-0000-000055420000}"/>
    <cellStyle name="Ergebnis 3 4 2 27" xfId="16982" xr:uid="{00000000-0005-0000-0000-000056420000}"/>
    <cellStyle name="Ergebnis 3 4 2 28" xfId="16983" xr:uid="{00000000-0005-0000-0000-000057420000}"/>
    <cellStyle name="Ergebnis 3 4 2 29" xfId="16984" xr:uid="{00000000-0005-0000-0000-000058420000}"/>
    <cellStyle name="Ergebnis 3 4 2 3" xfId="16985" xr:uid="{00000000-0005-0000-0000-000059420000}"/>
    <cellStyle name="Ergebnis 3 4 2 30" xfId="16986" xr:uid="{00000000-0005-0000-0000-00005A420000}"/>
    <cellStyle name="Ergebnis 3 4 2 31" xfId="16987" xr:uid="{00000000-0005-0000-0000-00005B420000}"/>
    <cellStyle name="Ergebnis 3 4 2 32" xfId="16988" xr:uid="{00000000-0005-0000-0000-00005C420000}"/>
    <cellStyle name="Ergebnis 3 4 2 33" xfId="16989" xr:uid="{00000000-0005-0000-0000-00005D420000}"/>
    <cellStyle name="Ergebnis 3 4 2 34" xfId="16990" xr:uid="{00000000-0005-0000-0000-00005E420000}"/>
    <cellStyle name="Ergebnis 3 4 2 35" xfId="16991" xr:uid="{00000000-0005-0000-0000-00005F420000}"/>
    <cellStyle name="Ergebnis 3 4 2 36" xfId="16992" xr:uid="{00000000-0005-0000-0000-000060420000}"/>
    <cellStyle name="Ergebnis 3 4 2 37" xfId="16993" xr:uid="{00000000-0005-0000-0000-000061420000}"/>
    <cellStyle name="Ergebnis 3 4 2 38" xfId="16994" xr:uid="{00000000-0005-0000-0000-000062420000}"/>
    <cellStyle name="Ergebnis 3 4 2 39" xfId="16995" xr:uid="{00000000-0005-0000-0000-000063420000}"/>
    <cellStyle name="Ergebnis 3 4 2 4" xfId="16996" xr:uid="{00000000-0005-0000-0000-000064420000}"/>
    <cellStyle name="Ergebnis 3 4 2 40" xfId="16997" xr:uid="{00000000-0005-0000-0000-000065420000}"/>
    <cellStyle name="Ergebnis 3 4 2 41" xfId="16998" xr:uid="{00000000-0005-0000-0000-000066420000}"/>
    <cellStyle name="Ergebnis 3 4 2 42" xfId="16999" xr:uid="{00000000-0005-0000-0000-000067420000}"/>
    <cellStyle name="Ergebnis 3 4 2 43" xfId="17000" xr:uid="{00000000-0005-0000-0000-000068420000}"/>
    <cellStyle name="Ergebnis 3 4 2 44" xfId="17001" xr:uid="{00000000-0005-0000-0000-000069420000}"/>
    <cellStyle name="Ergebnis 3 4 2 45" xfId="17002" xr:uid="{00000000-0005-0000-0000-00006A420000}"/>
    <cellStyle name="Ergebnis 3 4 2 46" xfId="17003" xr:uid="{00000000-0005-0000-0000-00006B420000}"/>
    <cellStyle name="Ergebnis 3 4 2 47" xfId="17004" xr:uid="{00000000-0005-0000-0000-00006C420000}"/>
    <cellStyle name="Ergebnis 3 4 2 48" xfId="17005" xr:uid="{00000000-0005-0000-0000-00006D420000}"/>
    <cellStyle name="Ergebnis 3 4 2 49" xfId="17006" xr:uid="{00000000-0005-0000-0000-00006E420000}"/>
    <cellStyle name="Ergebnis 3 4 2 5" xfId="17007" xr:uid="{00000000-0005-0000-0000-00006F420000}"/>
    <cellStyle name="Ergebnis 3 4 2 50" xfId="17008" xr:uid="{00000000-0005-0000-0000-000070420000}"/>
    <cellStyle name="Ergebnis 3 4 2 51" xfId="17009" xr:uid="{00000000-0005-0000-0000-000071420000}"/>
    <cellStyle name="Ergebnis 3 4 2 52" xfId="17010" xr:uid="{00000000-0005-0000-0000-000072420000}"/>
    <cellStyle name="Ergebnis 3 4 2 53" xfId="17011" xr:uid="{00000000-0005-0000-0000-000073420000}"/>
    <cellStyle name="Ergebnis 3 4 2 54" xfId="17012" xr:uid="{00000000-0005-0000-0000-000074420000}"/>
    <cellStyle name="Ergebnis 3 4 2 55" xfId="17013" xr:uid="{00000000-0005-0000-0000-000075420000}"/>
    <cellStyle name="Ergebnis 3 4 2 56" xfId="17014" xr:uid="{00000000-0005-0000-0000-000076420000}"/>
    <cellStyle name="Ergebnis 3 4 2 57" xfId="17015" xr:uid="{00000000-0005-0000-0000-000077420000}"/>
    <cellStyle name="Ergebnis 3 4 2 58" xfId="17016" xr:uid="{00000000-0005-0000-0000-000078420000}"/>
    <cellStyle name="Ergebnis 3 4 2 59" xfId="17017" xr:uid="{00000000-0005-0000-0000-000079420000}"/>
    <cellStyle name="Ergebnis 3 4 2 6" xfId="17018" xr:uid="{00000000-0005-0000-0000-00007A420000}"/>
    <cellStyle name="Ergebnis 3 4 2 60" xfId="17019" xr:uid="{00000000-0005-0000-0000-00007B420000}"/>
    <cellStyle name="Ergebnis 3 4 2 61" xfId="17020" xr:uid="{00000000-0005-0000-0000-00007C420000}"/>
    <cellStyle name="Ergebnis 3 4 2 62" xfId="17021" xr:uid="{00000000-0005-0000-0000-00007D420000}"/>
    <cellStyle name="Ergebnis 3 4 2 63" xfId="17022" xr:uid="{00000000-0005-0000-0000-00007E420000}"/>
    <cellStyle name="Ergebnis 3 4 2 64" xfId="17023" xr:uid="{00000000-0005-0000-0000-00007F420000}"/>
    <cellStyle name="Ergebnis 3 4 2 65" xfId="17024" xr:uid="{00000000-0005-0000-0000-000080420000}"/>
    <cellStyle name="Ergebnis 3 4 2 7" xfId="17025" xr:uid="{00000000-0005-0000-0000-000081420000}"/>
    <cellStyle name="Ergebnis 3 4 2 8" xfId="17026" xr:uid="{00000000-0005-0000-0000-000082420000}"/>
    <cellStyle name="Ergebnis 3 4 2 9" xfId="17027" xr:uid="{00000000-0005-0000-0000-000083420000}"/>
    <cellStyle name="Ergebnis 3 4 20" xfId="17028" xr:uid="{00000000-0005-0000-0000-000084420000}"/>
    <cellStyle name="Ergebnis 3 4 21" xfId="17029" xr:uid="{00000000-0005-0000-0000-000085420000}"/>
    <cellStyle name="Ergebnis 3 4 22" xfId="17030" xr:uid="{00000000-0005-0000-0000-000086420000}"/>
    <cellStyle name="Ergebnis 3 4 23" xfId="17031" xr:uid="{00000000-0005-0000-0000-000087420000}"/>
    <cellStyle name="Ergebnis 3 4 24" xfId="17032" xr:uid="{00000000-0005-0000-0000-000088420000}"/>
    <cellStyle name="Ergebnis 3 4 25" xfId="17033" xr:uid="{00000000-0005-0000-0000-000089420000}"/>
    <cellStyle name="Ergebnis 3 4 26" xfId="17034" xr:uid="{00000000-0005-0000-0000-00008A420000}"/>
    <cellStyle name="Ergebnis 3 4 27" xfId="17035" xr:uid="{00000000-0005-0000-0000-00008B420000}"/>
    <cellStyle name="Ergebnis 3 4 28" xfId="17036" xr:uid="{00000000-0005-0000-0000-00008C420000}"/>
    <cellStyle name="Ergebnis 3 4 29" xfId="17037" xr:uid="{00000000-0005-0000-0000-00008D420000}"/>
    <cellStyle name="Ergebnis 3 4 3" xfId="17038" xr:uid="{00000000-0005-0000-0000-00008E420000}"/>
    <cellStyle name="Ergebnis 3 4 30" xfId="17039" xr:uid="{00000000-0005-0000-0000-00008F420000}"/>
    <cellStyle name="Ergebnis 3 4 31" xfId="17040" xr:uid="{00000000-0005-0000-0000-000090420000}"/>
    <cellStyle name="Ergebnis 3 4 32" xfId="17041" xr:uid="{00000000-0005-0000-0000-000091420000}"/>
    <cellStyle name="Ergebnis 3 4 33" xfId="17042" xr:uid="{00000000-0005-0000-0000-000092420000}"/>
    <cellStyle name="Ergebnis 3 4 34" xfId="17043" xr:uid="{00000000-0005-0000-0000-000093420000}"/>
    <cellStyle name="Ergebnis 3 4 35" xfId="17044" xr:uid="{00000000-0005-0000-0000-000094420000}"/>
    <cellStyle name="Ergebnis 3 4 36" xfId="17045" xr:uid="{00000000-0005-0000-0000-000095420000}"/>
    <cellStyle name="Ergebnis 3 4 37" xfId="17046" xr:uid="{00000000-0005-0000-0000-000096420000}"/>
    <cellStyle name="Ergebnis 3 4 38" xfId="17047" xr:uid="{00000000-0005-0000-0000-000097420000}"/>
    <cellStyle name="Ergebnis 3 4 39" xfId="17048" xr:uid="{00000000-0005-0000-0000-000098420000}"/>
    <cellStyle name="Ergebnis 3 4 4" xfId="17049" xr:uid="{00000000-0005-0000-0000-000099420000}"/>
    <cellStyle name="Ergebnis 3 4 40" xfId="17050" xr:uid="{00000000-0005-0000-0000-00009A420000}"/>
    <cellStyle name="Ergebnis 3 4 41" xfId="17051" xr:uid="{00000000-0005-0000-0000-00009B420000}"/>
    <cellStyle name="Ergebnis 3 4 42" xfId="17052" xr:uid="{00000000-0005-0000-0000-00009C420000}"/>
    <cellStyle name="Ergebnis 3 4 43" xfId="17053" xr:uid="{00000000-0005-0000-0000-00009D420000}"/>
    <cellStyle name="Ergebnis 3 4 44" xfId="17054" xr:uid="{00000000-0005-0000-0000-00009E420000}"/>
    <cellStyle name="Ergebnis 3 4 45" xfId="17055" xr:uid="{00000000-0005-0000-0000-00009F420000}"/>
    <cellStyle name="Ergebnis 3 4 46" xfId="17056" xr:uid="{00000000-0005-0000-0000-0000A0420000}"/>
    <cellStyle name="Ergebnis 3 4 47" xfId="17057" xr:uid="{00000000-0005-0000-0000-0000A1420000}"/>
    <cellStyle name="Ergebnis 3 4 48" xfId="17058" xr:uid="{00000000-0005-0000-0000-0000A2420000}"/>
    <cellStyle name="Ergebnis 3 4 49" xfId="17059" xr:uid="{00000000-0005-0000-0000-0000A3420000}"/>
    <cellStyle name="Ergebnis 3 4 5" xfId="17060" xr:uid="{00000000-0005-0000-0000-0000A4420000}"/>
    <cellStyle name="Ergebnis 3 4 50" xfId="17061" xr:uid="{00000000-0005-0000-0000-0000A5420000}"/>
    <cellStyle name="Ergebnis 3 4 51" xfId="17062" xr:uid="{00000000-0005-0000-0000-0000A6420000}"/>
    <cellStyle name="Ergebnis 3 4 52" xfId="17063" xr:uid="{00000000-0005-0000-0000-0000A7420000}"/>
    <cellStyle name="Ergebnis 3 4 53" xfId="17064" xr:uid="{00000000-0005-0000-0000-0000A8420000}"/>
    <cellStyle name="Ergebnis 3 4 54" xfId="17065" xr:uid="{00000000-0005-0000-0000-0000A9420000}"/>
    <cellStyle name="Ergebnis 3 4 55" xfId="17066" xr:uid="{00000000-0005-0000-0000-0000AA420000}"/>
    <cellStyle name="Ergebnis 3 4 56" xfId="17067" xr:uid="{00000000-0005-0000-0000-0000AB420000}"/>
    <cellStyle name="Ergebnis 3 4 57" xfId="17068" xr:uid="{00000000-0005-0000-0000-0000AC420000}"/>
    <cellStyle name="Ergebnis 3 4 58" xfId="17069" xr:uid="{00000000-0005-0000-0000-0000AD420000}"/>
    <cellStyle name="Ergebnis 3 4 59" xfId="17070" xr:uid="{00000000-0005-0000-0000-0000AE420000}"/>
    <cellStyle name="Ergebnis 3 4 6" xfId="17071" xr:uid="{00000000-0005-0000-0000-0000AF420000}"/>
    <cellStyle name="Ergebnis 3 4 60" xfId="17072" xr:uid="{00000000-0005-0000-0000-0000B0420000}"/>
    <cellStyle name="Ergebnis 3 4 61" xfId="17073" xr:uid="{00000000-0005-0000-0000-0000B1420000}"/>
    <cellStyle name="Ergebnis 3 4 62" xfId="17074" xr:uid="{00000000-0005-0000-0000-0000B2420000}"/>
    <cellStyle name="Ergebnis 3 4 63" xfId="17075" xr:uid="{00000000-0005-0000-0000-0000B3420000}"/>
    <cellStyle name="Ergebnis 3 4 64" xfId="17076" xr:uid="{00000000-0005-0000-0000-0000B4420000}"/>
    <cellStyle name="Ergebnis 3 4 65" xfId="17077" xr:uid="{00000000-0005-0000-0000-0000B5420000}"/>
    <cellStyle name="Ergebnis 3 4 66" xfId="17078" xr:uid="{00000000-0005-0000-0000-0000B6420000}"/>
    <cellStyle name="Ergebnis 3 4 7" xfId="17079" xr:uid="{00000000-0005-0000-0000-0000B7420000}"/>
    <cellStyle name="Ergebnis 3 4 8" xfId="17080" xr:uid="{00000000-0005-0000-0000-0000B8420000}"/>
    <cellStyle name="Ergebnis 3 4 9" xfId="17081" xr:uid="{00000000-0005-0000-0000-0000B9420000}"/>
    <cellStyle name="Ergebnis 3 40" xfId="17082" xr:uid="{00000000-0005-0000-0000-0000BA420000}"/>
    <cellStyle name="Ergebnis 3 41" xfId="17083" xr:uid="{00000000-0005-0000-0000-0000BB420000}"/>
    <cellStyle name="Ergebnis 3 42" xfId="17084" xr:uid="{00000000-0005-0000-0000-0000BC420000}"/>
    <cellStyle name="Ergebnis 3 43" xfId="17085" xr:uid="{00000000-0005-0000-0000-0000BD420000}"/>
    <cellStyle name="Ergebnis 3 44" xfId="17086" xr:uid="{00000000-0005-0000-0000-0000BE420000}"/>
    <cellStyle name="Ergebnis 3 45" xfId="17087" xr:uid="{00000000-0005-0000-0000-0000BF420000}"/>
    <cellStyle name="Ergebnis 3 46" xfId="17088" xr:uid="{00000000-0005-0000-0000-0000C0420000}"/>
    <cellStyle name="Ergebnis 3 47" xfId="17089" xr:uid="{00000000-0005-0000-0000-0000C1420000}"/>
    <cellStyle name="Ergebnis 3 48" xfId="17090" xr:uid="{00000000-0005-0000-0000-0000C2420000}"/>
    <cellStyle name="Ergebnis 3 49" xfId="17091" xr:uid="{00000000-0005-0000-0000-0000C3420000}"/>
    <cellStyle name="Ergebnis 3 5" xfId="17092" xr:uid="{00000000-0005-0000-0000-0000C4420000}"/>
    <cellStyle name="Ergebnis 3 5 10" xfId="17093" xr:uid="{00000000-0005-0000-0000-0000C5420000}"/>
    <cellStyle name="Ergebnis 3 5 11" xfId="17094" xr:uid="{00000000-0005-0000-0000-0000C6420000}"/>
    <cellStyle name="Ergebnis 3 5 12" xfId="17095" xr:uid="{00000000-0005-0000-0000-0000C7420000}"/>
    <cellStyle name="Ergebnis 3 5 13" xfId="17096" xr:uid="{00000000-0005-0000-0000-0000C8420000}"/>
    <cellStyle name="Ergebnis 3 5 14" xfId="17097" xr:uid="{00000000-0005-0000-0000-0000C9420000}"/>
    <cellStyle name="Ergebnis 3 5 15" xfId="17098" xr:uid="{00000000-0005-0000-0000-0000CA420000}"/>
    <cellStyle name="Ergebnis 3 5 16" xfId="17099" xr:uid="{00000000-0005-0000-0000-0000CB420000}"/>
    <cellStyle name="Ergebnis 3 5 17" xfId="17100" xr:uid="{00000000-0005-0000-0000-0000CC420000}"/>
    <cellStyle name="Ergebnis 3 5 18" xfId="17101" xr:uid="{00000000-0005-0000-0000-0000CD420000}"/>
    <cellStyle name="Ergebnis 3 5 19" xfId="17102" xr:uid="{00000000-0005-0000-0000-0000CE420000}"/>
    <cellStyle name="Ergebnis 3 5 2" xfId="17103" xr:uid="{00000000-0005-0000-0000-0000CF420000}"/>
    <cellStyle name="Ergebnis 3 5 20" xfId="17104" xr:uid="{00000000-0005-0000-0000-0000D0420000}"/>
    <cellStyle name="Ergebnis 3 5 21" xfId="17105" xr:uid="{00000000-0005-0000-0000-0000D1420000}"/>
    <cellStyle name="Ergebnis 3 5 22" xfId="17106" xr:uid="{00000000-0005-0000-0000-0000D2420000}"/>
    <cellStyle name="Ergebnis 3 5 23" xfId="17107" xr:uid="{00000000-0005-0000-0000-0000D3420000}"/>
    <cellStyle name="Ergebnis 3 5 24" xfId="17108" xr:uid="{00000000-0005-0000-0000-0000D4420000}"/>
    <cellStyle name="Ergebnis 3 5 25" xfId="17109" xr:uid="{00000000-0005-0000-0000-0000D5420000}"/>
    <cellStyle name="Ergebnis 3 5 26" xfId="17110" xr:uid="{00000000-0005-0000-0000-0000D6420000}"/>
    <cellStyle name="Ergebnis 3 5 27" xfId="17111" xr:uid="{00000000-0005-0000-0000-0000D7420000}"/>
    <cellStyle name="Ergebnis 3 5 28" xfId="17112" xr:uid="{00000000-0005-0000-0000-0000D8420000}"/>
    <cellStyle name="Ergebnis 3 5 29" xfId="17113" xr:uid="{00000000-0005-0000-0000-0000D9420000}"/>
    <cellStyle name="Ergebnis 3 5 3" xfId="17114" xr:uid="{00000000-0005-0000-0000-0000DA420000}"/>
    <cellStyle name="Ergebnis 3 5 30" xfId="17115" xr:uid="{00000000-0005-0000-0000-0000DB420000}"/>
    <cellStyle name="Ergebnis 3 5 31" xfId="17116" xr:uid="{00000000-0005-0000-0000-0000DC420000}"/>
    <cellStyle name="Ergebnis 3 5 32" xfId="17117" xr:uid="{00000000-0005-0000-0000-0000DD420000}"/>
    <cellStyle name="Ergebnis 3 5 33" xfId="17118" xr:uid="{00000000-0005-0000-0000-0000DE420000}"/>
    <cellStyle name="Ergebnis 3 5 34" xfId="17119" xr:uid="{00000000-0005-0000-0000-0000DF420000}"/>
    <cellStyle name="Ergebnis 3 5 35" xfId="17120" xr:uid="{00000000-0005-0000-0000-0000E0420000}"/>
    <cellStyle name="Ergebnis 3 5 36" xfId="17121" xr:uid="{00000000-0005-0000-0000-0000E1420000}"/>
    <cellStyle name="Ergebnis 3 5 37" xfId="17122" xr:uid="{00000000-0005-0000-0000-0000E2420000}"/>
    <cellStyle name="Ergebnis 3 5 38" xfId="17123" xr:uid="{00000000-0005-0000-0000-0000E3420000}"/>
    <cellStyle name="Ergebnis 3 5 39" xfId="17124" xr:uid="{00000000-0005-0000-0000-0000E4420000}"/>
    <cellStyle name="Ergebnis 3 5 4" xfId="17125" xr:uid="{00000000-0005-0000-0000-0000E5420000}"/>
    <cellStyle name="Ergebnis 3 5 40" xfId="17126" xr:uid="{00000000-0005-0000-0000-0000E6420000}"/>
    <cellStyle name="Ergebnis 3 5 41" xfId="17127" xr:uid="{00000000-0005-0000-0000-0000E7420000}"/>
    <cellStyle name="Ergebnis 3 5 42" xfId="17128" xr:uid="{00000000-0005-0000-0000-0000E8420000}"/>
    <cellStyle name="Ergebnis 3 5 43" xfId="17129" xr:uid="{00000000-0005-0000-0000-0000E9420000}"/>
    <cellStyle name="Ergebnis 3 5 44" xfId="17130" xr:uid="{00000000-0005-0000-0000-0000EA420000}"/>
    <cellStyle name="Ergebnis 3 5 45" xfId="17131" xr:uid="{00000000-0005-0000-0000-0000EB420000}"/>
    <cellStyle name="Ergebnis 3 5 46" xfId="17132" xr:uid="{00000000-0005-0000-0000-0000EC420000}"/>
    <cellStyle name="Ergebnis 3 5 47" xfId="17133" xr:uid="{00000000-0005-0000-0000-0000ED420000}"/>
    <cellStyle name="Ergebnis 3 5 48" xfId="17134" xr:uid="{00000000-0005-0000-0000-0000EE420000}"/>
    <cellStyle name="Ergebnis 3 5 49" xfId="17135" xr:uid="{00000000-0005-0000-0000-0000EF420000}"/>
    <cellStyle name="Ergebnis 3 5 5" xfId="17136" xr:uid="{00000000-0005-0000-0000-0000F0420000}"/>
    <cellStyle name="Ergebnis 3 5 50" xfId="17137" xr:uid="{00000000-0005-0000-0000-0000F1420000}"/>
    <cellStyle name="Ergebnis 3 5 51" xfId="17138" xr:uid="{00000000-0005-0000-0000-0000F2420000}"/>
    <cellStyle name="Ergebnis 3 5 52" xfId="17139" xr:uid="{00000000-0005-0000-0000-0000F3420000}"/>
    <cellStyle name="Ergebnis 3 5 53" xfId="17140" xr:uid="{00000000-0005-0000-0000-0000F4420000}"/>
    <cellStyle name="Ergebnis 3 5 54" xfId="17141" xr:uid="{00000000-0005-0000-0000-0000F5420000}"/>
    <cellStyle name="Ergebnis 3 5 55" xfId="17142" xr:uid="{00000000-0005-0000-0000-0000F6420000}"/>
    <cellStyle name="Ergebnis 3 5 56" xfId="17143" xr:uid="{00000000-0005-0000-0000-0000F7420000}"/>
    <cellStyle name="Ergebnis 3 5 57" xfId="17144" xr:uid="{00000000-0005-0000-0000-0000F8420000}"/>
    <cellStyle name="Ergebnis 3 5 58" xfId="17145" xr:uid="{00000000-0005-0000-0000-0000F9420000}"/>
    <cellStyle name="Ergebnis 3 5 59" xfId="17146" xr:uid="{00000000-0005-0000-0000-0000FA420000}"/>
    <cellStyle name="Ergebnis 3 5 6" xfId="17147" xr:uid="{00000000-0005-0000-0000-0000FB420000}"/>
    <cellStyle name="Ergebnis 3 5 60" xfId="17148" xr:uid="{00000000-0005-0000-0000-0000FC420000}"/>
    <cellStyle name="Ergebnis 3 5 61" xfId="17149" xr:uid="{00000000-0005-0000-0000-0000FD420000}"/>
    <cellStyle name="Ergebnis 3 5 62" xfId="17150" xr:uid="{00000000-0005-0000-0000-0000FE420000}"/>
    <cellStyle name="Ergebnis 3 5 63" xfId="17151" xr:uid="{00000000-0005-0000-0000-0000FF420000}"/>
    <cellStyle name="Ergebnis 3 5 64" xfId="17152" xr:uid="{00000000-0005-0000-0000-000000430000}"/>
    <cellStyle name="Ergebnis 3 5 65" xfId="17153" xr:uid="{00000000-0005-0000-0000-000001430000}"/>
    <cellStyle name="Ergebnis 3 5 7" xfId="17154" xr:uid="{00000000-0005-0000-0000-000002430000}"/>
    <cellStyle name="Ergebnis 3 5 8" xfId="17155" xr:uid="{00000000-0005-0000-0000-000003430000}"/>
    <cellStyle name="Ergebnis 3 5 9" xfId="17156" xr:uid="{00000000-0005-0000-0000-000004430000}"/>
    <cellStyle name="Ergebnis 3 50" xfId="17157" xr:uid="{00000000-0005-0000-0000-000005430000}"/>
    <cellStyle name="Ergebnis 3 51" xfId="17158" xr:uid="{00000000-0005-0000-0000-000006430000}"/>
    <cellStyle name="Ergebnis 3 6" xfId="17159" xr:uid="{00000000-0005-0000-0000-000007430000}"/>
    <cellStyle name="Ergebnis 3 7" xfId="17160" xr:uid="{00000000-0005-0000-0000-000008430000}"/>
    <cellStyle name="Ergebnis 3 8" xfId="17161" xr:uid="{00000000-0005-0000-0000-000009430000}"/>
    <cellStyle name="Ergebnis 3 9" xfId="17162" xr:uid="{00000000-0005-0000-0000-00000A430000}"/>
    <cellStyle name="Ergebnis 4" xfId="17163" xr:uid="{00000000-0005-0000-0000-00000B430000}"/>
    <cellStyle name="Ergebnis 4 10" xfId="17164" xr:uid="{00000000-0005-0000-0000-00000C430000}"/>
    <cellStyle name="Ergebnis 4 11" xfId="17165" xr:uid="{00000000-0005-0000-0000-00000D430000}"/>
    <cellStyle name="Ergebnis 4 12" xfId="17166" xr:uid="{00000000-0005-0000-0000-00000E430000}"/>
    <cellStyle name="Ergebnis 4 13" xfId="17167" xr:uid="{00000000-0005-0000-0000-00000F430000}"/>
    <cellStyle name="Ergebnis 4 14" xfId="17168" xr:uid="{00000000-0005-0000-0000-000010430000}"/>
    <cellStyle name="Ergebnis 4 15" xfId="17169" xr:uid="{00000000-0005-0000-0000-000011430000}"/>
    <cellStyle name="Ergebnis 4 16" xfId="17170" xr:uid="{00000000-0005-0000-0000-000012430000}"/>
    <cellStyle name="Ergebnis 4 17" xfId="17171" xr:uid="{00000000-0005-0000-0000-000013430000}"/>
    <cellStyle name="Ergebnis 4 18" xfId="17172" xr:uid="{00000000-0005-0000-0000-000014430000}"/>
    <cellStyle name="Ergebnis 4 19" xfId="17173" xr:uid="{00000000-0005-0000-0000-000015430000}"/>
    <cellStyle name="Ergebnis 4 2" xfId="17174" xr:uid="{00000000-0005-0000-0000-000016430000}"/>
    <cellStyle name="Ergebnis 4 2 10" xfId="17175" xr:uid="{00000000-0005-0000-0000-000017430000}"/>
    <cellStyle name="Ergebnis 4 2 11" xfId="17176" xr:uid="{00000000-0005-0000-0000-000018430000}"/>
    <cellStyle name="Ergebnis 4 2 12" xfId="17177" xr:uid="{00000000-0005-0000-0000-000019430000}"/>
    <cellStyle name="Ergebnis 4 2 13" xfId="17178" xr:uid="{00000000-0005-0000-0000-00001A430000}"/>
    <cellStyle name="Ergebnis 4 2 14" xfId="17179" xr:uid="{00000000-0005-0000-0000-00001B430000}"/>
    <cellStyle name="Ergebnis 4 2 15" xfId="17180" xr:uid="{00000000-0005-0000-0000-00001C430000}"/>
    <cellStyle name="Ergebnis 4 2 16" xfId="17181" xr:uid="{00000000-0005-0000-0000-00001D430000}"/>
    <cellStyle name="Ergebnis 4 2 17" xfId="17182" xr:uid="{00000000-0005-0000-0000-00001E430000}"/>
    <cellStyle name="Ergebnis 4 2 18" xfId="17183" xr:uid="{00000000-0005-0000-0000-00001F430000}"/>
    <cellStyle name="Ergebnis 4 2 19" xfId="17184" xr:uid="{00000000-0005-0000-0000-000020430000}"/>
    <cellStyle name="Ergebnis 4 2 2" xfId="17185" xr:uid="{00000000-0005-0000-0000-000021430000}"/>
    <cellStyle name="Ergebnis 4 2 20" xfId="17186" xr:uid="{00000000-0005-0000-0000-000022430000}"/>
    <cellStyle name="Ergebnis 4 2 21" xfId="17187" xr:uid="{00000000-0005-0000-0000-000023430000}"/>
    <cellStyle name="Ergebnis 4 2 22" xfId="17188" xr:uid="{00000000-0005-0000-0000-000024430000}"/>
    <cellStyle name="Ergebnis 4 2 23" xfId="17189" xr:uid="{00000000-0005-0000-0000-000025430000}"/>
    <cellStyle name="Ergebnis 4 2 24" xfId="17190" xr:uid="{00000000-0005-0000-0000-000026430000}"/>
    <cellStyle name="Ergebnis 4 2 25" xfId="17191" xr:uid="{00000000-0005-0000-0000-000027430000}"/>
    <cellStyle name="Ergebnis 4 2 26" xfId="17192" xr:uid="{00000000-0005-0000-0000-000028430000}"/>
    <cellStyle name="Ergebnis 4 2 27" xfId="17193" xr:uid="{00000000-0005-0000-0000-000029430000}"/>
    <cellStyle name="Ergebnis 4 2 28" xfId="17194" xr:uid="{00000000-0005-0000-0000-00002A430000}"/>
    <cellStyle name="Ergebnis 4 2 29" xfId="17195" xr:uid="{00000000-0005-0000-0000-00002B430000}"/>
    <cellStyle name="Ergebnis 4 2 3" xfId="17196" xr:uid="{00000000-0005-0000-0000-00002C430000}"/>
    <cellStyle name="Ergebnis 4 2 30" xfId="17197" xr:uid="{00000000-0005-0000-0000-00002D430000}"/>
    <cellStyle name="Ergebnis 4 2 31" xfId="17198" xr:uid="{00000000-0005-0000-0000-00002E430000}"/>
    <cellStyle name="Ergebnis 4 2 32" xfId="17199" xr:uid="{00000000-0005-0000-0000-00002F430000}"/>
    <cellStyle name="Ergebnis 4 2 33" xfId="17200" xr:uid="{00000000-0005-0000-0000-000030430000}"/>
    <cellStyle name="Ergebnis 4 2 34" xfId="17201" xr:uid="{00000000-0005-0000-0000-000031430000}"/>
    <cellStyle name="Ergebnis 4 2 35" xfId="17202" xr:uid="{00000000-0005-0000-0000-000032430000}"/>
    <cellStyle name="Ergebnis 4 2 36" xfId="17203" xr:uid="{00000000-0005-0000-0000-000033430000}"/>
    <cellStyle name="Ergebnis 4 2 37" xfId="17204" xr:uid="{00000000-0005-0000-0000-000034430000}"/>
    <cellStyle name="Ergebnis 4 2 38" xfId="17205" xr:uid="{00000000-0005-0000-0000-000035430000}"/>
    <cellStyle name="Ergebnis 4 2 39" xfId="17206" xr:uid="{00000000-0005-0000-0000-000036430000}"/>
    <cellStyle name="Ergebnis 4 2 4" xfId="17207" xr:uid="{00000000-0005-0000-0000-000037430000}"/>
    <cellStyle name="Ergebnis 4 2 40" xfId="17208" xr:uid="{00000000-0005-0000-0000-000038430000}"/>
    <cellStyle name="Ergebnis 4 2 41" xfId="17209" xr:uid="{00000000-0005-0000-0000-000039430000}"/>
    <cellStyle name="Ergebnis 4 2 42" xfId="17210" xr:uid="{00000000-0005-0000-0000-00003A430000}"/>
    <cellStyle name="Ergebnis 4 2 43" xfId="17211" xr:uid="{00000000-0005-0000-0000-00003B430000}"/>
    <cellStyle name="Ergebnis 4 2 44" xfId="17212" xr:uid="{00000000-0005-0000-0000-00003C430000}"/>
    <cellStyle name="Ergebnis 4 2 45" xfId="17213" xr:uid="{00000000-0005-0000-0000-00003D430000}"/>
    <cellStyle name="Ergebnis 4 2 46" xfId="17214" xr:uid="{00000000-0005-0000-0000-00003E430000}"/>
    <cellStyle name="Ergebnis 4 2 47" xfId="17215" xr:uid="{00000000-0005-0000-0000-00003F430000}"/>
    <cellStyle name="Ergebnis 4 2 48" xfId="17216" xr:uid="{00000000-0005-0000-0000-000040430000}"/>
    <cellStyle name="Ergebnis 4 2 49" xfId="17217" xr:uid="{00000000-0005-0000-0000-000041430000}"/>
    <cellStyle name="Ergebnis 4 2 5" xfId="17218" xr:uid="{00000000-0005-0000-0000-000042430000}"/>
    <cellStyle name="Ergebnis 4 2 50" xfId="17219" xr:uid="{00000000-0005-0000-0000-000043430000}"/>
    <cellStyle name="Ergebnis 4 2 51" xfId="17220" xr:uid="{00000000-0005-0000-0000-000044430000}"/>
    <cellStyle name="Ergebnis 4 2 52" xfId="17221" xr:uid="{00000000-0005-0000-0000-000045430000}"/>
    <cellStyle name="Ergebnis 4 2 53" xfId="17222" xr:uid="{00000000-0005-0000-0000-000046430000}"/>
    <cellStyle name="Ergebnis 4 2 54" xfId="17223" xr:uid="{00000000-0005-0000-0000-000047430000}"/>
    <cellStyle name="Ergebnis 4 2 55" xfId="17224" xr:uid="{00000000-0005-0000-0000-000048430000}"/>
    <cellStyle name="Ergebnis 4 2 56" xfId="17225" xr:uid="{00000000-0005-0000-0000-000049430000}"/>
    <cellStyle name="Ergebnis 4 2 57" xfId="17226" xr:uid="{00000000-0005-0000-0000-00004A430000}"/>
    <cellStyle name="Ergebnis 4 2 58" xfId="17227" xr:uid="{00000000-0005-0000-0000-00004B430000}"/>
    <cellStyle name="Ergebnis 4 2 59" xfId="17228" xr:uid="{00000000-0005-0000-0000-00004C430000}"/>
    <cellStyle name="Ergebnis 4 2 6" xfId="17229" xr:uid="{00000000-0005-0000-0000-00004D430000}"/>
    <cellStyle name="Ergebnis 4 2 60" xfId="17230" xr:uid="{00000000-0005-0000-0000-00004E430000}"/>
    <cellStyle name="Ergebnis 4 2 61" xfId="17231" xr:uid="{00000000-0005-0000-0000-00004F430000}"/>
    <cellStyle name="Ergebnis 4 2 62" xfId="17232" xr:uid="{00000000-0005-0000-0000-000050430000}"/>
    <cellStyle name="Ergebnis 4 2 63" xfId="17233" xr:uid="{00000000-0005-0000-0000-000051430000}"/>
    <cellStyle name="Ergebnis 4 2 64" xfId="17234" xr:uid="{00000000-0005-0000-0000-000052430000}"/>
    <cellStyle name="Ergebnis 4 2 65" xfId="17235" xr:uid="{00000000-0005-0000-0000-000053430000}"/>
    <cellStyle name="Ergebnis 4 2 7" xfId="17236" xr:uid="{00000000-0005-0000-0000-000054430000}"/>
    <cellStyle name="Ergebnis 4 2 8" xfId="17237" xr:uid="{00000000-0005-0000-0000-000055430000}"/>
    <cellStyle name="Ergebnis 4 2 9" xfId="17238" xr:uid="{00000000-0005-0000-0000-000056430000}"/>
    <cellStyle name="Ergebnis 4 20" xfId="17239" xr:uid="{00000000-0005-0000-0000-000057430000}"/>
    <cellStyle name="Ergebnis 4 21" xfId="17240" xr:uid="{00000000-0005-0000-0000-000058430000}"/>
    <cellStyle name="Ergebnis 4 22" xfId="17241" xr:uid="{00000000-0005-0000-0000-000059430000}"/>
    <cellStyle name="Ergebnis 4 23" xfId="17242" xr:uid="{00000000-0005-0000-0000-00005A430000}"/>
    <cellStyle name="Ergebnis 4 24" xfId="17243" xr:uid="{00000000-0005-0000-0000-00005B430000}"/>
    <cellStyle name="Ergebnis 4 25" xfId="17244" xr:uid="{00000000-0005-0000-0000-00005C430000}"/>
    <cellStyle name="Ergebnis 4 26" xfId="17245" xr:uid="{00000000-0005-0000-0000-00005D430000}"/>
    <cellStyle name="Ergebnis 4 27" xfId="17246" xr:uid="{00000000-0005-0000-0000-00005E430000}"/>
    <cellStyle name="Ergebnis 4 28" xfId="17247" xr:uid="{00000000-0005-0000-0000-00005F430000}"/>
    <cellStyle name="Ergebnis 4 29" xfId="17248" xr:uid="{00000000-0005-0000-0000-000060430000}"/>
    <cellStyle name="Ergebnis 4 3" xfId="17249" xr:uid="{00000000-0005-0000-0000-000061430000}"/>
    <cellStyle name="Ergebnis 4 30" xfId="17250" xr:uid="{00000000-0005-0000-0000-000062430000}"/>
    <cellStyle name="Ergebnis 4 31" xfId="17251" xr:uid="{00000000-0005-0000-0000-000063430000}"/>
    <cellStyle name="Ergebnis 4 32" xfId="17252" xr:uid="{00000000-0005-0000-0000-000064430000}"/>
    <cellStyle name="Ergebnis 4 33" xfId="17253" xr:uid="{00000000-0005-0000-0000-000065430000}"/>
    <cellStyle name="Ergebnis 4 34" xfId="17254" xr:uid="{00000000-0005-0000-0000-000066430000}"/>
    <cellStyle name="Ergebnis 4 35" xfId="17255" xr:uid="{00000000-0005-0000-0000-000067430000}"/>
    <cellStyle name="Ergebnis 4 36" xfId="17256" xr:uid="{00000000-0005-0000-0000-000068430000}"/>
    <cellStyle name="Ergebnis 4 37" xfId="17257" xr:uid="{00000000-0005-0000-0000-000069430000}"/>
    <cellStyle name="Ergebnis 4 38" xfId="17258" xr:uid="{00000000-0005-0000-0000-00006A430000}"/>
    <cellStyle name="Ergebnis 4 39" xfId="17259" xr:uid="{00000000-0005-0000-0000-00006B430000}"/>
    <cellStyle name="Ergebnis 4 4" xfId="17260" xr:uid="{00000000-0005-0000-0000-00006C430000}"/>
    <cellStyle name="Ergebnis 4 40" xfId="17261" xr:uid="{00000000-0005-0000-0000-00006D430000}"/>
    <cellStyle name="Ergebnis 4 41" xfId="17262" xr:uid="{00000000-0005-0000-0000-00006E430000}"/>
    <cellStyle name="Ergebnis 4 42" xfId="17263" xr:uid="{00000000-0005-0000-0000-00006F430000}"/>
    <cellStyle name="Ergebnis 4 43" xfId="17264" xr:uid="{00000000-0005-0000-0000-000070430000}"/>
    <cellStyle name="Ergebnis 4 44" xfId="17265" xr:uid="{00000000-0005-0000-0000-000071430000}"/>
    <cellStyle name="Ergebnis 4 45" xfId="17266" xr:uid="{00000000-0005-0000-0000-000072430000}"/>
    <cellStyle name="Ergebnis 4 46" xfId="17267" xr:uid="{00000000-0005-0000-0000-000073430000}"/>
    <cellStyle name="Ergebnis 4 47" xfId="17268" xr:uid="{00000000-0005-0000-0000-000074430000}"/>
    <cellStyle name="Ergebnis 4 48" xfId="17269" xr:uid="{00000000-0005-0000-0000-000075430000}"/>
    <cellStyle name="Ergebnis 4 49" xfId="17270" xr:uid="{00000000-0005-0000-0000-000076430000}"/>
    <cellStyle name="Ergebnis 4 5" xfId="17271" xr:uid="{00000000-0005-0000-0000-000077430000}"/>
    <cellStyle name="Ergebnis 4 50" xfId="17272" xr:uid="{00000000-0005-0000-0000-000078430000}"/>
    <cellStyle name="Ergebnis 4 51" xfId="17273" xr:uid="{00000000-0005-0000-0000-000079430000}"/>
    <cellStyle name="Ergebnis 4 52" xfId="17274" xr:uid="{00000000-0005-0000-0000-00007A430000}"/>
    <cellStyle name="Ergebnis 4 53" xfId="17275" xr:uid="{00000000-0005-0000-0000-00007B430000}"/>
    <cellStyle name="Ergebnis 4 54" xfId="17276" xr:uid="{00000000-0005-0000-0000-00007C430000}"/>
    <cellStyle name="Ergebnis 4 55" xfId="17277" xr:uid="{00000000-0005-0000-0000-00007D430000}"/>
    <cellStyle name="Ergebnis 4 56" xfId="17278" xr:uid="{00000000-0005-0000-0000-00007E430000}"/>
    <cellStyle name="Ergebnis 4 57" xfId="17279" xr:uid="{00000000-0005-0000-0000-00007F430000}"/>
    <cellStyle name="Ergebnis 4 58" xfId="17280" xr:uid="{00000000-0005-0000-0000-000080430000}"/>
    <cellStyle name="Ergebnis 4 59" xfId="17281" xr:uid="{00000000-0005-0000-0000-000081430000}"/>
    <cellStyle name="Ergebnis 4 6" xfId="17282" xr:uid="{00000000-0005-0000-0000-000082430000}"/>
    <cellStyle name="Ergebnis 4 60" xfId="17283" xr:uid="{00000000-0005-0000-0000-000083430000}"/>
    <cellStyle name="Ergebnis 4 61" xfId="17284" xr:uid="{00000000-0005-0000-0000-000084430000}"/>
    <cellStyle name="Ergebnis 4 62" xfId="17285" xr:uid="{00000000-0005-0000-0000-000085430000}"/>
    <cellStyle name="Ergebnis 4 63" xfId="17286" xr:uid="{00000000-0005-0000-0000-000086430000}"/>
    <cellStyle name="Ergebnis 4 64" xfId="17287" xr:uid="{00000000-0005-0000-0000-000087430000}"/>
    <cellStyle name="Ergebnis 4 65" xfId="17288" xr:uid="{00000000-0005-0000-0000-000088430000}"/>
    <cellStyle name="Ergebnis 4 66" xfId="17289" xr:uid="{00000000-0005-0000-0000-000089430000}"/>
    <cellStyle name="Ergebnis 4 7" xfId="17290" xr:uid="{00000000-0005-0000-0000-00008A430000}"/>
    <cellStyle name="Ergebnis 4 8" xfId="17291" xr:uid="{00000000-0005-0000-0000-00008B430000}"/>
    <cellStyle name="Ergebnis 4 9" xfId="17292" xr:uid="{00000000-0005-0000-0000-00008C430000}"/>
    <cellStyle name="Ergebnis 5" xfId="17293" xr:uid="{00000000-0005-0000-0000-00008D430000}"/>
    <cellStyle name="Ergebnis 5 10" xfId="17294" xr:uid="{00000000-0005-0000-0000-00008E430000}"/>
    <cellStyle name="Ergebnis 5 11" xfId="17295" xr:uid="{00000000-0005-0000-0000-00008F430000}"/>
    <cellStyle name="Ergebnis 5 12" xfId="17296" xr:uid="{00000000-0005-0000-0000-000090430000}"/>
    <cellStyle name="Ergebnis 5 13" xfId="17297" xr:uid="{00000000-0005-0000-0000-000091430000}"/>
    <cellStyle name="Ergebnis 5 14" xfId="17298" xr:uid="{00000000-0005-0000-0000-000092430000}"/>
    <cellStyle name="Ergebnis 5 15" xfId="17299" xr:uid="{00000000-0005-0000-0000-000093430000}"/>
    <cellStyle name="Ergebnis 5 16" xfId="17300" xr:uid="{00000000-0005-0000-0000-000094430000}"/>
    <cellStyle name="Ergebnis 5 17" xfId="17301" xr:uid="{00000000-0005-0000-0000-000095430000}"/>
    <cellStyle name="Ergebnis 5 18" xfId="17302" xr:uid="{00000000-0005-0000-0000-000096430000}"/>
    <cellStyle name="Ergebnis 5 19" xfId="17303" xr:uid="{00000000-0005-0000-0000-000097430000}"/>
    <cellStyle name="Ergebnis 5 2" xfId="17304" xr:uid="{00000000-0005-0000-0000-000098430000}"/>
    <cellStyle name="Ergebnis 5 2 10" xfId="17305" xr:uid="{00000000-0005-0000-0000-000099430000}"/>
    <cellStyle name="Ergebnis 5 2 11" xfId="17306" xr:uid="{00000000-0005-0000-0000-00009A430000}"/>
    <cellStyle name="Ergebnis 5 2 12" xfId="17307" xr:uid="{00000000-0005-0000-0000-00009B430000}"/>
    <cellStyle name="Ergebnis 5 2 13" xfId="17308" xr:uid="{00000000-0005-0000-0000-00009C430000}"/>
    <cellStyle name="Ergebnis 5 2 14" xfId="17309" xr:uid="{00000000-0005-0000-0000-00009D430000}"/>
    <cellStyle name="Ergebnis 5 2 15" xfId="17310" xr:uid="{00000000-0005-0000-0000-00009E430000}"/>
    <cellStyle name="Ergebnis 5 2 16" xfId="17311" xr:uid="{00000000-0005-0000-0000-00009F430000}"/>
    <cellStyle name="Ergebnis 5 2 17" xfId="17312" xr:uid="{00000000-0005-0000-0000-0000A0430000}"/>
    <cellStyle name="Ergebnis 5 2 18" xfId="17313" xr:uid="{00000000-0005-0000-0000-0000A1430000}"/>
    <cellStyle name="Ergebnis 5 2 19" xfId="17314" xr:uid="{00000000-0005-0000-0000-0000A2430000}"/>
    <cellStyle name="Ergebnis 5 2 2" xfId="17315" xr:uid="{00000000-0005-0000-0000-0000A3430000}"/>
    <cellStyle name="Ergebnis 5 2 20" xfId="17316" xr:uid="{00000000-0005-0000-0000-0000A4430000}"/>
    <cellStyle name="Ergebnis 5 2 21" xfId="17317" xr:uid="{00000000-0005-0000-0000-0000A5430000}"/>
    <cellStyle name="Ergebnis 5 2 22" xfId="17318" xr:uid="{00000000-0005-0000-0000-0000A6430000}"/>
    <cellStyle name="Ergebnis 5 2 23" xfId="17319" xr:uid="{00000000-0005-0000-0000-0000A7430000}"/>
    <cellStyle name="Ergebnis 5 2 24" xfId="17320" xr:uid="{00000000-0005-0000-0000-0000A8430000}"/>
    <cellStyle name="Ergebnis 5 2 25" xfId="17321" xr:uid="{00000000-0005-0000-0000-0000A9430000}"/>
    <cellStyle name="Ergebnis 5 2 26" xfId="17322" xr:uid="{00000000-0005-0000-0000-0000AA430000}"/>
    <cellStyle name="Ergebnis 5 2 27" xfId="17323" xr:uid="{00000000-0005-0000-0000-0000AB430000}"/>
    <cellStyle name="Ergebnis 5 2 28" xfId="17324" xr:uid="{00000000-0005-0000-0000-0000AC430000}"/>
    <cellStyle name="Ergebnis 5 2 29" xfId="17325" xr:uid="{00000000-0005-0000-0000-0000AD430000}"/>
    <cellStyle name="Ergebnis 5 2 3" xfId="17326" xr:uid="{00000000-0005-0000-0000-0000AE430000}"/>
    <cellStyle name="Ergebnis 5 2 30" xfId="17327" xr:uid="{00000000-0005-0000-0000-0000AF430000}"/>
    <cellStyle name="Ergebnis 5 2 31" xfId="17328" xr:uid="{00000000-0005-0000-0000-0000B0430000}"/>
    <cellStyle name="Ergebnis 5 2 32" xfId="17329" xr:uid="{00000000-0005-0000-0000-0000B1430000}"/>
    <cellStyle name="Ergebnis 5 2 33" xfId="17330" xr:uid="{00000000-0005-0000-0000-0000B2430000}"/>
    <cellStyle name="Ergebnis 5 2 34" xfId="17331" xr:uid="{00000000-0005-0000-0000-0000B3430000}"/>
    <cellStyle name="Ergebnis 5 2 35" xfId="17332" xr:uid="{00000000-0005-0000-0000-0000B4430000}"/>
    <cellStyle name="Ergebnis 5 2 36" xfId="17333" xr:uid="{00000000-0005-0000-0000-0000B5430000}"/>
    <cellStyle name="Ergebnis 5 2 37" xfId="17334" xr:uid="{00000000-0005-0000-0000-0000B6430000}"/>
    <cellStyle name="Ergebnis 5 2 38" xfId="17335" xr:uid="{00000000-0005-0000-0000-0000B7430000}"/>
    <cellStyle name="Ergebnis 5 2 39" xfId="17336" xr:uid="{00000000-0005-0000-0000-0000B8430000}"/>
    <cellStyle name="Ergebnis 5 2 4" xfId="17337" xr:uid="{00000000-0005-0000-0000-0000B9430000}"/>
    <cellStyle name="Ergebnis 5 2 40" xfId="17338" xr:uid="{00000000-0005-0000-0000-0000BA430000}"/>
    <cellStyle name="Ergebnis 5 2 41" xfId="17339" xr:uid="{00000000-0005-0000-0000-0000BB430000}"/>
    <cellStyle name="Ergebnis 5 2 42" xfId="17340" xr:uid="{00000000-0005-0000-0000-0000BC430000}"/>
    <cellStyle name="Ergebnis 5 2 43" xfId="17341" xr:uid="{00000000-0005-0000-0000-0000BD430000}"/>
    <cellStyle name="Ergebnis 5 2 44" xfId="17342" xr:uid="{00000000-0005-0000-0000-0000BE430000}"/>
    <cellStyle name="Ergebnis 5 2 45" xfId="17343" xr:uid="{00000000-0005-0000-0000-0000BF430000}"/>
    <cellStyle name="Ergebnis 5 2 46" xfId="17344" xr:uid="{00000000-0005-0000-0000-0000C0430000}"/>
    <cellStyle name="Ergebnis 5 2 47" xfId="17345" xr:uid="{00000000-0005-0000-0000-0000C1430000}"/>
    <cellStyle name="Ergebnis 5 2 48" xfId="17346" xr:uid="{00000000-0005-0000-0000-0000C2430000}"/>
    <cellStyle name="Ergebnis 5 2 49" xfId="17347" xr:uid="{00000000-0005-0000-0000-0000C3430000}"/>
    <cellStyle name="Ergebnis 5 2 5" xfId="17348" xr:uid="{00000000-0005-0000-0000-0000C4430000}"/>
    <cellStyle name="Ergebnis 5 2 50" xfId="17349" xr:uid="{00000000-0005-0000-0000-0000C5430000}"/>
    <cellStyle name="Ergebnis 5 2 51" xfId="17350" xr:uid="{00000000-0005-0000-0000-0000C6430000}"/>
    <cellStyle name="Ergebnis 5 2 52" xfId="17351" xr:uid="{00000000-0005-0000-0000-0000C7430000}"/>
    <cellStyle name="Ergebnis 5 2 53" xfId="17352" xr:uid="{00000000-0005-0000-0000-0000C8430000}"/>
    <cellStyle name="Ergebnis 5 2 54" xfId="17353" xr:uid="{00000000-0005-0000-0000-0000C9430000}"/>
    <cellStyle name="Ergebnis 5 2 55" xfId="17354" xr:uid="{00000000-0005-0000-0000-0000CA430000}"/>
    <cellStyle name="Ergebnis 5 2 56" xfId="17355" xr:uid="{00000000-0005-0000-0000-0000CB430000}"/>
    <cellStyle name="Ergebnis 5 2 57" xfId="17356" xr:uid="{00000000-0005-0000-0000-0000CC430000}"/>
    <cellStyle name="Ergebnis 5 2 58" xfId="17357" xr:uid="{00000000-0005-0000-0000-0000CD430000}"/>
    <cellStyle name="Ergebnis 5 2 59" xfId="17358" xr:uid="{00000000-0005-0000-0000-0000CE430000}"/>
    <cellStyle name="Ergebnis 5 2 6" xfId="17359" xr:uid="{00000000-0005-0000-0000-0000CF430000}"/>
    <cellStyle name="Ergebnis 5 2 60" xfId="17360" xr:uid="{00000000-0005-0000-0000-0000D0430000}"/>
    <cellStyle name="Ergebnis 5 2 61" xfId="17361" xr:uid="{00000000-0005-0000-0000-0000D1430000}"/>
    <cellStyle name="Ergebnis 5 2 62" xfId="17362" xr:uid="{00000000-0005-0000-0000-0000D2430000}"/>
    <cellStyle name="Ergebnis 5 2 63" xfId="17363" xr:uid="{00000000-0005-0000-0000-0000D3430000}"/>
    <cellStyle name="Ergebnis 5 2 64" xfId="17364" xr:uid="{00000000-0005-0000-0000-0000D4430000}"/>
    <cellStyle name="Ergebnis 5 2 65" xfId="17365" xr:uid="{00000000-0005-0000-0000-0000D5430000}"/>
    <cellStyle name="Ergebnis 5 2 7" xfId="17366" xr:uid="{00000000-0005-0000-0000-0000D6430000}"/>
    <cellStyle name="Ergebnis 5 2 8" xfId="17367" xr:uid="{00000000-0005-0000-0000-0000D7430000}"/>
    <cellStyle name="Ergebnis 5 2 9" xfId="17368" xr:uid="{00000000-0005-0000-0000-0000D8430000}"/>
    <cellStyle name="Ergebnis 5 20" xfId="17369" xr:uid="{00000000-0005-0000-0000-0000D9430000}"/>
    <cellStyle name="Ergebnis 5 21" xfId="17370" xr:uid="{00000000-0005-0000-0000-0000DA430000}"/>
    <cellStyle name="Ergebnis 5 22" xfId="17371" xr:uid="{00000000-0005-0000-0000-0000DB430000}"/>
    <cellStyle name="Ergebnis 5 23" xfId="17372" xr:uid="{00000000-0005-0000-0000-0000DC430000}"/>
    <cellStyle name="Ergebnis 5 24" xfId="17373" xr:uid="{00000000-0005-0000-0000-0000DD430000}"/>
    <cellStyle name="Ergebnis 5 25" xfId="17374" xr:uid="{00000000-0005-0000-0000-0000DE430000}"/>
    <cellStyle name="Ergebnis 5 26" xfId="17375" xr:uid="{00000000-0005-0000-0000-0000DF430000}"/>
    <cellStyle name="Ergebnis 5 27" xfId="17376" xr:uid="{00000000-0005-0000-0000-0000E0430000}"/>
    <cellStyle name="Ergebnis 5 28" xfId="17377" xr:uid="{00000000-0005-0000-0000-0000E1430000}"/>
    <cellStyle name="Ergebnis 5 29" xfId="17378" xr:uid="{00000000-0005-0000-0000-0000E2430000}"/>
    <cellStyle name="Ergebnis 5 3" xfId="17379" xr:uid="{00000000-0005-0000-0000-0000E3430000}"/>
    <cellStyle name="Ergebnis 5 30" xfId="17380" xr:uid="{00000000-0005-0000-0000-0000E4430000}"/>
    <cellStyle name="Ergebnis 5 31" xfId="17381" xr:uid="{00000000-0005-0000-0000-0000E5430000}"/>
    <cellStyle name="Ergebnis 5 32" xfId="17382" xr:uid="{00000000-0005-0000-0000-0000E6430000}"/>
    <cellStyle name="Ergebnis 5 33" xfId="17383" xr:uid="{00000000-0005-0000-0000-0000E7430000}"/>
    <cellStyle name="Ergebnis 5 34" xfId="17384" xr:uid="{00000000-0005-0000-0000-0000E8430000}"/>
    <cellStyle name="Ergebnis 5 35" xfId="17385" xr:uid="{00000000-0005-0000-0000-0000E9430000}"/>
    <cellStyle name="Ergebnis 5 36" xfId="17386" xr:uid="{00000000-0005-0000-0000-0000EA430000}"/>
    <cellStyle name="Ergebnis 5 37" xfId="17387" xr:uid="{00000000-0005-0000-0000-0000EB430000}"/>
    <cellStyle name="Ergebnis 5 38" xfId="17388" xr:uid="{00000000-0005-0000-0000-0000EC430000}"/>
    <cellStyle name="Ergebnis 5 39" xfId="17389" xr:uid="{00000000-0005-0000-0000-0000ED430000}"/>
    <cellStyle name="Ergebnis 5 4" xfId="17390" xr:uid="{00000000-0005-0000-0000-0000EE430000}"/>
    <cellStyle name="Ergebnis 5 40" xfId="17391" xr:uid="{00000000-0005-0000-0000-0000EF430000}"/>
    <cellStyle name="Ergebnis 5 41" xfId="17392" xr:uid="{00000000-0005-0000-0000-0000F0430000}"/>
    <cellStyle name="Ergebnis 5 42" xfId="17393" xr:uid="{00000000-0005-0000-0000-0000F1430000}"/>
    <cellStyle name="Ergebnis 5 43" xfId="17394" xr:uid="{00000000-0005-0000-0000-0000F2430000}"/>
    <cellStyle name="Ergebnis 5 44" xfId="17395" xr:uid="{00000000-0005-0000-0000-0000F3430000}"/>
    <cellStyle name="Ergebnis 5 45" xfId="17396" xr:uid="{00000000-0005-0000-0000-0000F4430000}"/>
    <cellStyle name="Ergebnis 5 46" xfId="17397" xr:uid="{00000000-0005-0000-0000-0000F5430000}"/>
    <cellStyle name="Ergebnis 5 47" xfId="17398" xr:uid="{00000000-0005-0000-0000-0000F6430000}"/>
    <cellStyle name="Ergebnis 5 48" xfId="17399" xr:uid="{00000000-0005-0000-0000-0000F7430000}"/>
    <cellStyle name="Ergebnis 5 49" xfId="17400" xr:uid="{00000000-0005-0000-0000-0000F8430000}"/>
    <cellStyle name="Ergebnis 5 5" xfId="17401" xr:uid="{00000000-0005-0000-0000-0000F9430000}"/>
    <cellStyle name="Ergebnis 5 50" xfId="17402" xr:uid="{00000000-0005-0000-0000-0000FA430000}"/>
    <cellStyle name="Ergebnis 5 51" xfId="17403" xr:uid="{00000000-0005-0000-0000-0000FB430000}"/>
    <cellStyle name="Ergebnis 5 52" xfId="17404" xr:uid="{00000000-0005-0000-0000-0000FC430000}"/>
    <cellStyle name="Ergebnis 5 53" xfId="17405" xr:uid="{00000000-0005-0000-0000-0000FD430000}"/>
    <cellStyle name="Ergebnis 5 54" xfId="17406" xr:uid="{00000000-0005-0000-0000-0000FE430000}"/>
    <cellStyle name="Ergebnis 5 55" xfId="17407" xr:uid="{00000000-0005-0000-0000-0000FF430000}"/>
    <cellStyle name="Ergebnis 5 56" xfId="17408" xr:uid="{00000000-0005-0000-0000-000000440000}"/>
    <cellStyle name="Ergebnis 5 57" xfId="17409" xr:uid="{00000000-0005-0000-0000-000001440000}"/>
    <cellStyle name="Ergebnis 5 58" xfId="17410" xr:uid="{00000000-0005-0000-0000-000002440000}"/>
    <cellStyle name="Ergebnis 5 59" xfId="17411" xr:uid="{00000000-0005-0000-0000-000003440000}"/>
    <cellStyle name="Ergebnis 5 6" xfId="17412" xr:uid="{00000000-0005-0000-0000-000004440000}"/>
    <cellStyle name="Ergebnis 5 60" xfId="17413" xr:uid="{00000000-0005-0000-0000-000005440000}"/>
    <cellStyle name="Ergebnis 5 61" xfId="17414" xr:uid="{00000000-0005-0000-0000-000006440000}"/>
    <cellStyle name="Ergebnis 5 62" xfId="17415" xr:uid="{00000000-0005-0000-0000-000007440000}"/>
    <cellStyle name="Ergebnis 5 63" xfId="17416" xr:uid="{00000000-0005-0000-0000-000008440000}"/>
    <cellStyle name="Ergebnis 5 64" xfId="17417" xr:uid="{00000000-0005-0000-0000-000009440000}"/>
    <cellStyle name="Ergebnis 5 65" xfId="17418" xr:uid="{00000000-0005-0000-0000-00000A440000}"/>
    <cellStyle name="Ergebnis 5 66" xfId="17419" xr:uid="{00000000-0005-0000-0000-00000B440000}"/>
    <cellStyle name="Ergebnis 5 7" xfId="17420" xr:uid="{00000000-0005-0000-0000-00000C440000}"/>
    <cellStyle name="Ergebnis 5 8" xfId="17421" xr:uid="{00000000-0005-0000-0000-00000D440000}"/>
    <cellStyle name="Ergebnis 5 9" xfId="17422" xr:uid="{00000000-0005-0000-0000-00000E440000}"/>
    <cellStyle name="Ergebnis 6" xfId="17423" xr:uid="{00000000-0005-0000-0000-00000F440000}"/>
    <cellStyle name="Ergebnis 6 10" xfId="17424" xr:uid="{00000000-0005-0000-0000-000010440000}"/>
    <cellStyle name="Ergebnis 6 11" xfId="17425" xr:uid="{00000000-0005-0000-0000-000011440000}"/>
    <cellStyle name="Ergebnis 6 12" xfId="17426" xr:uid="{00000000-0005-0000-0000-000012440000}"/>
    <cellStyle name="Ergebnis 6 13" xfId="17427" xr:uid="{00000000-0005-0000-0000-000013440000}"/>
    <cellStyle name="Ergebnis 6 14" xfId="17428" xr:uid="{00000000-0005-0000-0000-000014440000}"/>
    <cellStyle name="Ergebnis 6 15" xfId="17429" xr:uid="{00000000-0005-0000-0000-000015440000}"/>
    <cellStyle name="Ergebnis 6 16" xfId="17430" xr:uid="{00000000-0005-0000-0000-000016440000}"/>
    <cellStyle name="Ergebnis 6 17" xfId="17431" xr:uid="{00000000-0005-0000-0000-000017440000}"/>
    <cellStyle name="Ergebnis 6 18" xfId="17432" xr:uid="{00000000-0005-0000-0000-000018440000}"/>
    <cellStyle name="Ergebnis 6 19" xfId="17433" xr:uid="{00000000-0005-0000-0000-000019440000}"/>
    <cellStyle name="Ergebnis 6 2" xfId="17434" xr:uid="{00000000-0005-0000-0000-00001A440000}"/>
    <cellStyle name="Ergebnis 6 2 10" xfId="17435" xr:uid="{00000000-0005-0000-0000-00001B440000}"/>
    <cellStyle name="Ergebnis 6 2 11" xfId="17436" xr:uid="{00000000-0005-0000-0000-00001C440000}"/>
    <cellStyle name="Ergebnis 6 2 12" xfId="17437" xr:uid="{00000000-0005-0000-0000-00001D440000}"/>
    <cellStyle name="Ergebnis 6 2 13" xfId="17438" xr:uid="{00000000-0005-0000-0000-00001E440000}"/>
    <cellStyle name="Ergebnis 6 2 14" xfId="17439" xr:uid="{00000000-0005-0000-0000-00001F440000}"/>
    <cellStyle name="Ergebnis 6 2 15" xfId="17440" xr:uid="{00000000-0005-0000-0000-000020440000}"/>
    <cellStyle name="Ergebnis 6 2 16" xfId="17441" xr:uid="{00000000-0005-0000-0000-000021440000}"/>
    <cellStyle name="Ergebnis 6 2 17" xfId="17442" xr:uid="{00000000-0005-0000-0000-000022440000}"/>
    <cellStyle name="Ergebnis 6 2 18" xfId="17443" xr:uid="{00000000-0005-0000-0000-000023440000}"/>
    <cellStyle name="Ergebnis 6 2 19" xfId="17444" xr:uid="{00000000-0005-0000-0000-000024440000}"/>
    <cellStyle name="Ergebnis 6 2 2" xfId="17445" xr:uid="{00000000-0005-0000-0000-000025440000}"/>
    <cellStyle name="Ergebnis 6 2 20" xfId="17446" xr:uid="{00000000-0005-0000-0000-000026440000}"/>
    <cellStyle name="Ergebnis 6 2 21" xfId="17447" xr:uid="{00000000-0005-0000-0000-000027440000}"/>
    <cellStyle name="Ergebnis 6 2 22" xfId="17448" xr:uid="{00000000-0005-0000-0000-000028440000}"/>
    <cellStyle name="Ergebnis 6 2 23" xfId="17449" xr:uid="{00000000-0005-0000-0000-000029440000}"/>
    <cellStyle name="Ergebnis 6 2 24" xfId="17450" xr:uid="{00000000-0005-0000-0000-00002A440000}"/>
    <cellStyle name="Ergebnis 6 2 25" xfId="17451" xr:uid="{00000000-0005-0000-0000-00002B440000}"/>
    <cellStyle name="Ergebnis 6 2 26" xfId="17452" xr:uid="{00000000-0005-0000-0000-00002C440000}"/>
    <cellStyle name="Ergebnis 6 2 27" xfId="17453" xr:uid="{00000000-0005-0000-0000-00002D440000}"/>
    <cellStyle name="Ergebnis 6 2 28" xfId="17454" xr:uid="{00000000-0005-0000-0000-00002E440000}"/>
    <cellStyle name="Ergebnis 6 2 29" xfId="17455" xr:uid="{00000000-0005-0000-0000-00002F440000}"/>
    <cellStyle name="Ergebnis 6 2 3" xfId="17456" xr:uid="{00000000-0005-0000-0000-000030440000}"/>
    <cellStyle name="Ergebnis 6 2 30" xfId="17457" xr:uid="{00000000-0005-0000-0000-000031440000}"/>
    <cellStyle name="Ergebnis 6 2 31" xfId="17458" xr:uid="{00000000-0005-0000-0000-000032440000}"/>
    <cellStyle name="Ergebnis 6 2 32" xfId="17459" xr:uid="{00000000-0005-0000-0000-000033440000}"/>
    <cellStyle name="Ergebnis 6 2 33" xfId="17460" xr:uid="{00000000-0005-0000-0000-000034440000}"/>
    <cellStyle name="Ergebnis 6 2 34" xfId="17461" xr:uid="{00000000-0005-0000-0000-000035440000}"/>
    <cellStyle name="Ergebnis 6 2 35" xfId="17462" xr:uid="{00000000-0005-0000-0000-000036440000}"/>
    <cellStyle name="Ergebnis 6 2 36" xfId="17463" xr:uid="{00000000-0005-0000-0000-000037440000}"/>
    <cellStyle name="Ergebnis 6 2 37" xfId="17464" xr:uid="{00000000-0005-0000-0000-000038440000}"/>
    <cellStyle name="Ergebnis 6 2 38" xfId="17465" xr:uid="{00000000-0005-0000-0000-000039440000}"/>
    <cellStyle name="Ergebnis 6 2 39" xfId="17466" xr:uid="{00000000-0005-0000-0000-00003A440000}"/>
    <cellStyle name="Ergebnis 6 2 4" xfId="17467" xr:uid="{00000000-0005-0000-0000-00003B440000}"/>
    <cellStyle name="Ergebnis 6 2 40" xfId="17468" xr:uid="{00000000-0005-0000-0000-00003C440000}"/>
    <cellStyle name="Ergebnis 6 2 41" xfId="17469" xr:uid="{00000000-0005-0000-0000-00003D440000}"/>
    <cellStyle name="Ergebnis 6 2 42" xfId="17470" xr:uid="{00000000-0005-0000-0000-00003E440000}"/>
    <cellStyle name="Ergebnis 6 2 43" xfId="17471" xr:uid="{00000000-0005-0000-0000-00003F440000}"/>
    <cellStyle name="Ergebnis 6 2 44" xfId="17472" xr:uid="{00000000-0005-0000-0000-000040440000}"/>
    <cellStyle name="Ergebnis 6 2 45" xfId="17473" xr:uid="{00000000-0005-0000-0000-000041440000}"/>
    <cellStyle name="Ergebnis 6 2 46" xfId="17474" xr:uid="{00000000-0005-0000-0000-000042440000}"/>
    <cellStyle name="Ergebnis 6 2 47" xfId="17475" xr:uid="{00000000-0005-0000-0000-000043440000}"/>
    <cellStyle name="Ergebnis 6 2 48" xfId="17476" xr:uid="{00000000-0005-0000-0000-000044440000}"/>
    <cellStyle name="Ergebnis 6 2 49" xfId="17477" xr:uid="{00000000-0005-0000-0000-000045440000}"/>
    <cellStyle name="Ergebnis 6 2 5" xfId="17478" xr:uid="{00000000-0005-0000-0000-000046440000}"/>
    <cellStyle name="Ergebnis 6 2 50" xfId="17479" xr:uid="{00000000-0005-0000-0000-000047440000}"/>
    <cellStyle name="Ergebnis 6 2 51" xfId="17480" xr:uid="{00000000-0005-0000-0000-000048440000}"/>
    <cellStyle name="Ergebnis 6 2 52" xfId="17481" xr:uid="{00000000-0005-0000-0000-000049440000}"/>
    <cellStyle name="Ergebnis 6 2 53" xfId="17482" xr:uid="{00000000-0005-0000-0000-00004A440000}"/>
    <cellStyle name="Ergebnis 6 2 54" xfId="17483" xr:uid="{00000000-0005-0000-0000-00004B440000}"/>
    <cellStyle name="Ergebnis 6 2 55" xfId="17484" xr:uid="{00000000-0005-0000-0000-00004C440000}"/>
    <cellStyle name="Ergebnis 6 2 56" xfId="17485" xr:uid="{00000000-0005-0000-0000-00004D440000}"/>
    <cellStyle name="Ergebnis 6 2 57" xfId="17486" xr:uid="{00000000-0005-0000-0000-00004E440000}"/>
    <cellStyle name="Ergebnis 6 2 58" xfId="17487" xr:uid="{00000000-0005-0000-0000-00004F440000}"/>
    <cellStyle name="Ergebnis 6 2 59" xfId="17488" xr:uid="{00000000-0005-0000-0000-000050440000}"/>
    <cellStyle name="Ergebnis 6 2 6" xfId="17489" xr:uid="{00000000-0005-0000-0000-000051440000}"/>
    <cellStyle name="Ergebnis 6 2 60" xfId="17490" xr:uid="{00000000-0005-0000-0000-000052440000}"/>
    <cellStyle name="Ergebnis 6 2 61" xfId="17491" xr:uid="{00000000-0005-0000-0000-000053440000}"/>
    <cellStyle name="Ergebnis 6 2 62" xfId="17492" xr:uid="{00000000-0005-0000-0000-000054440000}"/>
    <cellStyle name="Ergebnis 6 2 63" xfId="17493" xr:uid="{00000000-0005-0000-0000-000055440000}"/>
    <cellStyle name="Ergebnis 6 2 64" xfId="17494" xr:uid="{00000000-0005-0000-0000-000056440000}"/>
    <cellStyle name="Ergebnis 6 2 65" xfId="17495" xr:uid="{00000000-0005-0000-0000-000057440000}"/>
    <cellStyle name="Ergebnis 6 2 7" xfId="17496" xr:uid="{00000000-0005-0000-0000-000058440000}"/>
    <cellStyle name="Ergebnis 6 2 8" xfId="17497" xr:uid="{00000000-0005-0000-0000-000059440000}"/>
    <cellStyle name="Ergebnis 6 2 9" xfId="17498" xr:uid="{00000000-0005-0000-0000-00005A440000}"/>
    <cellStyle name="Ergebnis 6 20" xfId="17499" xr:uid="{00000000-0005-0000-0000-00005B440000}"/>
    <cellStyle name="Ergebnis 6 21" xfId="17500" xr:uid="{00000000-0005-0000-0000-00005C440000}"/>
    <cellStyle name="Ergebnis 6 22" xfId="17501" xr:uid="{00000000-0005-0000-0000-00005D440000}"/>
    <cellStyle name="Ergebnis 6 23" xfId="17502" xr:uid="{00000000-0005-0000-0000-00005E440000}"/>
    <cellStyle name="Ergebnis 6 24" xfId="17503" xr:uid="{00000000-0005-0000-0000-00005F440000}"/>
    <cellStyle name="Ergebnis 6 25" xfId="17504" xr:uid="{00000000-0005-0000-0000-000060440000}"/>
    <cellStyle name="Ergebnis 6 26" xfId="17505" xr:uid="{00000000-0005-0000-0000-000061440000}"/>
    <cellStyle name="Ergebnis 6 27" xfId="17506" xr:uid="{00000000-0005-0000-0000-000062440000}"/>
    <cellStyle name="Ergebnis 6 28" xfId="17507" xr:uid="{00000000-0005-0000-0000-000063440000}"/>
    <cellStyle name="Ergebnis 6 29" xfId="17508" xr:uid="{00000000-0005-0000-0000-000064440000}"/>
    <cellStyle name="Ergebnis 6 3" xfId="17509" xr:uid="{00000000-0005-0000-0000-000065440000}"/>
    <cellStyle name="Ergebnis 6 30" xfId="17510" xr:uid="{00000000-0005-0000-0000-000066440000}"/>
    <cellStyle name="Ergebnis 6 31" xfId="17511" xr:uid="{00000000-0005-0000-0000-000067440000}"/>
    <cellStyle name="Ergebnis 6 32" xfId="17512" xr:uid="{00000000-0005-0000-0000-000068440000}"/>
    <cellStyle name="Ergebnis 6 33" xfId="17513" xr:uid="{00000000-0005-0000-0000-000069440000}"/>
    <cellStyle name="Ergebnis 6 34" xfId="17514" xr:uid="{00000000-0005-0000-0000-00006A440000}"/>
    <cellStyle name="Ergebnis 6 35" xfId="17515" xr:uid="{00000000-0005-0000-0000-00006B440000}"/>
    <cellStyle name="Ergebnis 6 36" xfId="17516" xr:uid="{00000000-0005-0000-0000-00006C440000}"/>
    <cellStyle name="Ergebnis 6 37" xfId="17517" xr:uid="{00000000-0005-0000-0000-00006D440000}"/>
    <cellStyle name="Ergebnis 6 38" xfId="17518" xr:uid="{00000000-0005-0000-0000-00006E440000}"/>
    <cellStyle name="Ergebnis 6 39" xfId="17519" xr:uid="{00000000-0005-0000-0000-00006F440000}"/>
    <cellStyle name="Ergebnis 6 4" xfId="17520" xr:uid="{00000000-0005-0000-0000-000070440000}"/>
    <cellStyle name="Ergebnis 6 40" xfId="17521" xr:uid="{00000000-0005-0000-0000-000071440000}"/>
    <cellStyle name="Ergebnis 6 41" xfId="17522" xr:uid="{00000000-0005-0000-0000-000072440000}"/>
    <cellStyle name="Ergebnis 6 42" xfId="17523" xr:uid="{00000000-0005-0000-0000-000073440000}"/>
    <cellStyle name="Ergebnis 6 43" xfId="17524" xr:uid="{00000000-0005-0000-0000-000074440000}"/>
    <cellStyle name="Ergebnis 6 44" xfId="17525" xr:uid="{00000000-0005-0000-0000-000075440000}"/>
    <cellStyle name="Ergebnis 6 45" xfId="17526" xr:uid="{00000000-0005-0000-0000-000076440000}"/>
    <cellStyle name="Ergebnis 6 46" xfId="17527" xr:uid="{00000000-0005-0000-0000-000077440000}"/>
    <cellStyle name="Ergebnis 6 47" xfId="17528" xr:uid="{00000000-0005-0000-0000-000078440000}"/>
    <cellStyle name="Ergebnis 6 48" xfId="17529" xr:uid="{00000000-0005-0000-0000-000079440000}"/>
    <cellStyle name="Ergebnis 6 49" xfId="17530" xr:uid="{00000000-0005-0000-0000-00007A440000}"/>
    <cellStyle name="Ergebnis 6 5" xfId="17531" xr:uid="{00000000-0005-0000-0000-00007B440000}"/>
    <cellStyle name="Ergebnis 6 50" xfId="17532" xr:uid="{00000000-0005-0000-0000-00007C440000}"/>
    <cellStyle name="Ergebnis 6 51" xfId="17533" xr:uid="{00000000-0005-0000-0000-00007D440000}"/>
    <cellStyle name="Ergebnis 6 52" xfId="17534" xr:uid="{00000000-0005-0000-0000-00007E440000}"/>
    <cellStyle name="Ergebnis 6 53" xfId="17535" xr:uid="{00000000-0005-0000-0000-00007F440000}"/>
    <cellStyle name="Ergebnis 6 54" xfId="17536" xr:uid="{00000000-0005-0000-0000-000080440000}"/>
    <cellStyle name="Ergebnis 6 55" xfId="17537" xr:uid="{00000000-0005-0000-0000-000081440000}"/>
    <cellStyle name="Ergebnis 6 56" xfId="17538" xr:uid="{00000000-0005-0000-0000-000082440000}"/>
    <cellStyle name="Ergebnis 6 57" xfId="17539" xr:uid="{00000000-0005-0000-0000-000083440000}"/>
    <cellStyle name="Ergebnis 6 58" xfId="17540" xr:uid="{00000000-0005-0000-0000-000084440000}"/>
    <cellStyle name="Ergebnis 6 59" xfId="17541" xr:uid="{00000000-0005-0000-0000-000085440000}"/>
    <cellStyle name="Ergebnis 6 6" xfId="17542" xr:uid="{00000000-0005-0000-0000-000086440000}"/>
    <cellStyle name="Ergebnis 6 60" xfId="17543" xr:uid="{00000000-0005-0000-0000-000087440000}"/>
    <cellStyle name="Ergebnis 6 61" xfId="17544" xr:uid="{00000000-0005-0000-0000-000088440000}"/>
    <cellStyle name="Ergebnis 6 62" xfId="17545" xr:uid="{00000000-0005-0000-0000-000089440000}"/>
    <cellStyle name="Ergebnis 6 63" xfId="17546" xr:uid="{00000000-0005-0000-0000-00008A440000}"/>
    <cellStyle name="Ergebnis 6 64" xfId="17547" xr:uid="{00000000-0005-0000-0000-00008B440000}"/>
    <cellStyle name="Ergebnis 6 65" xfId="17548" xr:uid="{00000000-0005-0000-0000-00008C440000}"/>
    <cellStyle name="Ergebnis 6 66" xfId="17549" xr:uid="{00000000-0005-0000-0000-00008D440000}"/>
    <cellStyle name="Ergebnis 6 7" xfId="17550" xr:uid="{00000000-0005-0000-0000-00008E440000}"/>
    <cellStyle name="Ergebnis 6 8" xfId="17551" xr:uid="{00000000-0005-0000-0000-00008F440000}"/>
    <cellStyle name="Ergebnis 6 9" xfId="17552" xr:uid="{00000000-0005-0000-0000-000090440000}"/>
    <cellStyle name="Ergebnis 7" xfId="17553" xr:uid="{00000000-0005-0000-0000-000091440000}"/>
    <cellStyle name="Ergebnis 7 10" xfId="17554" xr:uid="{00000000-0005-0000-0000-000092440000}"/>
    <cellStyle name="Ergebnis 7 11" xfId="17555" xr:uid="{00000000-0005-0000-0000-000093440000}"/>
    <cellStyle name="Ergebnis 7 12" xfId="17556" xr:uid="{00000000-0005-0000-0000-000094440000}"/>
    <cellStyle name="Ergebnis 7 13" xfId="17557" xr:uid="{00000000-0005-0000-0000-000095440000}"/>
    <cellStyle name="Ergebnis 7 14" xfId="17558" xr:uid="{00000000-0005-0000-0000-000096440000}"/>
    <cellStyle name="Ergebnis 7 15" xfId="17559" xr:uid="{00000000-0005-0000-0000-000097440000}"/>
    <cellStyle name="Ergebnis 7 16" xfId="17560" xr:uid="{00000000-0005-0000-0000-000098440000}"/>
    <cellStyle name="Ergebnis 7 17" xfId="17561" xr:uid="{00000000-0005-0000-0000-000099440000}"/>
    <cellStyle name="Ergebnis 7 18" xfId="17562" xr:uid="{00000000-0005-0000-0000-00009A440000}"/>
    <cellStyle name="Ergebnis 7 19" xfId="17563" xr:uid="{00000000-0005-0000-0000-00009B440000}"/>
    <cellStyle name="Ergebnis 7 2" xfId="17564" xr:uid="{00000000-0005-0000-0000-00009C440000}"/>
    <cellStyle name="Ergebnis 7 20" xfId="17565" xr:uid="{00000000-0005-0000-0000-00009D440000}"/>
    <cellStyle name="Ergebnis 7 21" xfId="17566" xr:uid="{00000000-0005-0000-0000-00009E440000}"/>
    <cellStyle name="Ergebnis 7 22" xfId="17567" xr:uid="{00000000-0005-0000-0000-00009F440000}"/>
    <cellStyle name="Ergebnis 7 23" xfId="17568" xr:uid="{00000000-0005-0000-0000-0000A0440000}"/>
    <cellStyle name="Ergebnis 7 24" xfId="17569" xr:uid="{00000000-0005-0000-0000-0000A1440000}"/>
    <cellStyle name="Ergebnis 7 25" xfId="17570" xr:uid="{00000000-0005-0000-0000-0000A2440000}"/>
    <cellStyle name="Ergebnis 7 26" xfId="17571" xr:uid="{00000000-0005-0000-0000-0000A3440000}"/>
    <cellStyle name="Ergebnis 7 27" xfId="17572" xr:uid="{00000000-0005-0000-0000-0000A4440000}"/>
    <cellStyle name="Ergebnis 7 28" xfId="17573" xr:uid="{00000000-0005-0000-0000-0000A5440000}"/>
    <cellStyle name="Ergebnis 7 29" xfId="17574" xr:uid="{00000000-0005-0000-0000-0000A6440000}"/>
    <cellStyle name="Ergebnis 7 3" xfId="17575" xr:uid="{00000000-0005-0000-0000-0000A7440000}"/>
    <cellStyle name="Ergebnis 7 30" xfId="17576" xr:uid="{00000000-0005-0000-0000-0000A8440000}"/>
    <cellStyle name="Ergebnis 7 31" xfId="17577" xr:uid="{00000000-0005-0000-0000-0000A9440000}"/>
    <cellStyle name="Ergebnis 7 32" xfId="17578" xr:uid="{00000000-0005-0000-0000-0000AA440000}"/>
    <cellStyle name="Ergebnis 7 33" xfId="17579" xr:uid="{00000000-0005-0000-0000-0000AB440000}"/>
    <cellStyle name="Ergebnis 7 34" xfId="17580" xr:uid="{00000000-0005-0000-0000-0000AC440000}"/>
    <cellStyle name="Ergebnis 7 35" xfId="17581" xr:uid="{00000000-0005-0000-0000-0000AD440000}"/>
    <cellStyle name="Ergebnis 7 36" xfId="17582" xr:uid="{00000000-0005-0000-0000-0000AE440000}"/>
    <cellStyle name="Ergebnis 7 37" xfId="17583" xr:uid="{00000000-0005-0000-0000-0000AF440000}"/>
    <cellStyle name="Ergebnis 7 38" xfId="17584" xr:uid="{00000000-0005-0000-0000-0000B0440000}"/>
    <cellStyle name="Ergebnis 7 39" xfId="17585" xr:uid="{00000000-0005-0000-0000-0000B1440000}"/>
    <cellStyle name="Ergebnis 7 4" xfId="17586" xr:uid="{00000000-0005-0000-0000-0000B2440000}"/>
    <cellStyle name="Ergebnis 7 40" xfId="17587" xr:uid="{00000000-0005-0000-0000-0000B3440000}"/>
    <cellStyle name="Ergebnis 7 41" xfId="17588" xr:uid="{00000000-0005-0000-0000-0000B4440000}"/>
    <cellStyle name="Ergebnis 7 42" xfId="17589" xr:uid="{00000000-0005-0000-0000-0000B5440000}"/>
    <cellStyle name="Ergebnis 7 43" xfId="17590" xr:uid="{00000000-0005-0000-0000-0000B6440000}"/>
    <cellStyle name="Ergebnis 7 44" xfId="17591" xr:uid="{00000000-0005-0000-0000-0000B7440000}"/>
    <cellStyle name="Ergebnis 7 45" xfId="17592" xr:uid="{00000000-0005-0000-0000-0000B8440000}"/>
    <cellStyle name="Ergebnis 7 46" xfId="17593" xr:uid="{00000000-0005-0000-0000-0000B9440000}"/>
    <cellStyle name="Ergebnis 7 47" xfId="17594" xr:uid="{00000000-0005-0000-0000-0000BA440000}"/>
    <cellStyle name="Ergebnis 7 48" xfId="17595" xr:uid="{00000000-0005-0000-0000-0000BB440000}"/>
    <cellStyle name="Ergebnis 7 49" xfId="17596" xr:uid="{00000000-0005-0000-0000-0000BC440000}"/>
    <cellStyle name="Ergebnis 7 5" xfId="17597" xr:uid="{00000000-0005-0000-0000-0000BD440000}"/>
    <cellStyle name="Ergebnis 7 50" xfId="17598" xr:uid="{00000000-0005-0000-0000-0000BE440000}"/>
    <cellStyle name="Ergebnis 7 51" xfId="17599" xr:uid="{00000000-0005-0000-0000-0000BF440000}"/>
    <cellStyle name="Ergebnis 7 52" xfId="17600" xr:uid="{00000000-0005-0000-0000-0000C0440000}"/>
    <cellStyle name="Ergebnis 7 53" xfId="17601" xr:uid="{00000000-0005-0000-0000-0000C1440000}"/>
    <cellStyle name="Ergebnis 7 54" xfId="17602" xr:uid="{00000000-0005-0000-0000-0000C2440000}"/>
    <cellStyle name="Ergebnis 7 55" xfId="17603" xr:uid="{00000000-0005-0000-0000-0000C3440000}"/>
    <cellStyle name="Ergebnis 7 56" xfId="17604" xr:uid="{00000000-0005-0000-0000-0000C4440000}"/>
    <cellStyle name="Ergebnis 7 57" xfId="17605" xr:uid="{00000000-0005-0000-0000-0000C5440000}"/>
    <cellStyle name="Ergebnis 7 58" xfId="17606" xr:uid="{00000000-0005-0000-0000-0000C6440000}"/>
    <cellStyle name="Ergebnis 7 59" xfId="17607" xr:uid="{00000000-0005-0000-0000-0000C7440000}"/>
    <cellStyle name="Ergebnis 7 6" xfId="17608" xr:uid="{00000000-0005-0000-0000-0000C8440000}"/>
    <cellStyle name="Ergebnis 7 60" xfId="17609" xr:uid="{00000000-0005-0000-0000-0000C9440000}"/>
    <cellStyle name="Ergebnis 7 61" xfId="17610" xr:uid="{00000000-0005-0000-0000-0000CA440000}"/>
    <cellStyle name="Ergebnis 7 62" xfId="17611" xr:uid="{00000000-0005-0000-0000-0000CB440000}"/>
    <cellStyle name="Ergebnis 7 63" xfId="17612" xr:uid="{00000000-0005-0000-0000-0000CC440000}"/>
    <cellStyle name="Ergebnis 7 64" xfId="17613" xr:uid="{00000000-0005-0000-0000-0000CD440000}"/>
    <cellStyle name="Ergebnis 7 65" xfId="17614" xr:uid="{00000000-0005-0000-0000-0000CE440000}"/>
    <cellStyle name="Ergebnis 7 7" xfId="17615" xr:uid="{00000000-0005-0000-0000-0000CF440000}"/>
    <cellStyle name="Ergebnis 7 8" xfId="17616" xr:uid="{00000000-0005-0000-0000-0000D0440000}"/>
    <cellStyle name="Ergebnis 7 9" xfId="17617" xr:uid="{00000000-0005-0000-0000-0000D1440000}"/>
    <cellStyle name="Erklärender Text" xfId="17618" xr:uid="{00000000-0005-0000-0000-0000D2440000}"/>
    <cellStyle name="Erklärender Text 2" xfId="17619" xr:uid="{00000000-0005-0000-0000-0000D3440000}"/>
    <cellStyle name="Erklärender Text 3" xfId="17620" xr:uid="{00000000-0005-0000-0000-0000D4440000}"/>
    <cellStyle name="Explanatory Text 2" xfId="17621" xr:uid="{00000000-0005-0000-0000-0000D5440000}"/>
    <cellStyle name="Explanatory Text 3" xfId="17622" xr:uid="{00000000-0005-0000-0000-0000D6440000}"/>
    <cellStyle name="Good 2" xfId="17623" xr:uid="{00000000-0005-0000-0000-0000D7440000}"/>
    <cellStyle name="Good 3" xfId="17624" xr:uid="{00000000-0005-0000-0000-0000D8440000}"/>
    <cellStyle name="Good 4" xfId="17625" xr:uid="{00000000-0005-0000-0000-0000D9440000}"/>
    <cellStyle name="Gut" xfId="17626" xr:uid="{00000000-0005-0000-0000-0000DA440000}"/>
    <cellStyle name="Heading 1 2" xfId="17627" xr:uid="{00000000-0005-0000-0000-0000DB440000}"/>
    <cellStyle name="Heading 1 3" xfId="17628" xr:uid="{00000000-0005-0000-0000-0000DC440000}"/>
    <cellStyle name="Heading 1 4" xfId="17629" xr:uid="{00000000-0005-0000-0000-0000DD440000}"/>
    <cellStyle name="Heading 2 2" xfId="17630" xr:uid="{00000000-0005-0000-0000-0000DE440000}"/>
    <cellStyle name="Heading 2 3" xfId="17631" xr:uid="{00000000-0005-0000-0000-0000DF440000}"/>
    <cellStyle name="Heading 2 4" xfId="17632" xr:uid="{00000000-0005-0000-0000-0000E0440000}"/>
    <cellStyle name="Heading 3 2" xfId="17633" xr:uid="{00000000-0005-0000-0000-0000E1440000}"/>
    <cellStyle name="Heading 3 3" xfId="17634" xr:uid="{00000000-0005-0000-0000-0000E2440000}"/>
    <cellStyle name="Heading 3 4" xfId="17635" xr:uid="{00000000-0005-0000-0000-0000E3440000}"/>
    <cellStyle name="Heading 4 2" xfId="17636" xr:uid="{00000000-0005-0000-0000-0000E4440000}"/>
    <cellStyle name="Heading 4 3" xfId="17637" xr:uid="{00000000-0005-0000-0000-0000E5440000}"/>
    <cellStyle name="Heading 4 4" xfId="17638" xr:uid="{00000000-0005-0000-0000-0000E6440000}"/>
    <cellStyle name="Headline" xfId="17639" xr:uid="{00000000-0005-0000-0000-0000E7440000}"/>
    <cellStyle name="Input 2" xfId="17640" xr:uid="{00000000-0005-0000-0000-0000E8440000}"/>
    <cellStyle name="Input 2 10" xfId="17641" xr:uid="{00000000-0005-0000-0000-0000E9440000}"/>
    <cellStyle name="Input 2 11" xfId="17642" xr:uid="{00000000-0005-0000-0000-0000EA440000}"/>
    <cellStyle name="Input 2 12" xfId="17643" xr:uid="{00000000-0005-0000-0000-0000EB440000}"/>
    <cellStyle name="Input 2 13" xfId="17644" xr:uid="{00000000-0005-0000-0000-0000EC440000}"/>
    <cellStyle name="Input 2 14" xfId="17645" xr:uid="{00000000-0005-0000-0000-0000ED440000}"/>
    <cellStyle name="Input 2 15" xfId="17646" xr:uid="{00000000-0005-0000-0000-0000EE440000}"/>
    <cellStyle name="Input 2 16" xfId="17647" xr:uid="{00000000-0005-0000-0000-0000EF440000}"/>
    <cellStyle name="Input 2 17" xfId="17648" xr:uid="{00000000-0005-0000-0000-0000F0440000}"/>
    <cellStyle name="Input 2 18" xfId="17649" xr:uid="{00000000-0005-0000-0000-0000F1440000}"/>
    <cellStyle name="Input 2 19" xfId="17650" xr:uid="{00000000-0005-0000-0000-0000F2440000}"/>
    <cellStyle name="Input 2 2" xfId="17651" xr:uid="{00000000-0005-0000-0000-0000F3440000}"/>
    <cellStyle name="Input 2 2 10" xfId="17652" xr:uid="{00000000-0005-0000-0000-0000F4440000}"/>
    <cellStyle name="Input 2 2 11" xfId="17653" xr:uid="{00000000-0005-0000-0000-0000F5440000}"/>
    <cellStyle name="Input 2 2 12" xfId="17654" xr:uid="{00000000-0005-0000-0000-0000F6440000}"/>
    <cellStyle name="Input 2 2 13" xfId="17655" xr:uid="{00000000-0005-0000-0000-0000F7440000}"/>
    <cellStyle name="Input 2 2 14" xfId="17656" xr:uid="{00000000-0005-0000-0000-0000F8440000}"/>
    <cellStyle name="Input 2 2 15" xfId="17657" xr:uid="{00000000-0005-0000-0000-0000F9440000}"/>
    <cellStyle name="Input 2 2 16" xfId="17658" xr:uid="{00000000-0005-0000-0000-0000FA440000}"/>
    <cellStyle name="Input 2 2 17" xfId="17659" xr:uid="{00000000-0005-0000-0000-0000FB440000}"/>
    <cellStyle name="Input 2 2 18" xfId="17660" xr:uid="{00000000-0005-0000-0000-0000FC440000}"/>
    <cellStyle name="Input 2 2 19" xfId="17661" xr:uid="{00000000-0005-0000-0000-0000FD440000}"/>
    <cellStyle name="Input 2 2 2" xfId="17662" xr:uid="{00000000-0005-0000-0000-0000FE440000}"/>
    <cellStyle name="Input 2 2 2 10" xfId="17663" xr:uid="{00000000-0005-0000-0000-0000FF440000}"/>
    <cellStyle name="Input 2 2 2 11" xfId="17664" xr:uid="{00000000-0005-0000-0000-000000450000}"/>
    <cellStyle name="Input 2 2 2 12" xfId="17665" xr:uid="{00000000-0005-0000-0000-000001450000}"/>
    <cellStyle name="Input 2 2 2 13" xfId="17666" xr:uid="{00000000-0005-0000-0000-000002450000}"/>
    <cellStyle name="Input 2 2 2 14" xfId="17667" xr:uid="{00000000-0005-0000-0000-000003450000}"/>
    <cellStyle name="Input 2 2 2 15" xfId="17668" xr:uid="{00000000-0005-0000-0000-000004450000}"/>
    <cellStyle name="Input 2 2 2 16" xfId="17669" xr:uid="{00000000-0005-0000-0000-000005450000}"/>
    <cellStyle name="Input 2 2 2 17" xfId="17670" xr:uid="{00000000-0005-0000-0000-000006450000}"/>
    <cellStyle name="Input 2 2 2 18" xfId="17671" xr:uid="{00000000-0005-0000-0000-000007450000}"/>
    <cellStyle name="Input 2 2 2 19" xfId="17672" xr:uid="{00000000-0005-0000-0000-000008450000}"/>
    <cellStyle name="Input 2 2 2 2" xfId="17673" xr:uid="{00000000-0005-0000-0000-000009450000}"/>
    <cellStyle name="Input 2 2 2 20" xfId="17674" xr:uid="{00000000-0005-0000-0000-00000A450000}"/>
    <cellStyle name="Input 2 2 2 21" xfId="17675" xr:uid="{00000000-0005-0000-0000-00000B450000}"/>
    <cellStyle name="Input 2 2 2 22" xfId="17676" xr:uid="{00000000-0005-0000-0000-00000C450000}"/>
    <cellStyle name="Input 2 2 2 23" xfId="17677" xr:uid="{00000000-0005-0000-0000-00000D450000}"/>
    <cellStyle name="Input 2 2 2 24" xfId="17678" xr:uid="{00000000-0005-0000-0000-00000E450000}"/>
    <cellStyle name="Input 2 2 2 25" xfId="17679" xr:uid="{00000000-0005-0000-0000-00000F450000}"/>
    <cellStyle name="Input 2 2 2 26" xfId="17680" xr:uid="{00000000-0005-0000-0000-000010450000}"/>
    <cellStyle name="Input 2 2 2 27" xfId="17681" xr:uid="{00000000-0005-0000-0000-000011450000}"/>
    <cellStyle name="Input 2 2 2 28" xfId="17682" xr:uid="{00000000-0005-0000-0000-000012450000}"/>
    <cellStyle name="Input 2 2 2 29" xfId="17683" xr:uid="{00000000-0005-0000-0000-000013450000}"/>
    <cellStyle name="Input 2 2 2 3" xfId="17684" xr:uid="{00000000-0005-0000-0000-000014450000}"/>
    <cellStyle name="Input 2 2 2 30" xfId="17685" xr:uid="{00000000-0005-0000-0000-000015450000}"/>
    <cellStyle name="Input 2 2 2 31" xfId="17686" xr:uid="{00000000-0005-0000-0000-000016450000}"/>
    <cellStyle name="Input 2 2 2 32" xfId="17687" xr:uid="{00000000-0005-0000-0000-000017450000}"/>
    <cellStyle name="Input 2 2 2 33" xfId="17688" xr:uid="{00000000-0005-0000-0000-000018450000}"/>
    <cellStyle name="Input 2 2 2 34" xfId="17689" xr:uid="{00000000-0005-0000-0000-000019450000}"/>
    <cellStyle name="Input 2 2 2 35" xfId="17690" xr:uid="{00000000-0005-0000-0000-00001A450000}"/>
    <cellStyle name="Input 2 2 2 36" xfId="17691" xr:uid="{00000000-0005-0000-0000-00001B450000}"/>
    <cellStyle name="Input 2 2 2 37" xfId="17692" xr:uid="{00000000-0005-0000-0000-00001C450000}"/>
    <cellStyle name="Input 2 2 2 38" xfId="17693" xr:uid="{00000000-0005-0000-0000-00001D450000}"/>
    <cellStyle name="Input 2 2 2 39" xfId="17694" xr:uid="{00000000-0005-0000-0000-00001E450000}"/>
    <cellStyle name="Input 2 2 2 4" xfId="17695" xr:uid="{00000000-0005-0000-0000-00001F450000}"/>
    <cellStyle name="Input 2 2 2 40" xfId="17696" xr:uid="{00000000-0005-0000-0000-000020450000}"/>
    <cellStyle name="Input 2 2 2 41" xfId="17697" xr:uid="{00000000-0005-0000-0000-000021450000}"/>
    <cellStyle name="Input 2 2 2 42" xfId="17698" xr:uid="{00000000-0005-0000-0000-000022450000}"/>
    <cellStyle name="Input 2 2 2 43" xfId="17699" xr:uid="{00000000-0005-0000-0000-000023450000}"/>
    <cellStyle name="Input 2 2 2 44" xfId="17700" xr:uid="{00000000-0005-0000-0000-000024450000}"/>
    <cellStyle name="Input 2 2 2 45" xfId="17701" xr:uid="{00000000-0005-0000-0000-000025450000}"/>
    <cellStyle name="Input 2 2 2 46" xfId="17702" xr:uid="{00000000-0005-0000-0000-000026450000}"/>
    <cellStyle name="Input 2 2 2 47" xfId="17703" xr:uid="{00000000-0005-0000-0000-000027450000}"/>
    <cellStyle name="Input 2 2 2 48" xfId="17704" xr:uid="{00000000-0005-0000-0000-000028450000}"/>
    <cellStyle name="Input 2 2 2 49" xfId="17705" xr:uid="{00000000-0005-0000-0000-000029450000}"/>
    <cellStyle name="Input 2 2 2 5" xfId="17706" xr:uid="{00000000-0005-0000-0000-00002A450000}"/>
    <cellStyle name="Input 2 2 2 50" xfId="17707" xr:uid="{00000000-0005-0000-0000-00002B450000}"/>
    <cellStyle name="Input 2 2 2 51" xfId="17708" xr:uid="{00000000-0005-0000-0000-00002C450000}"/>
    <cellStyle name="Input 2 2 2 52" xfId="17709" xr:uid="{00000000-0005-0000-0000-00002D450000}"/>
    <cellStyle name="Input 2 2 2 53" xfId="17710" xr:uid="{00000000-0005-0000-0000-00002E450000}"/>
    <cellStyle name="Input 2 2 2 54" xfId="17711" xr:uid="{00000000-0005-0000-0000-00002F450000}"/>
    <cellStyle name="Input 2 2 2 55" xfId="17712" xr:uid="{00000000-0005-0000-0000-000030450000}"/>
    <cellStyle name="Input 2 2 2 56" xfId="17713" xr:uid="{00000000-0005-0000-0000-000031450000}"/>
    <cellStyle name="Input 2 2 2 57" xfId="17714" xr:uid="{00000000-0005-0000-0000-000032450000}"/>
    <cellStyle name="Input 2 2 2 58" xfId="17715" xr:uid="{00000000-0005-0000-0000-000033450000}"/>
    <cellStyle name="Input 2 2 2 59" xfId="17716" xr:uid="{00000000-0005-0000-0000-000034450000}"/>
    <cellStyle name="Input 2 2 2 6" xfId="17717" xr:uid="{00000000-0005-0000-0000-000035450000}"/>
    <cellStyle name="Input 2 2 2 60" xfId="17718" xr:uid="{00000000-0005-0000-0000-000036450000}"/>
    <cellStyle name="Input 2 2 2 61" xfId="17719" xr:uid="{00000000-0005-0000-0000-000037450000}"/>
    <cellStyle name="Input 2 2 2 62" xfId="17720" xr:uid="{00000000-0005-0000-0000-000038450000}"/>
    <cellStyle name="Input 2 2 2 63" xfId="17721" xr:uid="{00000000-0005-0000-0000-000039450000}"/>
    <cellStyle name="Input 2 2 2 64" xfId="17722" xr:uid="{00000000-0005-0000-0000-00003A450000}"/>
    <cellStyle name="Input 2 2 2 65" xfId="17723" xr:uid="{00000000-0005-0000-0000-00003B450000}"/>
    <cellStyle name="Input 2 2 2 7" xfId="17724" xr:uid="{00000000-0005-0000-0000-00003C450000}"/>
    <cellStyle name="Input 2 2 2 8" xfId="17725" xr:uid="{00000000-0005-0000-0000-00003D450000}"/>
    <cellStyle name="Input 2 2 2 9" xfId="17726" xr:uid="{00000000-0005-0000-0000-00003E450000}"/>
    <cellStyle name="Input 2 2 20" xfId="17727" xr:uid="{00000000-0005-0000-0000-00003F450000}"/>
    <cellStyle name="Input 2 2 21" xfId="17728" xr:uid="{00000000-0005-0000-0000-000040450000}"/>
    <cellStyle name="Input 2 2 22" xfId="17729" xr:uid="{00000000-0005-0000-0000-000041450000}"/>
    <cellStyle name="Input 2 2 23" xfId="17730" xr:uid="{00000000-0005-0000-0000-000042450000}"/>
    <cellStyle name="Input 2 2 24" xfId="17731" xr:uid="{00000000-0005-0000-0000-000043450000}"/>
    <cellStyle name="Input 2 2 25" xfId="17732" xr:uid="{00000000-0005-0000-0000-000044450000}"/>
    <cellStyle name="Input 2 2 26" xfId="17733" xr:uid="{00000000-0005-0000-0000-000045450000}"/>
    <cellStyle name="Input 2 2 27" xfId="17734" xr:uid="{00000000-0005-0000-0000-000046450000}"/>
    <cellStyle name="Input 2 2 28" xfId="17735" xr:uid="{00000000-0005-0000-0000-000047450000}"/>
    <cellStyle name="Input 2 2 29" xfId="17736" xr:uid="{00000000-0005-0000-0000-000048450000}"/>
    <cellStyle name="Input 2 2 3" xfId="17737" xr:uid="{00000000-0005-0000-0000-000049450000}"/>
    <cellStyle name="Input 2 2 30" xfId="17738" xr:uid="{00000000-0005-0000-0000-00004A450000}"/>
    <cellStyle name="Input 2 2 31" xfId="17739" xr:uid="{00000000-0005-0000-0000-00004B450000}"/>
    <cellStyle name="Input 2 2 32" xfId="17740" xr:uid="{00000000-0005-0000-0000-00004C450000}"/>
    <cellStyle name="Input 2 2 33" xfId="17741" xr:uid="{00000000-0005-0000-0000-00004D450000}"/>
    <cellStyle name="Input 2 2 34" xfId="17742" xr:uid="{00000000-0005-0000-0000-00004E450000}"/>
    <cellStyle name="Input 2 2 35" xfId="17743" xr:uid="{00000000-0005-0000-0000-00004F450000}"/>
    <cellStyle name="Input 2 2 36" xfId="17744" xr:uid="{00000000-0005-0000-0000-000050450000}"/>
    <cellStyle name="Input 2 2 37" xfId="17745" xr:uid="{00000000-0005-0000-0000-000051450000}"/>
    <cellStyle name="Input 2 2 38" xfId="17746" xr:uid="{00000000-0005-0000-0000-000052450000}"/>
    <cellStyle name="Input 2 2 39" xfId="17747" xr:uid="{00000000-0005-0000-0000-000053450000}"/>
    <cellStyle name="Input 2 2 4" xfId="17748" xr:uid="{00000000-0005-0000-0000-000054450000}"/>
    <cellStyle name="Input 2 2 40" xfId="17749" xr:uid="{00000000-0005-0000-0000-000055450000}"/>
    <cellStyle name="Input 2 2 41" xfId="17750" xr:uid="{00000000-0005-0000-0000-000056450000}"/>
    <cellStyle name="Input 2 2 42" xfId="17751" xr:uid="{00000000-0005-0000-0000-000057450000}"/>
    <cellStyle name="Input 2 2 43" xfId="17752" xr:uid="{00000000-0005-0000-0000-000058450000}"/>
    <cellStyle name="Input 2 2 44" xfId="17753" xr:uid="{00000000-0005-0000-0000-000059450000}"/>
    <cellStyle name="Input 2 2 45" xfId="17754" xr:uid="{00000000-0005-0000-0000-00005A450000}"/>
    <cellStyle name="Input 2 2 46" xfId="17755" xr:uid="{00000000-0005-0000-0000-00005B450000}"/>
    <cellStyle name="Input 2 2 47" xfId="17756" xr:uid="{00000000-0005-0000-0000-00005C450000}"/>
    <cellStyle name="Input 2 2 48" xfId="17757" xr:uid="{00000000-0005-0000-0000-00005D450000}"/>
    <cellStyle name="Input 2 2 49" xfId="17758" xr:uid="{00000000-0005-0000-0000-00005E450000}"/>
    <cellStyle name="Input 2 2 5" xfId="17759" xr:uid="{00000000-0005-0000-0000-00005F450000}"/>
    <cellStyle name="Input 2 2 50" xfId="17760" xr:uid="{00000000-0005-0000-0000-000060450000}"/>
    <cellStyle name="Input 2 2 51" xfId="17761" xr:uid="{00000000-0005-0000-0000-000061450000}"/>
    <cellStyle name="Input 2 2 52" xfId="17762" xr:uid="{00000000-0005-0000-0000-000062450000}"/>
    <cellStyle name="Input 2 2 53" xfId="17763" xr:uid="{00000000-0005-0000-0000-000063450000}"/>
    <cellStyle name="Input 2 2 54" xfId="17764" xr:uid="{00000000-0005-0000-0000-000064450000}"/>
    <cellStyle name="Input 2 2 55" xfId="17765" xr:uid="{00000000-0005-0000-0000-000065450000}"/>
    <cellStyle name="Input 2 2 56" xfId="17766" xr:uid="{00000000-0005-0000-0000-000066450000}"/>
    <cellStyle name="Input 2 2 57" xfId="17767" xr:uid="{00000000-0005-0000-0000-000067450000}"/>
    <cellStyle name="Input 2 2 58" xfId="17768" xr:uid="{00000000-0005-0000-0000-000068450000}"/>
    <cellStyle name="Input 2 2 59" xfId="17769" xr:uid="{00000000-0005-0000-0000-000069450000}"/>
    <cellStyle name="Input 2 2 6" xfId="17770" xr:uid="{00000000-0005-0000-0000-00006A450000}"/>
    <cellStyle name="Input 2 2 60" xfId="17771" xr:uid="{00000000-0005-0000-0000-00006B450000}"/>
    <cellStyle name="Input 2 2 61" xfId="17772" xr:uid="{00000000-0005-0000-0000-00006C450000}"/>
    <cellStyle name="Input 2 2 62" xfId="17773" xr:uid="{00000000-0005-0000-0000-00006D450000}"/>
    <cellStyle name="Input 2 2 63" xfId="17774" xr:uid="{00000000-0005-0000-0000-00006E450000}"/>
    <cellStyle name="Input 2 2 64" xfId="17775" xr:uid="{00000000-0005-0000-0000-00006F450000}"/>
    <cellStyle name="Input 2 2 65" xfId="17776" xr:uid="{00000000-0005-0000-0000-000070450000}"/>
    <cellStyle name="Input 2 2 66" xfId="17777" xr:uid="{00000000-0005-0000-0000-000071450000}"/>
    <cellStyle name="Input 2 2 7" xfId="17778" xr:uid="{00000000-0005-0000-0000-000072450000}"/>
    <cellStyle name="Input 2 2 8" xfId="17779" xr:uid="{00000000-0005-0000-0000-000073450000}"/>
    <cellStyle name="Input 2 2 9" xfId="17780" xr:uid="{00000000-0005-0000-0000-000074450000}"/>
    <cellStyle name="Input 2 20" xfId="17781" xr:uid="{00000000-0005-0000-0000-000075450000}"/>
    <cellStyle name="Input 2 21" xfId="17782" xr:uid="{00000000-0005-0000-0000-000076450000}"/>
    <cellStyle name="Input 2 22" xfId="17783" xr:uid="{00000000-0005-0000-0000-000077450000}"/>
    <cellStyle name="Input 2 23" xfId="17784" xr:uid="{00000000-0005-0000-0000-000078450000}"/>
    <cellStyle name="Input 2 24" xfId="17785" xr:uid="{00000000-0005-0000-0000-000079450000}"/>
    <cellStyle name="Input 2 25" xfId="17786" xr:uid="{00000000-0005-0000-0000-00007A450000}"/>
    <cellStyle name="Input 2 26" xfId="17787" xr:uid="{00000000-0005-0000-0000-00007B450000}"/>
    <cellStyle name="Input 2 27" xfId="17788" xr:uid="{00000000-0005-0000-0000-00007C450000}"/>
    <cellStyle name="Input 2 28" xfId="17789" xr:uid="{00000000-0005-0000-0000-00007D450000}"/>
    <cellStyle name="Input 2 29" xfId="17790" xr:uid="{00000000-0005-0000-0000-00007E450000}"/>
    <cellStyle name="Input 2 3" xfId="17791" xr:uid="{00000000-0005-0000-0000-00007F450000}"/>
    <cellStyle name="Input 2 3 10" xfId="17792" xr:uid="{00000000-0005-0000-0000-000080450000}"/>
    <cellStyle name="Input 2 3 11" xfId="17793" xr:uid="{00000000-0005-0000-0000-000081450000}"/>
    <cellStyle name="Input 2 3 12" xfId="17794" xr:uid="{00000000-0005-0000-0000-000082450000}"/>
    <cellStyle name="Input 2 3 13" xfId="17795" xr:uid="{00000000-0005-0000-0000-000083450000}"/>
    <cellStyle name="Input 2 3 14" xfId="17796" xr:uid="{00000000-0005-0000-0000-000084450000}"/>
    <cellStyle name="Input 2 3 15" xfId="17797" xr:uid="{00000000-0005-0000-0000-000085450000}"/>
    <cellStyle name="Input 2 3 16" xfId="17798" xr:uid="{00000000-0005-0000-0000-000086450000}"/>
    <cellStyle name="Input 2 3 17" xfId="17799" xr:uid="{00000000-0005-0000-0000-000087450000}"/>
    <cellStyle name="Input 2 3 18" xfId="17800" xr:uid="{00000000-0005-0000-0000-000088450000}"/>
    <cellStyle name="Input 2 3 19" xfId="17801" xr:uid="{00000000-0005-0000-0000-000089450000}"/>
    <cellStyle name="Input 2 3 2" xfId="17802" xr:uid="{00000000-0005-0000-0000-00008A450000}"/>
    <cellStyle name="Input 2 3 2 10" xfId="17803" xr:uid="{00000000-0005-0000-0000-00008B450000}"/>
    <cellStyle name="Input 2 3 2 11" xfId="17804" xr:uid="{00000000-0005-0000-0000-00008C450000}"/>
    <cellStyle name="Input 2 3 2 12" xfId="17805" xr:uid="{00000000-0005-0000-0000-00008D450000}"/>
    <cellStyle name="Input 2 3 2 13" xfId="17806" xr:uid="{00000000-0005-0000-0000-00008E450000}"/>
    <cellStyle name="Input 2 3 2 14" xfId="17807" xr:uid="{00000000-0005-0000-0000-00008F450000}"/>
    <cellStyle name="Input 2 3 2 15" xfId="17808" xr:uid="{00000000-0005-0000-0000-000090450000}"/>
    <cellStyle name="Input 2 3 2 16" xfId="17809" xr:uid="{00000000-0005-0000-0000-000091450000}"/>
    <cellStyle name="Input 2 3 2 17" xfId="17810" xr:uid="{00000000-0005-0000-0000-000092450000}"/>
    <cellStyle name="Input 2 3 2 18" xfId="17811" xr:uid="{00000000-0005-0000-0000-000093450000}"/>
    <cellStyle name="Input 2 3 2 19" xfId="17812" xr:uid="{00000000-0005-0000-0000-000094450000}"/>
    <cellStyle name="Input 2 3 2 2" xfId="17813" xr:uid="{00000000-0005-0000-0000-000095450000}"/>
    <cellStyle name="Input 2 3 2 20" xfId="17814" xr:uid="{00000000-0005-0000-0000-000096450000}"/>
    <cellStyle name="Input 2 3 2 21" xfId="17815" xr:uid="{00000000-0005-0000-0000-000097450000}"/>
    <cellStyle name="Input 2 3 2 22" xfId="17816" xr:uid="{00000000-0005-0000-0000-000098450000}"/>
    <cellStyle name="Input 2 3 2 23" xfId="17817" xr:uid="{00000000-0005-0000-0000-000099450000}"/>
    <cellStyle name="Input 2 3 2 24" xfId="17818" xr:uid="{00000000-0005-0000-0000-00009A450000}"/>
    <cellStyle name="Input 2 3 2 25" xfId="17819" xr:uid="{00000000-0005-0000-0000-00009B450000}"/>
    <cellStyle name="Input 2 3 2 26" xfId="17820" xr:uid="{00000000-0005-0000-0000-00009C450000}"/>
    <cellStyle name="Input 2 3 2 27" xfId="17821" xr:uid="{00000000-0005-0000-0000-00009D450000}"/>
    <cellStyle name="Input 2 3 2 28" xfId="17822" xr:uid="{00000000-0005-0000-0000-00009E450000}"/>
    <cellStyle name="Input 2 3 2 29" xfId="17823" xr:uid="{00000000-0005-0000-0000-00009F450000}"/>
    <cellStyle name="Input 2 3 2 3" xfId="17824" xr:uid="{00000000-0005-0000-0000-0000A0450000}"/>
    <cellStyle name="Input 2 3 2 30" xfId="17825" xr:uid="{00000000-0005-0000-0000-0000A1450000}"/>
    <cellStyle name="Input 2 3 2 31" xfId="17826" xr:uid="{00000000-0005-0000-0000-0000A2450000}"/>
    <cellStyle name="Input 2 3 2 32" xfId="17827" xr:uid="{00000000-0005-0000-0000-0000A3450000}"/>
    <cellStyle name="Input 2 3 2 33" xfId="17828" xr:uid="{00000000-0005-0000-0000-0000A4450000}"/>
    <cellStyle name="Input 2 3 2 34" xfId="17829" xr:uid="{00000000-0005-0000-0000-0000A5450000}"/>
    <cellStyle name="Input 2 3 2 35" xfId="17830" xr:uid="{00000000-0005-0000-0000-0000A6450000}"/>
    <cellStyle name="Input 2 3 2 36" xfId="17831" xr:uid="{00000000-0005-0000-0000-0000A7450000}"/>
    <cellStyle name="Input 2 3 2 37" xfId="17832" xr:uid="{00000000-0005-0000-0000-0000A8450000}"/>
    <cellStyle name="Input 2 3 2 38" xfId="17833" xr:uid="{00000000-0005-0000-0000-0000A9450000}"/>
    <cellStyle name="Input 2 3 2 39" xfId="17834" xr:uid="{00000000-0005-0000-0000-0000AA450000}"/>
    <cellStyle name="Input 2 3 2 4" xfId="17835" xr:uid="{00000000-0005-0000-0000-0000AB450000}"/>
    <cellStyle name="Input 2 3 2 40" xfId="17836" xr:uid="{00000000-0005-0000-0000-0000AC450000}"/>
    <cellStyle name="Input 2 3 2 41" xfId="17837" xr:uid="{00000000-0005-0000-0000-0000AD450000}"/>
    <cellStyle name="Input 2 3 2 42" xfId="17838" xr:uid="{00000000-0005-0000-0000-0000AE450000}"/>
    <cellStyle name="Input 2 3 2 43" xfId="17839" xr:uid="{00000000-0005-0000-0000-0000AF450000}"/>
    <cellStyle name="Input 2 3 2 44" xfId="17840" xr:uid="{00000000-0005-0000-0000-0000B0450000}"/>
    <cellStyle name="Input 2 3 2 45" xfId="17841" xr:uid="{00000000-0005-0000-0000-0000B1450000}"/>
    <cellStyle name="Input 2 3 2 46" xfId="17842" xr:uid="{00000000-0005-0000-0000-0000B2450000}"/>
    <cellStyle name="Input 2 3 2 47" xfId="17843" xr:uid="{00000000-0005-0000-0000-0000B3450000}"/>
    <cellStyle name="Input 2 3 2 48" xfId="17844" xr:uid="{00000000-0005-0000-0000-0000B4450000}"/>
    <cellStyle name="Input 2 3 2 49" xfId="17845" xr:uid="{00000000-0005-0000-0000-0000B5450000}"/>
    <cellStyle name="Input 2 3 2 5" xfId="17846" xr:uid="{00000000-0005-0000-0000-0000B6450000}"/>
    <cellStyle name="Input 2 3 2 50" xfId="17847" xr:uid="{00000000-0005-0000-0000-0000B7450000}"/>
    <cellStyle name="Input 2 3 2 51" xfId="17848" xr:uid="{00000000-0005-0000-0000-0000B8450000}"/>
    <cellStyle name="Input 2 3 2 52" xfId="17849" xr:uid="{00000000-0005-0000-0000-0000B9450000}"/>
    <cellStyle name="Input 2 3 2 53" xfId="17850" xr:uid="{00000000-0005-0000-0000-0000BA450000}"/>
    <cellStyle name="Input 2 3 2 54" xfId="17851" xr:uid="{00000000-0005-0000-0000-0000BB450000}"/>
    <cellStyle name="Input 2 3 2 55" xfId="17852" xr:uid="{00000000-0005-0000-0000-0000BC450000}"/>
    <cellStyle name="Input 2 3 2 56" xfId="17853" xr:uid="{00000000-0005-0000-0000-0000BD450000}"/>
    <cellStyle name="Input 2 3 2 57" xfId="17854" xr:uid="{00000000-0005-0000-0000-0000BE450000}"/>
    <cellStyle name="Input 2 3 2 58" xfId="17855" xr:uid="{00000000-0005-0000-0000-0000BF450000}"/>
    <cellStyle name="Input 2 3 2 59" xfId="17856" xr:uid="{00000000-0005-0000-0000-0000C0450000}"/>
    <cellStyle name="Input 2 3 2 6" xfId="17857" xr:uid="{00000000-0005-0000-0000-0000C1450000}"/>
    <cellStyle name="Input 2 3 2 60" xfId="17858" xr:uid="{00000000-0005-0000-0000-0000C2450000}"/>
    <cellStyle name="Input 2 3 2 61" xfId="17859" xr:uid="{00000000-0005-0000-0000-0000C3450000}"/>
    <cellStyle name="Input 2 3 2 62" xfId="17860" xr:uid="{00000000-0005-0000-0000-0000C4450000}"/>
    <cellStyle name="Input 2 3 2 63" xfId="17861" xr:uid="{00000000-0005-0000-0000-0000C5450000}"/>
    <cellStyle name="Input 2 3 2 64" xfId="17862" xr:uid="{00000000-0005-0000-0000-0000C6450000}"/>
    <cellStyle name="Input 2 3 2 65" xfId="17863" xr:uid="{00000000-0005-0000-0000-0000C7450000}"/>
    <cellStyle name="Input 2 3 2 7" xfId="17864" xr:uid="{00000000-0005-0000-0000-0000C8450000}"/>
    <cellStyle name="Input 2 3 2 8" xfId="17865" xr:uid="{00000000-0005-0000-0000-0000C9450000}"/>
    <cellStyle name="Input 2 3 2 9" xfId="17866" xr:uid="{00000000-0005-0000-0000-0000CA450000}"/>
    <cellStyle name="Input 2 3 20" xfId="17867" xr:uid="{00000000-0005-0000-0000-0000CB450000}"/>
    <cellStyle name="Input 2 3 21" xfId="17868" xr:uid="{00000000-0005-0000-0000-0000CC450000}"/>
    <cellStyle name="Input 2 3 22" xfId="17869" xr:uid="{00000000-0005-0000-0000-0000CD450000}"/>
    <cellStyle name="Input 2 3 23" xfId="17870" xr:uid="{00000000-0005-0000-0000-0000CE450000}"/>
    <cellStyle name="Input 2 3 24" xfId="17871" xr:uid="{00000000-0005-0000-0000-0000CF450000}"/>
    <cellStyle name="Input 2 3 25" xfId="17872" xr:uid="{00000000-0005-0000-0000-0000D0450000}"/>
    <cellStyle name="Input 2 3 26" xfId="17873" xr:uid="{00000000-0005-0000-0000-0000D1450000}"/>
    <cellStyle name="Input 2 3 27" xfId="17874" xr:uid="{00000000-0005-0000-0000-0000D2450000}"/>
    <cellStyle name="Input 2 3 28" xfId="17875" xr:uid="{00000000-0005-0000-0000-0000D3450000}"/>
    <cellStyle name="Input 2 3 29" xfId="17876" xr:uid="{00000000-0005-0000-0000-0000D4450000}"/>
    <cellStyle name="Input 2 3 3" xfId="17877" xr:uid="{00000000-0005-0000-0000-0000D5450000}"/>
    <cellStyle name="Input 2 3 30" xfId="17878" xr:uid="{00000000-0005-0000-0000-0000D6450000}"/>
    <cellStyle name="Input 2 3 31" xfId="17879" xr:uid="{00000000-0005-0000-0000-0000D7450000}"/>
    <cellStyle name="Input 2 3 32" xfId="17880" xr:uid="{00000000-0005-0000-0000-0000D8450000}"/>
    <cellStyle name="Input 2 3 33" xfId="17881" xr:uid="{00000000-0005-0000-0000-0000D9450000}"/>
    <cellStyle name="Input 2 3 34" xfId="17882" xr:uid="{00000000-0005-0000-0000-0000DA450000}"/>
    <cellStyle name="Input 2 3 35" xfId="17883" xr:uid="{00000000-0005-0000-0000-0000DB450000}"/>
    <cellStyle name="Input 2 3 36" xfId="17884" xr:uid="{00000000-0005-0000-0000-0000DC450000}"/>
    <cellStyle name="Input 2 3 37" xfId="17885" xr:uid="{00000000-0005-0000-0000-0000DD450000}"/>
    <cellStyle name="Input 2 3 38" xfId="17886" xr:uid="{00000000-0005-0000-0000-0000DE450000}"/>
    <cellStyle name="Input 2 3 39" xfId="17887" xr:uid="{00000000-0005-0000-0000-0000DF450000}"/>
    <cellStyle name="Input 2 3 4" xfId="17888" xr:uid="{00000000-0005-0000-0000-0000E0450000}"/>
    <cellStyle name="Input 2 3 40" xfId="17889" xr:uid="{00000000-0005-0000-0000-0000E1450000}"/>
    <cellStyle name="Input 2 3 41" xfId="17890" xr:uid="{00000000-0005-0000-0000-0000E2450000}"/>
    <cellStyle name="Input 2 3 42" xfId="17891" xr:uid="{00000000-0005-0000-0000-0000E3450000}"/>
    <cellStyle name="Input 2 3 43" xfId="17892" xr:uid="{00000000-0005-0000-0000-0000E4450000}"/>
    <cellStyle name="Input 2 3 44" xfId="17893" xr:uid="{00000000-0005-0000-0000-0000E5450000}"/>
    <cellStyle name="Input 2 3 45" xfId="17894" xr:uid="{00000000-0005-0000-0000-0000E6450000}"/>
    <cellStyle name="Input 2 3 46" xfId="17895" xr:uid="{00000000-0005-0000-0000-0000E7450000}"/>
    <cellStyle name="Input 2 3 47" xfId="17896" xr:uid="{00000000-0005-0000-0000-0000E8450000}"/>
    <cellStyle name="Input 2 3 48" xfId="17897" xr:uid="{00000000-0005-0000-0000-0000E9450000}"/>
    <cellStyle name="Input 2 3 49" xfId="17898" xr:uid="{00000000-0005-0000-0000-0000EA450000}"/>
    <cellStyle name="Input 2 3 5" xfId="17899" xr:uid="{00000000-0005-0000-0000-0000EB450000}"/>
    <cellStyle name="Input 2 3 50" xfId="17900" xr:uid="{00000000-0005-0000-0000-0000EC450000}"/>
    <cellStyle name="Input 2 3 51" xfId="17901" xr:uid="{00000000-0005-0000-0000-0000ED450000}"/>
    <cellStyle name="Input 2 3 52" xfId="17902" xr:uid="{00000000-0005-0000-0000-0000EE450000}"/>
    <cellStyle name="Input 2 3 53" xfId="17903" xr:uid="{00000000-0005-0000-0000-0000EF450000}"/>
    <cellStyle name="Input 2 3 54" xfId="17904" xr:uid="{00000000-0005-0000-0000-0000F0450000}"/>
    <cellStyle name="Input 2 3 55" xfId="17905" xr:uid="{00000000-0005-0000-0000-0000F1450000}"/>
    <cellStyle name="Input 2 3 56" xfId="17906" xr:uid="{00000000-0005-0000-0000-0000F2450000}"/>
    <cellStyle name="Input 2 3 57" xfId="17907" xr:uid="{00000000-0005-0000-0000-0000F3450000}"/>
    <cellStyle name="Input 2 3 58" xfId="17908" xr:uid="{00000000-0005-0000-0000-0000F4450000}"/>
    <cellStyle name="Input 2 3 59" xfId="17909" xr:uid="{00000000-0005-0000-0000-0000F5450000}"/>
    <cellStyle name="Input 2 3 6" xfId="17910" xr:uid="{00000000-0005-0000-0000-0000F6450000}"/>
    <cellStyle name="Input 2 3 60" xfId="17911" xr:uid="{00000000-0005-0000-0000-0000F7450000}"/>
    <cellStyle name="Input 2 3 61" xfId="17912" xr:uid="{00000000-0005-0000-0000-0000F8450000}"/>
    <cellStyle name="Input 2 3 62" xfId="17913" xr:uid="{00000000-0005-0000-0000-0000F9450000}"/>
    <cellStyle name="Input 2 3 63" xfId="17914" xr:uid="{00000000-0005-0000-0000-0000FA450000}"/>
    <cellStyle name="Input 2 3 64" xfId="17915" xr:uid="{00000000-0005-0000-0000-0000FB450000}"/>
    <cellStyle name="Input 2 3 65" xfId="17916" xr:uid="{00000000-0005-0000-0000-0000FC450000}"/>
    <cellStyle name="Input 2 3 66" xfId="17917" xr:uid="{00000000-0005-0000-0000-0000FD450000}"/>
    <cellStyle name="Input 2 3 7" xfId="17918" xr:uid="{00000000-0005-0000-0000-0000FE450000}"/>
    <cellStyle name="Input 2 3 8" xfId="17919" xr:uid="{00000000-0005-0000-0000-0000FF450000}"/>
    <cellStyle name="Input 2 3 9" xfId="17920" xr:uid="{00000000-0005-0000-0000-000000460000}"/>
    <cellStyle name="Input 2 30" xfId="17921" xr:uid="{00000000-0005-0000-0000-000001460000}"/>
    <cellStyle name="Input 2 31" xfId="17922" xr:uid="{00000000-0005-0000-0000-000002460000}"/>
    <cellStyle name="Input 2 32" xfId="17923" xr:uid="{00000000-0005-0000-0000-000003460000}"/>
    <cellStyle name="Input 2 33" xfId="17924" xr:uid="{00000000-0005-0000-0000-000004460000}"/>
    <cellStyle name="Input 2 34" xfId="17925" xr:uid="{00000000-0005-0000-0000-000005460000}"/>
    <cellStyle name="Input 2 35" xfId="17926" xr:uid="{00000000-0005-0000-0000-000006460000}"/>
    <cellStyle name="Input 2 36" xfId="17927" xr:uid="{00000000-0005-0000-0000-000007460000}"/>
    <cellStyle name="Input 2 37" xfId="17928" xr:uid="{00000000-0005-0000-0000-000008460000}"/>
    <cellStyle name="Input 2 38" xfId="17929" xr:uid="{00000000-0005-0000-0000-000009460000}"/>
    <cellStyle name="Input 2 39" xfId="17930" xr:uid="{00000000-0005-0000-0000-00000A460000}"/>
    <cellStyle name="Input 2 4" xfId="17931" xr:uid="{00000000-0005-0000-0000-00000B460000}"/>
    <cellStyle name="Input 2 4 10" xfId="17932" xr:uid="{00000000-0005-0000-0000-00000C460000}"/>
    <cellStyle name="Input 2 4 11" xfId="17933" xr:uid="{00000000-0005-0000-0000-00000D460000}"/>
    <cellStyle name="Input 2 4 12" xfId="17934" xr:uid="{00000000-0005-0000-0000-00000E460000}"/>
    <cellStyle name="Input 2 4 13" xfId="17935" xr:uid="{00000000-0005-0000-0000-00000F460000}"/>
    <cellStyle name="Input 2 4 14" xfId="17936" xr:uid="{00000000-0005-0000-0000-000010460000}"/>
    <cellStyle name="Input 2 4 15" xfId="17937" xr:uid="{00000000-0005-0000-0000-000011460000}"/>
    <cellStyle name="Input 2 4 16" xfId="17938" xr:uid="{00000000-0005-0000-0000-000012460000}"/>
    <cellStyle name="Input 2 4 17" xfId="17939" xr:uid="{00000000-0005-0000-0000-000013460000}"/>
    <cellStyle name="Input 2 4 18" xfId="17940" xr:uid="{00000000-0005-0000-0000-000014460000}"/>
    <cellStyle name="Input 2 4 19" xfId="17941" xr:uid="{00000000-0005-0000-0000-000015460000}"/>
    <cellStyle name="Input 2 4 2" xfId="17942" xr:uid="{00000000-0005-0000-0000-000016460000}"/>
    <cellStyle name="Input 2 4 2 10" xfId="17943" xr:uid="{00000000-0005-0000-0000-000017460000}"/>
    <cellStyle name="Input 2 4 2 11" xfId="17944" xr:uid="{00000000-0005-0000-0000-000018460000}"/>
    <cellStyle name="Input 2 4 2 12" xfId="17945" xr:uid="{00000000-0005-0000-0000-000019460000}"/>
    <cellStyle name="Input 2 4 2 13" xfId="17946" xr:uid="{00000000-0005-0000-0000-00001A460000}"/>
    <cellStyle name="Input 2 4 2 14" xfId="17947" xr:uid="{00000000-0005-0000-0000-00001B460000}"/>
    <cellStyle name="Input 2 4 2 15" xfId="17948" xr:uid="{00000000-0005-0000-0000-00001C460000}"/>
    <cellStyle name="Input 2 4 2 16" xfId="17949" xr:uid="{00000000-0005-0000-0000-00001D460000}"/>
    <cellStyle name="Input 2 4 2 17" xfId="17950" xr:uid="{00000000-0005-0000-0000-00001E460000}"/>
    <cellStyle name="Input 2 4 2 18" xfId="17951" xr:uid="{00000000-0005-0000-0000-00001F460000}"/>
    <cellStyle name="Input 2 4 2 19" xfId="17952" xr:uid="{00000000-0005-0000-0000-000020460000}"/>
    <cellStyle name="Input 2 4 2 2" xfId="17953" xr:uid="{00000000-0005-0000-0000-000021460000}"/>
    <cellStyle name="Input 2 4 2 20" xfId="17954" xr:uid="{00000000-0005-0000-0000-000022460000}"/>
    <cellStyle name="Input 2 4 2 21" xfId="17955" xr:uid="{00000000-0005-0000-0000-000023460000}"/>
    <cellStyle name="Input 2 4 2 22" xfId="17956" xr:uid="{00000000-0005-0000-0000-000024460000}"/>
    <cellStyle name="Input 2 4 2 23" xfId="17957" xr:uid="{00000000-0005-0000-0000-000025460000}"/>
    <cellStyle name="Input 2 4 2 24" xfId="17958" xr:uid="{00000000-0005-0000-0000-000026460000}"/>
    <cellStyle name="Input 2 4 2 25" xfId="17959" xr:uid="{00000000-0005-0000-0000-000027460000}"/>
    <cellStyle name="Input 2 4 2 26" xfId="17960" xr:uid="{00000000-0005-0000-0000-000028460000}"/>
    <cellStyle name="Input 2 4 2 27" xfId="17961" xr:uid="{00000000-0005-0000-0000-000029460000}"/>
    <cellStyle name="Input 2 4 2 28" xfId="17962" xr:uid="{00000000-0005-0000-0000-00002A460000}"/>
    <cellStyle name="Input 2 4 2 29" xfId="17963" xr:uid="{00000000-0005-0000-0000-00002B460000}"/>
    <cellStyle name="Input 2 4 2 3" xfId="17964" xr:uid="{00000000-0005-0000-0000-00002C460000}"/>
    <cellStyle name="Input 2 4 2 30" xfId="17965" xr:uid="{00000000-0005-0000-0000-00002D460000}"/>
    <cellStyle name="Input 2 4 2 31" xfId="17966" xr:uid="{00000000-0005-0000-0000-00002E460000}"/>
    <cellStyle name="Input 2 4 2 32" xfId="17967" xr:uid="{00000000-0005-0000-0000-00002F460000}"/>
    <cellStyle name="Input 2 4 2 33" xfId="17968" xr:uid="{00000000-0005-0000-0000-000030460000}"/>
    <cellStyle name="Input 2 4 2 34" xfId="17969" xr:uid="{00000000-0005-0000-0000-000031460000}"/>
    <cellStyle name="Input 2 4 2 35" xfId="17970" xr:uid="{00000000-0005-0000-0000-000032460000}"/>
    <cellStyle name="Input 2 4 2 36" xfId="17971" xr:uid="{00000000-0005-0000-0000-000033460000}"/>
    <cellStyle name="Input 2 4 2 37" xfId="17972" xr:uid="{00000000-0005-0000-0000-000034460000}"/>
    <cellStyle name="Input 2 4 2 38" xfId="17973" xr:uid="{00000000-0005-0000-0000-000035460000}"/>
    <cellStyle name="Input 2 4 2 39" xfId="17974" xr:uid="{00000000-0005-0000-0000-000036460000}"/>
    <cellStyle name="Input 2 4 2 4" xfId="17975" xr:uid="{00000000-0005-0000-0000-000037460000}"/>
    <cellStyle name="Input 2 4 2 40" xfId="17976" xr:uid="{00000000-0005-0000-0000-000038460000}"/>
    <cellStyle name="Input 2 4 2 41" xfId="17977" xr:uid="{00000000-0005-0000-0000-000039460000}"/>
    <cellStyle name="Input 2 4 2 42" xfId="17978" xr:uid="{00000000-0005-0000-0000-00003A460000}"/>
    <cellStyle name="Input 2 4 2 43" xfId="17979" xr:uid="{00000000-0005-0000-0000-00003B460000}"/>
    <cellStyle name="Input 2 4 2 44" xfId="17980" xr:uid="{00000000-0005-0000-0000-00003C460000}"/>
    <cellStyle name="Input 2 4 2 45" xfId="17981" xr:uid="{00000000-0005-0000-0000-00003D460000}"/>
    <cellStyle name="Input 2 4 2 46" xfId="17982" xr:uid="{00000000-0005-0000-0000-00003E460000}"/>
    <cellStyle name="Input 2 4 2 47" xfId="17983" xr:uid="{00000000-0005-0000-0000-00003F460000}"/>
    <cellStyle name="Input 2 4 2 48" xfId="17984" xr:uid="{00000000-0005-0000-0000-000040460000}"/>
    <cellStyle name="Input 2 4 2 49" xfId="17985" xr:uid="{00000000-0005-0000-0000-000041460000}"/>
    <cellStyle name="Input 2 4 2 5" xfId="17986" xr:uid="{00000000-0005-0000-0000-000042460000}"/>
    <cellStyle name="Input 2 4 2 50" xfId="17987" xr:uid="{00000000-0005-0000-0000-000043460000}"/>
    <cellStyle name="Input 2 4 2 51" xfId="17988" xr:uid="{00000000-0005-0000-0000-000044460000}"/>
    <cellStyle name="Input 2 4 2 52" xfId="17989" xr:uid="{00000000-0005-0000-0000-000045460000}"/>
    <cellStyle name="Input 2 4 2 53" xfId="17990" xr:uid="{00000000-0005-0000-0000-000046460000}"/>
    <cellStyle name="Input 2 4 2 54" xfId="17991" xr:uid="{00000000-0005-0000-0000-000047460000}"/>
    <cellStyle name="Input 2 4 2 55" xfId="17992" xr:uid="{00000000-0005-0000-0000-000048460000}"/>
    <cellStyle name="Input 2 4 2 56" xfId="17993" xr:uid="{00000000-0005-0000-0000-000049460000}"/>
    <cellStyle name="Input 2 4 2 57" xfId="17994" xr:uid="{00000000-0005-0000-0000-00004A460000}"/>
    <cellStyle name="Input 2 4 2 58" xfId="17995" xr:uid="{00000000-0005-0000-0000-00004B460000}"/>
    <cellStyle name="Input 2 4 2 59" xfId="17996" xr:uid="{00000000-0005-0000-0000-00004C460000}"/>
    <cellStyle name="Input 2 4 2 6" xfId="17997" xr:uid="{00000000-0005-0000-0000-00004D460000}"/>
    <cellStyle name="Input 2 4 2 60" xfId="17998" xr:uid="{00000000-0005-0000-0000-00004E460000}"/>
    <cellStyle name="Input 2 4 2 61" xfId="17999" xr:uid="{00000000-0005-0000-0000-00004F460000}"/>
    <cellStyle name="Input 2 4 2 62" xfId="18000" xr:uid="{00000000-0005-0000-0000-000050460000}"/>
    <cellStyle name="Input 2 4 2 63" xfId="18001" xr:uid="{00000000-0005-0000-0000-000051460000}"/>
    <cellStyle name="Input 2 4 2 64" xfId="18002" xr:uid="{00000000-0005-0000-0000-000052460000}"/>
    <cellStyle name="Input 2 4 2 65" xfId="18003" xr:uid="{00000000-0005-0000-0000-000053460000}"/>
    <cellStyle name="Input 2 4 2 7" xfId="18004" xr:uid="{00000000-0005-0000-0000-000054460000}"/>
    <cellStyle name="Input 2 4 2 8" xfId="18005" xr:uid="{00000000-0005-0000-0000-000055460000}"/>
    <cellStyle name="Input 2 4 2 9" xfId="18006" xr:uid="{00000000-0005-0000-0000-000056460000}"/>
    <cellStyle name="Input 2 4 20" xfId="18007" xr:uid="{00000000-0005-0000-0000-000057460000}"/>
    <cellStyle name="Input 2 4 21" xfId="18008" xr:uid="{00000000-0005-0000-0000-000058460000}"/>
    <cellStyle name="Input 2 4 22" xfId="18009" xr:uid="{00000000-0005-0000-0000-000059460000}"/>
    <cellStyle name="Input 2 4 23" xfId="18010" xr:uid="{00000000-0005-0000-0000-00005A460000}"/>
    <cellStyle name="Input 2 4 24" xfId="18011" xr:uid="{00000000-0005-0000-0000-00005B460000}"/>
    <cellStyle name="Input 2 4 25" xfId="18012" xr:uid="{00000000-0005-0000-0000-00005C460000}"/>
    <cellStyle name="Input 2 4 26" xfId="18013" xr:uid="{00000000-0005-0000-0000-00005D460000}"/>
    <cellStyle name="Input 2 4 27" xfId="18014" xr:uid="{00000000-0005-0000-0000-00005E460000}"/>
    <cellStyle name="Input 2 4 28" xfId="18015" xr:uid="{00000000-0005-0000-0000-00005F460000}"/>
    <cellStyle name="Input 2 4 29" xfId="18016" xr:uid="{00000000-0005-0000-0000-000060460000}"/>
    <cellStyle name="Input 2 4 3" xfId="18017" xr:uid="{00000000-0005-0000-0000-000061460000}"/>
    <cellStyle name="Input 2 4 30" xfId="18018" xr:uid="{00000000-0005-0000-0000-000062460000}"/>
    <cellStyle name="Input 2 4 31" xfId="18019" xr:uid="{00000000-0005-0000-0000-000063460000}"/>
    <cellStyle name="Input 2 4 32" xfId="18020" xr:uid="{00000000-0005-0000-0000-000064460000}"/>
    <cellStyle name="Input 2 4 33" xfId="18021" xr:uid="{00000000-0005-0000-0000-000065460000}"/>
    <cellStyle name="Input 2 4 34" xfId="18022" xr:uid="{00000000-0005-0000-0000-000066460000}"/>
    <cellStyle name="Input 2 4 35" xfId="18023" xr:uid="{00000000-0005-0000-0000-000067460000}"/>
    <cellStyle name="Input 2 4 36" xfId="18024" xr:uid="{00000000-0005-0000-0000-000068460000}"/>
    <cellStyle name="Input 2 4 37" xfId="18025" xr:uid="{00000000-0005-0000-0000-000069460000}"/>
    <cellStyle name="Input 2 4 38" xfId="18026" xr:uid="{00000000-0005-0000-0000-00006A460000}"/>
    <cellStyle name="Input 2 4 39" xfId="18027" xr:uid="{00000000-0005-0000-0000-00006B460000}"/>
    <cellStyle name="Input 2 4 4" xfId="18028" xr:uid="{00000000-0005-0000-0000-00006C460000}"/>
    <cellStyle name="Input 2 4 40" xfId="18029" xr:uid="{00000000-0005-0000-0000-00006D460000}"/>
    <cellStyle name="Input 2 4 41" xfId="18030" xr:uid="{00000000-0005-0000-0000-00006E460000}"/>
    <cellStyle name="Input 2 4 42" xfId="18031" xr:uid="{00000000-0005-0000-0000-00006F460000}"/>
    <cellStyle name="Input 2 4 43" xfId="18032" xr:uid="{00000000-0005-0000-0000-000070460000}"/>
    <cellStyle name="Input 2 4 44" xfId="18033" xr:uid="{00000000-0005-0000-0000-000071460000}"/>
    <cellStyle name="Input 2 4 45" xfId="18034" xr:uid="{00000000-0005-0000-0000-000072460000}"/>
    <cellStyle name="Input 2 4 46" xfId="18035" xr:uid="{00000000-0005-0000-0000-000073460000}"/>
    <cellStyle name="Input 2 4 47" xfId="18036" xr:uid="{00000000-0005-0000-0000-000074460000}"/>
    <cellStyle name="Input 2 4 48" xfId="18037" xr:uid="{00000000-0005-0000-0000-000075460000}"/>
    <cellStyle name="Input 2 4 49" xfId="18038" xr:uid="{00000000-0005-0000-0000-000076460000}"/>
    <cellStyle name="Input 2 4 5" xfId="18039" xr:uid="{00000000-0005-0000-0000-000077460000}"/>
    <cellStyle name="Input 2 4 50" xfId="18040" xr:uid="{00000000-0005-0000-0000-000078460000}"/>
    <cellStyle name="Input 2 4 51" xfId="18041" xr:uid="{00000000-0005-0000-0000-000079460000}"/>
    <cellStyle name="Input 2 4 52" xfId="18042" xr:uid="{00000000-0005-0000-0000-00007A460000}"/>
    <cellStyle name="Input 2 4 53" xfId="18043" xr:uid="{00000000-0005-0000-0000-00007B460000}"/>
    <cellStyle name="Input 2 4 54" xfId="18044" xr:uid="{00000000-0005-0000-0000-00007C460000}"/>
    <cellStyle name="Input 2 4 55" xfId="18045" xr:uid="{00000000-0005-0000-0000-00007D460000}"/>
    <cellStyle name="Input 2 4 56" xfId="18046" xr:uid="{00000000-0005-0000-0000-00007E460000}"/>
    <cellStyle name="Input 2 4 57" xfId="18047" xr:uid="{00000000-0005-0000-0000-00007F460000}"/>
    <cellStyle name="Input 2 4 58" xfId="18048" xr:uid="{00000000-0005-0000-0000-000080460000}"/>
    <cellStyle name="Input 2 4 59" xfId="18049" xr:uid="{00000000-0005-0000-0000-000081460000}"/>
    <cellStyle name="Input 2 4 6" xfId="18050" xr:uid="{00000000-0005-0000-0000-000082460000}"/>
    <cellStyle name="Input 2 4 60" xfId="18051" xr:uid="{00000000-0005-0000-0000-000083460000}"/>
    <cellStyle name="Input 2 4 61" xfId="18052" xr:uid="{00000000-0005-0000-0000-000084460000}"/>
    <cellStyle name="Input 2 4 62" xfId="18053" xr:uid="{00000000-0005-0000-0000-000085460000}"/>
    <cellStyle name="Input 2 4 63" xfId="18054" xr:uid="{00000000-0005-0000-0000-000086460000}"/>
    <cellStyle name="Input 2 4 64" xfId="18055" xr:uid="{00000000-0005-0000-0000-000087460000}"/>
    <cellStyle name="Input 2 4 65" xfId="18056" xr:uid="{00000000-0005-0000-0000-000088460000}"/>
    <cellStyle name="Input 2 4 66" xfId="18057" xr:uid="{00000000-0005-0000-0000-000089460000}"/>
    <cellStyle name="Input 2 4 7" xfId="18058" xr:uid="{00000000-0005-0000-0000-00008A460000}"/>
    <cellStyle name="Input 2 4 8" xfId="18059" xr:uid="{00000000-0005-0000-0000-00008B460000}"/>
    <cellStyle name="Input 2 4 9" xfId="18060" xr:uid="{00000000-0005-0000-0000-00008C460000}"/>
    <cellStyle name="Input 2 40" xfId="18061" xr:uid="{00000000-0005-0000-0000-00008D460000}"/>
    <cellStyle name="Input 2 41" xfId="18062" xr:uid="{00000000-0005-0000-0000-00008E460000}"/>
    <cellStyle name="Input 2 42" xfId="18063" xr:uid="{00000000-0005-0000-0000-00008F460000}"/>
    <cellStyle name="Input 2 43" xfId="18064" xr:uid="{00000000-0005-0000-0000-000090460000}"/>
    <cellStyle name="Input 2 44" xfId="18065" xr:uid="{00000000-0005-0000-0000-000091460000}"/>
    <cellStyle name="Input 2 45" xfId="18066" xr:uid="{00000000-0005-0000-0000-000092460000}"/>
    <cellStyle name="Input 2 46" xfId="18067" xr:uid="{00000000-0005-0000-0000-000093460000}"/>
    <cellStyle name="Input 2 47" xfId="18068" xr:uid="{00000000-0005-0000-0000-000094460000}"/>
    <cellStyle name="Input 2 48" xfId="18069" xr:uid="{00000000-0005-0000-0000-000095460000}"/>
    <cellStyle name="Input 2 49" xfId="18070" xr:uid="{00000000-0005-0000-0000-000096460000}"/>
    <cellStyle name="Input 2 5" xfId="18071" xr:uid="{00000000-0005-0000-0000-000097460000}"/>
    <cellStyle name="Input 2 5 10" xfId="18072" xr:uid="{00000000-0005-0000-0000-000098460000}"/>
    <cellStyle name="Input 2 5 11" xfId="18073" xr:uid="{00000000-0005-0000-0000-000099460000}"/>
    <cellStyle name="Input 2 5 12" xfId="18074" xr:uid="{00000000-0005-0000-0000-00009A460000}"/>
    <cellStyle name="Input 2 5 13" xfId="18075" xr:uid="{00000000-0005-0000-0000-00009B460000}"/>
    <cellStyle name="Input 2 5 14" xfId="18076" xr:uid="{00000000-0005-0000-0000-00009C460000}"/>
    <cellStyle name="Input 2 5 15" xfId="18077" xr:uid="{00000000-0005-0000-0000-00009D460000}"/>
    <cellStyle name="Input 2 5 16" xfId="18078" xr:uid="{00000000-0005-0000-0000-00009E460000}"/>
    <cellStyle name="Input 2 5 17" xfId="18079" xr:uid="{00000000-0005-0000-0000-00009F460000}"/>
    <cellStyle name="Input 2 5 18" xfId="18080" xr:uid="{00000000-0005-0000-0000-0000A0460000}"/>
    <cellStyle name="Input 2 5 19" xfId="18081" xr:uid="{00000000-0005-0000-0000-0000A1460000}"/>
    <cellStyle name="Input 2 5 2" xfId="18082" xr:uid="{00000000-0005-0000-0000-0000A2460000}"/>
    <cellStyle name="Input 2 5 20" xfId="18083" xr:uid="{00000000-0005-0000-0000-0000A3460000}"/>
    <cellStyle name="Input 2 5 21" xfId="18084" xr:uid="{00000000-0005-0000-0000-0000A4460000}"/>
    <cellStyle name="Input 2 5 22" xfId="18085" xr:uid="{00000000-0005-0000-0000-0000A5460000}"/>
    <cellStyle name="Input 2 5 23" xfId="18086" xr:uid="{00000000-0005-0000-0000-0000A6460000}"/>
    <cellStyle name="Input 2 5 24" xfId="18087" xr:uid="{00000000-0005-0000-0000-0000A7460000}"/>
    <cellStyle name="Input 2 5 25" xfId="18088" xr:uid="{00000000-0005-0000-0000-0000A8460000}"/>
    <cellStyle name="Input 2 5 26" xfId="18089" xr:uid="{00000000-0005-0000-0000-0000A9460000}"/>
    <cellStyle name="Input 2 5 27" xfId="18090" xr:uid="{00000000-0005-0000-0000-0000AA460000}"/>
    <cellStyle name="Input 2 5 28" xfId="18091" xr:uid="{00000000-0005-0000-0000-0000AB460000}"/>
    <cellStyle name="Input 2 5 29" xfId="18092" xr:uid="{00000000-0005-0000-0000-0000AC460000}"/>
    <cellStyle name="Input 2 5 3" xfId="18093" xr:uid="{00000000-0005-0000-0000-0000AD460000}"/>
    <cellStyle name="Input 2 5 30" xfId="18094" xr:uid="{00000000-0005-0000-0000-0000AE460000}"/>
    <cellStyle name="Input 2 5 31" xfId="18095" xr:uid="{00000000-0005-0000-0000-0000AF460000}"/>
    <cellStyle name="Input 2 5 32" xfId="18096" xr:uid="{00000000-0005-0000-0000-0000B0460000}"/>
    <cellStyle name="Input 2 5 33" xfId="18097" xr:uid="{00000000-0005-0000-0000-0000B1460000}"/>
    <cellStyle name="Input 2 5 34" xfId="18098" xr:uid="{00000000-0005-0000-0000-0000B2460000}"/>
    <cellStyle name="Input 2 5 35" xfId="18099" xr:uid="{00000000-0005-0000-0000-0000B3460000}"/>
    <cellStyle name="Input 2 5 36" xfId="18100" xr:uid="{00000000-0005-0000-0000-0000B4460000}"/>
    <cellStyle name="Input 2 5 37" xfId="18101" xr:uid="{00000000-0005-0000-0000-0000B5460000}"/>
    <cellStyle name="Input 2 5 38" xfId="18102" xr:uid="{00000000-0005-0000-0000-0000B6460000}"/>
    <cellStyle name="Input 2 5 39" xfId="18103" xr:uid="{00000000-0005-0000-0000-0000B7460000}"/>
    <cellStyle name="Input 2 5 4" xfId="18104" xr:uid="{00000000-0005-0000-0000-0000B8460000}"/>
    <cellStyle name="Input 2 5 40" xfId="18105" xr:uid="{00000000-0005-0000-0000-0000B9460000}"/>
    <cellStyle name="Input 2 5 41" xfId="18106" xr:uid="{00000000-0005-0000-0000-0000BA460000}"/>
    <cellStyle name="Input 2 5 42" xfId="18107" xr:uid="{00000000-0005-0000-0000-0000BB460000}"/>
    <cellStyle name="Input 2 5 43" xfId="18108" xr:uid="{00000000-0005-0000-0000-0000BC460000}"/>
    <cellStyle name="Input 2 5 44" xfId="18109" xr:uid="{00000000-0005-0000-0000-0000BD460000}"/>
    <cellStyle name="Input 2 5 45" xfId="18110" xr:uid="{00000000-0005-0000-0000-0000BE460000}"/>
    <cellStyle name="Input 2 5 46" xfId="18111" xr:uid="{00000000-0005-0000-0000-0000BF460000}"/>
    <cellStyle name="Input 2 5 47" xfId="18112" xr:uid="{00000000-0005-0000-0000-0000C0460000}"/>
    <cellStyle name="Input 2 5 48" xfId="18113" xr:uid="{00000000-0005-0000-0000-0000C1460000}"/>
    <cellStyle name="Input 2 5 49" xfId="18114" xr:uid="{00000000-0005-0000-0000-0000C2460000}"/>
    <cellStyle name="Input 2 5 5" xfId="18115" xr:uid="{00000000-0005-0000-0000-0000C3460000}"/>
    <cellStyle name="Input 2 5 50" xfId="18116" xr:uid="{00000000-0005-0000-0000-0000C4460000}"/>
    <cellStyle name="Input 2 5 51" xfId="18117" xr:uid="{00000000-0005-0000-0000-0000C5460000}"/>
    <cellStyle name="Input 2 5 52" xfId="18118" xr:uid="{00000000-0005-0000-0000-0000C6460000}"/>
    <cellStyle name="Input 2 5 53" xfId="18119" xr:uid="{00000000-0005-0000-0000-0000C7460000}"/>
    <cellStyle name="Input 2 5 54" xfId="18120" xr:uid="{00000000-0005-0000-0000-0000C8460000}"/>
    <cellStyle name="Input 2 5 55" xfId="18121" xr:uid="{00000000-0005-0000-0000-0000C9460000}"/>
    <cellStyle name="Input 2 5 56" xfId="18122" xr:uid="{00000000-0005-0000-0000-0000CA460000}"/>
    <cellStyle name="Input 2 5 57" xfId="18123" xr:uid="{00000000-0005-0000-0000-0000CB460000}"/>
    <cellStyle name="Input 2 5 58" xfId="18124" xr:uid="{00000000-0005-0000-0000-0000CC460000}"/>
    <cellStyle name="Input 2 5 59" xfId="18125" xr:uid="{00000000-0005-0000-0000-0000CD460000}"/>
    <cellStyle name="Input 2 5 6" xfId="18126" xr:uid="{00000000-0005-0000-0000-0000CE460000}"/>
    <cellStyle name="Input 2 5 60" xfId="18127" xr:uid="{00000000-0005-0000-0000-0000CF460000}"/>
    <cellStyle name="Input 2 5 61" xfId="18128" xr:uid="{00000000-0005-0000-0000-0000D0460000}"/>
    <cellStyle name="Input 2 5 62" xfId="18129" xr:uid="{00000000-0005-0000-0000-0000D1460000}"/>
    <cellStyle name="Input 2 5 63" xfId="18130" xr:uid="{00000000-0005-0000-0000-0000D2460000}"/>
    <cellStyle name="Input 2 5 64" xfId="18131" xr:uid="{00000000-0005-0000-0000-0000D3460000}"/>
    <cellStyle name="Input 2 5 65" xfId="18132" xr:uid="{00000000-0005-0000-0000-0000D4460000}"/>
    <cellStyle name="Input 2 5 7" xfId="18133" xr:uid="{00000000-0005-0000-0000-0000D5460000}"/>
    <cellStyle name="Input 2 5 8" xfId="18134" xr:uid="{00000000-0005-0000-0000-0000D6460000}"/>
    <cellStyle name="Input 2 5 9" xfId="18135" xr:uid="{00000000-0005-0000-0000-0000D7460000}"/>
    <cellStyle name="Input 2 50" xfId="18136" xr:uid="{00000000-0005-0000-0000-0000D8460000}"/>
    <cellStyle name="Input 2 51" xfId="18137" xr:uid="{00000000-0005-0000-0000-0000D9460000}"/>
    <cellStyle name="Input 2 6" xfId="18138" xr:uid="{00000000-0005-0000-0000-0000DA460000}"/>
    <cellStyle name="Input 2 7" xfId="18139" xr:uid="{00000000-0005-0000-0000-0000DB460000}"/>
    <cellStyle name="Input 2 8" xfId="18140" xr:uid="{00000000-0005-0000-0000-0000DC460000}"/>
    <cellStyle name="Input 2 9" xfId="18141" xr:uid="{00000000-0005-0000-0000-0000DD460000}"/>
    <cellStyle name="Input 3" xfId="18142" xr:uid="{00000000-0005-0000-0000-0000DE460000}"/>
    <cellStyle name="Input 3 10" xfId="18143" xr:uid="{00000000-0005-0000-0000-0000DF460000}"/>
    <cellStyle name="Input 3 11" xfId="18144" xr:uid="{00000000-0005-0000-0000-0000E0460000}"/>
    <cellStyle name="Input 3 12" xfId="18145" xr:uid="{00000000-0005-0000-0000-0000E1460000}"/>
    <cellStyle name="Input 3 13" xfId="18146" xr:uid="{00000000-0005-0000-0000-0000E2460000}"/>
    <cellStyle name="Input 3 14" xfId="18147" xr:uid="{00000000-0005-0000-0000-0000E3460000}"/>
    <cellStyle name="Input 3 15" xfId="18148" xr:uid="{00000000-0005-0000-0000-0000E4460000}"/>
    <cellStyle name="Input 3 16" xfId="18149" xr:uid="{00000000-0005-0000-0000-0000E5460000}"/>
    <cellStyle name="Input 3 17" xfId="18150" xr:uid="{00000000-0005-0000-0000-0000E6460000}"/>
    <cellStyle name="Input 3 18" xfId="18151" xr:uid="{00000000-0005-0000-0000-0000E7460000}"/>
    <cellStyle name="Input 3 19" xfId="18152" xr:uid="{00000000-0005-0000-0000-0000E8460000}"/>
    <cellStyle name="Input 3 2" xfId="18153" xr:uid="{00000000-0005-0000-0000-0000E9460000}"/>
    <cellStyle name="Input 3 2 10" xfId="18154" xr:uid="{00000000-0005-0000-0000-0000EA460000}"/>
    <cellStyle name="Input 3 2 11" xfId="18155" xr:uid="{00000000-0005-0000-0000-0000EB460000}"/>
    <cellStyle name="Input 3 2 12" xfId="18156" xr:uid="{00000000-0005-0000-0000-0000EC460000}"/>
    <cellStyle name="Input 3 2 13" xfId="18157" xr:uid="{00000000-0005-0000-0000-0000ED460000}"/>
    <cellStyle name="Input 3 2 14" xfId="18158" xr:uid="{00000000-0005-0000-0000-0000EE460000}"/>
    <cellStyle name="Input 3 2 15" xfId="18159" xr:uid="{00000000-0005-0000-0000-0000EF460000}"/>
    <cellStyle name="Input 3 2 16" xfId="18160" xr:uid="{00000000-0005-0000-0000-0000F0460000}"/>
    <cellStyle name="Input 3 2 17" xfId="18161" xr:uid="{00000000-0005-0000-0000-0000F1460000}"/>
    <cellStyle name="Input 3 2 18" xfId="18162" xr:uid="{00000000-0005-0000-0000-0000F2460000}"/>
    <cellStyle name="Input 3 2 19" xfId="18163" xr:uid="{00000000-0005-0000-0000-0000F3460000}"/>
    <cellStyle name="Input 3 2 2" xfId="18164" xr:uid="{00000000-0005-0000-0000-0000F4460000}"/>
    <cellStyle name="Input 3 2 2 10" xfId="18165" xr:uid="{00000000-0005-0000-0000-0000F5460000}"/>
    <cellStyle name="Input 3 2 2 11" xfId="18166" xr:uid="{00000000-0005-0000-0000-0000F6460000}"/>
    <cellStyle name="Input 3 2 2 12" xfId="18167" xr:uid="{00000000-0005-0000-0000-0000F7460000}"/>
    <cellStyle name="Input 3 2 2 13" xfId="18168" xr:uid="{00000000-0005-0000-0000-0000F8460000}"/>
    <cellStyle name="Input 3 2 2 14" xfId="18169" xr:uid="{00000000-0005-0000-0000-0000F9460000}"/>
    <cellStyle name="Input 3 2 2 15" xfId="18170" xr:uid="{00000000-0005-0000-0000-0000FA460000}"/>
    <cellStyle name="Input 3 2 2 16" xfId="18171" xr:uid="{00000000-0005-0000-0000-0000FB460000}"/>
    <cellStyle name="Input 3 2 2 17" xfId="18172" xr:uid="{00000000-0005-0000-0000-0000FC460000}"/>
    <cellStyle name="Input 3 2 2 18" xfId="18173" xr:uid="{00000000-0005-0000-0000-0000FD460000}"/>
    <cellStyle name="Input 3 2 2 19" xfId="18174" xr:uid="{00000000-0005-0000-0000-0000FE460000}"/>
    <cellStyle name="Input 3 2 2 2" xfId="18175" xr:uid="{00000000-0005-0000-0000-0000FF460000}"/>
    <cellStyle name="Input 3 2 2 20" xfId="18176" xr:uid="{00000000-0005-0000-0000-000000470000}"/>
    <cellStyle name="Input 3 2 2 21" xfId="18177" xr:uid="{00000000-0005-0000-0000-000001470000}"/>
    <cellStyle name="Input 3 2 2 22" xfId="18178" xr:uid="{00000000-0005-0000-0000-000002470000}"/>
    <cellStyle name="Input 3 2 2 23" xfId="18179" xr:uid="{00000000-0005-0000-0000-000003470000}"/>
    <cellStyle name="Input 3 2 2 24" xfId="18180" xr:uid="{00000000-0005-0000-0000-000004470000}"/>
    <cellStyle name="Input 3 2 2 25" xfId="18181" xr:uid="{00000000-0005-0000-0000-000005470000}"/>
    <cellStyle name="Input 3 2 2 26" xfId="18182" xr:uid="{00000000-0005-0000-0000-000006470000}"/>
    <cellStyle name="Input 3 2 2 27" xfId="18183" xr:uid="{00000000-0005-0000-0000-000007470000}"/>
    <cellStyle name="Input 3 2 2 28" xfId="18184" xr:uid="{00000000-0005-0000-0000-000008470000}"/>
    <cellStyle name="Input 3 2 2 29" xfId="18185" xr:uid="{00000000-0005-0000-0000-000009470000}"/>
    <cellStyle name="Input 3 2 2 3" xfId="18186" xr:uid="{00000000-0005-0000-0000-00000A470000}"/>
    <cellStyle name="Input 3 2 2 30" xfId="18187" xr:uid="{00000000-0005-0000-0000-00000B470000}"/>
    <cellStyle name="Input 3 2 2 31" xfId="18188" xr:uid="{00000000-0005-0000-0000-00000C470000}"/>
    <cellStyle name="Input 3 2 2 32" xfId="18189" xr:uid="{00000000-0005-0000-0000-00000D470000}"/>
    <cellStyle name="Input 3 2 2 33" xfId="18190" xr:uid="{00000000-0005-0000-0000-00000E470000}"/>
    <cellStyle name="Input 3 2 2 34" xfId="18191" xr:uid="{00000000-0005-0000-0000-00000F470000}"/>
    <cellStyle name="Input 3 2 2 35" xfId="18192" xr:uid="{00000000-0005-0000-0000-000010470000}"/>
    <cellStyle name="Input 3 2 2 36" xfId="18193" xr:uid="{00000000-0005-0000-0000-000011470000}"/>
    <cellStyle name="Input 3 2 2 37" xfId="18194" xr:uid="{00000000-0005-0000-0000-000012470000}"/>
    <cellStyle name="Input 3 2 2 38" xfId="18195" xr:uid="{00000000-0005-0000-0000-000013470000}"/>
    <cellStyle name="Input 3 2 2 39" xfId="18196" xr:uid="{00000000-0005-0000-0000-000014470000}"/>
    <cellStyle name="Input 3 2 2 4" xfId="18197" xr:uid="{00000000-0005-0000-0000-000015470000}"/>
    <cellStyle name="Input 3 2 2 40" xfId="18198" xr:uid="{00000000-0005-0000-0000-000016470000}"/>
    <cellStyle name="Input 3 2 2 41" xfId="18199" xr:uid="{00000000-0005-0000-0000-000017470000}"/>
    <cellStyle name="Input 3 2 2 42" xfId="18200" xr:uid="{00000000-0005-0000-0000-000018470000}"/>
    <cellStyle name="Input 3 2 2 43" xfId="18201" xr:uid="{00000000-0005-0000-0000-000019470000}"/>
    <cellStyle name="Input 3 2 2 44" xfId="18202" xr:uid="{00000000-0005-0000-0000-00001A470000}"/>
    <cellStyle name="Input 3 2 2 45" xfId="18203" xr:uid="{00000000-0005-0000-0000-00001B470000}"/>
    <cellStyle name="Input 3 2 2 46" xfId="18204" xr:uid="{00000000-0005-0000-0000-00001C470000}"/>
    <cellStyle name="Input 3 2 2 47" xfId="18205" xr:uid="{00000000-0005-0000-0000-00001D470000}"/>
    <cellStyle name="Input 3 2 2 48" xfId="18206" xr:uid="{00000000-0005-0000-0000-00001E470000}"/>
    <cellStyle name="Input 3 2 2 49" xfId="18207" xr:uid="{00000000-0005-0000-0000-00001F470000}"/>
    <cellStyle name="Input 3 2 2 5" xfId="18208" xr:uid="{00000000-0005-0000-0000-000020470000}"/>
    <cellStyle name="Input 3 2 2 50" xfId="18209" xr:uid="{00000000-0005-0000-0000-000021470000}"/>
    <cellStyle name="Input 3 2 2 51" xfId="18210" xr:uid="{00000000-0005-0000-0000-000022470000}"/>
    <cellStyle name="Input 3 2 2 52" xfId="18211" xr:uid="{00000000-0005-0000-0000-000023470000}"/>
    <cellStyle name="Input 3 2 2 53" xfId="18212" xr:uid="{00000000-0005-0000-0000-000024470000}"/>
    <cellStyle name="Input 3 2 2 54" xfId="18213" xr:uid="{00000000-0005-0000-0000-000025470000}"/>
    <cellStyle name="Input 3 2 2 55" xfId="18214" xr:uid="{00000000-0005-0000-0000-000026470000}"/>
    <cellStyle name="Input 3 2 2 56" xfId="18215" xr:uid="{00000000-0005-0000-0000-000027470000}"/>
    <cellStyle name="Input 3 2 2 57" xfId="18216" xr:uid="{00000000-0005-0000-0000-000028470000}"/>
    <cellStyle name="Input 3 2 2 58" xfId="18217" xr:uid="{00000000-0005-0000-0000-000029470000}"/>
    <cellStyle name="Input 3 2 2 59" xfId="18218" xr:uid="{00000000-0005-0000-0000-00002A470000}"/>
    <cellStyle name="Input 3 2 2 6" xfId="18219" xr:uid="{00000000-0005-0000-0000-00002B470000}"/>
    <cellStyle name="Input 3 2 2 60" xfId="18220" xr:uid="{00000000-0005-0000-0000-00002C470000}"/>
    <cellStyle name="Input 3 2 2 61" xfId="18221" xr:uid="{00000000-0005-0000-0000-00002D470000}"/>
    <cellStyle name="Input 3 2 2 62" xfId="18222" xr:uid="{00000000-0005-0000-0000-00002E470000}"/>
    <cellStyle name="Input 3 2 2 63" xfId="18223" xr:uid="{00000000-0005-0000-0000-00002F470000}"/>
    <cellStyle name="Input 3 2 2 64" xfId="18224" xr:uid="{00000000-0005-0000-0000-000030470000}"/>
    <cellStyle name="Input 3 2 2 65" xfId="18225" xr:uid="{00000000-0005-0000-0000-000031470000}"/>
    <cellStyle name="Input 3 2 2 7" xfId="18226" xr:uid="{00000000-0005-0000-0000-000032470000}"/>
    <cellStyle name="Input 3 2 2 8" xfId="18227" xr:uid="{00000000-0005-0000-0000-000033470000}"/>
    <cellStyle name="Input 3 2 2 9" xfId="18228" xr:uid="{00000000-0005-0000-0000-000034470000}"/>
    <cellStyle name="Input 3 2 20" xfId="18229" xr:uid="{00000000-0005-0000-0000-000035470000}"/>
    <cellStyle name="Input 3 2 21" xfId="18230" xr:uid="{00000000-0005-0000-0000-000036470000}"/>
    <cellStyle name="Input 3 2 22" xfId="18231" xr:uid="{00000000-0005-0000-0000-000037470000}"/>
    <cellStyle name="Input 3 2 23" xfId="18232" xr:uid="{00000000-0005-0000-0000-000038470000}"/>
    <cellStyle name="Input 3 2 24" xfId="18233" xr:uid="{00000000-0005-0000-0000-000039470000}"/>
    <cellStyle name="Input 3 2 25" xfId="18234" xr:uid="{00000000-0005-0000-0000-00003A470000}"/>
    <cellStyle name="Input 3 2 26" xfId="18235" xr:uid="{00000000-0005-0000-0000-00003B470000}"/>
    <cellStyle name="Input 3 2 27" xfId="18236" xr:uid="{00000000-0005-0000-0000-00003C470000}"/>
    <cellStyle name="Input 3 2 28" xfId="18237" xr:uid="{00000000-0005-0000-0000-00003D470000}"/>
    <cellStyle name="Input 3 2 29" xfId="18238" xr:uid="{00000000-0005-0000-0000-00003E470000}"/>
    <cellStyle name="Input 3 2 3" xfId="18239" xr:uid="{00000000-0005-0000-0000-00003F470000}"/>
    <cellStyle name="Input 3 2 30" xfId="18240" xr:uid="{00000000-0005-0000-0000-000040470000}"/>
    <cellStyle name="Input 3 2 31" xfId="18241" xr:uid="{00000000-0005-0000-0000-000041470000}"/>
    <cellStyle name="Input 3 2 32" xfId="18242" xr:uid="{00000000-0005-0000-0000-000042470000}"/>
    <cellStyle name="Input 3 2 33" xfId="18243" xr:uid="{00000000-0005-0000-0000-000043470000}"/>
    <cellStyle name="Input 3 2 34" xfId="18244" xr:uid="{00000000-0005-0000-0000-000044470000}"/>
    <cellStyle name="Input 3 2 35" xfId="18245" xr:uid="{00000000-0005-0000-0000-000045470000}"/>
    <cellStyle name="Input 3 2 36" xfId="18246" xr:uid="{00000000-0005-0000-0000-000046470000}"/>
    <cellStyle name="Input 3 2 37" xfId="18247" xr:uid="{00000000-0005-0000-0000-000047470000}"/>
    <cellStyle name="Input 3 2 38" xfId="18248" xr:uid="{00000000-0005-0000-0000-000048470000}"/>
    <cellStyle name="Input 3 2 39" xfId="18249" xr:uid="{00000000-0005-0000-0000-000049470000}"/>
    <cellStyle name="Input 3 2 4" xfId="18250" xr:uid="{00000000-0005-0000-0000-00004A470000}"/>
    <cellStyle name="Input 3 2 40" xfId="18251" xr:uid="{00000000-0005-0000-0000-00004B470000}"/>
    <cellStyle name="Input 3 2 41" xfId="18252" xr:uid="{00000000-0005-0000-0000-00004C470000}"/>
    <cellStyle name="Input 3 2 42" xfId="18253" xr:uid="{00000000-0005-0000-0000-00004D470000}"/>
    <cellStyle name="Input 3 2 43" xfId="18254" xr:uid="{00000000-0005-0000-0000-00004E470000}"/>
    <cellStyle name="Input 3 2 44" xfId="18255" xr:uid="{00000000-0005-0000-0000-00004F470000}"/>
    <cellStyle name="Input 3 2 45" xfId="18256" xr:uid="{00000000-0005-0000-0000-000050470000}"/>
    <cellStyle name="Input 3 2 46" xfId="18257" xr:uid="{00000000-0005-0000-0000-000051470000}"/>
    <cellStyle name="Input 3 2 47" xfId="18258" xr:uid="{00000000-0005-0000-0000-000052470000}"/>
    <cellStyle name="Input 3 2 48" xfId="18259" xr:uid="{00000000-0005-0000-0000-000053470000}"/>
    <cellStyle name="Input 3 2 49" xfId="18260" xr:uid="{00000000-0005-0000-0000-000054470000}"/>
    <cellStyle name="Input 3 2 5" xfId="18261" xr:uid="{00000000-0005-0000-0000-000055470000}"/>
    <cellStyle name="Input 3 2 50" xfId="18262" xr:uid="{00000000-0005-0000-0000-000056470000}"/>
    <cellStyle name="Input 3 2 51" xfId="18263" xr:uid="{00000000-0005-0000-0000-000057470000}"/>
    <cellStyle name="Input 3 2 52" xfId="18264" xr:uid="{00000000-0005-0000-0000-000058470000}"/>
    <cellStyle name="Input 3 2 53" xfId="18265" xr:uid="{00000000-0005-0000-0000-000059470000}"/>
    <cellStyle name="Input 3 2 54" xfId="18266" xr:uid="{00000000-0005-0000-0000-00005A470000}"/>
    <cellStyle name="Input 3 2 55" xfId="18267" xr:uid="{00000000-0005-0000-0000-00005B470000}"/>
    <cellStyle name="Input 3 2 56" xfId="18268" xr:uid="{00000000-0005-0000-0000-00005C470000}"/>
    <cellStyle name="Input 3 2 57" xfId="18269" xr:uid="{00000000-0005-0000-0000-00005D470000}"/>
    <cellStyle name="Input 3 2 58" xfId="18270" xr:uid="{00000000-0005-0000-0000-00005E470000}"/>
    <cellStyle name="Input 3 2 59" xfId="18271" xr:uid="{00000000-0005-0000-0000-00005F470000}"/>
    <cellStyle name="Input 3 2 6" xfId="18272" xr:uid="{00000000-0005-0000-0000-000060470000}"/>
    <cellStyle name="Input 3 2 60" xfId="18273" xr:uid="{00000000-0005-0000-0000-000061470000}"/>
    <cellStyle name="Input 3 2 61" xfId="18274" xr:uid="{00000000-0005-0000-0000-000062470000}"/>
    <cellStyle name="Input 3 2 62" xfId="18275" xr:uid="{00000000-0005-0000-0000-000063470000}"/>
    <cellStyle name="Input 3 2 63" xfId="18276" xr:uid="{00000000-0005-0000-0000-000064470000}"/>
    <cellStyle name="Input 3 2 64" xfId="18277" xr:uid="{00000000-0005-0000-0000-000065470000}"/>
    <cellStyle name="Input 3 2 65" xfId="18278" xr:uid="{00000000-0005-0000-0000-000066470000}"/>
    <cellStyle name="Input 3 2 66" xfId="18279" xr:uid="{00000000-0005-0000-0000-000067470000}"/>
    <cellStyle name="Input 3 2 7" xfId="18280" xr:uid="{00000000-0005-0000-0000-000068470000}"/>
    <cellStyle name="Input 3 2 8" xfId="18281" xr:uid="{00000000-0005-0000-0000-000069470000}"/>
    <cellStyle name="Input 3 2 9" xfId="18282" xr:uid="{00000000-0005-0000-0000-00006A470000}"/>
    <cellStyle name="Input 3 20" xfId="18283" xr:uid="{00000000-0005-0000-0000-00006B470000}"/>
    <cellStyle name="Input 3 21" xfId="18284" xr:uid="{00000000-0005-0000-0000-00006C470000}"/>
    <cellStyle name="Input 3 22" xfId="18285" xr:uid="{00000000-0005-0000-0000-00006D470000}"/>
    <cellStyle name="Input 3 23" xfId="18286" xr:uid="{00000000-0005-0000-0000-00006E470000}"/>
    <cellStyle name="Input 3 24" xfId="18287" xr:uid="{00000000-0005-0000-0000-00006F470000}"/>
    <cellStyle name="Input 3 25" xfId="18288" xr:uid="{00000000-0005-0000-0000-000070470000}"/>
    <cellStyle name="Input 3 26" xfId="18289" xr:uid="{00000000-0005-0000-0000-000071470000}"/>
    <cellStyle name="Input 3 27" xfId="18290" xr:uid="{00000000-0005-0000-0000-000072470000}"/>
    <cellStyle name="Input 3 28" xfId="18291" xr:uid="{00000000-0005-0000-0000-000073470000}"/>
    <cellStyle name="Input 3 29" xfId="18292" xr:uid="{00000000-0005-0000-0000-000074470000}"/>
    <cellStyle name="Input 3 3" xfId="18293" xr:uid="{00000000-0005-0000-0000-000075470000}"/>
    <cellStyle name="Input 3 3 10" xfId="18294" xr:uid="{00000000-0005-0000-0000-000076470000}"/>
    <cellStyle name="Input 3 3 11" xfId="18295" xr:uid="{00000000-0005-0000-0000-000077470000}"/>
    <cellStyle name="Input 3 3 12" xfId="18296" xr:uid="{00000000-0005-0000-0000-000078470000}"/>
    <cellStyle name="Input 3 3 13" xfId="18297" xr:uid="{00000000-0005-0000-0000-000079470000}"/>
    <cellStyle name="Input 3 3 14" xfId="18298" xr:uid="{00000000-0005-0000-0000-00007A470000}"/>
    <cellStyle name="Input 3 3 15" xfId="18299" xr:uid="{00000000-0005-0000-0000-00007B470000}"/>
    <cellStyle name="Input 3 3 16" xfId="18300" xr:uid="{00000000-0005-0000-0000-00007C470000}"/>
    <cellStyle name="Input 3 3 17" xfId="18301" xr:uid="{00000000-0005-0000-0000-00007D470000}"/>
    <cellStyle name="Input 3 3 18" xfId="18302" xr:uid="{00000000-0005-0000-0000-00007E470000}"/>
    <cellStyle name="Input 3 3 19" xfId="18303" xr:uid="{00000000-0005-0000-0000-00007F470000}"/>
    <cellStyle name="Input 3 3 2" xfId="18304" xr:uid="{00000000-0005-0000-0000-000080470000}"/>
    <cellStyle name="Input 3 3 2 10" xfId="18305" xr:uid="{00000000-0005-0000-0000-000081470000}"/>
    <cellStyle name="Input 3 3 2 11" xfId="18306" xr:uid="{00000000-0005-0000-0000-000082470000}"/>
    <cellStyle name="Input 3 3 2 12" xfId="18307" xr:uid="{00000000-0005-0000-0000-000083470000}"/>
    <cellStyle name="Input 3 3 2 13" xfId="18308" xr:uid="{00000000-0005-0000-0000-000084470000}"/>
    <cellStyle name="Input 3 3 2 14" xfId="18309" xr:uid="{00000000-0005-0000-0000-000085470000}"/>
    <cellStyle name="Input 3 3 2 15" xfId="18310" xr:uid="{00000000-0005-0000-0000-000086470000}"/>
    <cellStyle name="Input 3 3 2 16" xfId="18311" xr:uid="{00000000-0005-0000-0000-000087470000}"/>
    <cellStyle name="Input 3 3 2 17" xfId="18312" xr:uid="{00000000-0005-0000-0000-000088470000}"/>
    <cellStyle name="Input 3 3 2 18" xfId="18313" xr:uid="{00000000-0005-0000-0000-000089470000}"/>
    <cellStyle name="Input 3 3 2 19" xfId="18314" xr:uid="{00000000-0005-0000-0000-00008A470000}"/>
    <cellStyle name="Input 3 3 2 2" xfId="18315" xr:uid="{00000000-0005-0000-0000-00008B470000}"/>
    <cellStyle name="Input 3 3 2 20" xfId="18316" xr:uid="{00000000-0005-0000-0000-00008C470000}"/>
    <cellStyle name="Input 3 3 2 21" xfId="18317" xr:uid="{00000000-0005-0000-0000-00008D470000}"/>
    <cellStyle name="Input 3 3 2 22" xfId="18318" xr:uid="{00000000-0005-0000-0000-00008E470000}"/>
    <cellStyle name="Input 3 3 2 23" xfId="18319" xr:uid="{00000000-0005-0000-0000-00008F470000}"/>
    <cellStyle name="Input 3 3 2 24" xfId="18320" xr:uid="{00000000-0005-0000-0000-000090470000}"/>
    <cellStyle name="Input 3 3 2 25" xfId="18321" xr:uid="{00000000-0005-0000-0000-000091470000}"/>
    <cellStyle name="Input 3 3 2 26" xfId="18322" xr:uid="{00000000-0005-0000-0000-000092470000}"/>
    <cellStyle name="Input 3 3 2 27" xfId="18323" xr:uid="{00000000-0005-0000-0000-000093470000}"/>
    <cellStyle name="Input 3 3 2 28" xfId="18324" xr:uid="{00000000-0005-0000-0000-000094470000}"/>
    <cellStyle name="Input 3 3 2 29" xfId="18325" xr:uid="{00000000-0005-0000-0000-000095470000}"/>
    <cellStyle name="Input 3 3 2 3" xfId="18326" xr:uid="{00000000-0005-0000-0000-000096470000}"/>
    <cellStyle name="Input 3 3 2 30" xfId="18327" xr:uid="{00000000-0005-0000-0000-000097470000}"/>
    <cellStyle name="Input 3 3 2 31" xfId="18328" xr:uid="{00000000-0005-0000-0000-000098470000}"/>
    <cellStyle name="Input 3 3 2 32" xfId="18329" xr:uid="{00000000-0005-0000-0000-000099470000}"/>
    <cellStyle name="Input 3 3 2 33" xfId="18330" xr:uid="{00000000-0005-0000-0000-00009A470000}"/>
    <cellStyle name="Input 3 3 2 34" xfId="18331" xr:uid="{00000000-0005-0000-0000-00009B470000}"/>
    <cellStyle name="Input 3 3 2 35" xfId="18332" xr:uid="{00000000-0005-0000-0000-00009C470000}"/>
    <cellStyle name="Input 3 3 2 36" xfId="18333" xr:uid="{00000000-0005-0000-0000-00009D470000}"/>
    <cellStyle name="Input 3 3 2 37" xfId="18334" xr:uid="{00000000-0005-0000-0000-00009E470000}"/>
    <cellStyle name="Input 3 3 2 38" xfId="18335" xr:uid="{00000000-0005-0000-0000-00009F470000}"/>
    <cellStyle name="Input 3 3 2 39" xfId="18336" xr:uid="{00000000-0005-0000-0000-0000A0470000}"/>
    <cellStyle name="Input 3 3 2 4" xfId="18337" xr:uid="{00000000-0005-0000-0000-0000A1470000}"/>
    <cellStyle name="Input 3 3 2 40" xfId="18338" xr:uid="{00000000-0005-0000-0000-0000A2470000}"/>
    <cellStyle name="Input 3 3 2 41" xfId="18339" xr:uid="{00000000-0005-0000-0000-0000A3470000}"/>
    <cellStyle name="Input 3 3 2 42" xfId="18340" xr:uid="{00000000-0005-0000-0000-0000A4470000}"/>
    <cellStyle name="Input 3 3 2 43" xfId="18341" xr:uid="{00000000-0005-0000-0000-0000A5470000}"/>
    <cellStyle name="Input 3 3 2 44" xfId="18342" xr:uid="{00000000-0005-0000-0000-0000A6470000}"/>
    <cellStyle name="Input 3 3 2 45" xfId="18343" xr:uid="{00000000-0005-0000-0000-0000A7470000}"/>
    <cellStyle name="Input 3 3 2 46" xfId="18344" xr:uid="{00000000-0005-0000-0000-0000A8470000}"/>
    <cellStyle name="Input 3 3 2 47" xfId="18345" xr:uid="{00000000-0005-0000-0000-0000A9470000}"/>
    <cellStyle name="Input 3 3 2 48" xfId="18346" xr:uid="{00000000-0005-0000-0000-0000AA470000}"/>
    <cellStyle name="Input 3 3 2 49" xfId="18347" xr:uid="{00000000-0005-0000-0000-0000AB470000}"/>
    <cellStyle name="Input 3 3 2 5" xfId="18348" xr:uid="{00000000-0005-0000-0000-0000AC470000}"/>
    <cellStyle name="Input 3 3 2 50" xfId="18349" xr:uid="{00000000-0005-0000-0000-0000AD470000}"/>
    <cellStyle name="Input 3 3 2 51" xfId="18350" xr:uid="{00000000-0005-0000-0000-0000AE470000}"/>
    <cellStyle name="Input 3 3 2 52" xfId="18351" xr:uid="{00000000-0005-0000-0000-0000AF470000}"/>
    <cellStyle name="Input 3 3 2 53" xfId="18352" xr:uid="{00000000-0005-0000-0000-0000B0470000}"/>
    <cellStyle name="Input 3 3 2 54" xfId="18353" xr:uid="{00000000-0005-0000-0000-0000B1470000}"/>
    <cellStyle name="Input 3 3 2 55" xfId="18354" xr:uid="{00000000-0005-0000-0000-0000B2470000}"/>
    <cellStyle name="Input 3 3 2 56" xfId="18355" xr:uid="{00000000-0005-0000-0000-0000B3470000}"/>
    <cellStyle name="Input 3 3 2 57" xfId="18356" xr:uid="{00000000-0005-0000-0000-0000B4470000}"/>
    <cellStyle name="Input 3 3 2 58" xfId="18357" xr:uid="{00000000-0005-0000-0000-0000B5470000}"/>
    <cellStyle name="Input 3 3 2 59" xfId="18358" xr:uid="{00000000-0005-0000-0000-0000B6470000}"/>
    <cellStyle name="Input 3 3 2 6" xfId="18359" xr:uid="{00000000-0005-0000-0000-0000B7470000}"/>
    <cellStyle name="Input 3 3 2 60" xfId="18360" xr:uid="{00000000-0005-0000-0000-0000B8470000}"/>
    <cellStyle name="Input 3 3 2 61" xfId="18361" xr:uid="{00000000-0005-0000-0000-0000B9470000}"/>
    <cellStyle name="Input 3 3 2 62" xfId="18362" xr:uid="{00000000-0005-0000-0000-0000BA470000}"/>
    <cellStyle name="Input 3 3 2 63" xfId="18363" xr:uid="{00000000-0005-0000-0000-0000BB470000}"/>
    <cellStyle name="Input 3 3 2 64" xfId="18364" xr:uid="{00000000-0005-0000-0000-0000BC470000}"/>
    <cellStyle name="Input 3 3 2 65" xfId="18365" xr:uid="{00000000-0005-0000-0000-0000BD470000}"/>
    <cellStyle name="Input 3 3 2 7" xfId="18366" xr:uid="{00000000-0005-0000-0000-0000BE470000}"/>
    <cellStyle name="Input 3 3 2 8" xfId="18367" xr:uid="{00000000-0005-0000-0000-0000BF470000}"/>
    <cellStyle name="Input 3 3 2 9" xfId="18368" xr:uid="{00000000-0005-0000-0000-0000C0470000}"/>
    <cellStyle name="Input 3 3 20" xfId="18369" xr:uid="{00000000-0005-0000-0000-0000C1470000}"/>
    <cellStyle name="Input 3 3 21" xfId="18370" xr:uid="{00000000-0005-0000-0000-0000C2470000}"/>
    <cellStyle name="Input 3 3 22" xfId="18371" xr:uid="{00000000-0005-0000-0000-0000C3470000}"/>
    <cellStyle name="Input 3 3 23" xfId="18372" xr:uid="{00000000-0005-0000-0000-0000C4470000}"/>
    <cellStyle name="Input 3 3 24" xfId="18373" xr:uid="{00000000-0005-0000-0000-0000C5470000}"/>
    <cellStyle name="Input 3 3 25" xfId="18374" xr:uid="{00000000-0005-0000-0000-0000C6470000}"/>
    <cellStyle name="Input 3 3 26" xfId="18375" xr:uid="{00000000-0005-0000-0000-0000C7470000}"/>
    <cellStyle name="Input 3 3 27" xfId="18376" xr:uid="{00000000-0005-0000-0000-0000C8470000}"/>
    <cellStyle name="Input 3 3 28" xfId="18377" xr:uid="{00000000-0005-0000-0000-0000C9470000}"/>
    <cellStyle name="Input 3 3 29" xfId="18378" xr:uid="{00000000-0005-0000-0000-0000CA470000}"/>
    <cellStyle name="Input 3 3 3" xfId="18379" xr:uid="{00000000-0005-0000-0000-0000CB470000}"/>
    <cellStyle name="Input 3 3 30" xfId="18380" xr:uid="{00000000-0005-0000-0000-0000CC470000}"/>
    <cellStyle name="Input 3 3 31" xfId="18381" xr:uid="{00000000-0005-0000-0000-0000CD470000}"/>
    <cellStyle name="Input 3 3 32" xfId="18382" xr:uid="{00000000-0005-0000-0000-0000CE470000}"/>
    <cellStyle name="Input 3 3 33" xfId="18383" xr:uid="{00000000-0005-0000-0000-0000CF470000}"/>
    <cellStyle name="Input 3 3 34" xfId="18384" xr:uid="{00000000-0005-0000-0000-0000D0470000}"/>
    <cellStyle name="Input 3 3 35" xfId="18385" xr:uid="{00000000-0005-0000-0000-0000D1470000}"/>
    <cellStyle name="Input 3 3 36" xfId="18386" xr:uid="{00000000-0005-0000-0000-0000D2470000}"/>
    <cellStyle name="Input 3 3 37" xfId="18387" xr:uid="{00000000-0005-0000-0000-0000D3470000}"/>
    <cellStyle name="Input 3 3 38" xfId="18388" xr:uid="{00000000-0005-0000-0000-0000D4470000}"/>
    <cellStyle name="Input 3 3 39" xfId="18389" xr:uid="{00000000-0005-0000-0000-0000D5470000}"/>
    <cellStyle name="Input 3 3 4" xfId="18390" xr:uid="{00000000-0005-0000-0000-0000D6470000}"/>
    <cellStyle name="Input 3 3 40" xfId="18391" xr:uid="{00000000-0005-0000-0000-0000D7470000}"/>
    <cellStyle name="Input 3 3 41" xfId="18392" xr:uid="{00000000-0005-0000-0000-0000D8470000}"/>
    <cellStyle name="Input 3 3 42" xfId="18393" xr:uid="{00000000-0005-0000-0000-0000D9470000}"/>
    <cellStyle name="Input 3 3 43" xfId="18394" xr:uid="{00000000-0005-0000-0000-0000DA470000}"/>
    <cellStyle name="Input 3 3 44" xfId="18395" xr:uid="{00000000-0005-0000-0000-0000DB470000}"/>
    <cellStyle name="Input 3 3 45" xfId="18396" xr:uid="{00000000-0005-0000-0000-0000DC470000}"/>
    <cellStyle name="Input 3 3 46" xfId="18397" xr:uid="{00000000-0005-0000-0000-0000DD470000}"/>
    <cellStyle name="Input 3 3 47" xfId="18398" xr:uid="{00000000-0005-0000-0000-0000DE470000}"/>
    <cellStyle name="Input 3 3 48" xfId="18399" xr:uid="{00000000-0005-0000-0000-0000DF470000}"/>
    <cellStyle name="Input 3 3 49" xfId="18400" xr:uid="{00000000-0005-0000-0000-0000E0470000}"/>
    <cellStyle name="Input 3 3 5" xfId="18401" xr:uid="{00000000-0005-0000-0000-0000E1470000}"/>
    <cellStyle name="Input 3 3 50" xfId="18402" xr:uid="{00000000-0005-0000-0000-0000E2470000}"/>
    <cellStyle name="Input 3 3 51" xfId="18403" xr:uid="{00000000-0005-0000-0000-0000E3470000}"/>
    <cellStyle name="Input 3 3 52" xfId="18404" xr:uid="{00000000-0005-0000-0000-0000E4470000}"/>
    <cellStyle name="Input 3 3 53" xfId="18405" xr:uid="{00000000-0005-0000-0000-0000E5470000}"/>
    <cellStyle name="Input 3 3 54" xfId="18406" xr:uid="{00000000-0005-0000-0000-0000E6470000}"/>
    <cellStyle name="Input 3 3 55" xfId="18407" xr:uid="{00000000-0005-0000-0000-0000E7470000}"/>
    <cellStyle name="Input 3 3 56" xfId="18408" xr:uid="{00000000-0005-0000-0000-0000E8470000}"/>
    <cellStyle name="Input 3 3 57" xfId="18409" xr:uid="{00000000-0005-0000-0000-0000E9470000}"/>
    <cellStyle name="Input 3 3 58" xfId="18410" xr:uid="{00000000-0005-0000-0000-0000EA470000}"/>
    <cellStyle name="Input 3 3 59" xfId="18411" xr:uid="{00000000-0005-0000-0000-0000EB470000}"/>
    <cellStyle name="Input 3 3 6" xfId="18412" xr:uid="{00000000-0005-0000-0000-0000EC470000}"/>
    <cellStyle name="Input 3 3 60" xfId="18413" xr:uid="{00000000-0005-0000-0000-0000ED470000}"/>
    <cellStyle name="Input 3 3 61" xfId="18414" xr:uid="{00000000-0005-0000-0000-0000EE470000}"/>
    <cellStyle name="Input 3 3 62" xfId="18415" xr:uid="{00000000-0005-0000-0000-0000EF470000}"/>
    <cellStyle name="Input 3 3 63" xfId="18416" xr:uid="{00000000-0005-0000-0000-0000F0470000}"/>
    <cellStyle name="Input 3 3 64" xfId="18417" xr:uid="{00000000-0005-0000-0000-0000F1470000}"/>
    <cellStyle name="Input 3 3 65" xfId="18418" xr:uid="{00000000-0005-0000-0000-0000F2470000}"/>
    <cellStyle name="Input 3 3 66" xfId="18419" xr:uid="{00000000-0005-0000-0000-0000F3470000}"/>
    <cellStyle name="Input 3 3 7" xfId="18420" xr:uid="{00000000-0005-0000-0000-0000F4470000}"/>
    <cellStyle name="Input 3 3 8" xfId="18421" xr:uid="{00000000-0005-0000-0000-0000F5470000}"/>
    <cellStyle name="Input 3 3 9" xfId="18422" xr:uid="{00000000-0005-0000-0000-0000F6470000}"/>
    <cellStyle name="Input 3 30" xfId="18423" xr:uid="{00000000-0005-0000-0000-0000F7470000}"/>
    <cellStyle name="Input 3 31" xfId="18424" xr:uid="{00000000-0005-0000-0000-0000F8470000}"/>
    <cellStyle name="Input 3 32" xfId="18425" xr:uid="{00000000-0005-0000-0000-0000F9470000}"/>
    <cellStyle name="Input 3 33" xfId="18426" xr:uid="{00000000-0005-0000-0000-0000FA470000}"/>
    <cellStyle name="Input 3 34" xfId="18427" xr:uid="{00000000-0005-0000-0000-0000FB470000}"/>
    <cellStyle name="Input 3 35" xfId="18428" xr:uid="{00000000-0005-0000-0000-0000FC470000}"/>
    <cellStyle name="Input 3 36" xfId="18429" xr:uid="{00000000-0005-0000-0000-0000FD470000}"/>
    <cellStyle name="Input 3 37" xfId="18430" xr:uid="{00000000-0005-0000-0000-0000FE470000}"/>
    <cellStyle name="Input 3 38" xfId="18431" xr:uid="{00000000-0005-0000-0000-0000FF470000}"/>
    <cellStyle name="Input 3 39" xfId="18432" xr:uid="{00000000-0005-0000-0000-000000480000}"/>
    <cellStyle name="Input 3 4" xfId="18433" xr:uid="{00000000-0005-0000-0000-000001480000}"/>
    <cellStyle name="Input 3 4 10" xfId="18434" xr:uid="{00000000-0005-0000-0000-000002480000}"/>
    <cellStyle name="Input 3 4 11" xfId="18435" xr:uid="{00000000-0005-0000-0000-000003480000}"/>
    <cellStyle name="Input 3 4 12" xfId="18436" xr:uid="{00000000-0005-0000-0000-000004480000}"/>
    <cellStyle name="Input 3 4 13" xfId="18437" xr:uid="{00000000-0005-0000-0000-000005480000}"/>
    <cellStyle name="Input 3 4 14" xfId="18438" xr:uid="{00000000-0005-0000-0000-000006480000}"/>
    <cellStyle name="Input 3 4 15" xfId="18439" xr:uid="{00000000-0005-0000-0000-000007480000}"/>
    <cellStyle name="Input 3 4 16" xfId="18440" xr:uid="{00000000-0005-0000-0000-000008480000}"/>
    <cellStyle name="Input 3 4 17" xfId="18441" xr:uid="{00000000-0005-0000-0000-000009480000}"/>
    <cellStyle name="Input 3 4 18" xfId="18442" xr:uid="{00000000-0005-0000-0000-00000A480000}"/>
    <cellStyle name="Input 3 4 19" xfId="18443" xr:uid="{00000000-0005-0000-0000-00000B480000}"/>
    <cellStyle name="Input 3 4 2" xfId="18444" xr:uid="{00000000-0005-0000-0000-00000C480000}"/>
    <cellStyle name="Input 3 4 2 10" xfId="18445" xr:uid="{00000000-0005-0000-0000-00000D480000}"/>
    <cellStyle name="Input 3 4 2 11" xfId="18446" xr:uid="{00000000-0005-0000-0000-00000E480000}"/>
    <cellStyle name="Input 3 4 2 12" xfId="18447" xr:uid="{00000000-0005-0000-0000-00000F480000}"/>
    <cellStyle name="Input 3 4 2 13" xfId="18448" xr:uid="{00000000-0005-0000-0000-000010480000}"/>
    <cellStyle name="Input 3 4 2 14" xfId="18449" xr:uid="{00000000-0005-0000-0000-000011480000}"/>
    <cellStyle name="Input 3 4 2 15" xfId="18450" xr:uid="{00000000-0005-0000-0000-000012480000}"/>
    <cellStyle name="Input 3 4 2 16" xfId="18451" xr:uid="{00000000-0005-0000-0000-000013480000}"/>
    <cellStyle name="Input 3 4 2 17" xfId="18452" xr:uid="{00000000-0005-0000-0000-000014480000}"/>
    <cellStyle name="Input 3 4 2 18" xfId="18453" xr:uid="{00000000-0005-0000-0000-000015480000}"/>
    <cellStyle name="Input 3 4 2 19" xfId="18454" xr:uid="{00000000-0005-0000-0000-000016480000}"/>
    <cellStyle name="Input 3 4 2 2" xfId="18455" xr:uid="{00000000-0005-0000-0000-000017480000}"/>
    <cellStyle name="Input 3 4 2 20" xfId="18456" xr:uid="{00000000-0005-0000-0000-000018480000}"/>
    <cellStyle name="Input 3 4 2 21" xfId="18457" xr:uid="{00000000-0005-0000-0000-000019480000}"/>
    <cellStyle name="Input 3 4 2 22" xfId="18458" xr:uid="{00000000-0005-0000-0000-00001A480000}"/>
    <cellStyle name="Input 3 4 2 23" xfId="18459" xr:uid="{00000000-0005-0000-0000-00001B480000}"/>
    <cellStyle name="Input 3 4 2 24" xfId="18460" xr:uid="{00000000-0005-0000-0000-00001C480000}"/>
    <cellStyle name="Input 3 4 2 25" xfId="18461" xr:uid="{00000000-0005-0000-0000-00001D480000}"/>
    <cellStyle name="Input 3 4 2 26" xfId="18462" xr:uid="{00000000-0005-0000-0000-00001E480000}"/>
    <cellStyle name="Input 3 4 2 27" xfId="18463" xr:uid="{00000000-0005-0000-0000-00001F480000}"/>
    <cellStyle name="Input 3 4 2 28" xfId="18464" xr:uid="{00000000-0005-0000-0000-000020480000}"/>
    <cellStyle name="Input 3 4 2 29" xfId="18465" xr:uid="{00000000-0005-0000-0000-000021480000}"/>
    <cellStyle name="Input 3 4 2 3" xfId="18466" xr:uid="{00000000-0005-0000-0000-000022480000}"/>
    <cellStyle name="Input 3 4 2 30" xfId="18467" xr:uid="{00000000-0005-0000-0000-000023480000}"/>
    <cellStyle name="Input 3 4 2 31" xfId="18468" xr:uid="{00000000-0005-0000-0000-000024480000}"/>
    <cellStyle name="Input 3 4 2 32" xfId="18469" xr:uid="{00000000-0005-0000-0000-000025480000}"/>
    <cellStyle name="Input 3 4 2 33" xfId="18470" xr:uid="{00000000-0005-0000-0000-000026480000}"/>
    <cellStyle name="Input 3 4 2 34" xfId="18471" xr:uid="{00000000-0005-0000-0000-000027480000}"/>
    <cellStyle name="Input 3 4 2 35" xfId="18472" xr:uid="{00000000-0005-0000-0000-000028480000}"/>
    <cellStyle name="Input 3 4 2 36" xfId="18473" xr:uid="{00000000-0005-0000-0000-000029480000}"/>
    <cellStyle name="Input 3 4 2 37" xfId="18474" xr:uid="{00000000-0005-0000-0000-00002A480000}"/>
    <cellStyle name="Input 3 4 2 38" xfId="18475" xr:uid="{00000000-0005-0000-0000-00002B480000}"/>
    <cellStyle name="Input 3 4 2 39" xfId="18476" xr:uid="{00000000-0005-0000-0000-00002C480000}"/>
    <cellStyle name="Input 3 4 2 4" xfId="18477" xr:uid="{00000000-0005-0000-0000-00002D480000}"/>
    <cellStyle name="Input 3 4 2 40" xfId="18478" xr:uid="{00000000-0005-0000-0000-00002E480000}"/>
    <cellStyle name="Input 3 4 2 41" xfId="18479" xr:uid="{00000000-0005-0000-0000-00002F480000}"/>
    <cellStyle name="Input 3 4 2 42" xfId="18480" xr:uid="{00000000-0005-0000-0000-000030480000}"/>
    <cellStyle name="Input 3 4 2 43" xfId="18481" xr:uid="{00000000-0005-0000-0000-000031480000}"/>
    <cellStyle name="Input 3 4 2 44" xfId="18482" xr:uid="{00000000-0005-0000-0000-000032480000}"/>
    <cellStyle name="Input 3 4 2 45" xfId="18483" xr:uid="{00000000-0005-0000-0000-000033480000}"/>
    <cellStyle name="Input 3 4 2 46" xfId="18484" xr:uid="{00000000-0005-0000-0000-000034480000}"/>
    <cellStyle name="Input 3 4 2 47" xfId="18485" xr:uid="{00000000-0005-0000-0000-000035480000}"/>
    <cellStyle name="Input 3 4 2 48" xfId="18486" xr:uid="{00000000-0005-0000-0000-000036480000}"/>
    <cellStyle name="Input 3 4 2 49" xfId="18487" xr:uid="{00000000-0005-0000-0000-000037480000}"/>
    <cellStyle name="Input 3 4 2 5" xfId="18488" xr:uid="{00000000-0005-0000-0000-000038480000}"/>
    <cellStyle name="Input 3 4 2 50" xfId="18489" xr:uid="{00000000-0005-0000-0000-000039480000}"/>
    <cellStyle name="Input 3 4 2 51" xfId="18490" xr:uid="{00000000-0005-0000-0000-00003A480000}"/>
    <cellStyle name="Input 3 4 2 52" xfId="18491" xr:uid="{00000000-0005-0000-0000-00003B480000}"/>
    <cellStyle name="Input 3 4 2 53" xfId="18492" xr:uid="{00000000-0005-0000-0000-00003C480000}"/>
    <cellStyle name="Input 3 4 2 54" xfId="18493" xr:uid="{00000000-0005-0000-0000-00003D480000}"/>
    <cellStyle name="Input 3 4 2 55" xfId="18494" xr:uid="{00000000-0005-0000-0000-00003E480000}"/>
    <cellStyle name="Input 3 4 2 56" xfId="18495" xr:uid="{00000000-0005-0000-0000-00003F480000}"/>
    <cellStyle name="Input 3 4 2 57" xfId="18496" xr:uid="{00000000-0005-0000-0000-000040480000}"/>
    <cellStyle name="Input 3 4 2 58" xfId="18497" xr:uid="{00000000-0005-0000-0000-000041480000}"/>
    <cellStyle name="Input 3 4 2 59" xfId="18498" xr:uid="{00000000-0005-0000-0000-000042480000}"/>
    <cellStyle name="Input 3 4 2 6" xfId="18499" xr:uid="{00000000-0005-0000-0000-000043480000}"/>
    <cellStyle name="Input 3 4 2 60" xfId="18500" xr:uid="{00000000-0005-0000-0000-000044480000}"/>
    <cellStyle name="Input 3 4 2 61" xfId="18501" xr:uid="{00000000-0005-0000-0000-000045480000}"/>
    <cellStyle name="Input 3 4 2 62" xfId="18502" xr:uid="{00000000-0005-0000-0000-000046480000}"/>
    <cellStyle name="Input 3 4 2 63" xfId="18503" xr:uid="{00000000-0005-0000-0000-000047480000}"/>
    <cellStyle name="Input 3 4 2 64" xfId="18504" xr:uid="{00000000-0005-0000-0000-000048480000}"/>
    <cellStyle name="Input 3 4 2 65" xfId="18505" xr:uid="{00000000-0005-0000-0000-000049480000}"/>
    <cellStyle name="Input 3 4 2 7" xfId="18506" xr:uid="{00000000-0005-0000-0000-00004A480000}"/>
    <cellStyle name="Input 3 4 2 8" xfId="18507" xr:uid="{00000000-0005-0000-0000-00004B480000}"/>
    <cellStyle name="Input 3 4 2 9" xfId="18508" xr:uid="{00000000-0005-0000-0000-00004C480000}"/>
    <cellStyle name="Input 3 4 20" xfId="18509" xr:uid="{00000000-0005-0000-0000-00004D480000}"/>
    <cellStyle name="Input 3 4 21" xfId="18510" xr:uid="{00000000-0005-0000-0000-00004E480000}"/>
    <cellStyle name="Input 3 4 22" xfId="18511" xr:uid="{00000000-0005-0000-0000-00004F480000}"/>
    <cellStyle name="Input 3 4 23" xfId="18512" xr:uid="{00000000-0005-0000-0000-000050480000}"/>
    <cellStyle name="Input 3 4 24" xfId="18513" xr:uid="{00000000-0005-0000-0000-000051480000}"/>
    <cellStyle name="Input 3 4 25" xfId="18514" xr:uid="{00000000-0005-0000-0000-000052480000}"/>
    <cellStyle name="Input 3 4 26" xfId="18515" xr:uid="{00000000-0005-0000-0000-000053480000}"/>
    <cellStyle name="Input 3 4 27" xfId="18516" xr:uid="{00000000-0005-0000-0000-000054480000}"/>
    <cellStyle name="Input 3 4 28" xfId="18517" xr:uid="{00000000-0005-0000-0000-000055480000}"/>
    <cellStyle name="Input 3 4 29" xfId="18518" xr:uid="{00000000-0005-0000-0000-000056480000}"/>
    <cellStyle name="Input 3 4 3" xfId="18519" xr:uid="{00000000-0005-0000-0000-000057480000}"/>
    <cellStyle name="Input 3 4 30" xfId="18520" xr:uid="{00000000-0005-0000-0000-000058480000}"/>
    <cellStyle name="Input 3 4 31" xfId="18521" xr:uid="{00000000-0005-0000-0000-000059480000}"/>
    <cellStyle name="Input 3 4 32" xfId="18522" xr:uid="{00000000-0005-0000-0000-00005A480000}"/>
    <cellStyle name="Input 3 4 33" xfId="18523" xr:uid="{00000000-0005-0000-0000-00005B480000}"/>
    <cellStyle name="Input 3 4 34" xfId="18524" xr:uid="{00000000-0005-0000-0000-00005C480000}"/>
    <cellStyle name="Input 3 4 35" xfId="18525" xr:uid="{00000000-0005-0000-0000-00005D480000}"/>
    <cellStyle name="Input 3 4 36" xfId="18526" xr:uid="{00000000-0005-0000-0000-00005E480000}"/>
    <cellStyle name="Input 3 4 37" xfId="18527" xr:uid="{00000000-0005-0000-0000-00005F480000}"/>
    <cellStyle name="Input 3 4 38" xfId="18528" xr:uid="{00000000-0005-0000-0000-000060480000}"/>
    <cellStyle name="Input 3 4 39" xfId="18529" xr:uid="{00000000-0005-0000-0000-000061480000}"/>
    <cellStyle name="Input 3 4 4" xfId="18530" xr:uid="{00000000-0005-0000-0000-000062480000}"/>
    <cellStyle name="Input 3 4 40" xfId="18531" xr:uid="{00000000-0005-0000-0000-000063480000}"/>
    <cellStyle name="Input 3 4 41" xfId="18532" xr:uid="{00000000-0005-0000-0000-000064480000}"/>
    <cellStyle name="Input 3 4 42" xfId="18533" xr:uid="{00000000-0005-0000-0000-000065480000}"/>
    <cellStyle name="Input 3 4 43" xfId="18534" xr:uid="{00000000-0005-0000-0000-000066480000}"/>
    <cellStyle name="Input 3 4 44" xfId="18535" xr:uid="{00000000-0005-0000-0000-000067480000}"/>
    <cellStyle name="Input 3 4 45" xfId="18536" xr:uid="{00000000-0005-0000-0000-000068480000}"/>
    <cellStyle name="Input 3 4 46" xfId="18537" xr:uid="{00000000-0005-0000-0000-000069480000}"/>
    <cellStyle name="Input 3 4 47" xfId="18538" xr:uid="{00000000-0005-0000-0000-00006A480000}"/>
    <cellStyle name="Input 3 4 48" xfId="18539" xr:uid="{00000000-0005-0000-0000-00006B480000}"/>
    <cellStyle name="Input 3 4 49" xfId="18540" xr:uid="{00000000-0005-0000-0000-00006C480000}"/>
    <cellStyle name="Input 3 4 5" xfId="18541" xr:uid="{00000000-0005-0000-0000-00006D480000}"/>
    <cellStyle name="Input 3 4 50" xfId="18542" xr:uid="{00000000-0005-0000-0000-00006E480000}"/>
    <cellStyle name="Input 3 4 51" xfId="18543" xr:uid="{00000000-0005-0000-0000-00006F480000}"/>
    <cellStyle name="Input 3 4 52" xfId="18544" xr:uid="{00000000-0005-0000-0000-000070480000}"/>
    <cellStyle name="Input 3 4 53" xfId="18545" xr:uid="{00000000-0005-0000-0000-000071480000}"/>
    <cellStyle name="Input 3 4 54" xfId="18546" xr:uid="{00000000-0005-0000-0000-000072480000}"/>
    <cellStyle name="Input 3 4 55" xfId="18547" xr:uid="{00000000-0005-0000-0000-000073480000}"/>
    <cellStyle name="Input 3 4 56" xfId="18548" xr:uid="{00000000-0005-0000-0000-000074480000}"/>
    <cellStyle name="Input 3 4 57" xfId="18549" xr:uid="{00000000-0005-0000-0000-000075480000}"/>
    <cellStyle name="Input 3 4 58" xfId="18550" xr:uid="{00000000-0005-0000-0000-000076480000}"/>
    <cellStyle name="Input 3 4 59" xfId="18551" xr:uid="{00000000-0005-0000-0000-000077480000}"/>
    <cellStyle name="Input 3 4 6" xfId="18552" xr:uid="{00000000-0005-0000-0000-000078480000}"/>
    <cellStyle name="Input 3 4 60" xfId="18553" xr:uid="{00000000-0005-0000-0000-000079480000}"/>
    <cellStyle name="Input 3 4 61" xfId="18554" xr:uid="{00000000-0005-0000-0000-00007A480000}"/>
    <cellStyle name="Input 3 4 62" xfId="18555" xr:uid="{00000000-0005-0000-0000-00007B480000}"/>
    <cellStyle name="Input 3 4 63" xfId="18556" xr:uid="{00000000-0005-0000-0000-00007C480000}"/>
    <cellStyle name="Input 3 4 64" xfId="18557" xr:uid="{00000000-0005-0000-0000-00007D480000}"/>
    <cellStyle name="Input 3 4 65" xfId="18558" xr:uid="{00000000-0005-0000-0000-00007E480000}"/>
    <cellStyle name="Input 3 4 66" xfId="18559" xr:uid="{00000000-0005-0000-0000-00007F480000}"/>
    <cellStyle name="Input 3 4 7" xfId="18560" xr:uid="{00000000-0005-0000-0000-000080480000}"/>
    <cellStyle name="Input 3 4 8" xfId="18561" xr:uid="{00000000-0005-0000-0000-000081480000}"/>
    <cellStyle name="Input 3 4 9" xfId="18562" xr:uid="{00000000-0005-0000-0000-000082480000}"/>
    <cellStyle name="Input 3 40" xfId="18563" xr:uid="{00000000-0005-0000-0000-000083480000}"/>
    <cellStyle name="Input 3 41" xfId="18564" xr:uid="{00000000-0005-0000-0000-000084480000}"/>
    <cellStyle name="Input 3 42" xfId="18565" xr:uid="{00000000-0005-0000-0000-000085480000}"/>
    <cellStyle name="Input 3 43" xfId="18566" xr:uid="{00000000-0005-0000-0000-000086480000}"/>
    <cellStyle name="Input 3 44" xfId="18567" xr:uid="{00000000-0005-0000-0000-000087480000}"/>
    <cellStyle name="Input 3 45" xfId="18568" xr:uid="{00000000-0005-0000-0000-000088480000}"/>
    <cellStyle name="Input 3 46" xfId="18569" xr:uid="{00000000-0005-0000-0000-000089480000}"/>
    <cellStyle name="Input 3 47" xfId="18570" xr:uid="{00000000-0005-0000-0000-00008A480000}"/>
    <cellStyle name="Input 3 48" xfId="18571" xr:uid="{00000000-0005-0000-0000-00008B480000}"/>
    <cellStyle name="Input 3 49" xfId="18572" xr:uid="{00000000-0005-0000-0000-00008C480000}"/>
    <cellStyle name="Input 3 5" xfId="18573" xr:uid="{00000000-0005-0000-0000-00008D480000}"/>
    <cellStyle name="Input 3 5 10" xfId="18574" xr:uid="{00000000-0005-0000-0000-00008E480000}"/>
    <cellStyle name="Input 3 5 11" xfId="18575" xr:uid="{00000000-0005-0000-0000-00008F480000}"/>
    <cellStyle name="Input 3 5 12" xfId="18576" xr:uid="{00000000-0005-0000-0000-000090480000}"/>
    <cellStyle name="Input 3 5 13" xfId="18577" xr:uid="{00000000-0005-0000-0000-000091480000}"/>
    <cellStyle name="Input 3 5 14" xfId="18578" xr:uid="{00000000-0005-0000-0000-000092480000}"/>
    <cellStyle name="Input 3 5 15" xfId="18579" xr:uid="{00000000-0005-0000-0000-000093480000}"/>
    <cellStyle name="Input 3 5 16" xfId="18580" xr:uid="{00000000-0005-0000-0000-000094480000}"/>
    <cellStyle name="Input 3 5 17" xfId="18581" xr:uid="{00000000-0005-0000-0000-000095480000}"/>
    <cellStyle name="Input 3 5 18" xfId="18582" xr:uid="{00000000-0005-0000-0000-000096480000}"/>
    <cellStyle name="Input 3 5 19" xfId="18583" xr:uid="{00000000-0005-0000-0000-000097480000}"/>
    <cellStyle name="Input 3 5 2" xfId="18584" xr:uid="{00000000-0005-0000-0000-000098480000}"/>
    <cellStyle name="Input 3 5 20" xfId="18585" xr:uid="{00000000-0005-0000-0000-000099480000}"/>
    <cellStyle name="Input 3 5 21" xfId="18586" xr:uid="{00000000-0005-0000-0000-00009A480000}"/>
    <cellStyle name="Input 3 5 22" xfId="18587" xr:uid="{00000000-0005-0000-0000-00009B480000}"/>
    <cellStyle name="Input 3 5 23" xfId="18588" xr:uid="{00000000-0005-0000-0000-00009C480000}"/>
    <cellStyle name="Input 3 5 24" xfId="18589" xr:uid="{00000000-0005-0000-0000-00009D480000}"/>
    <cellStyle name="Input 3 5 25" xfId="18590" xr:uid="{00000000-0005-0000-0000-00009E480000}"/>
    <cellStyle name="Input 3 5 26" xfId="18591" xr:uid="{00000000-0005-0000-0000-00009F480000}"/>
    <cellStyle name="Input 3 5 27" xfId="18592" xr:uid="{00000000-0005-0000-0000-0000A0480000}"/>
    <cellStyle name="Input 3 5 28" xfId="18593" xr:uid="{00000000-0005-0000-0000-0000A1480000}"/>
    <cellStyle name="Input 3 5 29" xfId="18594" xr:uid="{00000000-0005-0000-0000-0000A2480000}"/>
    <cellStyle name="Input 3 5 3" xfId="18595" xr:uid="{00000000-0005-0000-0000-0000A3480000}"/>
    <cellStyle name="Input 3 5 30" xfId="18596" xr:uid="{00000000-0005-0000-0000-0000A4480000}"/>
    <cellStyle name="Input 3 5 31" xfId="18597" xr:uid="{00000000-0005-0000-0000-0000A5480000}"/>
    <cellStyle name="Input 3 5 32" xfId="18598" xr:uid="{00000000-0005-0000-0000-0000A6480000}"/>
    <cellStyle name="Input 3 5 33" xfId="18599" xr:uid="{00000000-0005-0000-0000-0000A7480000}"/>
    <cellStyle name="Input 3 5 34" xfId="18600" xr:uid="{00000000-0005-0000-0000-0000A8480000}"/>
    <cellStyle name="Input 3 5 35" xfId="18601" xr:uid="{00000000-0005-0000-0000-0000A9480000}"/>
    <cellStyle name="Input 3 5 36" xfId="18602" xr:uid="{00000000-0005-0000-0000-0000AA480000}"/>
    <cellStyle name="Input 3 5 37" xfId="18603" xr:uid="{00000000-0005-0000-0000-0000AB480000}"/>
    <cellStyle name="Input 3 5 38" xfId="18604" xr:uid="{00000000-0005-0000-0000-0000AC480000}"/>
    <cellStyle name="Input 3 5 39" xfId="18605" xr:uid="{00000000-0005-0000-0000-0000AD480000}"/>
    <cellStyle name="Input 3 5 4" xfId="18606" xr:uid="{00000000-0005-0000-0000-0000AE480000}"/>
    <cellStyle name="Input 3 5 40" xfId="18607" xr:uid="{00000000-0005-0000-0000-0000AF480000}"/>
    <cellStyle name="Input 3 5 41" xfId="18608" xr:uid="{00000000-0005-0000-0000-0000B0480000}"/>
    <cellStyle name="Input 3 5 42" xfId="18609" xr:uid="{00000000-0005-0000-0000-0000B1480000}"/>
    <cellStyle name="Input 3 5 43" xfId="18610" xr:uid="{00000000-0005-0000-0000-0000B2480000}"/>
    <cellStyle name="Input 3 5 44" xfId="18611" xr:uid="{00000000-0005-0000-0000-0000B3480000}"/>
    <cellStyle name="Input 3 5 45" xfId="18612" xr:uid="{00000000-0005-0000-0000-0000B4480000}"/>
    <cellStyle name="Input 3 5 46" xfId="18613" xr:uid="{00000000-0005-0000-0000-0000B5480000}"/>
    <cellStyle name="Input 3 5 47" xfId="18614" xr:uid="{00000000-0005-0000-0000-0000B6480000}"/>
    <cellStyle name="Input 3 5 48" xfId="18615" xr:uid="{00000000-0005-0000-0000-0000B7480000}"/>
    <cellStyle name="Input 3 5 49" xfId="18616" xr:uid="{00000000-0005-0000-0000-0000B8480000}"/>
    <cellStyle name="Input 3 5 5" xfId="18617" xr:uid="{00000000-0005-0000-0000-0000B9480000}"/>
    <cellStyle name="Input 3 5 50" xfId="18618" xr:uid="{00000000-0005-0000-0000-0000BA480000}"/>
    <cellStyle name="Input 3 5 51" xfId="18619" xr:uid="{00000000-0005-0000-0000-0000BB480000}"/>
    <cellStyle name="Input 3 5 52" xfId="18620" xr:uid="{00000000-0005-0000-0000-0000BC480000}"/>
    <cellStyle name="Input 3 5 53" xfId="18621" xr:uid="{00000000-0005-0000-0000-0000BD480000}"/>
    <cellStyle name="Input 3 5 54" xfId="18622" xr:uid="{00000000-0005-0000-0000-0000BE480000}"/>
    <cellStyle name="Input 3 5 55" xfId="18623" xr:uid="{00000000-0005-0000-0000-0000BF480000}"/>
    <cellStyle name="Input 3 5 56" xfId="18624" xr:uid="{00000000-0005-0000-0000-0000C0480000}"/>
    <cellStyle name="Input 3 5 57" xfId="18625" xr:uid="{00000000-0005-0000-0000-0000C1480000}"/>
    <cellStyle name="Input 3 5 58" xfId="18626" xr:uid="{00000000-0005-0000-0000-0000C2480000}"/>
    <cellStyle name="Input 3 5 59" xfId="18627" xr:uid="{00000000-0005-0000-0000-0000C3480000}"/>
    <cellStyle name="Input 3 5 6" xfId="18628" xr:uid="{00000000-0005-0000-0000-0000C4480000}"/>
    <cellStyle name="Input 3 5 60" xfId="18629" xr:uid="{00000000-0005-0000-0000-0000C5480000}"/>
    <cellStyle name="Input 3 5 61" xfId="18630" xr:uid="{00000000-0005-0000-0000-0000C6480000}"/>
    <cellStyle name="Input 3 5 62" xfId="18631" xr:uid="{00000000-0005-0000-0000-0000C7480000}"/>
    <cellStyle name="Input 3 5 63" xfId="18632" xr:uid="{00000000-0005-0000-0000-0000C8480000}"/>
    <cellStyle name="Input 3 5 64" xfId="18633" xr:uid="{00000000-0005-0000-0000-0000C9480000}"/>
    <cellStyle name="Input 3 5 65" xfId="18634" xr:uid="{00000000-0005-0000-0000-0000CA480000}"/>
    <cellStyle name="Input 3 5 7" xfId="18635" xr:uid="{00000000-0005-0000-0000-0000CB480000}"/>
    <cellStyle name="Input 3 5 8" xfId="18636" xr:uid="{00000000-0005-0000-0000-0000CC480000}"/>
    <cellStyle name="Input 3 5 9" xfId="18637" xr:uid="{00000000-0005-0000-0000-0000CD480000}"/>
    <cellStyle name="Input 3 50" xfId="18638" xr:uid="{00000000-0005-0000-0000-0000CE480000}"/>
    <cellStyle name="Input 3 51" xfId="18639" xr:uid="{00000000-0005-0000-0000-0000CF480000}"/>
    <cellStyle name="Input 3 6" xfId="18640" xr:uid="{00000000-0005-0000-0000-0000D0480000}"/>
    <cellStyle name="Input 3 7" xfId="18641" xr:uid="{00000000-0005-0000-0000-0000D1480000}"/>
    <cellStyle name="Input 3 8" xfId="18642" xr:uid="{00000000-0005-0000-0000-0000D2480000}"/>
    <cellStyle name="Input 3 9" xfId="18643" xr:uid="{00000000-0005-0000-0000-0000D3480000}"/>
    <cellStyle name="Input 4" xfId="18644" xr:uid="{00000000-0005-0000-0000-0000D4480000}"/>
    <cellStyle name="InputCells" xfId="18645" xr:uid="{00000000-0005-0000-0000-0000D5480000}"/>
    <cellStyle name="InputCells 2" xfId="18646" xr:uid="{00000000-0005-0000-0000-0000D6480000}"/>
    <cellStyle name="InputCells 3" xfId="18647" xr:uid="{00000000-0005-0000-0000-0000D7480000}"/>
    <cellStyle name="InputCells 4" xfId="18648" xr:uid="{00000000-0005-0000-0000-0000D8480000}"/>
    <cellStyle name="InputCells_Bborder_1" xfId="19970" xr:uid="{00000000-0005-0000-0000-0000024E0000}"/>
    <cellStyle name="InputCells12" xfId="18649" xr:uid="{00000000-0005-0000-0000-0000D9480000}"/>
    <cellStyle name="InputCells12 2" xfId="18650" xr:uid="{00000000-0005-0000-0000-0000DA480000}"/>
    <cellStyle name="InputCells12 2 2" xfId="18651" xr:uid="{00000000-0005-0000-0000-0000DB480000}"/>
    <cellStyle name="InputCells12 2 2 2" xfId="18652" xr:uid="{00000000-0005-0000-0000-0000DC480000}"/>
    <cellStyle name="InputCells12 2 2 2 10" xfId="18653" xr:uid="{00000000-0005-0000-0000-0000DD480000}"/>
    <cellStyle name="InputCells12 2 2 2 11" xfId="18654" xr:uid="{00000000-0005-0000-0000-0000DE480000}"/>
    <cellStyle name="InputCells12 2 2 2 12" xfId="18655" xr:uid="{00000000-0005-0000-0000-0000DF480000}"/>
    <cellStyle name="InputCells12 2 2 2 13" xfId="18656" xr:uid="{00000000-0005-0000-0000-0000E0480000}"/>
    <cellStyle name="InputCells12 2 2 2 14" xfId="18657" xr:uid="{00000000-0005-0000-0000-0000E1480000}"/>
    <cellStyle name="InputCells12 2 2 2 15" xfId="18658" xr:uid="{00000000-0005-0000-0000-0000E2480000}"/>
    <cellStyle name="InputCells12 2 2 2 16" xfId="18659" xr:uid="{00000000-0005-0000-0000-0000E3480000}"/>
    <cellStyle name="InputCells12 2 2 2 17" xfId="18660" xr:uid="{00000000-0005-0000-0000-0000E4480000}"/>
    <cellStyle name="InputCells12 2 2 2 18" xfId="18661" xr:uid="{00000000-0005-0000-0000-0000E5480000}"/>
    <cellStyle name="InputCells12 2 2 2 19" xfId="18662" xr:uid="{00000000-0005-0000-0000-0000E6480000}"/>
    <cellStyle name="InputCells12 2 2 2 2" xfId="18663" xr:uid="{00000000-0005-0000-0000-0000E7480000}"/>
    <cellStyle name="InputCells12 2 2 2 2 10" xfId="18664" xr:uid="{00000000-0005-0000-0000-0000E8480000}"/>
    <cellStyle name="InputCells12 2 2 2 2 11" xfId="18665" xr:uid="{00000000-0005-0000-0000-0000E9480000}"/>
    <cellStyle name="InputCells12 2 2 2 2 12" xfId="18666" xr:uid="{00000000-0005-0000-0000-0000EA480000}"/>
    <cellStyle name="InputCells12 2 2 2 2 13" xfId="18667" xr:uid="{00000000-0005-0000-0000-0000EB480000}"/>
    <cellStyle name="InputCells12 2 2 2 2 14" xfId="18668" xr:uid="{00000000-0005-0000-0000-0000EC480000}"/>
    <cellStyle name="InputCells12 2 2 2 2 15" xfId="18669" xr:uid="{00000000-0005-0000-0000-0000ED480000}"/>
    <cellStyle name="InputCells12 2 2 2 2 16" xfId="18670" xr:uid="{00000000-0005-0000-0000-0000EE480000}"/>
    <cellStyle name="InputCells12 2 2 2 2 17" xfId="18671" xr:uid="{00000000-0005-0000-0000-0000EF480000}"/>
    <cellStyle name="InputCells12 2 2 2 2 18" xfId="18672" xr:uid="{00000000-0005-0000-0000-0000F0480000}"/>
    <cellStyle name="InputCells12 2 2 2 2 19" xfId="18673" xr:uid="{00000000-0005-0000-0000-0000F1480000}"/>
    <cellStyle name="InputCells12 2 2 2 2 2" xfId="18674" xr:uid="{00000000-0005-0000-0000-0000F2480000}"/>
    <cellStyle name="InputCells12 2 2 2 2 20" xfId="18675" xr:uid="{00000000-0005-0000-0000-0000F3480000}"/>
    <cellStyle name="InputCells12 2 2 2 2 21" xfId="18676" xr:uid="{00000000-0005-0000-0000-0000F4480000}"/>
    <cellStyle name="InputCells12 2 2 2 2 22" xfId="18677" xr:uid="{00000000-0005-0000-0000-0000F5480000}"/>
    <cellStyle name="InputCells12 2 2 2 2 23" xfId="18678" xr:uid="{00000000-0005-0000-0000-0000F6480000}"/>
    <cellStyle name="InputCells12 2 2 2 2 24" xfId="18679" xr:uid="{00000000-0005-0000-0000-0000F7480000}"/>
    <cellStyle name="InputCells12 2 2 2 2 25" xfId="18680" xr:uid="{00000000-0005-0000-0000-0000F8480000}"/>
    <cellStyle name="InputCells12 2 2 2 2 26" xfId="18681" xr:uid="{00000000-0005-0000-0000-0000F9480000}"/>
    <cellStyle name="InputCells12 2 2 2 2 27" xfId="18682" xr:uid="{00000000-0005-0000-0000-0000FA480000}"/>
    <cellStyle name="InputCells12 2 2 2 2 28" xfId="18683" xr:uid="{00000000-0005-0000-0000-0000FB480000}"/>
    <cellStyle name="InputCells12 2 2 2 2 29" xfId="18684" xr:uid="{00000000-0005-0000-0000-0000FC480000}"/>
    <cellStyle name="InputCells12 2 2 2 2 3" xfId="18685" xr:uid="{00000000-0005-0000-0000-0000FD480000}"/>
    <cellStyle name="InputCells12 2 2 2 2 30" xfId="18686" xr:uid="{00000000-0005-0000-0000-0000FE480000}"/>
    <cellStyle name="InputCells12 2 2 2 2 31" xfId="18687" xr:uid="{00000000-0005-0000-0000-0000FF480000}"/>
    <cellStyle name="InputCells12 2 2 2 2 32" xfId="18688" xr:uid="{00000000-0005-0000-0000-000000490000}"/>
    <cellStyle name="InputCells12 2 2 2 2 33" xfId="18689" xr:uid="{00000000-0005-0000-0000-000001490000}"/>
    <cellStyle name="InputCells12 2 2 2 2 34" xfId="18690" xr:uid="{00000000-0005-0000-0000-000002490000}"/>
    <cellStyle name="InputCells12 2 2 2 2 35" xfId="18691" xr:uid="{00000000-0005-0000-0000-000003490000}"/>
    <cellStyle name="InputCells12 2 2 2 2 36" xfId="18692" xr:uid="{00000000-0005-0000-0000-000004490000}"/>
    <cellStyle name="InputCells12 2 2 2 2 37" xfId="18693" xr:uid="{00000000-0005-0000-0000-000005490000}"/>
    <cellStyle name="InputCells12 2 2 2 2 38" xfId="18694" xr:uid="{00000000-0005-0000-0000-000006490000}"/>
    <cellStyle name="InputCells12 2 2 2 2 39" xfId="18695" xr:uid="{00000000-0005-0000-0000-000007490000}"/>
    <cellStyle name="InputCells12 2 2 2 2 4" xfId="18696" xr:uid="{00000000-0005-0000-0000-000008490000}"/>
    <cellStyle name="InputCells12 2 2 2 2 40" xfId="18697" xr:uid="{00000000-0005-0000-0000-000009490000}"/>
    <cellStyle name="InputCells12 2 2 2 2 41" xfId="18698" xr:uid="{00000000-0005-0000-0000-00000A490000}"/>
    <cellStyle name="InputCells12 2 2 2 2 42" xfId="18699" xr:uid="{00000000-0005-0000-0000-00000B490000}"/>
    <cellStyle name="InputCells12 2 2 2 2 43" xfId="18700" xr:uid="{00000000-0005-0000-0000-00000C490000}"/>
    <cellStyle name="InputCells12 2 2 2 2 44" xfId="18701" xr:uid="{00000000-0005-0000-0000-00000D490000}"/>
    <cellStyle name="InputCells12 2 2 2 2 45" xfId="18702" xr:uid="{00000000-0005-0000-0000-00000E490000}"/>
    <cellStyle name="InputCells12 2 2 2 2 46" xfId="18703" xr:uid="{00000000-0005-0000-0000-00000F490000}"/>
    <cellStyle name="InputCells12 2 2 2 2 47" xfId="18704" xr:uid="{00000000-0005-0000-0000-000010490000}"/>
    <cellStyle name="InputCells12 2 2 2 2 48" xfId="18705" xr:uid="{00000000-0005-0000-0000-000011490000}"/>
    <cellStyle name="InputCells12 2 2 2 2 49" xfId="18706" xr:uid="{00000000-0005-0000-0000-000012490000}"/>
    <cellStyle name="InputCells12 2 2 2 2 5" xfId="18707" xr:uid="{00000000-0005-0000-0000-000013490000}"/>
    <cellStyle name="InputCells12 2 2 2 2 50" xfId="18708" xr:uid="{00000000-0005-0000-0000-000014490000}"/>
    <cellStyle name="InputCells12 2 2 2 2 51" xfId="18709" xr:uid="{00000000-0005-0000-0000-000015490000}"/>
    <cellStyle name="InputCells12 2 2 2 2 52" xfId="18710" xr:uid="{00000000-0005-0000-0000-000016490000}"/>
    <cellStyle name="InputCells12 2 2 2 2 53" xfId="18711" xr:uid="{00000000-0005-0000-0000-000017490000}"/>
    <cellStyle name="InputCells12 2 2 2 2 54" xfId="18712" xr:uid="{00000000-0005-0000-0000-000018490000}"/>
    <cellStyle name="InputCells12 2 2 2 2 55" xfId="18713" xr:uid="{00000000-0005-0000-0000-000019490000}"/>
    <cellStyle name="InputCells12 2 2 2 2 56" xfId="18714" xr:uid="{00000000-0005-0000-0000-00001A490000}"/>
    <cellStyle name="InputCells12 2 2 2 2 57" xfId="18715" xr:uid="{00000000-0005-0000-0000-00001B490000}"/>
    <cellStyle name="InputCells12 2 2 2 2 58" xfId="18716" xr:uid="{00000000-0005-0000-0000-00001C490000}"/>
    <cellStyle name="InputCells12 2 2 2 2 59" xfId="18717" xr:uid="{00000000-0005-0000-0000-00001D490000}"/>
    <cellStyle name="InputCells12 2 2 2 2 6" xfId="18718" xr:uid="{00000000-0005-0000-0000-00001E490000}"/>
    <cellStyle name="InputCells12 2 2 2 2 60" xfId="18719" xr:uid="{00000000-0005-0000-0000-00001F490000}"/>
    <cellStyle name="InputCells12 2 2 2 2 61" xfId="18720" xr:uid="{00000000-0005-0000-0000-000020490000}"/>
    <cellStyle name="InputCells12 2 2 2 2 62" xfId="18721" xr:uid="{00000000-0005-0000-0000-000021490000}"/>
    <cellStyle name="InputCells12 2 2 2 2 63" xfId="18722" xr:uid="{00000000-0005-0000-0000-000022490000}"/>
    <cellStyle name="InputCells12 2 2 2 2 64" xfId="18723" xr:uid="{00000000-0005-0000-0000-000023490000}"/>
    <cellStyle name="InputCells12 2 2 2 2 65" xfId="18724" xr:uid="{00000000-0005-0000-0000-000024490000}"/>
    <cellStyle name="InputCells12 2 2 2 2 7" xfId="18725" xr:uid="{00000000-0005-0000-0000-000025490000}"/>
    <cellStyle name="InputCells12 2 2 2 2 8" xfId="18726" xr:uid="{00000000-0005-0000-0000-000026490000}"/>
    <cellStyle name="InputCells12 2 2 2 2 9" xfId="18727" xr:uid="{00000000-0005-0000-0000-000027490000}"/>
    <cellStyle name="InputCells12 2 2 2 20" xfId="18728" xr:uid="{00000000-0005-0000-0000-000028490000}"/>
    <cellStyle name="InputCells12 2 2 2 21" xfId="18729" xr:uid="{00000000-0005-0000-0000-000029490000}"/>
    <cellStyle name="InputCells12 2 2 2 22" xfId="18730" xr:uid="{00000000-0005-0000-0000-00002A490000}"/>
    <cellStyle name="InputCells12 2 2 2 23" xfId="18731" xr:uid="{00000000-0005-0000-0000-00002B490000}"/>
    <cellStyle name="InputCells12 2 2 2 24" xfId="18732" xr:uid="{00000000-0005-0000-0000-00002C490000}"/>
    <cellStyle name="InputCells12 2 2 2 25" xfId="18733" xr:uid="{00000000-0005-0000-0000-00002D490000}"/>
    <cellStyle name="InputCells12 2 2 2 26" xfId="18734" xr:uid="{00000000-0005-0000-0000-00002E490000}"/>
    <cellStyle name="InputCells12 2 2 2 27" xfId="18735" xr:uid="{00000000-0005-0000-0000-00002F490000}"/>
    <cellStyle name="InputCells12 2 2 2 28" xfId="18736" xr:uid="{00000000-0005-0000-0000-000030490000}"/>
    <cellStyle name="InputCells12 2 2 2 29" xfId="18737" xr:uid="{00000000-0005-0000-0000-000031490000}"/>
    <cellStyle name="InputCells12 2 2 2 3" xfId="18738" xr:uid="{00000000-0005-0000-0000-000032490000}"/>
    <cellStyle name="InputCells12 2 2 2 30" xfId="18739" xr:uid="{00000000-0005-0000-0000-000033490000}"/>
    <cellStyle name="InputCells12 2 2 2 31" xfId="18740" xr:uid="{00000000-0005-0000-0000-000034490000}"/>
    <cellStyle name="InputCells12 2 2 2 32" xfId="18741" xr:uid="{00000000-0005-0000-0000-000035490000}"/>
    <cellStyle name="InputCells12 2 2 2 33" xfId="18742" xr:uid="{00000000-0005-0000-0000-000036490000}"/>
    <cellStyle name="InputCells12 2 2 2 34" xfId="18743" xr:uid="{00000000-0005-0000-0000-000037490000}"/>
    <cellStyle name="InputCells12 2 2 2 35" xfId="18744" xr:uid="{00000000-0005-0000-0000-000038490000}"/>
    <cellStyle name="InputCells12 2 2 2 36" xfId="18745" xr:uid="{00000000-0005-0000-0000-000039490000}"/>
    <cellStyle name="InputCells12 2 2 2 37" xfId="18746" xr:uid="{00000000-0005-0000-0000-00003A490000}"/>
    <cellStyle name="InputCells12 2 2 2 38" xfId="18747" xr:uid="{00000000-0005-0000-0000-00003B490000}"/>
    <cellStyle name="InputCells12 2 2 2 39" xfId="18748" xr:uid="{00000000-0005-0000-0000-00003C490000}"/>
    <cellStyle name="InputCells12 2 2 2 4" xfId="18749" xr:uid="{00000000-0005-0000-0000-00003D490000}"/>
    <cellStyle name="InputCells12 2 2 2 40" xfId="18750" xr:uid="{00000000-0005-0000-0000-00003E490000}"/>
    <cellStyle name="InputCells12 2 2 2 41" xfId="18751" xr:uid="{00000000-0005-0000-0000-00003F490000}"/>
    <cellStyle name="InputCells12 2 2 2 42" xfId="18752" xr:uid="{00000000-0005-0000-0000-000040490000}"/>
    <cellStyle name="InputCells12 2 2 2 43" xfId="18753" xr:uid="{00000000-0005-0000-0000-000041490000}"/>
    <cellStyle name="InputCells12 2 2 2 44" xfId="18754" xr:uid="{00000000-0005-0000-0000-000042490000}"/>
    <cellStyle name="InputCells12 2 2 2 45" xfId="18755" xr:uid="{00000000-0005-0000-0000-000043490000}"/>
    <cellStyle name="InputCells12 2 2 2 46" xfId="18756" xr:uid="{00000000-0005-0000-0000-000044490000}"/>
    <cellStyle name="InputCells12 2 2 2 47" xfId="18757" xr:uid="{00000000-0005-0000-0000-000045490000}"/>
    <cellStyle name="InputCells12 2 2 2 48" xfId="18758" xr:uid="{00000000-0005-0000-0000-000046490000}"/>
    <cellStyle name="InputCells12 2 2 2 49" xfId="18759" xr:uid="{00000000-0005-0000-0000-000047490000}"/>
    <cellStyle name="InputCells12 2 2 2 5" xfId="18760" xr:uid="{00000000-0005-0000-0000-000048490000}"/>
    <cellStyle name="InputCells12 2 2 2 50" xfId="18761" xr:uid="{00000000-0005-0000-0000-000049490000}"/>
    <cellStyle name="InputCells12 2 2 2 51" xfId="18762" xr:uid="{00000000-0005-0000-0000-00004A490000}"/>
    <cellStyle name="InputCells12 2 2 2 52" xfId="18763" xr:uid="{00000000-0005-0000-0000-00004B490000}"/>
    <cellStyle name="InputCells12 2 2 2 53" xfId="18764" xr:uid="{00000000-0005-0000-0000-00004C490000}"/>
    <cellStyle name="InputCells12 2 2 2 54" xfId="18765" xr:uid="{00000000-0005-0000-0000-00004D490000}"/>
    <cellStyle name="InputCells12 2 2 2 55" xfId="18766" xr:uid="{00000000-0005-0000-0000-00004E490000}"/>
    <cellStyle name="InputCells12 2 2 2 56" xfId="18767" xr:uid="{00000000-0005-0000-0000-00004F490000}"/>
    <cellStyle name="InputCells12 2 2 2 57" xfId="18768" xr:uid="{00000000-0005-0000-0000-000050490000}"/>
    <cellStyle name="InputCells12 2 2 2 58" xfId="18769" xr:uid="{00000000-0005-0000-0000-000051490000}"/>
    <cellStyle name="InputCells12 2 2 2 59" xfId="18770" xr:uid="{00000000-0005-0000-0000-000052490000}"/>
    <cellStyle name="InputCells12 2 2 2 6" xfId="18771" xr:uid="{00000000-0005-0000-0000-000053490000}"/>
    <cellStyle name="InputCells12 2 2 2 60" xfId="18772" xr:uid="{00000000-0005-0000-0000-000054490000}"/>
    <cellStyle name="InputCells12 2 2 2 61" xfId="18773" xr:uid="{00000000-0005-0000-0000-000055490000}"/>
    <cellStyle name="InputCells12 2 2 2 62" xfId="18774" xr:uid="{00000000-0005-0000-0000-000056490000}"/>
    <cellStyle name="InputCells12 2 2 2 63" xfId="18775" xr:uid="{00000000-0005-0000-0000-000057490000}"/>
    <cellStyle name="InputCells12 2 2 2 64" xfId="18776" xr:uid="{00000000-0005-0000-0000-000058490000}"/>
    <cellStyle name="InputCells12 2 2 2 65" xfId="18777" xr:uid="{00000000-0005-0000-0000-000059490000}"/>
    <cellStyle name="InputCells12 2 2 2 66" xfId="18778" xr:uid="{00000000-0005-0000-0000-00005A490000}"/>
    <cellStyle name="InputCells12 2 2 2 7" xfId="18779" xr:uid="{00000000-0005-0000-0000-00005B490000}"/>
    <cellStyle name="InputCells12 2 2 2 8" xfId="18780" xr:uid="{00000000-0005-0000-0000-00005C490000}"/>
    <cellStyle name="InputCells12 2 2 2 9" xfId="18781" xr:uid="{00000000-0005-0000-0000-00005D490000}"/>
    <cellStyle name="InputCells12 2 2 3" xfId="18782" xr:uid="{00000000-0005-0000-0000-00005E490000}"/>
    <cellStyle name="InputCells12 2 2 3 10" xfId="18783" xr:uid="{00000000-0005-0000-0000-00005F490000}"/>
    <cellStyle name="InputCells12 2 2 3 11" xfId="18784" xr:uid="{00000000-0005-0000-0000-000060490000}"/>
    <cellStyle name="InputCells12 2 2 3 12" xfId="18785" xr:uid="{00000000-0005-0000-0000-000061490000}"/>
    <cellStyle name="InputCells12 2 2 3 13" xfId="18786" xr:uid="{00000000-0005-0000-0000-000062490000}"/>
    <cellStyle name="InputCells12 2 2 3 14" xfId="18787" xr:uid="{00000000-0005-0000-0000-000063490000}"/>
    <cellStyle name="InputCells12 2 2 3 15" xfId="18788" xr:uid="{00000000-0005-0000-0000-000064490000}"/>
    <cellStyle name="InputCells12 2 2 3 16" xfId="18789" xr:uid="{00000000-0005-0000-0000-000065490000}"/>
    <cellStyle name="InputCells12 2 2 3 17" xfId="18790" xr:uid="{00000000-0005-0000-0000-000066490000}"/>
    <cellStyle name="InputCells12 2 2 3 18" xfId="18791" xr:uid="{00000000-0005-0000-0000-000067490000}"/>
    <cellStyle name="InputCells12 2 2 3 19" xfId="18792" xr:uid="{00000000-0005-0000-0000-000068490000}"/>
    <cellStyle name="InputCells12 2 2 3 2" xfId="18793" xr:uid="{00000000-0005-0000-0000-000069490000}"/>
    <cellStyle name="InputCells12 2 2 3 20" xfId="18794" xr:uid="{00000000-0005-0000-0000-00006A490000}"/>
    <cellStyle name="InputCells12 2 2 3 21" xfId="18795" xr:uid="{00000000-0005-0000-0000-00006B490000}"/>
    <cellStyle name="InputCells12 2 2 3 22" xfId="18796" xr:uid="{00000000-0005-0000-0000-00006C490000}"/>
    <cellStyle name="InputCells12 2 2 3 23" xfId="18797" xr:uid="{00000000-0005-0000-0000-00006D490000}"/>
    <cellStyle name="InputCells12 2 2 3 24" xfId="18798" xr:uid="{00000000-0005-0000-0000-00006E490000}"/>
    <cellStyle name="InputCells12 2 2 3 25" xfId="18799" xr:uid="{00000000-0005-0000-0000-00006F490000}"/>
    <cellStyle name="InputCells12 2 2 3 26" xfId="18800" xr:uid="{00000000-0005-0000-0000-000070490000}"/>
    <cellStyle name="InputCells12 2 2 3 27" xfId="18801" xr:uid="{00000000-0005-0000-0000-000071490000}"/>
    <cellStyle name="InputCells12 2 2 3 28" xfId="18802" xr:uid="{00000000-0005-0000-0000-000072490000}"/>
    <cellStyle name="InputCells12 2 2 3 29" xfId="18803" xr:uid="{00000000-0005-0000-0000-000073490000}"/>
    <cellStyle name="InputCells12 2 2 3 3" xfId="18804" xr:uid="{00000000-0005-0000-0000-000074490000}"/>
    <cellStyle name="InputCells12 2 2 3 30" xfId="18805" xr:uid="{00000000-0005-0000-0000-000075490000}"/>
    <cellStyle name="InputCells12 2 2 3 31" xfId="18806" xr:uid="{00000000-0005-0000-0000-000076490000}"/>
    <cellStyle name="InputCells12 2 2 3 32" xfId="18807" xr:uid="{00000000-0005-0000-0000-000077490000}"/>
    <cellStyle name="InputCells12 2 2 3 33" xfId="18808" xr:uid="{00000000-0005-0000-0000-000078490000}"/>
    <cellStyle name="InputCells12 2 2 3 34" xfId="18809" xr:uid="{00000000-0005-0000-0000-000079490000}"/>
    <cellStyle name="InputCells12 2 2 3 35" xfId="18810" xr:uid="{00000000-0005-0000-0000-00007A490000}"/>
    <cellStyle name="InputCells12 2 2 3 36" xfId="18811" xr:uid="{00000000-0005-0000-0000-00007B490000}"/>
    <cellStyle name="InputCells12 2 2 3 37" xfId="18812" xr:uid="{00000000-0005-0000-0000-00007C490000}"/>
    <cellStyle name="InputCells12 2 2 3 38" xfId="18813" xr:uid="{00000000-0005-0000-0000-00007D490000}"/>
    <cellStyle name="InputCells12 2 2 3 39" xfId="18814" xr:uid="{00000000-0005-0000-0000-00007E490000}"/>
    <cellStyle name="InputCells12 2 2 3 4" xfId="18815" xr:uid="{00000000-0005-0000-0000-00007F490000}"/>
    <cellStyle name="InputCells12 2 2 3 40" xfId="18816" xr:uid="{00000000-0005-0000-0000-000080490000}"/>
    <cellStyle name="InputCells12 2 2 3 41" xfId="18817" xr:uid="{00000000-0005-0000-0000-000081490000}"/>
    <cellStyle name="InputCells12 2 2 3 42" xfId="18818" xr:uid="{00000000-0005-0000-0000-000082490000}"/>
    <cellStyle name="InputCells12 2 2 3 43" xfId="18819" xr:uid="{00000000-0005-0000-0000-000083490000}"/>
    <cellStyle name="InputCells12 2 2 3 44" xfId="18820" xr:uid="{00000000-0005-0000-0000-000084490000}"/>
    <cellStyle name="InputCells12 2 2 3 45" xfId="18821" xr:uid="{00000000-0005-0000-0000-000085490000}"/>
    <cellStyle name="InputCells12 2 2 3 46" xfId="18822" xr:uid="{00000000-0005-0000-0000-000086490000}"/>
    <cellStyle name="InputCells12 2 2 3 47" xfId="18823" xr:uid="{00000000-0005-0000-0000-000087490000}"/>
    <cellStyle name="InputCells12 2 2 3 48" xfId="18824" xr:uid="{00000000-0005-0000-0000-000088490000}"/>
    <cellStyle name="InputCells12 2 2 3 49" xfId="18825" xr:uid="{00000000-0005-0000-0000-000089490000}"/>
    <cellStyle name="InputCells12 2 2 3 5" xfId="18826" xr:uid="{00000000-0005-0000-0000-00008A490000}"/>
    <cellStyle name="InputCells12 2 2 3 50" xfId="18827" xr:uid="{00000000-0005-0000-0000-00008B490000}"/>
    <cellStyle name="InputCells12 2 2 3 51" xfId="18828" xr:uid="{00000000-0005-0000-0000-00008C490000}"/>
    <cellStyle name="InputCells12 2 2 3 52" xfId="18829" xr:uid="{00000000-0005-0000-0000-00008D490000}"/>
    <cellStyle name="InputCells12 2 2 3 53" xfId="18830" xr:uid="{00000000-0005-0000-0000-00008E490000}"/>
    <cellStyle name="InputCells12 2 2 3 54" xfId="18831" xr:uid="{00000000-0005-0000-0000-00008F490000}"/>
    <cellStyle name="InputCells12 2 2 3 55" xfId="18832" xr:uid="{00000000-0005-0000-0000-000090490000}"/>
    <cellStyle name="InputCells12 2 2 3 56" xfId="18833" xr:uid="{00000000-0005-0000-0000-000091490000}"/>
    <cellStyle name="InputCells12 2 2 3 57" xfId="18834" xr:uid="{00000000-0005-0000-0000-000092490000}"/>
    <cellStyle name="InputCells12 2 2 3 58" xfId="18835" xr:uid="{00000000-0005-0000-0000-000093490000}"/>
    <cellStyle name="InputCells12 2 2 3 59" xfId="18836" xr:uid="{00000000-0005-0000-0000-000094490000}"/>
    <cellStyle name="InputCells12 2 2 3 6" xfId="18837" xr:uid="{00000000-0005-0000-0000-000095490000}"/>
    <cellStyle name="InputCells12 2 2 3 60" xfId="18838" xr:uid="{00000000-0005-0000-0000-000096490000}"/>
    <cellStyle name="InputCells12 2 2 3 61" xfId="18839" xr:uid="{00000000-0005-0000-0000-000097490000}"/>
    <cellStyle name="InputCells12 2 2 3 62" xfId="18840" xr:uid="{00000000-0005-0000-0000-000098490000}"/>
    <cellStyle name="InputCells12 2 2 3 63" xfId="18841" xr:uid="{00000000-0005-0000-0000-000099490000}"/>
    <cellStyle name="InputCells12 2 2 3 64" xfId="18842" xr:uid="{00000000-0005-0000-0000-00009A490000}"/>
    <cellStyle name="InputCells12 2 2 3 65" xfId="18843" xr:uid="{00000000-0005-0000-0000-00009B490000}"/>
    <cellStyle name="InputCells12 2 2 3 7" xfId="18844" xr:uid="{00000000-0005-0000-0000-00009C490000}"/>
    <cellStyle name="InputCells12 2 2 3 8" xfId="18845" xr:uid="{00000000-0005-0000-0000-00009D490000}"/>
    <cellStyle name="InputCells12 2 2 3 9" xfId="18846" xr:uid="{00000000-0005-0000-0000-00009E490000}"/>
    <cellStyle name="InputCells12 2 3" xfId="18847" xr:uid="{00000000-0005-0000-0000-00009F490000}"/>
    <cellStyle name="InputCells12 2 3 10" xfId="18848" xr:uid="{00000000-0005-0000-0000-0000A0490000}"/>
    <cellStyle name="InputCells12 2 3 11" xfId="18849" xr:uid="{00000000-0005-0000-0000-0000A1490000}"/>
    <cellStyle name="InputCells12 2 3 12" xfId="18850" xr:uid="{00000000-0005-0000-0000-0000A2490000}"/>
    <cellStyle name="InputCells12 2 3 13" xfId="18851" xr:uid="{00000000-0005-0000-0000-0000A3490000}"/>
    <cellStyle name="InputCells12 2 3 14" xfId="18852" xr:uid="{00000000-0005-0000-0000-0000A4490000}"/>
    <cellStyle name="InputCells12 2 3 15" xfId="18853" xr:uid="{00000000-0005-0000-0000-0000A5490000}"/>
    <cellStyle name="InputCells12 2 3 16" xfId="18854" xr:uid="{00000000-0005-0000-0000-0000A6490000}"/>
    <cellStyle name="InputCells12 2 3 17" xfId="18855" xr:uid="{00000000-0005-0000-0000-0000A7490000}"/>
    <cellStyle name="InputCells12 2 3 18" xfId="18856" xr:uid="{00000000-0005-0000-0000-0000A8490000}"/>
    <cellStyle name="InputCells12 2 3 19" xfId="18857" xr:uid="{00000000-0005-0000-0000-0000A9490000}"/>
    <cellStyle name="InputCells12 2 3 2" xfId="18858" xr:uid="{00000000-0005-0000-0000-0000AA490000}"/>
    <cellStyle name="InputCells12 2 3 2 10" xfId="18859" xr:uid="{00000000-0005-0000-0000-0000AB490000}"/>
    <cellStyle name="InputCells12 2 3 2 11" xfId="18860" xr:uid="{00000000-0005-0000-0000-0000AC490000}"/>
    <cellStyle name="InputCells12 2 3 2 12" xfId="18861" xr:uid="{00000000-0005-0000-0000-0000AD490000}"/>
    <cellStyle name="InputCells12 2 3 2 13" xfId="18862" xr:uid="{00000000-0005-0000-0000-0000AE490000}"/>
    <cellStyle name="InputCells12 2 3 2 14" xfId="18863" xr:uid="{00000000-0005-0000-0000-0000AF490000}"/>
    <cellStyle name="InputCells12 2 3 2 15" xfId="18864" xr:uid="{00000000-0005-0000-0000-0000B0490000}"/>
    <cellStyle name="InputCells12 2 3 2 16" xfId="18865" xr:uid="{00000000-0005-0000-0000-0000B1490000}"/>
    <cellStyle name="InputCells12 2 3 2 17" xfId="18866" xr:uid="{00000000-0005-0000-0000-0000B2490000}"/>
    <cellStyle name="InputCells12 2 3 2 18" xfId="18867" xr:uid="{00000000-0005-0000-0000-0000B3490000}"/>
    <cellStyle name="InputCells12 2 3 2 19" xfId="18868" xr:uid="{00000000-0005-0000-0000-0000B4490000}"/>
    <cellStyle name="InputCells12 2 3 2 2" xfId="18869" xr:uid="{00000000-0005-0000-0000-0000B5490000}"/>
    <cellStyle name="InputCells12 2 3 2 2 10" xfId="18870" xr:uid="{00000000-0005-0000-0000-0000B6490000}"/>
    <cellStyle name="InputCells12 2 3 2 2 11" xfId="18871" xr:uid="{00000000-0005-0000-0000-0000B7490000}"/>
    <cellStyle name="InputCells12 2 3 2 2 12" xfId="18872" xr:uid="{00000000-0005-0000-0000-0000B8490000}"/>
    <cellStyle name="InputCells12 2 3 2 2 13" xfId="18873" xr:uid="{00000000-0005-0000-0000-0000B9490000}"/>
    <cellStyle name="InputCells12 2 3 2 2 14" xfId="18874" xr:uid="{00000000-0005-0000-0000-0000BA490000}"/>
    <cellStyle name="InputCells12 2 3 2 2 15" xfId="18875" xr:uid="{00000000-0005-0000-0000-0000BB490000}"/>
    <cellStyle name="InputCells12 2 3 2 2 16" xfId="18876" xr:uid="{00000000-0005-0000-0000-0000BC490000}"/>
    <cellStyle name="InputCells12 2 3 2 2 17" xfId="18877" xr:uid="{00000000-0005-0000-0000-0000BD490000}"/>
    <cellStyle name="InputCells12 2 3 2 2 18" xfId="18878" xr:uid="{00000000-0005-0000-0000-0000BE490000}"/>
    <cellStyle name="InputCells12 2 3 2 2 19" xfId="18879" xr:uid="{00000000-0005-0000-0000-0000BF490000}"/>
    <cellStyle name="InputCells12 2 3 2 2 2" xfId="18880" xr:uid="{00000000-0005-0000-0000-0000C0490000}"/>
    <cellStyle name="InputCells12 2 3 2 2 20" xfId="18881" xr:uid="{00000000-0005-0000-0000-0000C1490000}"/>
    <cellStyle name="InputCells12 2 3 2 2 21" xfId="18882" xr:uid="{00000000-0005-0000-0000-0000C2490000}"/>
    <cellStyle name="InputCells12 2 3 2 2 22" xfId="18883" xr:uid="{00000000-0005-0000-0000-0000C3490000}"/>
    <cellStyle name="InputCells12 2 3 2 2 23" xfId="18884" xr:uid="{00000000-0005-0000-0000-0000C4490000}"/>
    <cellStyle name="InputCells12 2 3 2 2 24" xfId="18885" xr:uid="{00000000-0005-0000-0000-0000C5490000}"/>
    <cellStyle name="InputCells12 2 3 2 2 25" xfId="18886" xr:uid="{00000000-0005-0000-0000-0000C6490000}"/>
    <cellStyle name="InputCells12 2 3 2 2 26" xfId="18887" xr:uid="{00000000-0005-0000-0000-0000C7490000}"/>
    <cellStyle name="InputCells12 2 3 2 2 27" xfId="18888" xr:uid="{00000000-0005-0000-0000-0000C8490000}"/>
    <cellStyle name="InputCells12 2 3 2 2 28" xfId="18889" xr:uid="{00000000-0005-0000-0000-0000C9490000}"/>
    <cellStyle name="InputCells12 2 3 2 2 29" xfId="18890" xr:uid="{00000000-0005-0000-0000-0000CA490000}"/>
    <cellStyle name="InputCells12 2 3 2 2 3" xfId="18891" xr:uid="{00000000-0005-0000-0000-0000CB490000}"/>
    <cellStyle name="InputCells12 2 3 2 2 30" xfId="18892" xr:uid="{00000000-0005-0000-0000-0000CC490000}"/>
    <cellStyle name="InputCells12 2 3 2 2 31" xfId="18893" xr:uid="{00000000-0005-0000-0000-0000CD490000}"/>
    <cellStyle name="InputCells12 2 3 2 2 32" xfId="18894" xr:uid="{00000000-0005-0000-0000-0000CE490000}"/>
    <cellStyle name="InputCells12 2 3 2 2 33" xfId="18895" xr:uid="{00000000-0005-0000-0000-0000CF490000}"/>
    <cellStyle name="InputCells12 2 3 2 2 34" xfId="18896" xr:uid="{00000000-0005-0000-0000-0000D0490000}"/>
    <cellStyle name="InputCells12 2 3 2 2 35" xfId="18897" xr:uid="{00000000-0005-0000-0000-0000D1490000}"/>
    <cellStyle name="InputCells12 2 3 2 2 36" xfId="18898" xr:uid="{00000000-0005-0000-0000-0000D2490000}"/>
    <cellStyle name="InputCells12 2 3 2 2 37" xfId="18899" xr:uid="{00000000-0005-0000-0000-0000D3490000}"/>
    <cellStyle name="InputCells12 2 3 2 2 38" xfId="18900" xr:uid="{00000000-0005-0000-0000-0000D4490000}"/>
    <cellStyle name="InputCells12 2 3 2 2 39" xfId="18901" xr:uid="{00000000-0005-0000-0000-0000D5490000}"/>
    <cellStyle name="InputCells12 2 3 2 2 4" xfId="18902" xr:uid="{00000000-0005-0000-0000-0000D6490000}"/>
    <cellStyle name="InputCells12 2 3 2 2 40" xfId="18903" xr:uid="{00000000-0005-0000-0000-0000D7490000}"/>
    <cellStyle name="InputCells12 2 3 2 2 41" xfId="18904" xr:uid="{00000000-0005-0000-0000-0000D8490000}"/>
    <cellStyle name="InputCells12 2 3 2 2 42" xfId="18905" xr:uid="{00000000-0005-0000-0000-0000D9490000}"/>
    <cellStyle name="InputCells12 2 3 2 2 43" xfId="18906" xr:uid="{00000000-0005-0000-0000-0000DA490000}"/>
    <cellStyle name="InputCells12 2 3 2 2 44" xfId="18907" xr:uid="{00000000-0005-0000-0000-0000DB490000}"/>
    <cellStyle name="InputCells12 2 3 2 2 45" xfId="18908" xr:uid="{00000000-0005-0000-0000-0000DC490000}"/>
    <cellStyle name="InputCells12 2 3 2 2 46" xfId="18909" xr:uid="{00000000-0005-0000-0000-0000DD490000}"/>
    <cellStyle name="InputCells12 2 3 2 2 47" xfId="18910" xr:uid="{00000000-0005-0000-0000-0000DE490000}"/>
    <cellStyle name="InputCells12 2 3 2 2 48" xfId="18911" xr:uid="{00000000-0005-0000-0000-0000DF490000}"/>
    <cellStyle name="InputCells12 2 3 2 2 49" xfId="18912" xr:uid="{00000000-0005-0000-0000-0000E0490000}"/>
    <cellStyle name="InputCells12 2 3 2 2 5" xfId="18913" xr:uid="{00000000-0005-0000-0000-0000E1490000}"/>
    <cellStyle name="InputCells12 2 3 2 2 50" xfId="18914" xr:uid="{00000000-0005-0000-0000-0000E2490000}"/>
    <cellStyle name="InputCells12 2 3 2 2 51" xfId="18915" xr:uid="{00000000-0005-0000-0000-0000E3490000}"/>
    <cellStyle name="InputCells12 2 3 2 2 52" xfId="18916" xr:uid="{00000000-0005-0000-0000-0000E4490000}"/>
    <cellStyle name="InputCells12 2 3 2 2 53" xfId="18917" xr:uid="{00000000-0005-0000-0000-0000E5490000}"/>
    <cellStyle name="InputCells12 2 3 2 2 54" xfId="18918" xr:uid="{00000000-0005-0000-0000-0000E6490000}"/>
    <cellStyle name="InputCells12 2 3 2 2 55" xfId="18919" xr:uid="{00000000-0005-0000-0000-0000E7490000}"/>
    <cellStyle name="InputCells12 2 3 2 2 56" xfId="18920" xr:uid="{00000000-0005-0000-0000-0000E8490000}"/>
    <cellStyle name="InputCells12 2 3 2 2 57" xfId="18921" xr:uid="{00000000-0005-0000-0000-0000E9490000}"/>
    <cellStyle name="InputCells12 2 3 2 2 58" xfId="18922" xr:uid="{00000000-0005-0000-0000-0000EA490000}"/>
    <cellStyle name="InputCells12 2 3 2 2 59" xfId="18923" xr:uid="{00000000-0005-0000-0000-0000EB490000}"/>
    <cellStyle name="InputCells12 2 3 2 2 6" xfId="18924" xr:uid="{00000000-0005-0000-0000-0000EC490000}"/>
    <cellStyle name="InputCells12 2 3 2 2 60" xfId="18925" xr:uid="{00000000-0005-0000-0000-0000ED490000}"/>
    <cellStyle name="InputCells12 2 3 2 2 61" xfId="18926" xr:uid="{00000000-0005-0000-0000-0000EE490000}"/>
    <cellStyle name="InputCells12 2 3 2 2 62" xfId="18927" xr:uid="{00000000-0005-0000-0000-0000EF490000}"/>
    <cellStyle name="InputCells12 2 3 2 2 63" xfId="18928" xr:uid="{00000000-0005-0000-0000-0000F0490000}"/>
    <cellStyle name="InputCells12 2 3 2 2 64" xfId="18929" xr:uid="{00000000-0005-0000-0000-0000F1490000}"/>
    <cellStyle name="InputCells12 2 3 2 2 65" xfId="18930" xr:uid="{00000000-0005-0000-0000-0000F2490000}"/>
    <cellStyle name="InputCells12 2 3 2 2 7" xfId="18931" xr:uid="{00000000-0005-0000-0000-0000F3490000}"/>
    <cellStyle name="InputCells12 2 3 2 2 8" xfId="18932" xr:uid="{00000000-0005-0000-0000-0000F4490000}"/>
    <cellStyle name="InputCells12 2 3 2 2 9" xfId="18933" xr:uid="{00000000-0005-0000-0000-0000F5490000}"/>
    <cellStyle name="InputCells12 2 3 2 20" xfId="18934" xr:uid="{00000000-0005-0000-0000-0000F6490000}"/>
    <cellStyle name="InputCells12 2 3 2 21" xfId="18935" xr:uid="{00000000-0005-0000-0000-0000F7490000}"/>
    <cellStyle name="InputCells12 2 3 2 22" xfId="18936" xr:uid="{00000000-0005-0000-0000-0000F8490000}"/>
    <cellStyle name="InputCells12 2 3 2 23" xfId="18937" xr:uid="{00000000-0005-0000-0000-0000F9490000}"/>
    <cellStyle name="InputCells12 2 3 2 24" xfId="18938" xr:uid="{00000000-0005-0000-0000-0000FA490000}"/>
    <cellStyle name="InputCells12 2 3 2 25" xfId="18939" xr:uid="{00000000-0005-0000-0000-0000FB490000}"/>
    <cellStyle name="InputCells12 2 3 2 26" xfId="18940" xr:uid="{00000000-0005-0000-0000-0000FC490000}"/>
    <cellStyle name="InputCells12 2 3 2 27" xfId="18941" xr:uid="{00000000-0005-0000-0000-0000FD490000}"/>
    <cellStyle name="InputCells12 2 3 2 28" xfId="18942" xr:uid="{00000000-0005-0000-0000-0000FE490000}"/>
    <cellStyle name="InputCells12 2 3 2 29" xfId="18943" xr:uid="{00000000-0005-0000-0000-0000FF490000}"/>
    <cellStyle name="InputCells12 2 3 2 3" xfId="18944" xr:uid="{00000000-0005-0000-0000-0000004A0000}"/>
    <cellStyle name="InputCells12 2 3 2 30" xfId="18945" xr:uid="{00000000-0005-0000-0000-0000014A0000}"/>
    <cellStyle name="InputCells12 2 3 2 31" xfId="18946" xr:uid="{00000000-0005-0000-0000-0000024A0000}"/>
    <cellStyle name="InputCells12 2 3 2 32" xfId="18947" xr:uid="{00000000-0005-0000-0000-0000034A0000}"/>
    <cellStyle name="InputCells12 2 3 2 33" xfId="18948" xr:uid="{00000000-0005-0000-0000-0000044A0000}"/>
    <cellStyle name="InputCells12 2 3 2 34" xfId="18949" xr:uid="{00000000-0005-0000-0000-0000054A0000}"/>
    <cellStyle name="InputCells12 2 3 2 35" xfId="18950" xr:uid="{00000000-0005-0000-0000-0000064A0000}"/>
    <cellStyle name="InputCells12 2 3 2 36" xfId="18951" xr:uid="{00000000-0005-0000-0000-0000074A0000}"/>
    <cellStyle name="InputCells12 2 3 2 37" xfId="18952" xr:uid="{00000000-0005-0000-0000-0000084A0000}"/>
    <cellStyle name="InputCells12 2 3 2 38" xfId="18953" xr:uid="{00000000-0005-0000-0000-0000094A0000}"/>
    <cellStyle name="InputCells12 2 3 2 39" xfId="18954" xr:uid="{00000000-0005-0000-0000-00000A4A0000}"/>
    <cellStyle name="InputCells12 2 3 2 4" xfId="18955" xr:uid="{00000000-0005-0000-0000-00000B4A0000}"/>
    <cellStyle name="InputCells12 2 3 2 40" xfId="18956" xr:uid="{00000000-0005-0000-0000-00000C4A0000}"/>
    <cellStyle name="InputCells12 2 3 2 41" xfId="18957" xr:uid="{00000000-0005-0000-0000-00000D4A0000}"/>
    <cellStyle name="InputCells12 2 3 2 42" xfId="18958" xr:uid="{00000000-0005-0000-0000-00000E4A0000}"/>
    <cellStyle name="InputCells12 2 3 2 43" xfId="18959" xr:uid="{00000000-0005-0000-0000-00000F4A0000}"/>
    <cellStyle name="InputCells12 2 3 2 44" xfId="18960" xr:uid="{00000000-0005-0000-0000-0000104A0000}"/>
    <cellStyle name="InputCells12 2 3 2 45" xfId="18961" xr:uid="{00000000-0005-0000-0000-0000114A0000}"/>
    <cellStyle name="InputCells12 2 3 2 46" xfId="18962" xr:uid="{00000000-0005-0000-0000-0000124A0000}"/>
    <cellStyle name="InputCells12 2 3 2 47" xfId="18963" xr:uid="{00000000-0005-0000-0000-0000134A0000}"/>
    <cellStyle name="InputCells12 2 3 2 48" xfId="18964" xr:uid="{00000000-0005-0000-0000-0000144A0000}"/>
    <cellStyle name="InputCells12 2 3 2 49" xfId="18965" xr:uid="{00000000-0005-0000-0000-0000154A0000}"/>
    <cellStyle name="InputCells12 2 3 2 5" xfId="18966" xr:uid="{00000000-0005-0000-0000-0000164A0000}"/>
    <cellStyle name="InputCells12 2 3 2 50" xfId="18967" xr:uid="{00000000-0005-0000-0000-0000174A0000}"/>
    <cellStyle name="InputCells12 2 3 2 51" xfId="18968" xr:uid="{00000000-0005-0000-0000-0000184A0000}"/>
    <cellStyle name="InputCells12 2 3 2 52" xfId="18969" xr:uid="{00000000-0005-0000-0000-0000194A0000}"/>
    <cellStyle name="InputCells12 2 3 2 53" xfId="18970" xr:uid="{00000000-0005-0000-0000-00001A4A0000}"/>
    <cellStyle name="InputCells12 2 3 2 54" xfId="18971" xr:uid="{00000000-0005-0000-0000-00001B4A0000}"/>
    <cellStyle name="InputCells12 2 3 2 55" xfId="18972" xr:uid="{00000000-0005-0000-0000-00001C4A0000}"/>
    <cellStyle name="InputCells12 2 3 2 56" xfId="18973" xr:uid="{00000000-0005-0000-0000-00001D4A0000}"/>
    <cellStyle name="InputCells12 2 3 2 57" xfId="18974" xr:uid="{00000000-0005-0000-0000-00001E4A0000}"/>
    <cellStyle name="InputCells12 2 3 2 58" xfId="18975" xr:uid="{00000000-0005-0000-0000-00001F4A0000}"/>
    <cellStyle name="InputCells12 2 3 2 59" xfId="18976" xr:uid="{00000000-0005-0000-0000-0000204A0000}"/>
    <cellStyle name="InputCells12 2 3 2 6" xfId="18977" xr:uid="{00000000-0005-0000-0000-0000214A0000}"/>
    <cellStyle name="InputCells12 2 3 2 60" xfId="18978" xr:uid="{00000000-0005-0000-0000-0000224A0000}"/>
    <cellStyle name="InputCells12 2 3 2 61" xfId="18979" xr:uid="{00000000-0005-0000-0000-0000234A0000}"/>
    <cellStyle name="InputCells12 2 3 2 62" xfId="18980" xr:uid="{00000000-0005-0000-0000-0000244A0000}"/>
    <cellStyle name="InputCells12 2 3 2 63" xfId="18981" xr:uid="{00000000-0005-0000-0000-0000254A0000}"/>
    <cellStyle name="InputCells12 2 3 2 64" xfId="18982" xr:uid="{00000000-0005-0000-0000-0000264A0000}"/>
    <cellStyle name="InputCells12 2 3 2 65" xfId="18983" xr:uid="{00000000-0005-0000-0000-0000274A0000}"/>
    <cellStyle name="InputCells12 2 3 2 66" xfId="18984" xr:uid="{00000000-0005-0000-0000-0000284A0000}"/>
    <cellStyle name="InputCells12 2 3 2 7" xfId="18985" xr:uid="{00000000-0005-0000-0000-0000294A0000}"/>
    <cellStyle name="InputCells12 2 3 2 8" xfId="18986" xr:uid="{00000000-0005-0000-0000-00002A4A0000}"/>
    <cellStyle name="InputCells12 2 3 2 9" xfId="18987" xr:uid="{00000000-0005-0000-0000-00002B4A0000}"/>
    <cellStyle name="InputCells12 2 3 20" xfId="18988" xr:uid="{00000000-0005-0000-0000-00002C4A0000}"/>
    <cellStyle name="InputCells12 2 3 21" xfId="18989" xr:uid="{00000000-0005-0000-0000-00002D4A0000}"/>
    <cellStyle name="InputCells12 2 3 22" xfId="18990" xr:uid="{00000000-0005-0000-0000-00002E4A0000}"/>
    <cellStyle name="InputCells12 2 3 23" xfId="18991" xr:uid="{00000000-0005-0000-0000-00002F4A0000}"/>
    <cellStyle name="InputCells12 2 3 24" xfId="18992" xr:uid="{00000000-0005-0000-0000-0000304A0000}"/>
    <cellStyle name="InputCells12 2 3 25" xfId="18993" xr:uid="{00000000-0005-0000-0000-0000314A0000}"/>
    <cellStyle name="InputCells12 2 3 26" xfId="18994" xr:uid="{00000000-0005-0000-0000-0000324A0000}"/>
    <cellStyle name="InputCells12 2 3 27" xfId="18995" xr:uid="{00000000-0005-0000-0000-0000334A0000}"/>
    <cellStyle name="InputCells12 2 3 28" xfId="18996" xr:uid="{00000000-0005-0000-0000-0000344A0000}"/>
    <cellStyle name="InputCells12 2 3 29" xfId="18997" xr:uid="{00000000-0005-0000-0000-0000354A0000}"/>
    <cellStyle name="InputCells12 2 3 3" xfId="18998" xr:uid="{00000000-0005-0000-0000-0000364A0000}"/>
    <cellStyle name="InputCells12 2 3 3 10" xfId="18999" xr:uid="{00000000-0005-0000-0000-0000374A0000}"/>
    <cellStyle name="InputCells12 2 3 3 11" xfId="19000" xr:uid="{00000000-0005-0000-0000-0000384A0000}"/>
    <cellStyle name="InputCells12 2 3 3 12" xfId="19001" xr:uid="{00000000-0005-0000-0000-0000394A0000}"/>
    <cellStyle name="InputCells12 2 3 3 13" xfId="19002" xr:uid="{00000000-0005-0000-0000-00003A4A0000}"/>
    <cellStyle name="InputCells12 2 3 3 14" xfId="19003" xr:uid="{00000000-0005-0000-0000-00003B4A0000}"/>
    <cellStyle name="InputCells12 2 3 3 15" xfId="19004" xr:uid="{00000000-0005-0000-0000-00003C4A0000}"/>
    <cellStyle name="InputCells12 2 3 3 16" xfId="19005" xr:uid="{00000000-0005-0000-0000-00003D4A0000}"/>
    <cellStyle name="InputCells12 2 3 3 17" xfId="19006" xr:uid="{00000000-0005-0000-0000-00003E4A0000}"/>
    <cellStyle name="InputCells12 2 3 3 18" xfId="19007" xr:uid="{00000000-0005-0000-0000-00003F4A0000}"/>
    <cellStyle name="InputCells12 2 3 3 19" xfId="19008" xr:uid="{00000000-0005-0000-0000-0000404A0000}"/>
    <cellStyle name="InputCells12 2 3 3 2" xfId="19009" xr:uid="{00000000-0005-0000-0000-0000414A0000}"/>
    <cellStyle name="InputCells12 2 3 3 2 10" xfId="19010" xr:uid="{00000000-0005-0000-0000-0000424A0000}"/>
    <cellStyle name="InputCells12 2 3 3 2 11" xfId="19011" xr:uid="{00000000-0005-0000-0000-0000434A0000}"/>
    <cellStyle name="InputCells12 2 3 3 2 12" xfId="19012" xr:uid="{00000000-0005-0000-0000-0000444A0000}"/>
    <cellStyle name="InputCells12 2 3 3 2 13" xfId="19013" xr:uid="{00000000-0005-0000-0000-0000454A0000}"/>
    <cellStyle name="InputCells12 2 3 3 2 14" xfId="19014" xr:uid="{00000000-0005-0000-0000-0000464A0000}"/>
    <cellStyle name="InputCells12 2 3 3 2 15" xfId="19015" xr:uid="{00000000-0005-0000-0000-0000474A0000}"/>
    <cellStyle name="InputCells12 2 3 3 2 16" xfId="19016" xr:uid="{00000000-0005-0000-0000-0000484A0000}"/>
    <cellStyle name="InputCells12 2 3 3 2 17" xfId="19017" xr:uid="{00000000-0005-0000-0000-0000494A0000}"/>
    <cellStyle name="InputCells12 2 3 3 2 18" xfId="19018" xr:uid="{00000000-0005-0000-0000-00004A4A0000}"/>
    <cellStyle name="InputCells12 2 3 3 2 19" xfId="19019" xr:uid="{00000000-0005-0000-0000-00004B4A0000}"/>
    <cellStyle name="InputCells12 2 3 3 2 2" xfId="19020" xr:uid="{00000000-0005-0000-0000-00004C4A0000}"/>
    <cellStyle name="InputCells12 2 3 3 2 20" xfId="19021" xr:uid="{00000000-0005-0000-0000-00004D4A0000}"/>
    <cellStyle name="InputCells12 2 3 3 2 21" xfId="19022" xr:uid="{00000000-0005-0000-0000-00004E4A0000}"/>
    <cellStyle name="InputCells12 2 3 3 2 22" xfId="19023" xr:uid="{00000000-0005-0000-0000-00004F4A0000}"/>
    <cellStyle name="InputCells12 2 3 3 2 23" xfId="19024" xr:uid="{00000000-0005-0000-0000-0000504A0000}"/>
    <cellStyle name="InputCells12 2 3 3 2 24" xfId="19025" xr:uid="{00000000-0005-0000-0000-0000514A0000}"/>
    <cellStyle name="InputCells12 2 3 3 2 25" xfId="19026" xr:uid="{00000000-0005-0000-0000-0000524A0000}"/>
    <cellStyle name="InputCells12 2 3 3 2 26" xfId="19027" xr:uid="{00000000-0005-0000-0000-0000534A0000}"/>
    <cellStyle name="InputCells12 2 3 3 2 27" xfId="19028" xr:uid="{00000000-0005-0000-0000-0000544A0000}"/>
    <cellStyle name="InputCells12 2 3 3 2 28" xfId="19029" xr:uid="{00000000-0005-0000-0000-0000554A0000}"/>
    <cellStyle name="InputCells12 2 3 3 2 29" xfId="19030" xr:uid="{00000000-0005-0000-0000-0000564A0000}"/>
    <cellStyle name="InputCells12 2 3 3 2 3" xfId="19031" xr:uid="{00000000-0005-0000-0000-0000574A0000}"/>
    <cellStyle name="InputCells12 2 3 3 2 30" xfId="19032" xr:uid="{00000000-0005-0000-0000-0000584A0000}"/>
    <cellStyle name="InputCells12 2 3 3 2 31" xfId="19033" xr:uid="{00000000-0005-0000-0000-0000594A0000}"/>
    <cellStyle name="InputCells12 2 3 3 2 32" xfId="19034" xr:uid="{00000000-0005-0000-0000-00005A4A0000}"/>
    <cellStyle name="InputCells12 2 3 3 2 33" xfId="19035" xr:uid="{00000000-0005-0000-0000-00005B4A0000}"/>
    <cellStyle name="InputCells12 2 3 3 2 34" xfId="19036" xr:uid="{00000000-0005-0000-0000-00005C4A0000}"/>
    <cellStyle name="InputCells12 2 3 3 2 35" xfId="19037" xr:uid="{00000000-0005-0000-0000-00005D4A0000}"/>
    <cellStyle name="InputCells12 2 3 3 2 36" xfId="19038" xr:uid="{00000000-0005-0000-0000-00005E4A0000}"/>
    <cellStyle name="InputCells12 2 3 3 2 37" xfId="19039" xr:uid="{00000000-0005-0000-0000-00005F4A0000}"/>
    <cellStyle name="InputCells12 2 3 3 2 38" xfId="19040" xr:uid="{00000000-0005-0000-0000-0000604A0000}"/>
    <cellStyle name="InputCells12 2 3 3 2 39" xfId="19041" xr:uid="{00000000-0005-0000-0000-0000614A0000}"/>
    <cellStyle name="InputCells12 2 3 3 2 4" xfId="19042" xr:uid="{00000000-0005-0000-0000-0000624A0000}"/>
    <cellStyle name="InputCells12 2 3 3 2 40" xfId="19043" xr:uid="{00000000-0005-0000-0000-0000634A0000}"/>
    <cellStyle name="InputCells12 2 3 3 2 41" xfId="19044" xr:uid="{00000000-0005-0000-0000-0000644A0000}"/>
    <cellStyle name="InputCells12 2 3 3 2 42" xfId="19045" xr:uid="{00000000-0005-0000-0000-0000654A0000}"/>
    <cellStyle name="InputCells12 2 3 3 2 43" xfId="19046" xr:uid="{00000000-0005-0000-0000-0000664A0000}"/>
    <cellStyle name="InputCells12 2 3 3 2 44" xfId="19047" xr:uid="{00000000-0005-0000-0000-0000674A0000}"/>
    <cellStyle name="InputCells12 2 3 3 2 45" xfId="19048" xr:uid="{00000000-0005-0000-0000-0000684A0000}"/>
    <cellStyle name="InputCells12 2 3 3 2 46" xfId="19049" xr:uid="{00000000-0005-0000-0000-0000694A0000}"/>
    <cellStyle name="InputCells12 2 3 3 2 47" xfId="19050" xr:uid="{00000000-0005-0000-0000-00006A4A0000}"/>
    <cellStyle name="InputCells12 2 3 3 2 48" xfId="19051" xr:uid="{00000000-0005-0000-0000-00006B4A0000}"/>
    <cellStyle name="InputCells12 2 3 3 2 49" xfId="19052" xr:uid="{00000000-0005-0000-0000-00006C4A0000}"/>
    <cellStyle name="InputCells12 2 3 3 2 5" xfId="19053" xr:uid="{00000000-0005-0000-0000-00006D4A0000}"/>
    <cellStyle name="InputCells12 2 3 3 2 50" xfId="19054" xr:uid="{00000000-0005-0000-0000-00006E4A0000}"/>
    <cellStyle name="InputCells12 2 3 3 2 51" xfId="19055" xr:uid="{00000000-0005-0000-0000-00006F4A0000}"/>
    <cellStyle name="InputCells12 2 3 3 2 52" xfId="19056" xr:uid="{00000000-0005-0000-0000-0000704A0000}"/>
    <cellStyle name="InputCells12 2 3 3 2 53" xfId="19057" xr:uid="{00000000-0005-0000-0000-0000714A0000}"/>
    <cellStyle name="InputCells12 2 3 3 2 54" xfId="19058" xr:uid="{00000000-0005-0000-0000-0000724A0000}"/>
    <cellStyle name="InputCells12 2 3 3 2 55" xfId="19059" xr:uid="{00000000-0005-0000-0000-0000734A0000}"/>
    <cellStyle name="InputCells12 2 3 3 2 56" xfId="19060" xr:uid="{00000000-0005-0000-0000-0000744A0000}"/>
    <cellStyle name="InputCells12 2 3 3 2 57" xfId="19061" xr:uid="{00000000-0005-0000-0000-0000754A0000}"/>
    <cellStyle name="InputCells12 2 3 3 2 58" xfId="19062" xr:uid="{00000000-0005-0000-0000-0000764A0000}"/>
    <cellStyle name="InputCells12 2 3 3 2 59" xfId="19063" xr:uid="{00000000-0005-0000-0000-0000774A0000}"/>
    <cellStyle name="InputCells12 2 3 3 2 6" xfId="19064" xr:uid="{00000000-0005-0000-0000-0000784A0000}"/>
    <cellStyle name="InputCells12 2 3 3 2 60" xfId="19065" xr:uid="{00000000-0005-0000-0000-0000794A0000}"/>
    <cellStyle name="InputCells12 2 3 3 2 61" xfId="19066" xr:uid="{00000000-0005-0000-0000-00007A4A0000}"/>
    <cellStyle name="InputCells12 2 3 3 2 62" xfId="19067" xr:uid="{00000000-0005-0000-0000-00007B4A0000}"/>
    <cellStyle name="InputCells12 2 3 3 2 63" xfId="19068" xr:uid="{00000000-0005-0000-0000-00007C4A0000}"/>
    <cellStyle name="InputCells12 2 3 3 2 64" xfId="19069" xr:uid="{00000000-0005-0000-0000-00007D4A0000}"/>
    <cellStyle name="InputCells12 2 3 3 2 65" xfId="19070" xr:uid="{00000000-0005-0000-0000-00007E4A0000}"/>
    <cellStyle name="InputCells12 2 3 3 2 7" xfId="19071" xr:uid="{00000000-0005-0000-0000-00007F4A0000}"/>
    <cellStyle name="InputCells12 2 3 3 2 8" xfId="19072" xr:uid="{00000000-0005-0000-0000-0000804A0000}"/>
    <cellStyle name="InputCells12 2 3 3 2 9" xfId="19073" xr:uid="{00000000-0005-0000-0000-0000814A0000}"/>
    <cellStyle name="InputCells12 2 3 3 20" xfId="19074" xr:uid="{00000000-0005-0000-0000-0000824A0000}"/>
    <cellStyle name="InputCells12 2 3 3 21" xfId="19075" xr:uid="{00000000-0005-0000-0000-0000834A0000}"/>
    <cellStyle name="InputCells12 2 3 3 22" xfId="19076" xr:uid="{00000000-0005-0000-0000-0000844A0000}"/>
    <cellStyle name="InputCells12 2 3 3 23" xfId="19077" xr:uid="{00000000-0005-0000-0000-0000854A0000}"/>
    <cellStyle name="InputCells12 2 3 3 24" xfId="19078" xr:uid="{00000000-0005-0000-0000-0000864A0000}"/>
    <cellStyle name="InputCells12 2 3 3 25" xfId="19079" xr:uid="{00000000-0005-0000-0000-0000874A0000}"/>
    <cellStyle name="InputCells12 2 3 3 26" xfId="19080" xr:uid="{00000000-0005-0000-0000-0000884A0000}"/>
    <cellStyle name="InputCells12 2 3 3 27" xfId="19081" xr:uid="{00000000-0005-0000-0000-0000894A0000}"/>
    <cellStyle name="InputCells12 2 3 3 28" xfId="19082" xr:uid="{00000000-0005-0000-0000-00008A4A0000}"/>
    <cellStyle name="InputCells12 2 3 3 29" xfId="19083" xr:uid="{00000000-0005-0000-0000-00008B4A0000}"/>
    <cellStyle name="InputCells12 2 3 3 3" xfId="19084" xr:uid="{00000000-0005-0000-0000-00008C4A0000}"/>
    <cellStyle name="InputCells12 2 3 3 30" xfId="19085" xr:uid="{00000000-0005-0000-0000-00008D4A0000}"/>
    <cellStyle name="InputCells12 2 3 3 31" xfId="19086" xr:uid="{00000000-0005-0000-0000-00008E4A0000}"/>
    <cellStyle name="InputCells12 2 3 3 32" xfId="19087" xr:uid="{00000000-0005-0000-0000-00008F4A0000}"/>
    <cellStyle name="InputCells12 2 3 3 33" xfId="19088" xr:uid="{00000000-0005-0000-0000-0000904A0000}"/>
    <cellStyle name="InputCells12 2 3 3 34" xfId="19089" xr:uid="{00000000-0005-0000-0000-0000914A0000}"/>
    <cellStyle name="InputCells12 2 3 3 35" xfId="19090" xr:uid="{00000000-0005-0000-0000-0000924A0000}"/>
    <cellStyle name="InputCells12 2 3 3 36" xfId="19091" xr:uid="{00000000-0005-0000-0000-0000934A0000}"/>
    <cellStyle name="InputCells12 2 3 3 37" xfId="19092" xr:uid="{00000000-0005-0000-0000-0000944A0000}"/>
    <cellStyle name="InputCells12 2 3 3 38" xfId="19093" xr:uid="{00000000-0005-0000-0000-0000954A0000}"/>
    <cellStyle name="InputCells12 2 3 3 39" xfId="19094" xr:uid="{00000000-0005-0000-0000-0000964A0000}"/>
    <cellStyle name="InputCells12 2 3 3 4" xfId="19095" xr:uid="{00000000-0005-0000-0000-0000974A0000}"/>
    <cellStyle name="InputCells12 2 3 3 40" xfId="19096" xr:uid="{00000000-0005-0000-0000-0000984A0000}"/>
    <cellStyle name="InputCells12 2 3 3 41" xfId="19097" xr:uid="{00000000-0005-0000-0000-0000994A0000}"/>
    <cellStyle name="InputCells12 2 3 3 42" xfId="19098" xr:uid="{00000000-0005-0000-0000-00009A4A0000}"/>
    <cellStyle name="InputCells12 2 3 3 43" xfId="19099" xr:uid="{00000000-0005-0000-0000-00009B4A0000}"/>
    <cellStyle name="InputCells12 2 3 3 44" xfId="19100" xr:uid="{00000000-0005-0000-0000-00009C4A0000}"/>
    <cellStyle name="InputCells12 2 3 3 45" xfId="19101" xr:uid="{00000000-0005-0000-0000-00009D4A0000}"/>
    <cellStyle name="InputCells12 2 3 3 46" xfId="19102" xr:uid="{00000000-0005-0000-0000-00009E4A0000}"/>
    <cellStyle name="InputCells12 2 3 3 47" xfId="19103" xr:uid="{00000000-0005-0000-0000-00009F4A0000}"/>
    <cellStyle name="InputCells12 2 3 3 48" xfId="19104" xr:uid="{00000000-0005-0000-0000-0000A04A0000}"/>
    <cellStyle name="InputCells12 2 3 3 49" xfId="19105" xr:uid="{00000000-0005-0000-0000-0000A14A0000}"/>
    <cellStyle name="InputCells12 2 3 3 5" xfId="19106" xr:uid="{00000000-0005-0000-0000-0000A24A0000}"/>
    <cellStyle name="InputCells12 2 3 3 50" xfId="19107" xr:uid="{00000000-0005-0000-0000-0000A34A0000}"/>
    <cellStyle name="InputCells12 2 3 3 51" xfId="19108" xr:uid="{00000000-0005-0000-0000-0000A44A0000}"/>
    <cellStyle name="InputCells12 2 3 3 52" xfId="19109" xr:uid="{00000000-0005-0000-0000-0000A54A0000}"/>
    <cellStyle name="InputCells12 2 3 3 53" xfId="19110" xr:uid="{00000000-0005-0000-0000-0000A64A0000}"/>
    <cellStyle name="InputCells12 2 3 3 54" xfId="19111" xr:uid="{00000000-0005-0000-0000-0000A74A0000}"/>
    <cellStyle name="InputCells12 2 3 3 55" xfId="19112" xr:uid="{00000000-0005-0000-0000-0000A84A0000}"/>
    <cellStyle name="InputCells12 2 3 3 56" xfId="19113" xr:uid="{00000000-0005-0000-0000-0000A94A0000}"/>
    <cellStyle name="InputCells12 2 3 3 57" xfId="19114" xr:uid="{00000000-0005-0000-0000-0000AA4A0000}"/>
    <cellStyle name="InputCells12 2 3 3 58" xfId="19115" xr:uid="{00000000-0005-0000-0000-0000AB4A0000}"/>
    <cellStyle name="InputCells12 2 3 3 59" xfId="19116" xr:uid="{00000000-0005-0000-0000-0000AC4A0000}"/>
    <cellStyle name="InputCells12 2 3 3 6" xfId="19117" xr:uid="{00000000-0005-0000-0000-0000AD4A0000}"/>
    <cellStyle name="InputCells12 2 3 3 60" xfId="19118" xr:uid="{00000000-0005-0000-0000-0000AE4A0000}"/>
    <cellStyle name="InputCells12 2 3 3 61" xfId="19119" xr:uid="{00000000-0005-0000-0000-0000AF4A0000}"/>
    <cellStyle name="InputCells12 2 3 3 62" xfId="19120" xr:uid="{00000000-0005-0000-0000-0000B04A0000}"/>
    <cellStyle name="InputCells12 2 3 3 63" xfId="19121" xr:uid="{00000000-0005-0000-0000-0000B14A0000}"/>
    <cellStyle name="InputCells12 2 3 3 64" xfId="19122" xr:uid="{00000000-0005-0000-0000-0000B24A0000}"/>
    <cellStyle name="InputCells12 2 3 3 65" xfId="19123" xr:uid="{00000000-0005-0000-0000-0000B34A0000}"/>
    <cellStyle name="InputCells12 2 3 3 66" xfId="19124" xr:uid="{00000000-0005-0000-0000-0000B44A0000}"/>
    <cellStyle name="InputCells12 2 3 3 7" xfId="19125" xr:uid="{00000000-0005-0000-0000-0000B54A0000}"/>
    <cellStyle name="InputCells12 2 3 3 8" xfId="19126" xr:uid="{00000000-0005-0000-0000-0000B64A0000}"/>
    <cellStyle name="InputCells12 2 3 3 9" xfId="19127" xr:uid="{00000000-0005-0000-0000-0000B74A0000}"/>
    <cellStyle name="InputCells12 2 3 30" xfId="19128" xr:uid="{00000000-0005-0000-0000-0000B84A0000}"/>
    <cellStyle name="InputCells12 2 3 31" xfId="19129" xr:uid="{00000000-0005-0000-0000-0000B94A0000}"/>
    <cellStyle name="InputCells12 2 3 32" xfId="19130" xr:uid="{00000000-0005-0000-0000-0000BA4A0000}"/>
    <cellStyle name="InputCells12 2 3 33" xfId="19131" xr:uid="{00000000-0005-0000-0000-0000BB4A0000}"/>
    <cellStyle name="InputCells12 2 3 34" xfId="19132" xr:uid="{00000000-0005-0000-0000-0000BC4A0000}"/>
    <cellStyle name="InputCells12 2 3 35" xfId="19133" xr:uid="{00000000-0005-0000-0000-0000BD4A0000}"/>
    <cellStyle name="InputCells12 2 3 36" xfId="19134" xr:uid="{00000000-0005-0000-0000-0000BE4A0000}"/>
    <cellStyle name="InputCells12 2 3 37" xfId="19135" xr:uid="{00000000-0005-0000-0000-0000BF4A0000}"/>
    <cellStyle name="InputCells12 2 3 38" xfId="19136" xr:uid="{00000000-0005-0000-0000-0000C04A0000}"/>
    <cellStyle name="InputCells12 2 3 39" xfId="19137" xr:uid="{00000000-0005-0000-0000-0000C14A0000}"/>
    <cellStyle name="InputCells12 2 3 4" xfId="19138" xr:uid="{00000000-0005-0000-0000-0000C24A0000}"/>
    <cellStyle name="InputCells12 2 3 4 10" xfId="19139" xr:uid="{00000000-0005-0000-0000-0000C34A0000}"/>
    <cellStyle name="InputCells12 2 3 4 11" xfId="19140" xr:uid="{00000000-0005-0000-0000-0000C44A0000}"/>
    <cellStyle name="InputCells12 2 3 4 12" xfId="19141" xr:uid="{00000000-0005-0000-0000-0000C54A0000}"/>
    <cellStyle name="InputCells12 2 3 4 13" xfId="19142" xr:uid="{00000000-0005-0000-0000-0000C64A0000}"/>
    <cellStyle name="InputCells12 2 3 4 14" xfId="19143" xr:uid="{00000000-0005-0000-0000-0000C74A0000}"/>
    <cellStyle name="InputCells12 2 3 4 15" xfId="19144" xr:uid="{00000000-0005-0000-0000-0000C84A0000}"/>
    <cellStyle name="InputCells12 2 3 4 16" xfId="19145" xr:uid="{00000000-0005-0000-0000-0000C94A0000}"/>
    <cellStyle name="InputCells12 2 3 4 17" xfId="19146" xr:uid="{00000000-0005-0000-0000-0000CA4A0000}"/>
    <cellStyle name="InputCells12 2 3 4 18" xfId="19147" xr:uid="{00000000-0005-0000-0000-0000CB4A0000}"/>
    <cellStyle name="InputCells12 2 3 4 19" xfId="19148" xr:uid="{00000000-0005-0000-0000-0000CC4A0000}"/>
    <cellStyle name="InputCells12 2 3 4 2" xfId="19149" xr:uid="{00000000-0005-0000-0000-0000CD4A0000}"/>
    <cellStyle name="InputCells12 2 3 4 2 10" xfId="19150" xr:uid="{00000000-0005-0000-0000-0000CE4A0000}"/>
    <cellStyle name="InputCells12 2 3 4 2 11" xfId="19151" xr:uid="{00000000-0005-0000-0000-0000CF4A0000}"/>
    <cellStyle name="InputCells12 2 3 4 2 12" xfId="19152" xr:uid="{00000000-0005-0000-0000-0000D04A0000}"/>
    <cellStyle name="InputCells12 2 3 4 2 13" xfId="19153" xr:uid="{00000000-0005-0000-0000-0000D14A0000}"/>
    <cellStyle name="InputCells12 2 3 4 2 14" xfId="19154" xr:uid="{00000000-0005-0000-0000-0000D24A0000}"/>
    <cellStyle name="InputCells12 2 3 4 2 15" xfId="19155" xr:uid="{00000000-0005-0000-0000-0000D34A0000}"/>
    <cellStyle name="InputCells12 2 3 4 2 16" xfId="19156" xr:uid="{00000000-0005-0000-0000-0000D44A0000}"/>
    <cellStyle name="InputCells12 2 3 4 2 17" xfId="19157" xr:uid="{00000000-0005-0000-0000-0000D54A0000}"/>
    <cellStyle name="InputCells12 2 3 4 2 18" xfId="19158" xr:uid="{00000000-0005-0000-0000-0000D64A0000}"/>
    <cellStyle name="InputCells12 2 3 4 2 19" xfId="19159" xr:uid="{00000000-0005-0000-0000-0000D74A0000}"/>
    <cellStyle name="InputCells12 2 3 4 2 2" xfId="19160" xr:uid="{00000000-0005-0000-0000-0000D84A0000}"/>
    <cellStyle name="InputCells12 2 3 4 2 20" xfId="19161" xr:uid="{00000000-0005-0000-0000-0000D94A0000}"/>
    <cellStyle name="InputCells12 2 3 4 2 21" xfId="19162" xr:uid="{00000000-0005-0000-0000-0000DA4A0000}"/>
    <cellStyle name="InputCells12 2 3 4 2 22" xfId="19163" xr:uid="{00000000-0005-0000-0000-0000DB4A0000}"/>
    <cellStyle name="InputCells12 2 3 4 2 23" xfId="19164" xr:uid="{00000000-0005-0000-0000-0000DC4A0000}"/>
    <cellStyle name="InputCells12 2 3 4 2 24" xfId="19165" xr:uid="{00000000-0005-0000-0000-0000DD4A0000}"/>
    <cellStyle name="InputCells12 2 3 4 2 25" xfId="19166" xr:uid="{00000000-0005-0000-0000-0000DE4A0000}"/>
    <cellStyle name="InputCells12 2 3 4 2 26" xfId="19167" xr:uid="{00000000-0005-0000-0000-0000DF4A0000}"/>
    <cellStyle name="InputCells12 2 3 4 2 27" xfId="19168" xr:uid="{00000000-0005-0000-0000-0000E04A0000}"/>
    <cellStyle name="InputCells12 2 3 4 2 28" xfId="19169" xr:uid="{00000000-0005-0000-0000-0000E14A0000}"/>
    <cellStyle name="InputCells12 2 3 4 2 29" xfId="19170" xr:uid="{00000000-0005-0000-0000-0000E24A0000}"/>
    <cellStyle name="InputCells12 2 3 4 2 3" xfId="19171" xr:uid="{00000000-0005-0000-0000-0000E34A0000}"/>
    <cellStyle name="InputCells12 2 3 4 2 30" xfId="19172" xr:uid="{00000000-0005-0000-0000-0000E44A0000}"/>
    <cellStyle name="InputCells12 2 3 4 2 31" xfId="19173" xr:uid="{00000000-0005-0000-0000-0000E54A0000}"/>
    <cellStyle name="InputCells12 2 3 4 2 32" xfId="19174" xr:uid="{00000000-0005-0000-0000-0000E64A0000}"/>
    <cellStyle name="InputCells12 2 3 4 2 33" xfId="19175" xr:uid="{00000000-0005-0000-0000-0000E74A0000}"/>
    <cellStyle name="InputCells12 2 3 4 2 34" xfId="19176" xr:uid="{00000000-0005-0000-0000-0000E84A0000}"/>
    <cellStyle name="InputCells12 2 3 4 2 35" xfId="19177" xr:uid="{00000000-0005-0000-0000-0000E94A0000}"/>
    <cellStyle name="InputCells12 2 3 4 2 36" xfId="19178" xr:uid="{00000000-0005-0000-0000-0000EA4A0000}"/>
    <cellStyle name="InputCells12 2 3 4 2 37" xfId="19179" xr:uid="{00000000-0005-0000-0000-0000EB4A0000}"/>
    <cellStyle name="InputCells12 2 3 4 2 38" xfId="19180" xr:uid="{00000000-0005-0000-0000-0000EC4A0000}"/>
    <cellStyle name="InputCells12 2 3 4 2 39" xfId="19181" xr:uid="{00000000-0005-0000-0000-0000ED4A0000}"/>
    <cellStyle name="InputCells12 2 3 4 2 4" xfId="19182" xr:uid="{00000000-0005-0000-0000-0000EE4A0000}"/>
    <cellStyle name="InputCells12 2 3 4 2 40" xfId="19183" xr:uid="{00000000-0005-0000-0000-0000EF4A0000}"/>
    <cellStyle name="InputCells12 2 3 4 2 41" xfId="19184" xr:uid="{00000000-0005-0000-0000-0000F04A0000}"/>
    <cellStyle name="InputCells12 2 3 4 2 42" xfId="19185" xr:uid="{00000000-0005-0000-0000-0000F14A0000}"/>
    <cellStyle name="InputCells12 2 3 4 2 43" xfId="19186" xr:uid="{00000000-0005-0000-0000-0000F24A0000}"/>
    <cellStyle name="InputCells12 2 3 4 2 44" xfId="19187" xr:uid="{00000000-0005-0000-0000-0000F34A0000}"/>
    <cellStyle name="InputCells12 2 3 4 2 45" xfId="19188" xr:uid="{00000000-0005-0000-0000-0000F44A0000}"/>
    <cellStyle name="InputCells12 2 3 4 2 46" xfId="19189" xr:uid="{00000000-0005-0000-0000-0000F54A0000}"/>
    <cellStyle name="InputCells12 2 3 4 2 47" xfId="19190" xr:uid="{00000000-0005-0000-0000-0000F64A0000}"/>
    <cellStyle name="InputCells12 2 3 4 2 48" xfId="19191" xr:uid="{00000000-0005-0000-0000-0000F74A0000}"/>
    <cellStyle name="InputCells12 2 3 4 2 49" xfId="19192" xr:uid="{00000000-0005-0000-0000-0000F84A0000}"/>
    <cellStyle name="InputCells12 2 3 4 2 5" xfId="19193" xr:uid="{00000000-0005-0000-0000-0000F94A0000}"/>
    <cellStyle name="InputCells12 2 3 4 2 50" xfId="19194" xr:uid="{00000000-0005-0000-0000-0000FA4A0000}"/>
    <cellStyle name="InputCells12 2 3 4 2 51" xfId="19195" xr:uid="{00000000-0005-0000-0000-0000FB4A0000}"/>
    <cellStyle name="InputCells12 2 3 4 2 52" xfId="19196" xr:uid="{00000000-0005-0000-0000-0000FC4A0000}"/>
    <cellStyle name="InputCells12 2 3 4 2 53" xfId="19197" xr:uid="{00000000-0005-0000-0000-0000FD4A0000}"/>
    <cellStyle name="InputCells12 2 3 4 2 54" xfId="19198" xr:uid="{00000000-0005-0000-0000-0000FE4A0000}"/>
    <cellStyle name="InputCells12 2 3 4 2 55" xfId="19199" xr:uid="{00000000-0005-0000-0000-0000FF4A0000}"/>
    <cellStyle name="InputCells12 2 3 4 2 56" xfId="19200" xr:uid="{00000000-0005-0000-0000-0000004B0000}"/>
    <cellStyle name="InputCells12 2 3 4 2 57" xfId="19201" xr:uid="{00000000-0005-0000-0000-0000014B0000}"/>
    <cellStyle name="InputCells12 2 3 4 2 58" xfId="19202" xr:uid="{00000000-0005-0000-0000-0000024B0000}"/>
    <cellStyle name="InputCells12 2 3 4 2 59" xfId="19203" xr:uid="{00000000-0005-0000-0000-0000034B0000}"/>
    <cellStyle name="InputCells12 2 3 4 2 6" xfId="19204" xr:uid="{00000000-0005-0000-0000-0000044B0000}"/>
    <cellStyle name="InputCells12 2 3 4 2 60" xfId="19205" xr:uid="{00000000-0005-0000-0000-0000054B0000}"/>
    <cellStyle name="InputCells12 2 3 4 2 61" xfId="19206" xr:uid="{00000000-0005-0000-0000-0000064B0000}"/>
    <cellStyle name="InputCells12 2 3 4 2 62" xfId="19207" xr:uid="{00000000-0005-0000-0000-0000074B0000}"/>
    <cellStyle name="InputCells12 2 3 4 2 63" xfId="19208" xr:uid="{00000000-0005-0000-0000-0000084B0000}"/>
    <cellStyle name="InputCells12 2 3 4 2 64" xfId="19209" xr:uid="{00000000-0005-0000-0000-0000094B0000}"/>
    <cellStyle name="InputCells12 2 3 4 2 65" xfId="19210" xr:uid="{00000000-0005-0000-0000-00000A4B0000}"/>
    <cellStyle name="InputCells12 2 3 4 2 7" xfId="19211" xr:uid="{00000000-0005-0000-0000-00000B4B0000}"/>
    <cellStyle name="InputCells12 2 3 4 2 8" xfId="19212" xr:uid="{00000000-0005-0000-0000-00000C4B0000}"/>
    <cellStyle name="InputCells12 2 3 4 2 9" xfId="19213" xr:uid="{00000000-0005-0000-0000-00000D4B0000}"/>
    <cellStyle name="InputCells12 2 3 4 20" xfId="19214" xr:uid="{00000000-0005-0000-0000-00000E4B0000}"/>
    <cellStyle name="InputCells12 2 3 4 21" xfId="19215" xr:uid="{00000000-0005-0000-0000-00000F4B0000}"/>
    <cellStyle name="InputCells12 2 3 4 22" xfId="19216" xr:uid="{00000000-0005-0000-0000-0000104B0000}"/>
    <cellStyle name="InputCells12 2 3 4 23" xfId="19217" xr:uid="{00000000-0005-0000-0000-0000114B0000}"/>
    <cellStyle name="InputCells12 2 3 4 24" xfId="19218" xr:uid="{00000000-0005-0000-0000-0000124B0000}"/>
    <cellStyle name="InputCells12 2 3 4 25" xfId="19219" xr:uid="{00000000-0005-0000-0000-0000134B0000}"/>
    <cellStyle name="InputCells12 2 3 4 26" xfId="19220" xr:uid="{00000000-0005-0000-0000-0000144B0000}"/>
    <cellStyle name="InputCells12 2 3 4 27" xfId="19221" xr:uid="{00000000-0005-0000-0000-0000154B0000}"/>
    <cellStyle name="InputCells12 2 3 4 28" xfId="19222" xr:uid="{00000000-0005-0000-0000-0000164B0000}"/>
    <cellStyle name="InputCells12 2 3 4 29" xfId="19223" xr:uid="{00000000-0005-0000-0000-0000174B0000}"/>
    <cellStyle name="InputCells12 2 3 4 3" xfId="19224" xr:uid="{00000000-0005-0000-0000-0000184B0000}"/>
    <cellStyle name="InputCells12 2 3 4 30" xfId="19225" xr:uid="{00000000-0005-0000-0000-0000194B0000}"/>
    <cellStyle name="InputCells12 2 3 4 31" xfId="19226" xr:uid="{00000000-0005-0000-0000-00001A4B0000}"/>
    <cellStyle name="InputCells12 2 3 4 32" xfId="19227" xr:uid="{00000000-0005-0000-0000-00001B4B0000}"/>
    <cellStyle name="InputCells12 2 3 4 33" xfId="19228" xr:uid="{00000000-0005-0000-0000-00001C4B0000}"/>
    <cellStyle name="InputCells12 2 3 4 34" xfId="19229" xr:uid="{00000000-0005-0000-0000-00001D4B0000}"/>
    <cellStyle name="InputCells12 2 3 4 35" xfId="19230" xr:uid="{00000000-0005-0000-0000-00001E4B0000}"/>
    <cellStyle name="InputCells12 2 3 4 36" xfId="19231" xr:uid="{00000000-0005-0000-0000-00001F4B0000}"/>
    <cellStyle name="InputCells12 2 3 4 37" xfId="19232" xr:uid="{00000000-0005-0000-0000-0000204B0000}"/>
    <cellStyle name="InputCells12 2 3 4 38" xfId="19233" xr:uid="{00000000-0005-0000-0000-0000214B0000}"/>
    <cellStyle name="InputCells12 2 3 4 39" xfId="19234" xr:uid="{00000000-0005-0000-0000-0000224B0000}"/>
    <cellStyle name="InputCells12 2 3 4 4" xfId="19235" xr:uid="{00000000-0005-0000-0000-0000234B0000}"/>
    <cellStyle name="InputCells12 2 3 4 40" xfId="19236" xr:uid="{00000000-0005-0000-0000-0000244B0000}"/>
    <cellStyle name="InputCells12 2 3 4 41" xfId="19237" xr:uid="{00000000-0005-0000-0000-0000254B0000}"/>
    <cellStyle name="InputCells12 2 3 4 42" xfId="19238" xr:uid="{00000000-0005-0000-0000-0000264B0000}"/>
    <cellStyle name="InputCells12 2 3 4 43" xfId="19239" xr:uid="{00000000-0005-0000-0000-0000274B0000}"/>
    <cellStyle name="InputCells12 2 3 4 44" xfId="19240" xr:uid="{00000000-0005-0000-0000-0000284B0000}"/>
    <cellStyle name="InputCells12 2 3 4 45" xfId="19241" xr:uid="{00000000-0005-0000-0000-0000294B0000}"/>
    <cellStyle name="InputCells12 2 3 4 46" xfId="19242" xr:uid="{00000000-0005-0000-0000-00002A4B0000}"/>
    <cellStyle name="InputCells12 2 3 4 47" xfId="19243" xr:uid="{00000000-0005-0000-0000-00002B4B0000}"/>
    <cellStyle name="InputCells12 2 3 4 48" xfId="19244" xr:uid="{00000000-0005-0000-0000-00002C4B0000}"/>
    <cellStyle name="InputCells12 2 3 4 49" xfId="19245" xr:uid="{00000000-0005-0000-0000-00002D4B0000}"/>
    <cellStyle name="InputCells12 2 3 4 5" xfId="19246" xr:uid="{00000000-0005-0000-0000-00002E4B0000}"/>
    <cellStyle name="InputCells12 2 3 4 50" xfId="19247" xr:uid="{00000000-0005-0000-0000-00002F4B0000}"/>
    <cellStyle name="InputCells12 2 3 4 51" xfId="19248" xr:uid="{00000000-0005-0000-0000-0000304B0000}"/>
    <cellStyle name="InputCells12 2 3 4 52" xfId="19249" xr:uid="{00000000-0005-0000-0000-0000314B0000}"/>
    <cellStyle name="InputCells12 2 3 4 53" xfId="19250" xr:uid="{00000000-0005-0000-0000-0000324B0000}"/>
    <cellStyle name="InputCells12 2 3 4 54" xfId="19251" xr:uid="{00000000-0005-0000-0000-0000334B0000}"/>
    <cellStyle name="InputCells12 2 3 4 55" xfId="19252" xr:uid="{00000000-0005-0000-0000-0000344B0000}"/>
    <cellStyle name="InputCells12 2 3 4 56" xfId="19253" xr:uid="{00000000-0005-0000-0000-0000354B0000}"/>
    <cellStyle name="InputCells12 2 3 4 57" xfId="19254" xr:uid="{00000000-0005-0000-0000-0000364B0000}"/>
    <cellStyle name="InputCells12 2 3 4 58" xfId="19255" xr:uid="{00000000-0005-0000-0000-0000374B0000}"/>
    <cellStyle name="InputCells12 2 3 4 59" xfId="19256" xr:uid="{00000000-0005-0000-0000-0000384B0000}"/>
    <cellStyle name="InputCells12 2 3 4 6" xfId="19257" xr:uid="{00000000-0005-0000-0000-0000394B0000}"/>
    <cellStyle name="InputCells12 2 3 4 60" xfId="19258" xr:uid="{00000000-0005-0000-0000-00003A4B0000}"/>
    <cellStyle name="InputCells12 2 3 4 61" xfId="19259" xr:uid="{00000000-0005-0000-0000-00003B4B0000}"/>
    <cellStyle name="InputCells12 2 3 4 62" xfId="19260" xr:uid="{00000000-0005-0000-0000-00003C4B0000}"/>
    <cellStyle name="InputCells12 2 3 4 63" xfId="19261" xr:uid="{00000000-0005-0000-0000-00003D4B0000}"/>
    <cellStyle name="InputCells12 2 3 4 64" xfId="19262" xr:uid="{00000000-0005-0000-0000-00003E4B0000}"/>
    <cellStyle name="InputCells12 2 3 4 65" xfId="19263" xr:uid="{00000000-0005-0000-0000-00003F4B0000}"/>
    <cellStyle name="InputCells12 2 3 4 66" xfId="19264" xr:uid="{00000000-0005-0000-0000-0000404B0000}"/>
    <cellStyle name="InputCells12 2 3 4 7" xfId="19265" xr:uid="{00000000-0005-0000-0000-0000414B0000}"/>
    <cellStyle name="InputCells12 2 3 4 8" xfId="19266" xr:uid="{00000000-0005-0000-0000-0000424B0000}"/>
    <cellStyle name="InputCells12 2 3 4 9" xfId="19267" xr:uid="{00000000-0005-0000-0000-0000434B0000}"/>
    <cellStyle name="InputCells12 2 3 40" xfId="19268" xr:uid="{00000000-0005-0000-0000-0000444B0000}"/>
    <cellStyle name="InputCells12 2 3 41" xfId="19269" xr:uid="{00000000-0005-0000-0000-0000454B0000}"/>
    <cellStyle name="InputCells12 2 3 42" xfId="19270" xr:uid="{00000000-0005-0000-0000-0000464B0000}"/>
    <cellStyle name="InputCells12 2 3 43" xfId="19271" xr:uid="{00000000-0005-0000-0000-0000474B0000}"/>
    <cellStyle name="InputCells12 2 3 44" xfId="19272" xr:uid="{00000000-0005-0000-0000-0000484B0000}"/>
    <cellStyle name="InputCells12 2 3 45" xfId="19273" xr:uid="{00000000-0005-0000-0000-0000494B0000}"/>
    <cellStyle name="InputCells12 2 3 46" xfId="19274" xr:uid="{00000000-0005-0000-0000-00004A4B0000}"/>
    <cellStyle name="InputCells12 2 3 47" xfId="19275" xr:uid="{00000000-0005-0000-0000-00004B4B0000}"/>
    <cellStyle name="InputCells12 2 3 48" xfId="19276" xr:uid="{00000000-0005-0000-0000-00004C4B0000}"/>
    <cellStyle name="InputCells12 2 3 49" xfId="19277" xr:uid="{00000000-0005-0000-0000-00004D4B0000}"/>
    <cellStyle name="InputCells12 2 3 5" xfId="19278" xr:uid="{00000000-0005-0000-0000-00004E4B0000}"/>
    <cellStyle name="InputCells12 2 3 50" xfId="19279" xr:uid="{00000000-0005-0000-0000-00004F4B0000}"/>
    <cellStyle name="InputCells12 2 3 51" xfId="19280" xr:uid="{00000000-0005-0000-0000-0000504B0000}"/>
    <cellStyle name="InputCells12 2 3 52" xfId="19281" xr:uid="{00000000-0005-0000-0000-0000514B0000}"/>
    <cellStyle name="InputCells12 2 3 53" xfId="19282" xr:uid="{00000000-0005-0000-0000-0000524B0000}"/>
    <cellStyle name="InputCells12 2 3 54" xfId="19283" xr:uid="{00000000-0005-0000-0000-0000534B0000}"/>
    <cellStyle name="InputCells12 2 3 55" xfId="19284" xr:uid="{00000000-0005-0000-0000-0000544B0000}"/>
    <cellStyle name="InputCells12 2 3 56" xfId="19285" xr:uid="{00000000-0005-0000-0000-0000554B0000}"/>
    <cellStyle name="InputCells12 2 3 57" xfId="19286" xr:uid="{00000000-0005-0000-0000-0000564B0000}"/>
    <cellStyle name="InputCells12 2 3 58" xfId="19287" xr:uid="{00000000-0005-0000-0000-0000574B0000}"/>
    <cellStyle name="InputCells12 2 3 59" xfId="19288" xr:uid="{00000000-0005-0000-0000-0000584B0000}"/>
    <cellStyle name="InputCells12 2 3 6" xfId="19289" xr:uid="{00000000-0005-0000-0000-0000594B0000}"/>
    <cellStyle name="InputCells12 2 3 60" xfId="19290" xr:uid="{00000000-0005-0000-0000-00005A4B0000}"/>
    <cellStyle name="InputCells12 2 3 61" xfId="19291" xr:uid="{00000000-0005-0000-0000-00005B4B0000}"/>
    <cellStyle name="InputCells12 2 3 62" xfId="19292" xr:uid="{00000000-0005-0000-0000-00005C4B0000}"/>
    <cellStyle name="InputCells12 2 3 63" xfId="19293" xr:uid="{00000000-0005-0000-0000-00005D4B0000}"/>
    <cellStyle name="InputCells12 2 3 64" xfId="19294" xr:uid="{00000000-0005-0000-0000-00005E4B0000}"/>
    <cellStyle name="InputCells12 2 3 65" xfId="19295" xr:uid="{00000000-0005-0000-0000-00005F4B0000}"/>
    <cellStyle name="InputCells12 2 3 66" xfId="19296" xr:uid="{00000000-0005-0000-0000-0000604B0000}"/>
    <cellStyle name="InputCells12 2 3 67" xfId="19297" xr:uid="{00000000-0005-0000-0000-0000614B0000}"/>
    <cellStyle name="InputCells12 2 3 68" xfId="19298" xr:uid="{00000000-0005-0000-0000-0000624B0000}"/>
    <cellStyle name="InputCells12 2 3 7" xfId="19299" xr:uid="{00000000-0005-0000-0000-0000634B0000}"/>
    <cellStyle name="InputCells12 2 3 8" xfId="19300" xr:uid="{00000000-0005-0000-0000-0000644B0000}"/>
    <cellStyle name="InputCells12 2 3 9" xfId="19301" xr:uid="{00000000-0005-0000-0000-0000654B0000}"/>
    <cellStyle name="InputCells12 3" xfId="19302" xr:uid="{00000000-0005-0000-0000-0000664B0000}"/>
    <cellStyle name="InputCells12 3 2" xfId="19303" xr:uid="{00000000-0005-0000-0000-0000674B0000}"/>
    <cellStyle name="InputCells12 3 2 10" xfId="19304" xr:uid="{00000000-0005-0000-0000-0000684B0000}"/>
    <cellStyle name="InputCells12 3 2 11" xfId="19305" xr:uid="{00000000-0005-0000-0000-0000694B0000}"/>
    <cellStyle name="InputCells12 3 2 12" xfId="19306" xr:uid="{00000000-0005-0000-0000-00006A4B0000}"/>
    <cellStyle name="InputCells12 3 2 13" xfId="19307" xr:uid="{00000000-0005-0000-0000-00006B4B0000}"/>
    <cellStyle name="InputCells12 3 2 14" xfId="19308" xr:uid="{00000000-0005-0000-0000-00006C4B0000}"/>
    <cellStyle name="InputCells12 3 2 15" xfId="19309" xr:uid="{00000000-0005-0000-0000-00006D4B0000}"/>
    <cellStyle name="InputCells12 3 2 16" xfId="19310" xr:uid="{00000000-0005-0000-0000-00006E4B0000}"/>
    <cellStyle name="InputCells12 3 2 17" xfId="19311" xr:uid="{00000000-0005-0000-0000-00006F4B0000}"/>
    <cellStyle name="InputCells12 3 2 18" xfId="19312" xr:uid="{00000000-0005-0000-0000-0000704B0000}"/>
    <cellStyle name="InputCells12 3 2 19" xfId="19313" xr:uid="{00000000-0005-0000-0000-0000714B0000}"/>
    <cellStyle name="InputCells12 3 2 2" xfId="19314" xr:uid="{00000000-0005-0000-0000-0000724B0000}"/>
    <cellStyle name="InputCells12 3 2 2 10" xfId="19315" xr:uid="{00000000-0005-0000-0000-0000734B0000}"/>
    <cellStyle name="InputCells12 3 2 2 11" xfId="19316" xr:uid="{00000000-0005-0000-0000-0000744B0000}"/>
    <cellStyle name="InputCells12 3 2 2 12" xfId="19317" xr:uid="{00000000-0005-0000-0000-0000754B0000}"/>
    <cellStyle name="InputCells12 3 2 2 13" xfId="19318" xr:uid="{00000000-0005-0000-0000-0000764B0000}"/>
    <cellStyle name="InputCells12 3 2 2 14" xfId="19319" xr:uid="{00000000-0005-0000-0000-0000774B0000}"/>
    <cellStyle name="InputCells12 3 2 2 15" xfId="19320" xr:uid="{00000000-0005-0000-0000-0000784B0000}"/>
    <cellStyle name="InputCells12 3 2 2 16" xfId="19321" xr:uid="{00000000-0005-0000-0000-0000794B0000}"/>
    <cellStyle name="InputCells12 3 2 2 17" xfId="19322" xr:uid="{00000000-0005-0000-0000-00007A4B0000}"/>
    <cellStyle name="InputCells12 3 2 2 18" xfId="19323" xr:uid="{00000000-0005-0000-0000-00007B4B0000}"/>
    <cellStyle name="InputCells12 3 2 2 19" xfId="19324" xr:uid="{00000000-0005-0000-0000-00007C4B0000}"/>
    <cellStyle name="InputCells12 3 2 2 2" xfId="19325" xr:uid="{00000000-0005-0000-0000-00007D4B0000}"/>
    <cellStyle name="InputCells12 3 2 2 20" xfId="19326" xr:uid="{00000000-0005-0000-0000-00007E4B0000}"/>
    <cellStyle name="InputCells12 3 2 2 21" xfId="19327" xr:uid="{00000000-0005-0000-0000-00007F4B0000}"/>
    <cellStyle name="InputCells12 3 2 2 22" xfId="19328" xr:uid="{00000000-0005-0000-0000-0000804B0000}"/>
    <cellStyle name="InputCells12 3 2 2 23" xfId="19329" xr:uid="{00000000-0005-0000-0000-0000814B0000}"/>
    <cellStyle name="InputCells12 3 2 2 24" xfId="19330" xr:uid="{00000000-0005-0000-0000-0000824B0000}"/>
    <cellStyle name="InputCells12 3 2 2 25" xfId="19331" xr:uid="{00000000-0005-0000-0000-0000834B0000}"/>
    <cellStyle name="InputCells12 3 2 2 26" xfId="19332" xr:uid="{00000000-0005-0000-0000-0000844B0000}"/>
    <cellStyle name="InputCells12 3 2 2 27" xfId="19333" xr:uid="{00000000-0005-0000-0000-0000854B0000}"/>
    <cellStyle name="InputCells12 3 2 2 28" xfId="19334" xr:uid="{00000000-0005-0000-0000-0000864B0000}"/>
    <cellStyle name="InputCells12 3 2 2 29" xfId="19335" xr:uid="{00000000-0005-0000-0000-0000874B0000}"/>
    <cellStyle name="InputCells12 3 2 2 3" xfId="19336" xr:uid="{00000000-0005-0000-0000-0000884B0000}"/>
    <cellStyle name="InputCells12 3 2 2 30" xfId="19337" xr:uid="{00000000-0005-0000-0000-0000894B0000}"/>
    <cellStyle name="InputCells12 3 2 2 31" xfId="19338" xr:uid="{00000000-0005-0000-0000-00008A4B0000}"/>
    <cellStyle name="InputCells12 3 2 2 32" xfId="19339" xr:uid="{00000000-0005-0000-0000-00008B4B0000}"/>
    <cellStyle name="InputCells12 3 2 2 33" xfId="19340" xr:uid="{00000000-0005-0000-0000-00008C4B0000}"/>
    <cellStyle name="InputCells12 3 2 2 34" xfId="19341" xr:uid="{00000000-0005-0000-0000-00008D4B0000}"/>
    <cellStyle name="InputCells12 3 2 2 35" xfId="19342" xr:uid="{00000000-0005-0000-0000-00008E4B0000}"/>
    <cellStyle name="InputCells12 3 2 2 36" xfId="19343" xr:uid="{00000000-0005-0000-0000-00008F4B0000}"/>
    <cellStyle name="InputCells12 3 2 2 37" xfId="19344" xr:uid="{00000000-0005-0000-0000-0000904B0000}"/>
    <cellStyle name="InputCells12 3 2 2 38" xfId="19345" xr:uid="{00000000-0005-0000-0000-0000914B0000}"/>
    <cellStyle name="InputCells12 3 2 2 39" xfId="19346" xr:uid="{00000000-0005-0000-0000-0000924B0000}"/>
    <cellStyle name="InputCells12 3 2 2 4" xfId="19347" xr:uid="{00000000-0005-0000-0000-0000934B0000}"/>
    <cellStyle name="InputCells12 3 2 2 40" xfId="19348" xr:uid="{00000000-0005-0000-0000-0000944B0000}"/>
    <cellStyle name="InputCells12 3 2 2 41" xfId="19349" xr:uid="{00000000-0005-0000-0000-0000954B0000}"/>
    <cellStyle name="InputCells12 3 2 2 42" xfId="19350" xr:uid="{00000000-0005-0000-0000-0000964B0000}"/>
    <cellStyle name="InputCells12 3 2 2 43" xfId="19351" xr:uid="{00000000-0005-0000-0000-0000974B0000}"/>
    <cellStyle name="InputCells12 3 2 2 44" xfId="19352" xr:uid="{00000000-0005-0000-0000-0000984B0000}"/>
    <cellStyle name="InputCells12 3 2 2 45" xfId="19353" xr:uid="{00000000-0005-0000-0000-0000994B0000}"/>
    <cellStyle name="InputCells12 3 2 2 46" xfId="19354" xr:uid="{00000000-0005-0000-0000-00009A4B0000}"/>
    <cellStyle name="InputCells12 3 2 2 47" xfId="19355" xr:uid="{00000000-0005-0000-0000-00009B4B0000}"/>
    <cellStyle name="InputCells12 3 2 2 48" xfId="19356" xr:uid="{00000000-0005-0000-0000-00009C4B0000}"/>
    <cellStyle name="InputCells12 3 2 2 49" xfId="19357" xr:uid="{00000000-0005-0000-0000-00009D4B0000}"/>
    <cellStyle name="InputCells12 3 2 2 5" xfId="19358" xr:uid="{00000000-0005-0000-0000-00009E4B0000}"/>
    <cellStyle name="InputCells12 3 2 2 50" xfId="19359" xr:uid="{00000000-0005-0000-0000-00009F4B0000}"/>
    <cellStyle name="InputCells12 3 2 2 51" xfId="19360" xr:uid="{00000000-0005-0000-0000-0000A04B0000}"/>
    <cellStyle name="InputCells12 3 2 2 52" xfId="19361" xr:uid="{00000000-0005-0000-0000-0000A14B0000}"/>
    <cellStyle name="InputCells12 3 2 2 53" xfId="19362" xr:uid="{00000000-0005-0000-0000-0000A24B0000}"/>
    <cellStyle name="InputCells12 3 2 2 54" xfId="19363" xr:uid="{00000000-0005-0000-0000-0000A34B0000}"/>
    <cellStyle name="InputCells12 3 2 2 55" xfId="19364" xr:uid="{00000000-0005-0000-0000-0000A44B0000}"/>
    <cellStyle name="InputCells12 3 2 2 56" xfId="19365" xr:uid="{00000000-0005-0000-0000-0000A54B0000}"/>
    <cellStyle name="InputCells12 3 2 2 57" xfId="19366" xr:uid="{00000000-0005-0000-0000-0000A64B0000}"/>
    <cellStyle name="InputCells12 3 2 2 58" xfId="19367" xr:uid="{00000000-0005-0000-0000-0000A74B0000}"/>
    <cellStyle name="InputCells12 3 2 2 59" xfId="19368" xr:uid="{00000000-0005-0000-0000-0000A84B0000}"/>
    <cellStyle name="InputCells12 3 2 2 6" xfId="19369" xr:uid="{00000000-0005-0000-0000-0000A94B0000}"/>
    <cellStyle name="InputCells12 3 2 2 60" xfId="19370" xr:uid="{00000000-0005-0000-0000-0000AA4B0000}"/>
    <cellStyle name="InputCells12 3 2 2 61" xfId="19371" xr:uid="{00000000-0005-0000-0000-0000AB4B0000}"/>
    <cellStyle name="InputCells12 3 2 2 62" xfId="19372" xr:uid="{00000000-0005-0000-0000-0000AC4B0000}"/>
    <cellStyle name="InputCells12 3 2 2 63" xfId="19373" xr:uid="{00000000-0005-0000-0000-0000AD4B0000}"/>
    <cellStyle name="InputCells12 3 2 2 64" xfId="19374" xr:uid="{00000000-0005-0000-0000-0000AE4B0000}"/>
    <cellStyle name="InputCells12 3 2 2 65" xfId="19375" xr:uid="{00000000-0005-0000-0000-0000AF4B0000}"/>
    <cellStyle name="InputCells12 3 2 2 7" xfId="19376" xr:uid="{00000000-0005-0000-0000-0000B04B0000}"/>
    <cellStyle name="InputCells12 3 2 2 8" xfId="19377" xr:uid="{00000000-0005-0000-0000-0000B14B0000}"/>
    <cellStyle name="InputCells12 3 2 2 9" xfId="19378" xr:uid="{00000000-0005-0000-0000-0000B24B0000}"/>
    <cellStyle name="InputCells12 3 2 20" xfId="19379" xr:uid="{00000000-0005-0000-0000-0000B34B0000}"/>
    <cellStyle name="InputCells12 3 2 21" xfId="19380" xr:uid="{00000000-0005-0000-0000-0000B44B0000}"/>
    <cellStyle name="InputCells12 3 2 22" xfId="19381" xr:uid="{00000000-0005-0000-0000-0000B54B0000}"/>
    <cellStyle name="InputCells12 3 2 23" xfId="19382" xr:uid="{00000000-0005-0000-0000-0000B64B0000}"/>
    <cellStyle name="InputCells12 3 2 24" xfId="19383" xr:uid="{00000000-0005-0000-0000-0000B74B0000}"/>
    <cellStyle name="InputCells12 3 2 25" xfId="19384" xr:uid="{00000000-0005-0000-0000-0000B84B0000}"/>
    <cellStyle name="InputCells12 3 2 26" xfId="19385" xr:uid="{00000000-0005-0000-0000-0000B94B0000}"/>
    <cellStyle name="InputCells12 3 2 27" xfId="19386" xr:uid="{00000000-0005-0000-0000-0000BA4B0000}"/>
    <cellStyle name="InputCells12 3 2 28" xfId="19387" xr:uid="{00000000-0005-0000-0000-0000BB4B0000}"/>
    <cellStyle name="InputCells12 3 2 29" xfId="19388" xr:uid="{00000000-0005-0000-0000-0000BC4B0000}"/>
    <cellStyle name="InputCells12 3 2 3" xfId="19389" xr:uid="{00000000-0005-0000-0000-0000BD4B0000}"/>
    <cellStyle name="InputCells12 3 2 30" xfId="19390" xr:uid="{00000000-0005-0000-0000-0000BE4B0000}"/>
    <cellStyle name="InputCells12 3 2 31" xfId="19391" xr:uid="{00000000-0005-0000-0000-0000BF4B0000}"/>
    <cellStyle name="InputCells12 3 2 32" xfId="19392" xr:uid="{00000000-0005-0000-0000-0000C04B0000}"/>
    <cellStyle name="InputCells12 3 2 33" xfId="19393" xr:uid="{00000000-0005-0000-0000-0000C14B0000}"/>
    <cellStyle name="InputCells12 3 2 34" xfId="19394" xr:uid="{00000000-0005-0000-0000-0000C24B0000}"/>
    <cellStyle name="InputCells12 3 2 35" xfId="19395" xr:uid="{00000000-0005-0000-0000-0000C34B0000}"/>
    <cellStyle name="InputCells12 3 2 36" xfId="19396" xr:uid="{00000000-0005-0000-0000-0000C44B0000}"/>
    <cellStyle name="InputCells12 3 2 37" xfId="19397" xr:uid="{00000000-0005-0000-0000-0000C54B0000}"/>
    <cellStyle name="InputCells12 3 2 38" xfId="19398" xr:uid="{00000000-0005-0000-0000-0000C64B0000}"/>
    <cellStyle name="InputCells12 3 2 39" xfId="19399" xr:uid="{00000000-0005-0000-0000-0000C74B0000}"/>
    <cellStyle name="InputCells12 3 2 4" xfId="19400" xr:uid="{00000000-0005-0000-0000-0000C84B0000}"/>
    <cellStyle name="InputCells12 3 2 40" xfId="19401" xr:uid="{00000000-0005-0000-0000-0000C94B0000}"/>
    <cellStyle name="InputCells12 3 2 41" xfId="19402" xr:uid="{00000000-0005-0000-0000-0000CA4B0000}"/>
    <cellStyle name="InputCells12 3 2 42" xfId="19403" xr:uid="{00000000-0005-0000-0000-0000CB4B0000}"/>
    <cellStyle name="InputCells12 3 2 43" xfId="19404" xr:uid="{00000000-0005-0000-0000-0000CC4B0000}"/>
    <cellStyle name="InputCells12 3 2 44" xfId="19405" xr:uid="{00000000-0005-0000-0000-0000CD4B0000}"/>
    <cellStyle name="InputCells12 3 2 45" xfId="19406" xr:uid="{00000000-0005-0000-0000-0000CE4B0000}"/>
    <cellStyle name="InputCells12 3 2 46" xfId="19407" xr:uid="{00000000-0005-0000-0000-0000CF4B0000}"/>
    <cellStyle name="InputCells12 3 2 47" xfId="19408" xr:uid="{00000000-0005-0000-0000-0000D04B0000}"/>
    <cellStyle name="InputCells12 3 2 48" xfId="19409" xr:uid="{00000000-0005-0000-0000-0000D14B0000}"/>
    <cellStyle name="InputCells12 3 2 49" xfId="19410" xr:uid="{00000000-0005-0000-0000-0000D24B0000}"/>
    <cellStyle name="InputCells12 3 2 5" xfId="19411" xr:uid="{00000000-0005-0000-0000-0000D34B0000}"/>
    <cellStyle name="InputCells12 3 2 50" xfId="19412" xr:uid="{00000000-0005-0000-0000-0000D44B0000}"/>
    <cellStyle name="InputCells12 3 2 51" xfId="19413" xr:uid="{00000000-0005-0000-0000-0000D54B0000}"/>
    <cellStyle name="InputCells12 3 2 52" xfId="19414" xr:uid="{00000000-0005-0000-0000-0000D64B0000}"/>
    <cellStyle name="InputCells12 3 2 53" xfId="19415" xr:uid="{00000000-0005-0000-0000-0000D74B0000}"/>
    <cellStyle name="InputCells12 3 2 54" xfId="19416" xr:uid="{00000000-0005-0000-0000-0000D84B0000}"/>
    <cellStyle name="InputCells12 3 2 55" xfId="19417" xr:uid="{00000000-0005-0000-0000-0000D94B0000}"/>
    <cellStyle name="InputCells12 3 2 56" xfId="19418" xr:uid="{00000000-0005-0000-0000-0000DA4B0000}"/>
    <cellStyle name="InputCells12 3 2 57" xfId="19419" xr:uid="{00000000-0005-0000-0000-0000DB4B0000}"/>
    <cellStyle name="InputCells12 3 2 58" xfId="19420" xr:uid="{00000000-0005-0000-0000-0000DC4B0000}"/>
    <cellStyle name="InputCells12 3 2 59" xfId="19421" xr:uid="{00000000-0005-0000-0000-0000DD4B0000}"/>
    <cellStyle name="InputCells12 3 2 6" xfId="19422" xr:uid="{00000000-0005-0000-0000-0000DE4B0000}"/>
    <cellStyle name="InputCells12 3 2 60" xfId="19423" xr:uid="{00000000-0005-0000-0000-0000DF4B0000}"/>
    <cellStyle name="InputCells12 3 2 61" xfId="19424" xr:uid="{00000000-0005-0000-0000-0000E04B0000}"/>
    <cellStyle name="InputCells12 3 2 62" xfId="19425" xr:uid="{00000000-0005-0000-0000-0000E14B0000}"/>
    <cellStyle name="InputCells12 3 2 63" xfId="19426" xr:uid="{00000000-0005-0000-0000-0000E24B0000}"/>
    <cellStyle name="InputCells12 3 2 64" xfId="19427" xr:uid="{00000000-0005-0000-0000-0000E34B0000}"/>
    <cellStyle name="InputCells12 3 2 65" xfId="19428" xr:uid="{00000000-0005-0000-0000-0000E44B0000}"/>
    <cellStyle name="InputCells12 3 2 66" xfId="19429" xr:uid="{00000000-0005-0000-0000-0000E54B0000}"/>
    <cellStyle name="InputCells12 3 2 7" xfId="19430" xr:uid="{00000000-0005-0000-0000-0000E64B0000}"/>
    <cellStyle name="InputCells12 3 2 8" xfId="19431" xr:uid="{00000000-0005-0000-0000-0000E74B0000}"/>
    <cellStyle name="InputCells12 3 2 9" xfId="19432" xr:uid="{00000000-0005-0000-0000-0000E84B0000}"/>
    <cellStyle name="InputCells12 3 3" xfId="19433" xr:uid="{00000000-0005-0000-0000-0000E94B0000}"/>
    <cellStyle name="InputCells12 3 3 10" xfId="19434" xr:uid="{00000000-0005-0000-0000-0000EA4B0000}"/>
    <cellStyle name="InputCells12 3 3 11" xfId="19435" xr:uid="{00000000-0005-0000-0000-0000EB4B0000}"/>
    <cellStyle name="InputCells12 3 3 12" xfId="19436" xr:uid="{00000000-0005-0000-0000-0000EC4B0000}"/>
    <cellStyle name="InputCells12 3 3 13" xfId="19437" xr:uid="{00000000-0005-0000-0000-0000ED4B0000}"/>
    <cellStyle name="InputCells12 3 3 14" xfId="19438" xr:uid="{00000000-0005-0000-0000-0000EE4B0000}"/>
    <cellStyle name="InputCells12 3 3 15" xfId="19439" xr:uid="{00000000-0005-0000-0000-0000EF4B0000}"/>
    <cellStyle name="InputCells12 3 3 16" xfId="19440" xr:uid="{00000000-0005-0000-0000-0000F04B0000}"/>
    <cellStyle name="InputCells12 3 3 17" xfId="19441" xr:uid="{00000000-0005-0000-0000-0000F14B0000}"/>
    <cellStyle name="InputCells12 3 3 18" xfId="19442" xr:uid="{00000000-0005-0000-0000-0000F24B0000}"/>
    <cellStyle name="InputCells12 3 3 19" xfId="19443" xr:uid="{00000000-0005-0000-0000-0000F34B0000}"/>
    <cellStyle name="InputCells12 3 3 2" xfId="19444" xr:uid="{00000000-0005-0000-0000-0000F44B0000}"/>
    <cellStyle name="InputCells12 3 3 20" xfId="19445" xr:uid="{00000000-0005-0000-0000-0000F54B0000}"/>
    <cellStyle name="InputCells12 3 3 21" xfId="19446" xr:uid="{00000000-0005-0000-0000-0000F64B0000}"/>
    <cellStyle name="InputCells12 3 3 22" xfId="19447" xr:uid="{00000000-0005-0000-0000-0000F74B0000}"/>
    <cellStyle name="InputCells12 3 3 23" xfId="19448" xr:uid="{00000000-0005-0000-0000-0000F84B0000}"/>
    <cellStyle name="InputCells12 3 3 24" xfId="19449" xr:uid="{00000000-0005-0000-0000-0000F94B0000}"/>
    <cellStyle name="InputCells12 3 3 25" xfId="19450" xr:uid="{00000000-0005-0000-0000-0000FA4B0000}"/>
    <cellStyle name="InputCells12 3 3 26" xfId="19451" xr:uid="{00000000-0005-0000-0000-0000FB4B0000}"/>
    <cellStyle name="InputCells12 3 3 27" xfId="19452" xr:uid="{00000000-0005-0000-0000-0000FC4B0000}"/>
    <cellStyle name="InputCells12 3 3 28" xfId="19453" xr:uid="{00000000-0005-0000-0000-0000FD4B0000}"/>
    <cellStyle name="InputCells12 3 3 29" xfId="19454" xr:uid="{00000000-0005-0000-0000-0000FE4B0000}"/>
    <cellStyle name="InputCells12 3 3 3" xfId="19455" xr:uid="{00000000-0005-0000-0000-0000FF4B0000}"/>
    <cellStyle name="InputCells12 3 3 30" xfId="19456" xr:uid="{00000000-0005-0000-0000-0000004C0000}"/>
    <cellStyle name="InputCells12 3 3 31" xfId="19457" xr:uid="{00000000-0005-0000-0000-0000014C0000}"/>
    <cellStyle name="InputCells12 3 3 32" xfId="19458" xr:uid="{00000000-0005-0000-0000-0000024C0000}"/>
    <cellStyle name="InputCells12 3 3 33" xfId="19459" xr:uid="{00000000-0005-0000-0000-0000034C0000}"/>
    <cellStyle name="InputCells12 3 3 34" xfId="19460" xr:uid="{00000000-0005-0000-0000-0000044C0000}"/>
    <cellStyle name="InputCells12 3 3 35" xfId="19461" xr:uid="{00000000-0005-0000-0000-0000054C0000}"/>
    <cellStyle name="InputCells12 3 3 36" xfId="19462" xr:uid="{00000000-0005-0000-0000-0000064C0000}"/>
    <cellStyle name="InputCells12 3 3 37" xfId="19463" xr:uid="{00000000-0005-0000-0000-0000074C0000}"/>
    <cellStyle name="InputCells12 3 3 38" xfId="19464" xr:uid="{00000000-0005-0000-0000-0000084C0000}"/>
    <cellStyle name="InputCells12 3 3 39" xfId="19465" xr:uid="{00000000-0005-0000-0000-0000094C0000}"/>
    <cellStyle name="InputCells12 3 3 4" xfId="19466" xr:uid="{00000000-0005-0000-0000-00000A4C0000}"/>
    <cellStyle name="InputCells12 3 3 40" xfId="19467" xr:uid="{00000000-0005-0000-0000-00000B4C0000}"/>
    <cellStyle name="InputCells12 3 3 41" xfId="19468" xr:uid="{00000000-0005-0000-0000-00000C4C0000}"/>
    <cellStyle name="InputCells12 3 3 42" xfId="19469" xr:uid="{00000000-0005-0000-0000-00000D4C0000}"/>
    <cellStyle name="InputCells12 3 3 43" xfId="19470" xr:uid="{00000000-0005-0000-0000-00000E4C0000}"/>
    <cellStyle name="InputCells12 3 3 44" xfId="19471" xr:uid="{00000000-0005-0000-0000-00000F4C0000}"/>
    <cellStyle name="InputCells12 3 3 45" xfId="19472" xr:uid="{00000000-0005-0000-0000-0000104C0000}"/>
    <cellStyle name="InputCells12 3 3 46" xfId="19473" xr:uid="{00000000-0005-0000-0000-0000114C0000}"/>
    <cellStyle name="InputCells12 3 3 47" xfId="19474" xr:uid="{00000000-0005-0000-0000-0000124C0000}"/>
    <cellStyle name="InputCells12 3 3 48" xfId="19475" xr:uid="{00000000-0005-0000-0000-0000134C0000}"/>
    <cellStyle name="InputCells12 3 3 49" xfId="19476" xr:uid="{00000000-0005-0000-0000-0000144C0000}"/>
    <cellStyle name="InputCells12 3 3 5" xfId="19477" xr:uid="{00000000-0005-0000-0000-0000154C0000}"/>
    <cellStyle name="InputCells12 3 3 50" xfId="19478" xr:uid="{00000000-0005-0000-0000-0000164C0000}"/>
    <cellStyle name="InputCells12 3 3 51" xfId="19479" xr:uid="{00000000-0005-0000-0000-0000174C0000}"/>
    <cellStyle name="InputCells12 3 3 52" xfId="19480" xr:uid="{00000000-0005-0000-0000-0000184C0000}"/>
    <cellStyle name="InputCells12 3 3 53" xfId="19481" xr:uid="{00000000-0005-0000-0000-0000194C0000}"/>
    <cellStyle name="InputCells12 3 3 54" xfId="19482" xr:uid="{00000000-0005-0000-0000-00001A4C0000}"/>
    <cellStyle name="InputCells12 3 3 55" xfId="19483" xr:uid="{00000000-0005-0000-0000-00001B4C0000}"/>
    <cellStyle name="InputCells12 3 3 56" xfId="19484" xr:uid="{00000000-0005-0000-0000-00001C4C0000}"/>
    <cellStyle name="InputCells12 3 3 57" xfId="19485" xr:uid="{00000000-0005-0000-0000-00001D4C0000}"/>
    <cellStyle name="InputCells12 3 3 58" xfId="19486" xr:uid="{00000000-0005-0000-0000-00001E4C0000}"/>
    <cellStyle name="InputCells12 3 3 59" xfId="19487" xr:uid="{00000000-0005-0000-0000-00001F4C0000}"/>
    <cellStyle name="InputCells12 3 3 6" xfId="19488" xr:uid="{00000000-0005-0000-0000-0000204C0000}"/>
    <cellStyle name="InputCells12 3 3 60" xfId="19489" xr:uid="{00000000-0005-0000-0000-0000214C0000}"/>
    <cellStyle name="InputCells12 3 3 61" xfId="19490" xr:uid="{00000000-0005-0000-0000-0000224C0000}"/>
    <cellStyle name="InputCells12 3 3 62" xfId="19491" xr:uid="{00000000-0005-0000-0000-0000234C0000}"/>
    <cellStyle name="InputCells12 3 3 63" xfId="19492" xr:uid="{00000000-0005-0000-0000-0000244C0000}"/>
    <cellStyle name="InputCells12 3 3 64" xfId="19493" xr:uid="{00000000-0005-0000-0000-0000254C0000}"/>
    <cellStyle name="InputCells12 3 3 65" xfId="19494" xr:uid="{00000000-0005-0000-0000-0000264C0000}"/>
    <cellStyle name="InputCells12 3 3 7" xfId="19495" xr:uid="{00000000-0005-0000-0000-0000274C0000}"/>
    <cellStyle name="InputCells12 3 3 8" xfId="19496" xr:uid="{00000000-0005-0000-0000-0000284C0000}"/>
    <cellStyle name="InputCells12 3 3 9" xfId="19497" xr:uid="{00000000-0005-0000-0000-0000294C0000}"/>
    <cellStyle name="InputCells12 4" xfId="19498" xr:uid="{00000000-0005-0000-0000-00002A4C0000}"/>
    <cellStyle name="InputCells12 4 10" xfId="19499" xr:uid="{00000000-0005-0000-0000-00002B4C0000}"/>
    <cellStyle name="InputCells12 4 11" xfId="19500" xr:uid="{00000000-0005-0000-0000-00002C4C0000}"/>
    <cellStyle name="InputCells12 4 12" xfId="19501" xr:uid="{00000000-0005-0000-0000-00002D4C0000}"/>
    <cellStyle name="InputCells12 4 13" xfId="19502" xr:uid="{00000000-0005-0000-0000-00002E4C0000}"/>
    <cellStyle name="InputCells12 4 14" xfId="19503" xr:uid="{00000000-0005-0000-0000-00002F4C0000}"/>
    <cellStyle name="InputCells12 4 15" xfId="19504" xr:uid="{00000000-0005-0000-0000-0000304C0000}"/>
    <cellStyle name="InputCells12 4 16" xfId="19505" xr:uid="{00000000-0005-0000-0000-0000314C0000}"/>
    <cellStyle name="InputCells12 4 17" xfId="19506" xr:uid="{00000000-0005-0000-0000-0000324C0000}"/>
    <cellStyle name="InputCells12 4 18" xfId="19507" xr:uid="{00000000-0005-0000-0000-0000334C0000}"/>
    <cellStyle name="InputCells12 4 19" xfId="19508" xr:uid="{00000000-0005-0000-0000-0000344C0000}"/>
    <cellStyle name="InputCells12 4 2" xfId="19509" xr:uid="{00000000-0005-0000-0000-0000354C0000}"/>
    <cellStyle name="InputCells12 4 2 10" xfId="19510" xr:uid="{00000000-0005-0000-0000-0000364C0000}"/>
    <cellStyle name="InputCells12 4 2 11" xfId="19511" xr:uid="{00000000-0005-0000-0000-0000374C0000}"/>
    <cellStyle name="InputCells12 4 2 12" xfId="19512" xr:uid="{00000000-0005-0000-0000-0000384C0000}"/>
    <cellStyle name="InputCells12 4 2 13" xfId="19513" xr:uid="{00000000-0005-0000-0000-0000394C0000}"/>
    <cellStyle name="InputCells12 4 2 14" xfId="19514" xr:uid="{00000000-0005-0000-0000-00003A4C0000}"/>
    <cellStyle name="InputCells12 4 2 15" xfId="19515" xr:uid="{00000000-0005-0000-0000-00003B4C0000}"/>
    <cellStyle name="InputCells12 4 2 16" xfId="19516" xr:uid="{00000000-0005-0000-0000-00003C4C0000}"/>
    <cellStyle name="InputCells12 4 2 17" xfId="19517" xr:uid="{00000000-0005-0000-0000-00003D4C0000}"/>
    <cellStyle name="InputCells12 4 2 18" xfId="19518" xr:uid="{00000000-0005-0000-0000-00003E4C0000}"/>
    <cellStyle name="InputCells12 4 2 19" xfId="19519" xr:uid="{00000000-0005-0000-0000-00003F4C0000}"/>
    <cellStyle name="InputCells12 4 2 2" xfId="19520" xr:uid="{00000000-0005-0000-0000-0000404C0000}"/>
    <cellStyle name="InputCells12 4 2 2 10" xfId="19521" xr:uid="{00000000-0005-0000-0000-0000414C0000}"/>
    <cellStyle name="InputCells12 4 2 2 11" xfId="19522" xr:uid="{00000000-0005-0000-0000-0000424C0000}"/>
    <cellStyle name="InputCells12 4 2 2 12" xfId="19523" xr:uid="{00000000-0005-0000-0000-0000434C0000}"/>
    <cellStyle name="InputCells12 4 2 2 13" xfId="19524" xr:uid="{00000000-0005-0000-0000-0000444C0000}"/>
    <cellStyle name="InputCells12 4 2 2 14" xfId="19525" xr:uid="{00000000-0005-0000-0000-0000454C0000}"/>
    <cellStyle name="InputCells12 4 2 2 15" xfId="19526" xr:uid="{00000000-0005-0000-0000-0000464C0000}"/>
    <cellStyle name="InputCells12 4 2 2 16" xfId="19527" xr:uid="{00000000-0005-0000-0000-0000474C0000}"/>
    <cellStyle name="InputCells12 4 2 2 17" xfId="19528" xr:uid="{00000000-0005-0000-0000-0000484C0000}"/>
    <cellStyle name="InputCells12 4 2 2 18" xfId="19529" xr:uid="{00000000-0005-0000-0000-0000494C0000}"/>
    <cellStyle name="InputCells12 4 2 2 19" xfId="19530" xr:uid="{00000000-0005-0000-0000-00004A4C0000}"/>
    <cellStyle name="InputCells12 4 2 2 2" xfId="19531" xr:uid="{00000000-0005-0000-0000-00004B4C0000}"/>
    <cellStyle name="InputCells12 4 2 2 20" xfId="19532" xr:uid="{00000000-0005-0000-0000-00004C4C0000}"/>
    <cellStyle name="InputCells12 4 2 2 21" xfId="19533" xr:uid="{00000000-0005-0000-0000-00004D4C0000}"/>
    <cellStyle name="InputCells12 4 2 2 22" xfId="19534" xr:uid="{00000000-0005-0000-0000-00004E4C0000}"/>
    <cellStyle name="InputCells12 4 2 2 23" xfId="19535" xr:uid="{00000000-0005-0000-0000-00004F4C0000}"/>
    <cellStyle name="InputCells12 4 2 2 24" xfId="19536" xr:uid="{00000000-0005-0000-0000-0000504C0000}"/>
    <cellStyle name="InputCells12 4 2 2 25" xfId="19537" xr:uid="{00000000-0005-0000-0000-0000514C0000}"/>
    <cellStyle name="InputCells12 4 2 2 26" xfId="19538" xr:uid="{00000000-0005-0000-0000-0000524C0000}"/>
    <cellStyle name="InputCells12 4 2 2 27" xfId="19539" xr:uid="{00000000-0005-0000-0000-0000534C0000}"/>
    <cellStyle name="InputCells12 4 2 2 28" xfId="19540" xr:uid="{00000000-0005-0000-0000-0000544C0000}"/>
    <cellStyle name="InputCells12 4 2 2 29" xfId="19541" xr:uid="{00000000-0005-0000-0000-0000554C0000}"/>
    <cellStyle name="InputCells12 4 2 2 3" xfId="19542" xr:uid="{00000000-0005-0000-0000-0000564C0000}"/>
    <cellStyle name="InputCells12 4 2 2 30" xfId="19543" xr:uid="{00000000-0005-0000-0000-0000574C0000}"/>
    <cellStyle name="InputCells12 4 2 2 31" xfId="19544" xr:uid="{00000000-0005-0000-0000-0000584C0000}"/>
    <cellStyle name="InputCells12 4 2 2 32" xfId="19545" xr:uid="{00000000-0005-0000-0000-0000594C0000}"/>
    <cellStyle name="InputCells12 4 2 2 33" xfId="19546" xr:uid="{00000000-0005-0000-0000-00005A4C0000}"/>
    <cellStyle name="InputCells12 4 2 2 34" xfId="19547" xr:uid="{00000000-0005-0000-0000-00005B4C0000}"/>
    <cellStyle name="InputCells12 4 2 2 35" xfId="19548" xr:uid="{00000000-0005-0000-0000-00005C4C0000}"/>
    <cellStyle name="InputCells12 4 2 2 36" xfId="19549" xr:uid="{00000000-0005-0000-0000-00005D4C0000}"/>
    <cellStyle name="InputCells12 4 2 2 37" xfId="19550" xr:uid="{00000000-0005-0000-0000-00005E4C0000}"/>
    <cellStyle name="InputCells12 4 2 2 38" xfId="19551" xr:uid="{00000000-0005-0000-0000-00005F4C0000}"/>
    <cellStyle name="InputCells12 4 2 2 39" xfId="19552" xr:uid="{00000000-0005-0000-0000-0000604C0000}"/>
    <cellStyle name="InputCells12 4 2 2 4" xfId="19553" xr:uid="{00000000-0005-0000-0000-0000614C0000}"/>
    <cellStyle name="InputCells12 4 2 2 40" xfId="19554" xr:uid="{00000000-0005-0000-0000-0000624C0000}"/>
    <cellStyle name="InputCells12 4 2 2 41" xfId="19555" xr:uid="{00000000-0005-0000-0000-0000634C0000}"/>
    <cellStyle name="InputCells12 4 2 2 42" xfId="19556" xr:uid="{00000000-0005-0000-0000-0000644C0000}"/>
    <cellStyle name="InputCells12 4 2 2 43" xfId="19557" xr:uid="{00000000-0005-0000-0000-0000654C0000}"/>
    <cellStyle name="InputCells12 4 2 2 44" xfId="19558" xr:uid="{00000000-0005-0000-0000-0000664C0000}"/>
    <cellStyle name="InputCells12 4 2 2 45" xfId="19559" xr:uid="{00000000-0005-0000-0000-0000674C0000}"/>
    <cellStyle name="InputCells12 4 2 2 46" xfId="19560" xr:uid="{00000000-0005-0000-0000-0000684C0000}"/>
    <cellStyle name="InputCells12 4 2 2 47" xfId="19561" xr:uid="{00000000-0005-0000-0000-0000694C0000}"/>
    <cellStyle name="InputCells12 4 2 2 48" xfId="19562" xr:uid="{00000000-0005-0000-0000-00006A4C0000}"/>
    <cellStyle name="InputCells12 4 2 2 49" xfId="19563" xr:uid="{00000000-0005-0000-0000-00006B4C0000}"/>
    <cellStyle name="InputCells12 4 2 2 5" xfId="19564" xr:uid="{00000000-0005-0000-0000-00006C4C0000}"/>
    <cellStyle name="InputCells12 4 2 2 50" xfId="19565" xr:uid="{00000000-0005-0000-0000-00006D4C0000}"/>
    <cellStyle name="InputCells12 4 2 2 51" xfId="19566" xr:uid="{00000000-0005-0000-0000-00006E4C0000}"/>
    <cellStyle name="InputCells12 4 2 2 52" xfId="19567" xr:uid="{00000000-0005-0000-0000-00006F4C0000}"/>
    <cellStyle name="InputCells12 4 2 2 53" xfId="19568" xr:uid="{00000000-0005-0000-0000-0000704C0000}"/>
    <cellStyle name="InputCells12 4 2 2 54" xfId="19569" xr:uid="{00000000-0005-0000-0000-0000714C0000}"/>
    <cellStyle name="InputCells12 4 2 2 55" xfId="19570" xr:uid="{00000000-0005-0000-0000-0000724C0000}"/>
    <cellStyle name="InputCells12 4 2 2 56" xfId="19571" xr:uid="{00000000-0005-0000-0000-0000734C0000}"/>
    <cellStyle name="InputCells12 4 2 2 57" xfId="19572" xr:uid="{00000000-0005-0000-0000-0000744C0000}"/>
    <cellStyle name="InputCells12 4 2 2 58" xfId="19573" xr:uid="{00000000-0005-0000-0000-0000754C0000}"/>
    <cellStyle name="InputCells12 4 2 2 59" xfId="19574" xr:uid="{00000000-0005-0000-0000-0000764C0000}"/>
    <cellStyle name="InputCells12 4 2 2 6" xfId="19575" xr:uid="{00000000-0005-0000-0000-0000774C0000}"/>
    <cellStyle name="InputCells12 4 2 2 60" xfId="19576" xr:uid="{00000000-0005-0000-0000-0000784C0000}"/>
    <cellStyle name="InputCells12 4 2 2 61" xfId="19577" xr:uid="{00000000-0005-0000-0000-0000794C0000}"/>
    <cellStyle name="InputCells12 4 2 2 62" xfId="19578" xr:uid="{00000000-0005-0000-0000-00007A4C0000}"/>
    <cellStyle name="InputCells12 4 2 2 63" xfId="19579" xr:uid="{00000000-0005-0000-0000-00007B4C0000}"/>
    <cellStyle name="InputCells12 4 2 2 64" xfId="19580" xr:uid="{00000000-0005-0000-0000-00007C4C0000}"/>
    <cellStyle name="InputCells12 4 2 2 65" xfId="19581" xr:uid="{00000000-0005-0000-0000-00007D4C0000}"/>
    <cellStyle name="InputCells12 4 2 2 7" xfId="19582" xr:uid="{00000000-0005-0000-0000-00007E4C0000}"/>
    <cellStyle name="InputCells12 4 2 2 8" xfId="19583" xr:uid="{00000000-0005-0000-0000-00007F4C0000}"/>
    <cellStyle name="InputCells12 4 2 2 9" xfId="19584" xr:uid="{00000000-0005-0000-0000-0000804C0000}"/>
    <cellStyle name="InputCells12 4 2 20" xfId="19585" xr:uid="{00000000-0005-0000-0000-0000814C0000}"/>
    <cellStyle name="InputCells12 4 2 21" xfId="19586" xr:uid="{00000000-0005-0000-0000-0000824C0000}"/>
    <cellStyle name="InputCells12 4 2 22" xfId="19587" xr:uid="{00000000-0005-0000-0000-0000834C0000}"/>
    <cellStyle name="InputCells12 4 2 23" xfId="19588" xr:uid="{00000000-0005-0000-0000-0000844C0000}"/>
    <cellStyle name="InputCells12 4 2 24" xfId="19589" xr:uid="{00000000-0005-0000-0000-0000854C0000}"/>
    <cellStyle name="InputCells12 4 2 25" xfId="19590" xr:uid="{00000000-0005-0000-0000-0000864C0000}"/>
    <cellStyle name="InputCells12 4 2 26" xfId="19591" xr:uid="{00000000-0005-0000-0000-0000874C0000}"/>
    <cellStyle name="InputCells12 4 2 27" xfId="19592" xr:uid="{00000000-0005-0000-0000-0000884C0000}"/>
    <cellStyle name="InputCells12 4 2 28" xfId="19593" xr:uid="{00000000-0005-0000-0000-0000894C0000}"/>
    <cellStyle name="InputCells12 4 2 29" xfId="19594" xr:uid="{00000000-0005-0000-0000-00008A4C0000}"/>
    <cellStyle name="InputCells12 4 2 3" xfId="19595" xr:uid="{00000000-0005-0000-0000-00008B4C0000}"/>
    <cellStyle name="InputCells12 4 2 30" xfId="19596" xr:uid="{00000000-0005-0000-0000-00008C4C0000}"/>
    <cellStyle name="InputCells12 4 2 31" xfId="19597" xr:uid="{00000000-0005-0000-0000-00008D4C0000}"/>
    <cellStyle name="InputCells12 4 2 32" xfId="19598" xr:uid="{00000000-0005-0000-0000-00008E4C0000}"/>
    <cellStyle name="InputCells12 4 2 33" xfId="19599" xr:uid="{00000000-0005-0000-0000-00008F4C0000}"/>
    <cellStyle name="InputCells12 4 2 34" xfId="19600" xr:uid="{00000000-0005-0000-0000-0000904C0000}"/>
    <cellStyle name="InputCells12 4 2 35" xfId="19601" xr:uid="{00000000-0005-0000-0000-0000914C0000}"/>
    <cellStyle name="InputCells12 4 2 36" xfId="19602" xr:uid="{00000000-0005-0000-0000-0000924C0000}"/>
    <cellStyle name="InputCells12 4 2 37" xfId="19603" xr:uid="{00000000-0005-0000-0000-0000934C0000}"/>
    <cellStyle name="InputCells12 4 2 38" xfId="19604" xr:uid="{00000000-0005-0000-0000-0000944C0000}"/>
    <cellStyle name="InputCells12 4 2 39" xfId="19605" xr:uid="{00000000-0005-0000-0000-0000954C0000}"/>
    <cellStyle name="InputCells12 4 2 4" xfId="19606" xr:uid="{00000000-0005-0000-0000-0000964C0000}"/>
    <cellStyle name="InputCells12 4 2 40" xfId="19607" xr:uid="{00000000-0005-0000-0000-0000974C0000}"/>
    <cellStyle name="InputCells12 4 2 41" xfId="19608" xr:uid="{00000000-0005-0000-0000-0000984C0000}"/>
    <cellStyle name="InputCells12 4 2 42" xfId="19609" xr:uid="{00000000-0005-0000-0000-0000994C0000}"/>
    <cellStyle name="InputCells12 4 2 43" xfId="19610" xr:uid="{00000000-0005-0000-0000-00009A4C0000}"/>
    <cellStyle name="InputCells12 4 2 44" xfId="19611" xr:uid="{00000000-0005-0000-0000-00009B4C0000}"/>
    <cellStyle name="InputCells12 4 2 45" xfId="19612" xr:uid="{00000000-0005-0000-0000-00009C4C0000}"/>
    <cellStyle name="InputCells12 4 2 46" xfId="19613" xr:uid="{00000000-0005-0000-0000-00009D4C0000}"/>
    <cellStyle name="InputCells12 4 2 47" xfId="19614" xr:uid="{00000000-0005-0000-0000-00009E4C0000}"/>
    <cellStyle name="InputCells12 4 2 48" xfId="19615" xr:uid="{00000000-0005-0000-0000-00009F4C0000}"/>
    <cellStyle name="InputCells12 4 2 49" xfId="19616" xr:uid="{00000000-0005-0000-0000-0000A04C0000}"/>
    <cellStyle name="InputCells12 4 2 5" xfId="19617" xr:uid="{00000000-0005-0000-0000-0000A14C0000}"/>
    <cellStyle name="InputCells12 4 2 50" xfId="19618" xr:uid="{00000000-0005-0000-0000-0000A24C0000}"/>
    <cellStyle name="InputCells12 4 2 51" xfId="19619" xr:uid="{00000000-0005-0000-0000-0000A34C0000}"/>
    <cellStyle name="InputCells12 4 2 52" xfId="19620" xr:uid="{00000000-0005-0000-0000-0000A44C0000}"/>
    <cellStyle name="InputCells12 4 2 53" xfId="19621" xr:uid="{00000000-0005-0000-0000-0000A54C0000}"/>
    <cellStyle name="InputCells12 4 2 54" xfId="19622" xr:uid="{00000000-0005-0000-0000-0000A64C0000}"/>
    <cellStyle name="InputCells12 4 2 55" xfId="19623" xr:uid="{00000000-0005-0000-0000-0000A74C0000}"/>
    <cellStyle name="InputCells12 4 2 56" xfId="19624" xr:uid="{00000000-0005-0000-0000-0000A84C0000}"/>
    <cellStyle name="InputCells12 4 2 57" xfId="19625" xr:uid="{00000000-0005-0000-0000-0000A94C0000}"/>
    <cellStyle name="InputCells12 4 2 58" xfId="19626" xr:uid="{00000000-0005-0000-0000-0000AA4C0000}"/>
    <cellStyle name="InputCells12 4 2 59" xfId="19627" xr:uid="{00000000-0005-0000-0000-0000AB4C0000}"/>
    <cellStyle name="InputCells12 4 2 6" xfId="19628" xr:uid="{00000000-0005-0000-0000-0000AC4C0000}"/>
    <cellStyle name="InputCells12 4 2 60" xfId="19629" xr:uid="{00000000-0005-0000-0000-0000AD4C0000}"/>
    <cellStyle name="InputCells12 4 2 61" xfId="19630" xr:uid="{00000000-0005-0000-0000-0000AE4C0000}"/>
    <cellStyle name="InputCells12 4 2 62" xfId="19631" xr:uid="{00000000-0005-0000-0000-0000AF4C0000}"/>
    <cellStyle name="InputCells12 4 2 63" xfId="19632" xr:uid="{00000000-0005-0000-0000-0000B04C0000}"/>
    <cellStyle name="InputCells12 4 2 64" xfId="19633" xr:uid="{00000000-0005-0000-0000-0000B14C0000}"/>
    <cellStyle name="InputCells12 4 2 65" xfId="19634" xr:uid="{00000000-0005-0000-0000-0000B24C0000}"/>
    <cellStyle name="InputCells12 4 2 66" xfId="19635" xr:uid="{00000000-0005-0000-0000-0000B34C0000}"/>
    <cellStyle name="InputCells12 4 2 7" xfId="19636" xr:uid="{00000000-0005-0000-0000-0000B44C0000}"/>
    <cellStyle name="InputCells12 4 2 8" xfId="19637" xr:uid="{00000000-0005-0000-0000-0000B54C0000}"/>
    <cellStyle name="InputCells12 4 2 9" xfId="19638" xr:uid="{00000000-0005-0000-0000-0000B64C0000}"/>
    <cellStyle name="InputCells12 4 20" xfId="19639" xr:uid="{00000000-0005-0000-0000-0000B74C0000}"/>
    <cellStyle name="InputCells12 4 21" xfId="19640" xr:uid="{00000000-0005-0000-0000-0000B84C0000}"/>
    <cellStyle name="InputCells12 4 22" xfId="19641" xr:uid="{00000000-0005-0000-0000-0000B94C0000}"/>
    <cellStyle name="InputCells12 4 23" xfId="19642" xr:uid="{00000000-0005-0000-0000-0000BA4C0000}"/>
    <cellStyle name="InputCells12 4 24" xfId="19643" xr:uid="{00000000-0005-0000-0000-0000BB4C0000}"/>
    <cellStyle name="InputCells12 4 25" xfId="19644" xr:uid="{00000000-0005-0000-0000-0000BC4C0000}"/>
    <cellStyle name="InputCells12 4 26" xfId="19645" xr:uid="{00000000-0005-0000-0000-0000BD4C0000}"/>
    <cellStyle name="InputCells12 4 27" xfId="19646" xr:uid="{00000000-0005-0000-0000-0000BE4C0000}"/>
    <cellStyle name="InputCells12 4 28" xfId="19647" xr:uid="{00000000-0005-0000-0000-0000BF4C0000}"/>
    <cellStyle name="InputCells12 4 29" xfId="19648" xr:uid="{00000000-0005-0000-0000-0000C04C0000}"/>
    <cellStyle name="InputCells12 4 3" xfId="19649" xr:uid="{00000000-0005-0000-0000-0000C14C0000}"/>
    <cellStyle name="InputCells12 4 3 10" xfId="19650" xr:uid="{00000000-0005-0000-0000-0000C24C0000}"/>
    <cellStyle name="InputCells12 4 3 11" xfId="19651" xr:uid="{00000000-0005-0000-0000-0000C34C0000}"/>
    <cellStyle name="InputCells12 4 3 12" xfId="19652" xr:uid="{00000000-0005-0000-0000-0000C44C0000}"/>
    <cellStyle name="InputCells12 4 3 13" xfId="19653" xr:uid="{00000000-0005-0000-0000-0000C54C0000}"/>
    <cellStyle name="InputCells12 4 3 14" xfId="19654" xr:uid="{00000000-0005-0000-0000-0000C64C0000}"/>
    <cellStyle name="InputCells12 4 3 15" xfId="19655" xr:uid="{00000000-0005-0000-0000-0000C74C0000}"/>
    <cellStyle name="InputCells12 4 3 16" xfId="19656" xr:uid="{00000000-0005-0000-0000-0000C84C0000}"/>
    <cellStyle name="InputCells12 4 3 17" xfId="19657" xr:uid="{00000000-0005-0000-0000-0000C94C0000}"/>
    <cellStyle name="InputCells12 4 3 18" xfId="19658" xr:uid="{00000000-0005-0000-0000-0000CA4C0000}"/>
    <cellStyle name="InputCells12 4 3 19" xfId="19659" xr:uid="{00000000-0005-0000-0000-0000CB4C0000}"/>
    <cellStyle name="InputCells12 4 3 2" xfId="19660" xr:uid="{00000000-0005-0000-0000-0000CC4C0000}"/>
    <cellStyle name="InputCells12 4 3 2 10" xfId="19661" xr:uid="{00000000-0005-0000-0000-0000CD4C0000}"/>
    <cellStyle name="InputCells12 4 3 2 11" xfId="19662" xr:uid="{00000000-0005-0000-0000-0000CE4C0000}"/>
    <cellStyle name="InputCells12 4 3 2 12" xfId="19663" xr:uid="{00000000-0005-0000-0000-0000CF4C0000}"/>
    <cellStyle name="InputCells12 4 3 2 13" xfId="19664" xr:uid="{00000000-0005-0000-0000-0000D04C0000}"/>
    <cellStyle name="InputCells12 4 3 2 14" xfId="19665" xr:uid="{00000000-0005-0000-0000-0000D14C0000}"/>
    <cellStyle name="InputCells12 4 3 2 15" xfId="19666" xr:uid="{00000000-0005-0000-0000-0000D24C0000}"/>
    <cellStyle name="InputCells12 4 3 2 16" xfId="19667" xr:uid="{00000000-0005-0000-0000-0000D34C0000}"/>
    <cellStyle name="InputCells12 4 3 2 17" xfId="19668" xr:uid="{00000000-0005-0000-0000-0000D44C0000}"/>
    <cellStyle name="InputCells12 4 3 2 18" xfId="19669" xr:uid="{00000000-0005-0000-0000-0000D54C0000}"/>
    <cellStyle name="InputCells12 4 3 2 19" xfId="19670" xr:uid="{00000000-0005-0000-0000-0000D64C0000}"/>
    <cellStyle name="InputCells12 4 3 2 2" xfId="19671" xr:uid="{00000000-0005-0000-0000-0000D74C0000}"/>
    <cellStyle name="InputCells12 4 3 2 20" xfId="19672" xr:uid="{00000000-0005-0000-0000-0000D84C0000}"/>
    <cellStyle name="InputCells12 4 3 2 21" xfId="19673" xr:uid="{00000000-0005-0000-0000-0000D94C0000}"/>
    <cellStyle name="InputCells12 4 3 2 22" xfId="19674" xr:uid="{00000000-0005-0000-0000-0000DA4C0000}"/>
    <cellStyle name="InputCells12 4 3 2 23" xfId="19675" xr:uid="{00000000-0005-0000-0000-0000DB4C0000}"/>
    <cellStyle name="InputCells12 4 3 2 24" xfId="19676" xr:uid="{00000000-0005-0000-0000-0000DC4C0000}"/>
    <cellStyle name="InputCells12 4 3 2 25" xfId="19677" xr:uid="{00000000-0005-0000-0000-0000DD4C0000}"/>
    <cellStyle name="InputCells12 4 3 2 26" xfId="19678" xr:uid="{00000000-0005-0000-0000-0000DE4C0000}"/>
    <cellStyle name="InputCells12 4 3 2 27" xfId="19679" xr:uid="{00000000-0005-0000-0000-0000DF4C0000}"/>
    <cellStyle name="InputCells12 4 3 2 28" xfId="19680" xr:uid="{00000000-0005-0000-0000-0000E04C0000}"/>
    <cellStyle name="InputCells12 4 3 2 29" xfId="19681" xr:uid="{00000000-0005-0000-0000-0000E14C0000}"/>
    <cellStyle name="InputCells12 4 3 2 3" xfId="19682" xr:uid="{00000000-0005-0000-0000-0000E24C0000}"/>
    <cellStyle name="InputCells12 4 3 2 30" xfId="19683" xr:uid="{00000000-0005-0000-0000-0000E34C0000}"/>
    <cellStyle name="InputCells12 4 3 2 31" xfId="19684" xr:uid="{00000000-0005-0000-0000-0000E44C0000}"/>
    <cellStyle name="InputCells12 4 3 2 32" xfId="19685" xr:uid="{00000000-0005-0000-0000-0000E54C0000}"/>
    <cellStyle name="InputCells12 4 3 2 33" xfId="19686" xr:uid="{00000000-0005-0000-0000-0000E64C0000}"/>
    <cellStyle name="InputCells12 4 3 2 34" xfId="19687" xr:uid="{00000000-0005-0000-0000-0000E74C0000}"/>
    <cellStyle name="InputCells12 4 3 2 35" xfId="19688" xr:uid="{00000000-0005-0000-0000-0000E84C0000}"/>
    <cellStyle name="InputCells12 4 3 2 36" xfId="19689" xr:uid="{00000000-0005-0000-0000-0000E94C0000}"/>
    <cellStyle name="InputCells12 4 3 2 37" xfId="19690" xr:uid="{00000000-0005-0000-0000-0000EA4C0000}"/>
    <cellStyle name="InputCells12 4 3 2 38" xfId="19691" xr:uid="{00000000-0005-0000-0000-0000EB4C0000}"/>
    <cellStyle name="InputCells12 4 3 2 39" xfId="19692" xr:uid="{00000000-0005-0000-0000-0000EC4C0000}"/>
    <cellStyle name="InputCells12 4 3 2 4" xfId="19693" xr:uid="{00000000-0005-0000-0000-0000ED4C0000}"/>
    <cellStyle name="InputCells12 4 3 2 40" xfId="19694" xr:uid="{00000000-0005-0000-0000-0000EE4C0000}"/>
    <cellStyle name="InputCells12 4 3 2 41" xfId="19695" xr:uid="{00000000-0005-0000-0000-0000EF4C0000}"/>
    <cellStyle name="InputCells12 4 3 2 42" xfId="19696" xr:uid="{00000000-0005-0000-0000-0000F04C0000}"/>
    <cellStyle name="InputCells12 4 3 2 43" xfId="19697" xr:uid="{00000000-0005-0000-0000-0000F14C0000}"/>
    <cellStyle name="InputCells12 4 3 2 44" xfId="19698" xr:uid="{00000000-0005-0000-0000-0000F24C0000}"/>
    <cellStyle name="InputCells12 4 3 2 45" xfId="19699" xr:uid="{00000000-0005-0000-0000-0000F34C0000}"/>
    <cellStyle name="InputCells12 4 3 2 46" xfId="19700" xr:uid="{00000000-0005-0000-0000-0000F44C0000}"/>
    <cellStyle name="InputCells12 4 3 2 47" xfId="19701" xr:uid="{00000000-0005-0000-0000-0000F54C0000}"/>
    <cellStyle name="InputCells12 4 3 2 48" xfId="19702" xr:uid="{00000000-0005-0000-0000-0000F64C0000}"/>
    <cellStyle name="InputCells12 4 3 2 49" xfId="19703" xr:uid="{00000000-0005-0000-0000-0000F74C0000}"/>
    <cellStyle name="InputCells12 4 3 2 5" xfId="19704" xr:uid="{00000000-0005-0000-0000-0000F84C0000}"/>
    <cellStyle name="InputCells12 4 3 2 50" xfId="19705" xr:uid="{00000000-0005-0000-0000-0000F94C0000}"/>
    <cellStyle name="InputCells12 4 3 2 51" xfId="19706" xr:uid="{00000000-0005-0000-0000-0000FA4C0000}"/>
    <cellStyle name="InputCells12 4 3 2 52" xfId="19707" xr:uid="{00000000-0005-0000-0000-0000FB4C0000}"/>
    <cellStyle name="InputCells12 4 3 2 53" xfId="19708" xr:uid="{00000000-0005-0000-0000-0000FC4C0000}"/>
    <cellStyle name="InputCells12 4 3 2 54" xfId="19709" xr:uid="{00000000-0005-0000-0000-0000FD4C0000}"/>
    <cellStyle name="InputCells12 4 3 2 55" xfId="19710" xr:uid="{00000000-0005-0000-0000-0000FE4C0000}"/>
    <cellStyle name="InputCells12 4 3 2 56" xfId="19711" xr:uid="{00000000-0005-0000-0000-0000FF4C0000}"/>
    <cellStyle name="InputCells12 4 3 2 57" xfId="19712" xr:uid="{00000000-0005-0000-0000-0000004D0000}"/>
    <cellStyle name="InputCells12 4 3 2 58" xfId="19713" xr:uid="{00000000-0005-0000-0000-0000014D0000}"/>
    <cellStyle name="InputCells12 4 3 2 59" xfId="19714" xr:uid="{00000000-0005-0000-0000-0000024D0000}"/>
    <cellStyle name="InputCells12 4 3 2 6" xfId="19715" xr:uid="{00000000-0005-0000-0000-0000034D0000}"/>
    <cellStyle name="InputCells12 4 3 2 60" xfId="19716" xr:uid="{00000000-0005-0000-0000-0000044D0000}"/>
    <cellStyle name="InputCells12 4 3 2 61" xfId="19717" xr:uid="{00000000-0005-0000-0000-0000054D0000}"/>
    <cellStyle name="InputCells12 4 3 2 62" xfId="19718" xr:uid="{00000000-0005-0000-0000-0000064D0000}"/>
    <cellStyle name="InputCells12 4 3 2 63" xfId="19719" xr:uid="{00000000-0005-0000-0000-0000074D0000}"/>
    <cellStyle name="InputCells12 4 3 2 64" xfId="19720" xr:uid="{00000000-0005-0000-0000-0000084D0000}"/>
    <cellStyle name="InputCells12 4 3 2 65" xfId="19721" xr:uid="{00000000-0005-0000-0000-0000094D0000}"/>
    <cellStyle name="InputCells12 4 3 2 7" xfId="19722" xr:uid="{00000000-0005-0000-0000-00000A4D0000}"/>
    <cellStyle name="InputCells12 4 3 2 8" xfId="19723" xr:uid="{00000000-0005-0000-0000-00000B4D0000}"/>
    <cellStyle name="InputCells12 4 3 2 9" xfId="19724" xr:uid="{00000000-0005-0000-0000-00000C4D0000}"/>
    <cellStyle name="InputCells12 4 3 20" xfId="19725" xr:uid="{00000000-0005-0000-0000-00000D4D0000}"/>
    <cellStyle name="InputCells12 4 3 21" xfId="19726" xr:uid="{00000000-0005-0000-0000-00000E4D0000}"/>
    <cellStyle name="InputCells12 4 3 22" xfId="19727" xr:uid="{00000000-0005-0000-0000-00000F4D0000}"/>
    <cellStyle name="InputCells12 4 3 23" xfId="19728" xr:uid="{00000000-0005-0000-0000-0000104D0000}"/>
    <cellStyle name="InputCells12 4 3 24" xfId="19729" xr:uid="{00000000-0005-0000-0000-0000114D0000}"/>
    <cellStyle name="InputCells12 4 3 25" xfId="19730" xr:uid="{00000000-0005-0000-0000-0000124D0000}"/>
    <cellStyle name="InputCells12 4 3 26" xfId="19731" xr:uid="{00000000-0005-0000-0000-0000134D0000}"/>
    <cellStyle name="InputCells12 4 3 27" xfId="19732" xr:uid="{00000000-0005-0000-0000-0000144D0000}"/>
    <cellStyle name="InputCells12 4 3 28" xfId="19733" xr:uid="{00000000-0005-0000-0000-0000154D0000}"/>
    <cellStyle name="InputCells12 4 3 29" xfId="19734" xr:uid="{00000000-0005-0000-0000-0000164D0000}"/>
    <cellStyle name="InputCells12 4 3 3" xfId="19735" xr:uid="{00000000-0005-0000-0000-0000174D0000}"/>
    <cellStyle name="InputCells12 4 3 30" xfId="19736" xr:uid="{00000000-0005-0000-0000-0000184D0000}"/>
    <cellStyle name="InputCells12 4 3 31" xfId="19737" xr:uid="{00000000-0005-0000-0000-0000194D0000}"/>
    <cellStyle name="InputCells12 4 3 32" xfId="19738" xr:uid="{00000000-0005-0000-0000-00001A4D0000}"/>
    <cellStyle name="InputCells12 4 3 33" xfId="19739" xr:uid="{00000000-0005-0000-0000-00001B4D0000}"/>
    <cellStyle name="InputCells12 4 3 34" xfId="19740" xr:uid="{00000000-0005-0000-0000-00001C4D0000}"/>
    <cellStyle name="InputCells12 4 3 35" xfId="19741" xr:uid="{00000000-0005-0000-0000-00001D4D0000}"/>
    <cellStyle name="InputCells12 4 3 36" xfId="19742" xr:uid="{00000000-0005-0000-0000-00001E4D0000}"/>
    <cellStyle name="InputCells12 4 3 37" xfId="19743" xr:uid="{00000000-0005-0000-0000-00001F4D0000}"/>
    <cellStyle name="InputCells12 4 3 38" xfId="19744" xr:uid="{00000000-0005-0000-0000-0000204D0000}"/>
    <cellStyle name="InputCells12 4 3 39" xfId="19745" xr:uid="{00000000-0005-0000-0000-0000214D0000}"/>
    <cellStyle name="InputCells12 4 3 4" xfId="19746" xr:uid="{00000000-0005-0000-0000-0000224D0000}"/>
    <cellStyle name="InputCells12 4 3 40" xfId="19747" xr:uid="{00000000-0005-0000-0000-0000234D0000}"/>
    <cellStyle name="InputCells12 4 3 41" xfId="19748" xr:uid="{00000000-0005-0000-0000-0000244D0000}"/>
    <cellStyle name="InputCells12 4 3 42" xfId="19749" xr:uid="{00000000-0005-0000-0000-0000254D0000}"/>
    <cellStyle name="InputCells12 4 3 43" xfId="19750" xr:uid="{00000000-0005-0000-0000-0000264D0000}"/>
    <cellStyle name="InputCells12 4 3 44" xfId="19751" xr:uid="{00000000-0005-0000-0000-0000274D0000}"/>
    <cellStyle name="InputCells12 4 3 45" xfId="19752" xr:uid="{00000000-0005-0000-0000-0000284D0000}"/>
    <cellStyle name="InputCells12 4 3 46" xfId="19753" xr:uid="{00000000-0005-0000-0000-0000294D0000}"/>
    <cellStyle name="InputCells12 4 3 47" xfId="19754" xr:uid="{00000000-0005-0000-0000-00002A4D0000}"/>
    <cellStyle name="InputCells12 4 3 48" xfId="19755" xr:uid="{00000000-0005-0000-0000-00002B4D0000}"/>
    <cellStyle name="InputCells12 4 3 49" xfId="19756" xr:uid="{00000000-0005-0000-0000-00002C4D0000}"/>
    <cellStyle name="InputCells12 4 3 5" xfId="19757" xr:uid="{00000000-0005-0000-0000-00002D4D0000}"/>
    <cellStyle name="InputCells12 4 3 50" xfId="19758" xr:uid="{00000000-0005-0000-0000-00002E4D0000}"/>
    <cellStyle name="InputCells12 4 3 51" xfId="19759" xr:uid="{00000000-0005-0000-0000-00002F4D0000}"/>
    <cellStyle name="InputCells12 4 3 52" xfId="19760" xr:uid="{00000000-0005-0000-0000-0000304D0000}"/>
    <cellStyle name="InputCells12 4 3 53" xfId="19761" xr:uid="{00000000-0005-0000-0000-0000314D0000}"/>
    <cellStyle name="InputCells12 4 3 54" xfId="19762" xr:uid="{00000000-0005-0000-0000-0000324D0000}"/>
    <cellStyle name="InputCells12 4 3 55" xfId="19763" xr:uid="{00000000-0005-0000-0000-0000334D0000}"/>
    <cellStyle name="InputCells12 4 3 56" xfId="19764" xr:uid="{00000000-0005-0000-0000-0000344D0000}"/>
    <cellStyle name="InputCells12 4 3 57" xfId="19765" xr:uid="{00000000-0005-0000-0000-0000354D0000}"/>
    <cellStyle name="InputCells12 4 3 58" xfId="19766" xr:uid="{00000000-0005-0000-0000-0000364D0000}"/>
    <cellStyle name="InputCells12 4 3 59" xfId="19767" xr:uid="{00000000-0005-0000-0000-0000374D0000}"/>
    <cellStyle name="InputCells12 4 3 6" xfId="19768" xr:uid="{00000000-0005-0000-0000-0000384D0000}"/>
    <cellStyle name="InputCells12 4 3 60" xfId="19769" xr:uid="{00000000-0005-0000-0000-0000394D0000}"/>
    <cellStyle name="InputCells12 4 3 61" xfId="19770" xr:uid="{00000000-0005-0000-0000-00003A4D0000}"/>
    <cellStyle name="InputCells12 4 3 62" xfId="19771" xr:uid="{00000000-0005-0000-0000-00003B4D0000}"/>
    <cellStyle name="InputCells12 4 3 63" xfId="19772" xr:uid="{00000000-0005-0000-0000-00003C4D0000}"/>
    <cellStyle name="InputCells12 4 3 64" xfId="19773" xr:uid="{00000000-0005-0000-0000-00003D4D0000}"/>
    <cellStyle name="InputCells12 4 3 65" xfId="19774" xr:uid="{00000000-0005-0000-0000-00003E4D0000}"/>
    <cellStyle name="InputCells12 4 3 66" xfId="19775" xr:uid="{00000000-0005-0000-0000-00003F4D0000}"/>
    <cellStyle name="InputCells12 4 3 7" xfId="19776" xr:uid="{00000000-0005-0000-0000-0000404D0000}"/>
    <cellStyle name="InputCells12 4 3 8" xfId="19777" xr:uid="{00000000-0005-0000-0000-0000414D0000}"/>
    <cellStyle name="InputCells12 4 3 9" xfId="19778" xr:uid="{00000000-0005-0000-0000-0000424D0000}"/>
    <cellStyle name="InputCells12 4 30" xfId="19779" xr:uid="{00000000-0005-0000-0000-0000434D0000}"/>
    <cellStyle name="InputCells12 4 31" xfId="19780" xr:uid="{00000000-0005-0000-0000-0000444D0000}"/>
    <cellStyle name="InputCells12 4 32" xfId="19781" xr:uid="{00000000-0005-0000-0000-0000454D0000}"/>
    <cellStyle name="InputCells12 4 33" xfId="19782" xr:uid="{00000000-0005-0000-0000-0000464D0000}"/>
    <cellStyle name="InputCells12 4 34" xfId="19783" xr:uid="{00000000-0005-0000-0000-0000474D0000}"/>
    <cellStyle name="InputCells12 4 35" xfId="19784" xr:uid="{00000000-0005-0000-0000-0000484D0000}"/>
    <cellStyle name="InputCells12 4 36" xfId="19785" xr:uid="{00000000-0005-0000-0000-0000494D0000}"/>
    <cellStyle name="InputCells12 4 37" xfId="19786" xr:uid="{00000000-0005-0000-0000-00004A4D0000}"/>
    <cellStyle name="InputCells12 4 38" xfId="19787" xr:uid="{00000000-0005-0000-0000-00004B4D0000}"/>
    <cellStyle name="InputCells12 4 39" xfId="19788" xr:uid="{00000000-0005-0000-0000-00004C4D0000}"/>
    <cellStyle name="InputCells12 4 4" xfId="19789" xr:uid="{00000000-0005-0000-0000-00004D4D0000}"/>
    <cellStyle name="InputCells12 4 4 10" xfId="19790" xr:uid="{00000000-0005-0000-0000-00004E4D0000}"/>
    <cellStyle name="InputCells12 4 4 11" xfId="19791" xr:uid="{00000000-0005-0000-0000-00004F4D0000}"/>
    <cellStyle name="InputCells12 4 4 12" xfId="19792" xr:uid="{00000000-0005-0000-0000-0000504D0000}"/>
    <cellStyle name="InputCells12 4 4 13" xfId="19793" xr:uid="{00000000-0005-0000-0000-0000514D0000}"/>
    <cellStyle name="InputCells12 4 4 14" xfId="19794" xr:uid="{00000000-0005-0000-0000-0000524D0000}"/>
    <cellStyle name="InputCells12 4 4 15" xfId="19795" xr:uid="{00000000-0005-0000-0000-0000534D0000}"/>
    <cellStyle name="InputCells12 4 4 16" xfId="19796" xr:uid="{00000000-0005-0000-0000-0000544D0000}"/>
    <cellStyle name="InputCells12 4 4 17" xfId="19797" xr:uid="{00000000-0005-0000-0000-0000554D0000}"/>
    <cellStyle name="InputCells12 4 4 18" xfId="19798" xr:uid="{00000000-0005-0000-0000-0000564D0000}"/>
    <cellStyle name="InputCells12 4 4 19" xfId="19799" xr:uid="{00000000-0005-0000-0000-0000574D0000}"/>
    <cellStyle name="InputCells12 4 4 2" xfId="19800" xr:uid="{00000000-0005-0000-0000-0000584D0000}"/>
    <cellStyle name="InputCells12 4 4 2 10" xfId="19801" xr:uid="{00000000-0005-0000-0000-0000594D0000}"/>
    <cellStyle name="InputCells12 4 4 2 11" xfId="19802" xr:uid="{00000000-0005-0000-0000-00005A4D0000}"/>
    <cellStyle name="InputCells12 4 4 2 12" xfId="19803" xr:uid="{00000000-0005-0000-0000-00005B4D0000}"/>
    <cellStyle name="InputCells12 4 4 2 13" xfId="19804" xr:uid="{00000000-0005-0000-0000-00005C4D0000}"/>
    <cellStyle name="InputCells12 4 4 2 14" xfId="19805" xr:uid="{00000000-0005-0000-0000-00005D4D0000}"/>
    <cellStyle name="InputCells12 4 4 2 15" xfId="19806" xr:uid="{00000000-0005-0000-0000-00005E4D0000}"/>
    <cellStyle name="InputCells12 4 4 2 16" xfId="19807" xr:uid="{00000000-0005-0000-0000-00005F4D0000}"/>
    <cellStyle name="InputCells12 4 4 2 17" xfId="19808" xr:uid="{00000000-0005-0000-0000-0000604D0000}"/>
    <cellStyle name="InputCells12 4 4 2 18" xfId="19809" xr:uid="{00000000-0005-0000-0000-0000614D0000}"/>
    <cellStyle name="InputCells12 4 4 2 19" xfId="19810" xr:uid="{00000000-0005-0000-0000-0000624D0000}"/>
    <cellStyle name="InputCells12 4 4 2 2" xfId="19811" xr:uid="{00000000-0005-0000-0000-0000634D0000}"/>
    <cellStyle name="InputCells12 4 4 2 20" xfId="19812" xr:uid="{00000000-0005-0000-0000-0000644D0000}"/>
    <cellStyle name="InputCells12 4 4 2 21" xfId="19813" xr:uid="{00000000-0005-0000-0000-0000654D0000}"/>
    <cellStyle name="InputCells12 4 4 2 22" xfId="19814" xr:uid="{00000000-0005-0000-0000-0000664D0000}"/>
    <cellStyle name="InputCells12 4 4 2 23" xfId="19815" xr:uid="{00000000-0005-0000-0000-0000674D0000}"/>
    <cellStyle name="InputCells12 4 4 2 24" xfId="19816" xr:uid="{00000000-0005-0000-0000-0000684D0000}"/>
    <cellStyle name="InputCells12 4 4 2 25" xfId="19817" xr:uid="{00000000-0005-0000-0000-0000694D0000}"/>
    <cellStyle name="InputCells12 4 4 2 26" xfId="19818" xr:uid="{00000000-0005-0000-0000-00006A4D0000}"/>
    <cellStyle name="InputCells12 4 4 2 27" xfId="19819" xr:uid="{00000000-0005-0000-0000-00006B4D0000}"/>
    <cellStyle name="InputCells12 4 4 2 28" xfId="19820" xr:uid="{00000000-0005-0000-0000-00006C4D0000}"/>
    <cellStyle name="InputCells12 4 4 2 29" xfId="19821" xr:uid="{00000000-0005-0000-0000-00006D4D0000}"/>
    <cellStyle name="InputCells12 4 4 2 3" xfId="19822" xr:uid="{00000000-0005-0000-0000-00006E4D0000}"/>
    <cellStyle name="InputCells12 4 4 2 30" xfId="19823" xr:uid="{00000000-0005-0000-0000-00006F4D0000}"/>
    <cellStyle name="InputCells12 4 4 2 31" xfId="19824" xr:uid="{00000000-0005-0000-0000-0000704D0000}"/>
    <cellStyle name="InputCells12 4 4 2 32" xfId="19825" xr:uid="{00000000-0005-0000-0000-0000714D0000}"/>
    <cellStyle name="InputCells12 4 4 2 33" xfId="19826" xr:uid="{00000000-0005-0000-0000-0000724D0000}"/>
    <cellStyle name="InputCells12 4 4 2 34" xfId="19827" xr:uid="{00000000-0005-0000-0000-0000734D0000}"/>
    <cellStyle name="InputCells12 4 4 2 35" xfId="19828" xr:uid="{00000000-0005-0000-0000-0000744D0000}"/>
    <cellStyle name="InputCells12 4 4 2 36" xfId="19829" xr:uid="{00000000-0005-0000-0000-0000754D0000}"/>
    <cellStyle name="InputCells12 4 4 2 37" xfId="19830" xr:uid="{00000000-0005-0000-0000-0000764D0000}"/>
    <cellStyle name="InputCells12 4 4 2 38" xfId="19831" xr:uid="{00000000-0005-0000-0000-0000774D0000}"/>
    <cellStyle name="InputCells12 4 4 2 39" xfId="19832" xr:uid="{00000000-0005-0000-0000-0000784D0000}"/>
    <cellStyle name="InputCells12 4 4 2 4" xfId="19833" xr:uid="{00000000-0005-0000-0000-0000794D0000}"/>
    <cellStyle name="InputCells12 4 4 2 40" xfId="19834" xr:uid="{00000000-0005-0000-0000-00007A4D0000}"/>
    <cellStyle name="InputCells12 4 4 2 41" xfId="19835" xr:uid="{00000000-0005-0000-0000-00007B4D0000}"/>
    <cellStyle name="InputCells12 4 4 2 42" xfId="19836" xr:uid="{00000000-0005-0000-0000-00007C4D0000}"/>
    <cellStyle name="InputCells12 4 4 2 43" xfId="19837" xr:uid="{00000000-0005-0000-0000-00007D4D0000}"/>
    <cellStyle name="InputCells12 4 4 2 44" xfId="19838" xr:uid="{00000000-0005-0000-0000-00007E4D0000}"/>
    <cellStyle name="InputCells12 4 4 2 45" xfId="19839" xr:uid="{00000000-0005-0000-0000-00007F4D0000}"/>
    <cellStyle name="InputCells12 4 4 2 46" xfId="19840" xr:uid="{00000000-0005-0000-0000-0000804D0000}"/>
    <cellStyle name="InputCells12 4 4 2 47" xfId="19841" xr:uid="{00000000-0005-0000-0000-0000814D0000}"/>
    <cellStyle name="InputCells12 4 4 2 48" xfId="19842" xr:uid="{00000000-0005-0000-0000-0000824D0000}"/>
    <cellStyle name="InputCells12 4 4 2 49" xfId="19843" xr:uid="{00000000-0005-0000-0000-0000834D0000}"/>
    <cellStyle name="InputCells12 4 4 2 5" xfId="19844" xr:uid="{00000000-0005-0000-0000-0000844D0000}"/>
    <cellStyle name="InputCells12 4 4 2 50" xfId="19845" xr:uid="{00000000-0005-0000-0000-0000854D0000}"/>
    <cellStyle name="InputCells12 4 4 2 51" xfId="19846" xr:uid="{00000000-0005-0000-0000-0000864D0000}"/>
    <cellStyle name="InputCells12 4 4 2 52" xfId="19847" xr:uid="{00000000-0005-0000-0000-0000874D0000}"/>
    <cellStyle name="InputCells12 4 4 2 53" xfId="19848" xr:uid="{00000000-0005-0000-0000-0000884D0000}"/>
    <cellStyle name="InputCells12 4 4 2 54" xfId="19849" xr:uid="{00000000-0005-0000-0000-0000894D0000}"/>
    <cellStyle name="InputCells12 4 4 2 55" xfId="19850" xr:uid="{00000000-0005-0000-0000-00008A4D0000}"/>
    <cellStyle name="InputCells12 4 4 2 56" xfId="19851" xr:uid="{00000000-0005-0000-0000-00008B4D0000}"/>
    <cellStyle name="InputCells12 4 4 2 57" xfId="19852" xr:uid="{00000000-0005-0000-0000-00008C4D0000}"/>
    <cellStyle name="InputCells12 4 4 2 58" xfId="19853" xr:uid="{00000000-0005-0000-0000-00008D4D0000}"/>
    <cellStyle name="InputCells12 4 4 2 59" xfId="19854" xr:uid="{00000000-0005-0000-0000-00008E4D0000}"/>
    <cellStyle name="InputCells12 4 4 2 6" xfId="19855" xr:uid="{00000000-0005-0000-0000-00008F4D0000}"/>
    <cellStyle name="InputCells12 4 4 2 60" xfId="19856" xr:uid="{00000000-0005-0000-0000-0000904D0000}"/>
    <cellStyle name="InputCells12 4 4 2 61" xfId="19857" xr:uid="{00000000-0005-0000-0000-0000914D0000}"/>
    <cellStyle name="InputCells12 4 4 2 62" xfId="19858" xr:uid="{00000000-0005-0000-0000-0000924D0000}"/>
    <cellStyle name="InputCells12 4 4 2 63" xfId="19859" xr:uid="{00000000-0005-0000-0000-0000934D0000}"/>
    <cellStyle name="InputCells12 4 4 2 64" xfId="19860" xr:uid="{00000000-0005-0000-0000-0000944D0000}"/>
    <cellStyle name="InputCells12 4 4 2 65" xfId="19861" xr:uid="{00000000-0005-0000-0000-0000954D0000}"/>
    <cellStyle name="InputCells12 4 4 2 7" xfId="19862" xr:uid="{00000000-0005-0000-0000-0000964D0000}"/>
    <cellStyle name="InputCells12 4 4 2 8" xfId="19863" xr:uid="{00000000-0005-0000-0000-0000974D0000}"/>
    <cellStyle name="InputCells12 4 4 2 9" xfId="19864" xr:uid="{00000000-0005-0000-0000-0000984D0000}"/>
    <cellStyle name="InputCells12 4 4 20" xfId="19865" xr:uid="{00000000-0005-0000-0000-0000994D0000}"/>
    <cellStyle name="InputCells12 4 4 21" xfId="19866" xr:uid="{00000000-0005-0000-0000-00009A4D0000}"/>
    <cellStyle name="InputCells12 4 4 22" xfId="19867" xr:uid="{00000000-0005-0000-0000-00009B4D0000}"/>
    <cellStyle name="InputCells12 4 4 23" xfId="19868" xr:uid="{00000000-0005-0000-0000-00009C4D0000}"/>
    <cellStyle name="InputCells12 4 4 24" xfId="19869" xr:uid="{00000000-0005-0000-0000-00009D4D0000}"/>
    <cellStyle name="InputCells12 4 4 25" xfId="19870" xr:uid="{00000000-0005-0000-0000-00009E4D0000}"/>
    <cellStyle name="InputCells12 4 4 26" xfId="19871" xr:uid="{00000000-0005-0000-0000-00009F4D0000}"/>
    <cellStyle name="InputCells12 4 4 27" xfId="19872" xr:uid="{00000000-0005-0000-0000-0000A04D0000}"/>
    <cellStyle name="InputCells12 4 4 28" xfId="19873" xr:uid="{00000000-0005-0000-0000-0000A14D0000}"/>
    <cellStyle name="InputCells12 4 4 29" xfId="19874" xr:uid="{00000000-0005-0000-0000-0000A24D0000}"/>
    <cellStyle name="InputCells12 4 4 3" xfId="19875" xr:uid="{00000000-0005-0000-0000-0000A34D0000}"/>
    <cellStyle name="InputCells12 4 4 30" xfId="19876" xr:uid="{00000000-0005-0000-0000-0000A44D0000}"/>
    <cellStyle name="InputCells12 4 4 31" xfId="19877" xr:uid="{00000000-0005-0000-0000-0000A54D0000}"/>
    <cellStyle name="InputCells12 4 4 32" xfId="19878" xr:uid="{00000000-0005-0000-0000-0000A64D0000}"/>
    <cellStyle name="InputCells12 4 4 33" xfId="19879" xr:uid="{00000000-0005-0000-0000-0000A74D0000}"/>
    <cellStyle name="InputCells12 4 4 34" xfId="19880" xr:uid="{00000000-0005-0000-0000-0000A84D0000}"/>
    <cellStyle name="InputCells12 4 4 35" xfId="19881" xr:uid="{00000000-0005-0000-0000-0000A94D0000}"/>
    <cellStyle name="InputCells12 4 4 36" xfId="19882" xr:uid="{00000000-0005-0000-0000-0000AA4D0000}"/>
    <cellStyle name="InputCells12 4 4 37" xfId="19883" xr:uid="{00000000-0005-0000-0000-0000AB4D0000}"/>
    <cellStyle name="InputCells12 4 4 38" xfId="19884" xr:uid="{00000000-0005-0000-0000-0000AC4D0000}"/>
    <cellStyle name="InputCells12 4 4 39" xfId="19885" xr:uid="{00000000-0005-0000-0000-0000AD4D0000}"/>
    <cellStyle name="InputCells12 4 4 4" xfId="19886" xr:uid="{00000000-0005-0000-0000-0000AE4D0000}"/>
    <cellStyle name="InputCells12 4 4 40" xfId="19887" xr:uid="{00000000-0005-0000-0000-0000AF4D0000}"/>
    <cellStyle name="InputCells12 4 4 41" xfId="19888" xr:uid="{00000000-0005-0000-0000-0000B04D0000}"/>
    <cellStyle name="InputCells12 4 4 42" xfId="19889" xr:uid="{00000000-0005-0000-0000-0000B14D0000}"/>
    <cellStyle name="InputCells12 4 4 43" xfId="19890" xr:uid="{00000000-0005-0000-0000-0000B24D0000}"/>
    <cellStyle name="InputCells12 4 4 44" xfId="19891" xr:uid="{00000000-0005-0000-0000-0000B34D0000}"/>
    <cellStyle name="InputCells12 4 4 45" xfId="19892" xr:uid="{00000000-0005-0000-0000-0000B44D0000}"/>
    <cellStyle name="InputCells12 4 4 46" xfId="19893" xr:uid="{00000000-0005-0000-0000-0000B54D0000}"/>
    <cellStyle name="InputCells12 4 4 47" xfId="19894" xr:uid="{00000000-0005-0000-0000-0000B64D0000}"/>
    <cellStyle name="InputCells12 4 4 48" xfId="19895" xr:uid="{00000000-0005-0000-0000-0000B74D0000}"/>
    <cellStyle name="InputCells12 4 4 49" xfId="19896" xr:uid="{00000000-0005-0000-0000-0000B84D0000}"/>
    <cellStyle name="InputCells12 4 4 5" xfId="19897" xr:uid="{00000000-0005-0000-0000-0000B94D0000}"/>
    <cellStyle name="InputCells12 4 4 50" xfId="19898" xr:uid="{00000000-0005-0000-0000-0000BA4D0000}"/>
    <cellStyle name="InputCells12 4 4 51" xfId="19899" xr:uid="{00000000-0005-0000-0000-0000BB4D0000}"/>
    <cellStyle name="InputCells12 4 4 52" xfId="19900" xr:uid="{00000000-0005-0000-0000-0000BC4D0000}"/>
    <cellStyle name="InputCells12 4 4 53" xfId="19901" xr:uid="{00000000-0005-0000-0000-0000BD4D0000}"/>
    <cellStyle name="InputCells12 4 4 54" xfId="19902" xr:uid="{00000000-0005-0000-0000-0000BE4D0000}"/>
    <cellStyle name="InputCells12 4 4 55" xfId="19903" xr:uid="{00000000-0005-0000-0000-0000BF4D0000}"/>
    <cellStyle name="InputCells12 4 4 56" xfId="19904" xr:uid="{00000000-0005-0000-0000-0000C04D0000}"/>
    <cellStyle name="InputCells12 4 4 57" xfId="19905" xr:uid="{00000000-0005-0000-0000-0000C14D0000}"/>
    <cellStyle name="InputCells12 4 4 58" xfId="19906" xr:uid="{00000000-0005-0000-0000-0000C24D0000}"/>
    <cellStyle name="InputCells12 4 4 59" xfId="19907" xr:uid="{00000000-0005-0000-0000-0000C34D0000}"/>
    <cellStyle name="InputCells12 4 4 6" xfId="19908" xr:uid="{00000000-0005-0000-0000-0000C44D0000}"/>
    <cellStyle name="InputCells12 4 4 60" xfId="19909" xr:uid="{00000000-0005-0000-0000-0000C54D0000}"/>
    <cellStyle name="InputCells12 4 4 61" xfId="19910" xr:uid="{00000000-0005-0000-0000-0000C64D0000}"/>
    <cellStyle name="InputCells12 4 4 62" xfId="19911" xr:uid="{00000000-0005-0000-0000-0000C74D0000}"/>
    <cellStyle name="InputCells12 4 4 63" xfId="19912" xr:uid="{00000000-0005-0000-0000-0000C84D0000}"/>
    <cellStyle name="InputCells12 4 4 64" xfId="19913" xr:uid="{00000000-0005-0000-0000-0000C94D0000}"/>
    <cellStyle name="InputCells12 4 4 65" xfId="19914" xr:uid="{00000000-0005-0000-0000-0000CA4D0000}"/>
    <cellStyle name="InputCells12 4 4 66" xfId="19915" xr:uid="{00000000-0005-0000-0000-0000CB4D0000}"/>
    <cellStyle name="InputCells12 4 4 7" xfId="19916" xr:uid="{00000000-0005-0000-0000-0000CC4D0000}"/>
    <cellStyle name="InputCells12 4 4 8" xfId="19917" xr:uid="{00000000-0005-0000-0000-0000CD4D0000}"/>
    <cellStyle name="InputCells12 4 4 9" xfId="19918" xr:uid="{00000000-0005-0000-0000-0000CE4D0000}"/>
    <cellStyle name="InputCells12 4 40" xfId="19919" xr:uid="{00000000-0005-0000-0000-0000CF4D0000}"/>
    <cellStyle name="InputCells12 4 41" xfId="19920" xr:uid="{00000000-0005-0000-0000-0000D04D0000}"/>
    <cellStyle name="InputCells12 4 42" xfId="19921" xr:uid="{00000000-0005-0000-0000-0000D14D0000}"/>
    <cellStyle name="InputCells12 4 43" xfId="19922" xr:uid="{00000000-0005-0000-0000-0000D24D0000}"/>
    <cellStyle name="InputCells12 4 44" xfId="19923" xr:uid="{00000000-0005-0000-0000-0000D34D0000}"/>
    <cellStyle name="InputCells12 4 45" xfId="19924" xr:uid="{00000000-0005-0000-0000-0000D44D0000}"/>
    <cellStyle name="InputCells12 4 46" xfId="19925" xr:uid="{00000000-0005-0000-0000-0000D54D0000}"/>
    <cellStyle name="InputCells12 4 47" xfId="19926" xr:uid="{00000000-0005-0000-0000-0000D64D0000}"/>
    <cellStyle name="InputCells12 4 48" xfId="19927" xr:uid="{00000000-0005-0000-0000-0000D74D0000}"/>
    <cellStyle name="InputCells12 4 49" xfId="19928" xr:uid="{00000000-0005-0000-0000-0000D84D0000}"/>
    <cellStyle name="InputCells12 4 5" xfId="19929" xr:uid="{00000000-0005-0000-0000-0000D94D0000}"/>
    <cellStyle name="InputCells12 4 50" xfId="19930" xr:uid="{00000000-0005-0000-0000-0000DA4D0000}"/>
    <cellStyle name="InputCells12 4 51" xfId="19931" xr:uid="{00000000-0005-0000-0000-0000DB4D0000}"/>
    <cellStyle name="InputCells12 4 52" xfId="19932" xr:uid="{00000000-0005-0000-0000-0000DC4D0000}"/>
    <cellStyle name="InputCells12 4 53" xfId="19933" xr:uid="{00000000-0005-0000-0000-0000DD4D0000}"/>
    <cellStyle name="InputCells12 4 54" xfId="19934" xr:uid="{00000000-0005-0000-0000-0000DE4D0000}"/>
    <cellStyle name="InputCells12 4 55" xfId="19935" xr:uid="{00000000-0005-0000-0000-0000DF4D0000}"/>
    <cellStyle name="InputCells12 4 56" xfId="19936" xr:uid="{00000000-0005-0000-0000-0000E04D0000}"/>
    <cellStyle name="InputCells12 4 57" xfId="19937" xr:uid="{00000000-0005-0000-0000-0000E14D0000}"/>
    <cellStyle name="InputCells12 4 58" xfId="19938" xr:uid="{00000000-0005-0000-0000-0000E24D0000}"/>
    <cellStyle name="InputCells12 4 59" xfId="19939" xr:uid="{00000000-0005-0000-0000-0000E34D0000}"/>
    <cellStyle name="InputCells12 4 6" xfId="19940" xr:uid="{00000000-0005-0000-0000-0000E44D0000}"/>
    <cellStyle name="InputCells12 4 60" xfId="19941" xr:uid="{00000000-0005-0000-0000-0000E54D0000}"/>
    <cellStyle name="InputCells12 4 61" xfId="19942" xr:uid="{00000000-0005-0000-0000-0000E64D0000}"/>
    <cellStyle name="InputCells12 4 62" xfId="19943" xr:uid="{00000000-0005-0000-0000-0000E74D0000}"/>
    <cellStyle name="InputCells12 4 63" xfId="19944" xr:uid="{00000000-0005-0000-0000-0000E84D0000}"/>
    <cellStyle name="InputCells12 4 64" xfId="19945" xr:uid="{00000000-0005-0000-0000-0000E94D0000}"/>
    <cellStyle name="InputCells12 4 65" xfId="19946" xr:uid="{00000000-0005-0000-0000-0000EA4D0000}"/>
    <cellStyle name="InputCells12 4 66" xfId="19947" xr:uid="{00000000-0005-0000-0000-0000EB4D0000}"/>
    <cellStyle name="InputCells12 4 67" xfId="19948" xr:uid="{00000000-0005-0000-0000-0000EC4D0000}"/>
    <cellStyle name="InputCells12 4 68" xfId="19949" xr:uid="{00000000-0005-0000-0000-0000ED4D0000}"/>
    <cellStyle name="InputCells12 4 7" xfId="19950" xr:uid="{00000000-0005-0000-0000-0000EE4D0000}"/>
    <cellStyle name="InputCells12 4 8" xfId="19951" xr:uid="{00000000-0005-0000-0000-0000EF4D0000}"/>
    <cellStyle name="InputCells12 4 9" xfId="19952" xr:uid="{00000000-0005-0000-0000-0000F04D0000}"/>
    <cellStyle name="InputCells12 5" xfId="19953" xr:uid="{00000000-0005-0000-0000-0000F14D0000}"/>
    <cellStyle name="InputCells12 5 10" xfId="19954" xr:uid="{00000000-0005-0000-0000-0000F24D0000}"/>
    <cellStyle name="InputCells12 5 11" xfId="19955" xr:uid="{00000000-0005-0000-0000-0000F34D0000}"/>
    <cellStyle name="InputCells12 5 12" xfId="19956" xr:uid="{00000000-0005-0000-0000-0000F44D0000}"/>
    <cellStyle name="InputCells12 5 13" xfId="19957" xr:uid="{00000000-0005-0000-0000-0000F54D0000}"/>
    <cellStyle name="InputCells12 5 14" xfId="19958" xr:uid="{00000000-0005-0000-0000-0000F64D0000}"/>
    <cellStyle name="InputCells12 5 15" xfId="19959" xr:uid="{00000000-0005-0000-0000-0000F74D0000}"/>
    <cellStyle name="InputCells12 5 16" xfId="19960" xr:uid="{00000000-0005-0000-0000-0000F84D0000}"/>
    <cellStyle name="InputCells12 5 2" xfId="19961" xr:uid="{00000000-0005-0000-0000-0000F94D0000}"/>
    <cellStyle name="InputCells12 5 3" xfId="19962" xr:uid="{00000000-0005-0000-0000-0000FA4D0000}"/>
    <cellStyle name="InputCells12 5 4" xfId="19963" xr:uid="{00000000-0005-0000-0000-0000FB4D0000}"/>
    <cellStyle name="InputCells12 5 5" xfId="19964" xr:uid="{00000000-0005-0000-0000-0000FC4D0000}"/>
    <cellStyle name="InputCells12 5 6" xfId="19965" xr:uid="{00000000-0005-0000-0000-0000FD4D0000}"/>
    <cellStyle name="InputCells12 5 7" xfId="19966" xr:uid="{00000000-0005-0000-0000-0000FE4D0000}"/>
    <cellStyle name="InputCells12 5 8" xfId="19967" xr:uid="{00000000-0005-0000-0000-0000FF4D0000}"/>
    <cellStyle name="InputCells12 5 9" xfId="19968" xr:uid="{00000000-0005-0000-0000-0000004E0000}"/>
    <cellStyle name="InputCells12_BBorder" xfId="19969" xr:uid="{00000000-0005-0000-0000-0000014E0000}"/>
    <cellStyle name="IntCells" xfId="19971" xr:uid="{00000000-0005-0000-0000-0000034E0000}"/>
    <cellStyle name="KP_thin_border_dark_grey" xfId="19972" xr:uid="{00000000-0005-0000-0000-0000044E0000}"/>
    <cellStyle name="Linked Cell 2" xfId="19973" xr:uid="{00000000-0005-0000-0000-0000054E0000}"/>
    <cellStyle name="Linked Cell 3" xfId="19974" xr:uid="{00000000-0005-0000-0000-0000064E0000}"/>
    <cellStyle name="Linked Cell 4" xfId="19975" xr:uid="{00000000-0005-0000-0000-0000074E0000}"/>
    <cellStyle name="Neutral 2" xfId="19976" xr:uid="{00000000-0005-0000-0000-0000084E0000}"/>
    <cellStyle name="Neutral 3" xfId="19977" xr:uid="{00000000-0005-0000-0000-0000094E0000}"/>
    <cellStyle name="Normaali 2" xfId="19978" xr:uid="{00000000-0005-0000-0000-00000A4E0000}"/>
    <cellStyle name="Normaali 2 2" xfId="19979" xr:uid="{00000000-0005-0000-0000-00000B4E0000}"/>
    <cellStyle name="Normal" xfId="0" builtinId="0"/>
    <cellStyle name="Normal 10" xfId="19980" xr:uid="{00000000-0005-0000-0000-00000C4E0000}"/>
    <cellStyle name="Normal 10 2" xfId="19981" xr:uid="{00000000-0005-0000-0000-00000D4E0000}"/>
    <cellStyle name="Normal 11" xfId="19982" xr:uid="{00000000-0005-0000-0000-00000E4E0000}"/>
    <cellStyle name="Normal 11 2" xfId="19983" xr:uid="{00000000-0005-0000-0000-00000F4E0000}"/>
    <cellStyle name="Normal 12" xfId="19984" xr:uid="{00000000-0005-0000-0000-0000104E0000}"/>
    <cellStyle name="Normal 12 2" xfId="19985" xr:uid="{00000000-0005-0000-0000-0000114E0000}"/>
    <cellStyle name="Normal 13" xfId="19986" xr:uid="{00000000-0005-0000-0000-0000124E0000}"/>
    <cellStyle name="Normal 2" xfId="19987" xr:uid="{00000000-0005-0000-0000-0000134E0000}"/>
    <cellStyle name="Normal 2 2" xfId="19988" xr:uid="{00000000-0005-0000-0000-0000144E0000}"/>
    <cellStyle name="Normal 2 2 2" xfId="19989" xr:uid="{00000000-0005-0000-0000-0000154E0000}"/>
    <cellStyle name="Normal 2 3" xfId="19990" xr:uid="{00000000-0005-0000-0000-0000164E0000}"/>
    <cellStyle name="Normal 2 3 2" xfId="19991" xr:uid="{00000000-0005-0000-0000-0000174E0000}"/>
    <cellStyle name="Normal 2 3 2 2" xfId="19992" xr:uid="{00000000-0005-0000-0000-0000184E0000}"/>
    <cellStyle name="Normal 2 3 3" xfId="19993" xr:uid="{00000000-0005-0000-0000-0000194E0000}"/>
    <cellStyle name="Normal 2 4" xfId="19994" xr:uid="{00000000-0005-0000-0000-00001A4E0000}"/>
    <cellStyle name="Normal 3" xfId="19995" xr:uid="{00000000-0005-0000-0000-00001B4E0000}"/>
    <cellStyle name="Normal 3 2" xfId="19996" xr:uid="{00000000-0005-0000-0000-00001C4E0000}"/>
    <cellStyle name="Normal 3 2 2" xfId="19997" xr:uid="{00000000-0005-0000-0000-00001D4E0000}"/>
    <cellStyle name="Normal 3 3" xfId="19998" xr:uid="{00000000-0005-0000-0000-00001E4E0000}"/>
    <cellStyle name="Normal 3 4" xfId="19999" xr:uid="{00000000-0005-0000-0000-00001F4E0000}"/>
    <cellStyle name="Normal 3 5" xfId="20000" xr:uid="{00000000-0005-0000-0000-0000204E0000}"/>
    <cellStyle name="Normal 4" xfId="20001" xr:uid="{00000000-0005-0000-0000-0000214E0000}"/>
    <cellStyle name="Normal 4 2" xfId="20002" xr:uid="{00000000-0005-0000-0000-0000224E0000}"/>
    <cellStyle name="Normal 4 2 2" xfId="20003" xr:uid="{00000000-0005-0000-0000-0000234E0000}"/>
    <cellStyle name="Normal 4 2 3" xfId="20004" xr:uid="{00000000-0005-0000-0000-0000244E0000}"/>
    <cellStyle name="Normal 4 3" xfId="20005" xr:uid="{00000000-0005-0000-0000-0000254E0000}"/>
    <cellStyle name="Normal 4 3 2" xfId="20006" xr:uid="{00000000-0005-0000-0000-0000264E0000}"/>
    <cellStyle name="Normal 5" xfId="20007" xr:uid="{00000000-0005-0000-0000-0000274E0000}"/>
    <cellStyle name="Normal 5 2" xfId="20008" xr:uid="{00000000-0005-0000-0000-0000284E0000}"/>
    <cellStyle name="Normal 5 2 2" xfId="20009" xr:uid="{00000000-0005-0000-0000-0000294E0000}"/>
    <cellStyle name="Normal 5 2 2 2" xfId="20010" xr:uid="{00000000-0005-0000-0000-00002A4E0000}"/>
    <cellStyle name="Normal 5 2 2 2 2" xfId="20011" xr:uid="{00000000-0005-0000-0000-00002B4E0000}"/>
    <cellStyle name="Normal 5 2 2 2 2 2" xfId="20012" xr:uid="{00000000-0005-0000-0000-00002C4E0000}"/>
    <cellStyle name="Normal 5 2 2 2 3" xfId="20013" xr:uid="{00000000-0005-0000-0000-00002D4E0000}"/>
    <cellStyle name="Normal 5 2 2 3" xfId="20014" xr:uid="{00000000-0005-0000-0000-00002E4E0000}"/>
    <cellStyle name="Normal 5 2 2 3 2" xfId="20015" xr:uid="{00000000-0005-0000-0000-00002F4E0000}"/>
    <cellStyle name="Normal 5 2 2 4" xfId="20016" xr:uid="{00000000-0005-0000-0000-0000304E0000}"/>
    <cellStyle name="Normal 5 2 3" xfId="20017" xr:uid="{00000000-0005-0000-0000-0000314E0000}"/>
    <cellStyle name="Normal 5 2 3 2" xfId="20018" xr:uid="{00000000-0005-0000-0000-0000324E0000}"/>
    <cellStyle name="Normal 5 2 3 2 2" xfId="20019" xr:uid="{00000000-0005-0000-0000-0000334E0000}"/>
    <cellStyle name="Normal 5 2 3 3" xfId="20020" xr:uid="{00000000-0005-0000-0000-0000344E0000}"/>
    <cellStyle name="Normal 5 2 4" xfId="20021" xr:uid="{00000000-0005-0000-0000-0000354E0000}"/>
    <cellStyle name="Normal 5 2 4 2" xfId="20022" xr:uid="{00000000-0005-0000-0000-0000364E0000}"/>
    <cellStyle name="Normal 5 2 5" xfId="20023" xr:uid="{00000000-0005-0000-0000-0000374E0000}"/>
    <cellStyle name="Normal 5 2 5 2" xfId="20024" xr:uid="{00000000-0005-0000-0000-0000384E0000}"/>
    <cellStyle name="Normal 5 2 6" xfId="20025" xr:uid="{00000000-0005-0000-0000-0000394E0000}"/>
    <cellStyle name="Normal 5 3" xfId="20026" xr:uid="{00000000-0005-0000-0000-00003A4E0000}"/>
    <cellStyle name="Normal 5 3 2" xfId="20027" xr:uid="{00000000-0005-0000-0000-00003B4E0000}"/>
    <cellStyle name="Normal 5 3 2 2" xfId="20028" xr:uid="{00000000-0005-0000-0000-00003C4E0000}"/>
    <cellStyle name="Normal 5 3 2 2 2" xfId="20029" xr:uid="{00000000-0005-0000-0000-00003D4E0000}"/>
    <cellStyle name="Normal 5 3 2 3" xfId="20030" xr:uid="{00000000-0005-0000-0000-00003E4E0000}"/>
    <cellStyle name="Normal 5 3 3" xfId="20031" xr:uid="{00000000-0005-0000-0000-00003F4E0000}"/>
    <cellStyle name="Normal 5 3 3 2" xfId="20032" xr:uid="{00000000-0005-0000-0000-0000404E0000}"/>
    <cellStyle name="Normal 5 3 4" xfId="20033" xr:uid="{00000000-0005-0000-0000-0000414E0000}"/>
    <cellStyle name="Normal 5 4" xfId="20034" xr:uid="{00000000-0005-0000-0000-0000424E0000}"/>
    <cellStyle name="Normal 5 4 2" xfId="20035" xr:uid="{00000000-0005-0000-0000-0000434E0000}"/>
    <cellStyle name="Normal 5 4 2 2" xfId="20036" xr:uid="{00000000-0005-0000-0000-0000444E0000}"/>
    <cellStyle name="Normal 5 4 3" xfId="20037" xr:uid="{00000000-0005-0000-0000-0000454E0000}"/>
    <cellStyle name="Normal 5 5" xfId="20038" xr:uid="{00000000-0005-0000-0000-0000464E0000}"/>
    <cellStyle name="Normal 5 5 2" xfId="20039" xr:uid="{00000000-0005-0000-0000-0000474E0000}"/>
    <cellStyle name="Normal 5 6" xfId="20040" xr:uid="{00000000-0005-0000-0000-0000484E0000}"/>
    <cellStyle name="Normal 5 7" xfId="20041" xr:uid="{00000000-0005-0000-0000-0000494E0000}"/>
    <cellStyle name="Normal 5 8" xfId="20042" xr:uid="{00000000-0005-0000-0000-00004A4E0000}"/>
    <cellStyle name="Normal 6" xfId="20043" xr:uid="{00000000-0005-0000-0000-00004B4E0000}"/>
    <cellStyle name="Normal 6 10" xfId="20044" xr:uid="{00000000-0005-0000-0000-00004C4E0000}"/>
    <cellStyle name="Normal 6 10 2" xfId="20045" xr:uid="{00000000-0005-0000-0000-00004D4E0000}"/>
    <cellStyle name="Normal 6 11" xfId="20046" xr:uid="{00000000-0005-0000-0000-00004E4E0000}"/>
    <cellStyle name="Normal 6 2" xfId="20047" xr:uid="{00000000-0005-0000-0000-00004F4E0000}"/>
    <cellStyle name="Normal 6 2 2" xfId="20048" xr:uid="{00000000-0005-0000-0000-0000504E0000}"/>
    <cellStyle name="Normal 6 2 2 2" xfId="20049" xr:uid="{00000000-0005-0000-0000-0000514E0000}"/>
    <cellStyle name="Normal 6 2 2 2 2" xfId="20050" xr:uid="{00000000-0005-0000-0000-0000524E0000}"/>
    <cellStyle name="Normal 6 2 2 2 2 2" xfId="20051" xr:uid="{00000000-0005-0000-0000-0000534E0000}"/>
    <cellStyle name="Normal 6 2 2 2 3" xfId="20052" xr:uid="{00000000-0005-0000-0000-0000544E0000}"/>
    <cellStyle name="Normal 6 2 2 3" xfId="20053" xr:uid="{00000000-0005-0000-0000-0000554E0000}"/>
    <cellStyle name="Normal 6 2 2 3 2" xfId="20054" xr:uid="{00000000-0005-0000-0000-0000564E0000}"/>
    <cellStyle name="Normal 6 2 2 4" xfId="20055" xr:uid="{00000000-0005-0000-0000-0000574E0000}"/>
    <cellStyle name="Normal 6 2 3" xfId="20056" xr:uid="{00000000-0005-0000-0000-0000584E0000}"/>
    <cellStyle name="Normal 6 2 3 2" xfId="20057" xr:uid="{00000000-0005-0000-0000-0000594E0000}"/>
    <cellStyle name="Normal 6 2 3 2 2" xfId="20058" xr:uid="{00000000-0005-0000-0000-00005A4E0000}"/>
    <cellStyle name="Normal 6 2 3 3" xfId="20059" xr:uid="{00000000-0005-0000-0000-00005B4E0000}"/>
    <cellStyle name="Normal 6 2 4" xfId="20060" xr:uid="{00000000-0005-0000-0000-00005C4E0000}"/>
    <cellStyle name="Normal 6 2 4 2" xfId="20061" xr:uid="{00000000-0005-0000-0000-00005D4E0000}"/>
    <cellStyle name="Normal 6 2 5" xfId="20062" xr:uid="{00000000-0005-0000-0000-00005E4E0000}"/>
    <cellStyle name="Normal 6 2 5 2" xfId="20063" xr:uid="{00000000-0005-0000-0000-00005F4E0000}"/>
    <cellStyle name="Normal 6 2 6" xfId="20064" xr:uid="{00000000-0005-0000-0000-0000604E0000}"/>
    <cellStyle name="Normal 6 3" xfId="20065" xr:uid="{00000000-0005-0000-0000-0000614E0000}"/>
    <cellStyle name="Normal 6 3 2" xfId="20066" xr:uid="{00000000-0005-0000-0000-0000624E0000}"/>
    <cellStyle name="Normal 6 3 2 2" xfId="20067" xr:uid="{00000000-0005-0000-0000-0000634E0000}"/>
    <cellStyle name="Normal 6 3 2 2 2" xfId="20068" xr:uid="{00000000-0005-0000-0000-0000644E0000}"/>
    <cellStyle name="Normal 6 3 2 2 2 2" xfId="20069" xr:uid="{00000000-0005-0000-0000-0000654E0000}"/>
    <cellStyle name="Normal 6 3 2 2 3" xfId="20070" xr:uid="{00000000-0005-0000-0000-0000664E0000}"/>
    <cellStyle name="Normal 6 3 2 3" xfId="20071" xr:uid="{00000000-0005-0000-0000-0000674E0000}"/>
    <cellStyle name="Normal 6 3 2 3 2" xfId="20072" xr:uid="{00000000-0005-0000-0000-0000684E0000}"/>
    <cellStyle name="Normal 6 3 2 4" xfId="20073" xr:uid="{00000000-0005-0000-0000-0000694E0000}"/>
    <cellStyle name="Normal 6 3 3" xfId="20074" xr:uid="{00000000-0005-0000-0000-00006A4E0000}"/>
    <cellStyle name="Normal 6 3 3 2" xfId="20075" xr:uid="{00000000-0005-0000-0000-00006B4E0000}"/>
    <cellStyle name="Normal 6 3 3 2 2" xfId="20076" xr:uid="{00000000-0005-0000-0000-00006C4E0000}"/>
    <cellStyle name="Normal 6 3 3 3" xfId="20077" xr:uid="{00000000-0005-0000-0000-00006D4E0000}"/>
    <cellStyle name="Normal 6 3 4" xfId="20078" xr:uid="{00000000-0005-0000-0000-00006E4E0000}"/>
    <cellStyle name="Normal 6 3 4 2" xfId="20079" xr:uid="{00000000-0005-0000-0000-00006F4E0000}"/>
    <cellStyle name="Normal 6 3 5" xfId="20080" xr:uid="{00000000-0005-0000-0000-0000704E0000}"/>
    <cellStyle name="Normal 6 4" xfId="20081" xr:uid="{00000000-0005-0000-0000-0000714E0000}"/>
    <cellStyle name="Normal 6 4 2" xfId="20082" xr:uid="{00000000-0005-0000-0000-0000724E0000}"/>
    <cellStyle name="Normal 6 4 2 2" xfId="20083" xr:uid="{00000000-0005-0000-0000-0000734E0000}"/>
    <cellStyle name="Normal 6 4 2 2 2" xfId="20084" xr:uid="{00000000-0005-0000-0000-0000744E0000}"/>
    <cellStyle name="Normal 6 4 2 3" xfId="20085" xr:uid="{00000000-0005-0000-0000-0000754E0000}"/>
    <cellStyle name="Normal 6 4 3" xfId="20086" xr:uid="{00000000-0005-0000-0000-0000764E0000}"/>
    <cellStyle name="Normal 6 4 3 2" xfId="20087" xr:uid="{00000000-0005-0000-0000-0000774E0000}"/>
    <cellStyle name="Normal 6 4 4" xfId="20088" xr:uid="{00000000-0005-0000-0000-0000784E0000}"/>
    <cellStyle name="Normal 6 5" xfId="20089" xr:uid="{00000000-0005-0000-0000-0000794E0000}"/>
    <cellStyle name="Normal 6 5 2" xfId="20090" xr:uid="{00000000-0005-0000-0000-00007A4E0000}"/>
    <cellStyle name="Normal 6 5 2 2" xfId="20091" xr:uid="{00000000-0005-0000-0000-00007B4E0000}"/>
    <cellStyle name="Normal 6 5 3" xfId="20092" xr:uid="{00000000-0005-0000-0000-00007C4E0000}"/>
    <cellStyle name="Normal 6 6" xfId="20093" xr:uid="{00000000-0005-0000-0000-00007D4E0000}"/>
    <cellStyle name="Normal 6 6 2" xfId="20094" xr:uid="{00000000-0005-0000-0000-00007E4E0000}"/>
    <cellStyle name="Normal 6 7" xfId="20095" xr:uid="{00000000-0005-0000-0000-00007F4E0000}"/>
    <cellStyle name="Normal 6 7 2" xfId="20096" xr:uid="{00000000-0005-0000-0000-0000804E0000}"/>
    <cellStyle name="Normal 6 8" xfId="20097" xr:uid="{00000000-0005-0000-0000-0000814E0000}"/>
    <cellStyle name="Normal 6 8 2" xfId="20098" xr:uid="{00000000-0005-0000-0000-0000824E0000}"/>
    <cellStyle name="Normal 6 9" xfId="20099" xr:uid="{00000000-0005-0000-0000-0000834E0000}"/>
    <cellStyle name="Normal 6 9 2" xfId="20100" xr:uid="{00000000-0005-0000-0000-0000844E0000}"/>
    <cellStyle name="Normal 7" xfId="20101" xr:uid="{00000000-0005-0000-0000-0000854E0000}"/>
    <cellStyle name="Normal 7 2" xfId="20102" xr:uid="{00000000-0005-0000-0000-0000864E0000}"/>
    <cellStyle name="Normal 7 2 2" xfId="20103" xr:uid="{00000000-0005-0000-0000-0000874E0000}"/>
    <cellStyle name="Normal 7 2 2 2" xfId="20104" xr:uid="{00000000-0005-0000-0000-0000884E0000}"/>
    <cellStyle name="Normal 7 2 2 2 2" xfId="20105" xr:uid="{00000000-0005-0000-0000-0000894E0000}"/>
    <cellStyle name="Normal 7 2 2 2 2 2" xfId="20106" xr:uid="{00000000-0005-0000-0000-00008A4E0000}"/>
    <cellStyle name="Normal 7 2 2 2 3" xfId="20107" xr:uid="{00000000-0005-0000-0000-00008B4E0000}"/>
    <cellStyle name="Normal 7 2 2 3" xfId="20108" xr:uid="{00000000-0005-0000-0000-00008C4E0000}"/>
    <cellStyle name="Normal 7 2 2 3 2" xfId="20109" xr:uid="{00000000-0005-0000-0000-00008D4E0000}"/>
    <cellStyle name="Normal 7 2 2 4" xfId="20110" xr:uid="{00000000-0005-0000-0000-00008E4E0000}"/>
    <cellStyle name="Normal 7 2 3" xfId="20111" xr:uid="{00000000-0005-0000-0000-00008F4E0000}"/>
    <cellStyle name="Normal 7 2 3 2" xfId="20112" xr:uid="{00000000-0005-0000-0000-0000904E0000}"/>
    <cellStyle name="Normal 7 2 3 2 2" xfId="20113" xr:uid="{00000000-0005-0000-0000-0000914E0000}"/>
    <cellStyle name="Normal 7 2 3 3" xfId="20114" xr:uid="{00000000-0005-0000-0000-0000924E0000}"/>
    <cellStyle name="Normal 7 2 4" xfId="20115" xr:uid="{00000000-0005-0000-0000-0000934E0000}"/>
    <cellStyle name="Normal 7 2 4 2" xfId="20116" xr:uid="{00000000-0005-0000-0000-0000944E0000}"/>
    <cellStyle name="Normal 7 2 5" xfId="20117" xr:uid="{00000000-0005-0000-0000-0000954E0000}"/>
    <cellStyle name="Normal 7 2 5 2" xfId="20118" xr:uid="{00000000-0005-0000-0000-0000964E0000}"/>
    <cellStyle name="Normal 7 2 6" xfId="20119" xr:uid="{00000000-0005-0000-0000-0000974E0000}"/>
    <cellStyle name="Normal 7 3" xfId="20120" xr:uid="{00000000-0005-0000-0000-0000984E0000}"/>
    <cellStyle name="Normal 7 3 2" xfId="20121" xr:uid="{00000000-0005-0000-0000-0000994E0000}"/>
    <cellStyle name="Normal 7 3 2 2" xfId="20122" xr:uid="{00000000-0005-0000-0000-00009A4E0000}"/>
    <cellStyle name="Normal 7 3 2 2 2" xfId="20123" xr:uid="{00000000-0005-0000-0000-00009B4E0000}"/>
    <cellStyle name="Normal 7 3 2 3" xfId="20124" xr:uid="{00000000-0005-0000-0000-00009C4E0000}"/>
    <cellStyle name="Normal 7 3 3" xfId="20125" xr:uid="{00000000-0005-0000-0000-00009D4E0000}"/>
    <cellStyle name="Normal 7 3 3 2" xfId="20126" xr:uid="{00000000-0005-0000-0000-00009E4E0000}"/>
    <cellStyle name="Normal 7 3 4" xfId="20127" xr:uid="{00000000-0005-0000-0000-00009F4E0000}"/>
    <cellStyle name="Normal 7 4" xfId="20128" xr:uid="{00000000-0005-0000-0000-0000A04E0000}"/>
    <cellStyle name="Normal 7 4 2" xfId="20129" xr:uid="{00000000-0005-0000-0000-0000A14E0000}"/>
    <cellStyle name="Normal 7 4 2 2" xfId="20130" xr:uid="{00000000-0005-0000-0000-0000A24E0000}"/>
    <cellStyle name="Normal 7 4 3" xfId="20131" xr:uid="{00000000-0005-0000-0000-0000A34E0000}"/>
    <cellStyle name="Normal 7 5" xfId="20132" xr:uid="{00000000-0005-0000-0000-0000A44E0000}"/>
    <cellStyle name="Normal 7 5 2" xfId="20133" xr:uid="{00000000-0005-0000-0000-0000A54E0000}"/>
    <cellStyle name="Normal 7 6" xfId="20134" xr:uid="{00000000-0005-0000-0000-0000A64E0000}"/>
    <cellStyle name="Normal 7 7" xfId="20135" xr:uid="{00000000-0005-0000-0000-0000A74E0000}"/>
    <cellStyle name="Normal 7 8" xfId="20136" xr:uid="{00000000-0005-0000-0000-0000A84E0000}"/>
    <cellStyle name="Normal 8" xfId="20137" xr:uid="{00000000-0005-0000-0000-0000A94E0000}"/>
    <cellStyle name="Normal 8 2" xfId="20138" xr:uid="{00000000-0005-0000-0000-0000AA4E0000}"/>
    <cellStyle name="Normal 8 3" xfId="20139" xr:uid="{00000000-0005-0000-0000-0000AB4E0000}"/>
    <cellStyle name="Normal 9" xfId="20140" xr:uid="{00000000-0005-0000-0000-0000AC4E0000}"/>
    <cellStyle name="Normal 9 2" xfId="20141" xr:uid="{00000000-0005-0000-0000-0000AD4E0000}"/>
    <cellStyle name="Normal GHG Numbers (0.00)" xfId="20142" xr:uid="{00000000-0005-0000-0000-0000AE4E0000}"/>
    <cellStyle name="Normal GHG Numbers (0.00) 2" xfId="20143" xr:uid="{00000000-0005-0000-0000-0000AF4E0000}"/>
    <cellStyle name="Normal GHG Numbers (0.00) 3" xfId="20144" xr:uid="{00000000-0005-0000-0000-0000B04E0000}"/>
    <cellStyle name="Normal GHG Numbers (0.00) 3 2" xfId="20145" xr:uid="{00000000-0005-0000-0000-0000B14E0000}"/>
    <cellStyle name="Normal GHG Numbers (0.00) 3 2 2" xfId="20146" xr:uid="{00000000-0005-0000-0000-0000B24E0000}"/>
    <cellStyle name="Normal GHG Numbers (0.00) 3 2 2 10" xfId="20147" xr:uid="{00000000-0005-0000-0000-0000B34E0000}"/>
    <cellStyle name="Normal GHG Numbers (0.00) 3 2 2 11" xfId="20148" xr:uid="{00000000-0005-0000-0000-0000B44E0000}"/>
    <cellStyle name="Normal GHG Numbers (0.00) 3 2 2 12" xfId="20149" xr:uid="{00000000-0005-0000-0000-0000B54E0000}"/>
    <cellStyle name="Normal GHG Numbers (0.00) 3 2 2 13" xfId="20150" xr:uid="{00000000-0005-0000-0000-0000B64E0000}"/>
    <cellStyle name="Normal GHG Numbers (0.00) 3 2 2 14" xfId="20151" xr:uid="{00000000-0005-0000-0000-0000B74E0000}"/>
    <cellStyle name="Normal GHG Numbers (0.00) 3 2 2 15" xfId="20152" xr:uid="{00000000-0005-0000-0000-0000B84E0000}"/>
    <cellStyle name="Normal GHG Numbers (0.00) 3 2 2 16" xfId="20153" xr:uid="{00000000-0005-0000-0000-0000B94E0000}"/>
    <cellStyle name="Normal GHG Numbers (0.00) 3 2 2 17" xfId="20154" xr:uid="{00000000-0005-0000-0000-0000BA4E0000}"/>
    <cellStyle name="Normal GHG Numbers (0.00) 3 2 2 18" xfId="20155" xr:uid="{00000000-0005-0000-0000-0000BB4E0000}"/>
    <cellStyle name="Normal GHG Numbers (0.00) 3 2 2 19" xfId="20156" xr:uid="{00000000-0005-0000-0000-0000BC4E0000}"/>
    <cellStyle name="Normal GHG Numbers (0.00) 3 2 2 2" xfId="20157" xr:uid="{00000000-0005-0000-0000-0000BD4E0000}"/>
    <cellStyle name="Normal GHG Numbers (0.00) 3 2 2 2 10" xfId="20158" xr:uid="{00000000-0005-0000-0000-0000BE4E0000}"/>
    <cellStyle name="Normal GHG Numbers (0.00) 3 2 2 2 11" xfId="20159" xr:uid="{00000000-0005-0000-0000-0000BF4E0000}"/>
    <cellStyle name="Normal GHG Numbers (0.00) 3 2 2 2 12" xfId="20160" xr:uid="{00000000-0005-0000-0000-0000C04E0000}"/>
    <cellStyle name="Normal GHG Numbers (0.00) 3 2 2 2 13" xfId="20161" xr:uid="{00000000-0005-0000-0000-0000C14E0000}"/>
    <cellStyle name="Normal GHG Numbers (0.00) 3 2 2 2 14" xfId="20162" xr:uid="{00000000-0005-0000-0000-0000C24E0000}"/>
    <cellStyle name="Normal GHG Numbers (0.00) 3 2 2 2 15" xfId="20163" xr:uid="{00000000-0005-0000-0000-0000C34E0000}"/>
    <cellStyle name="Normal GHG Numbers (0.00) 3 2 2 2 16" xfId="20164" xr:uid="{00000000-0005-0000-0000-0000C44E0000}"/>
    <cellStyle name="Normal GHG Numbers (0.00) 3 2 2 2 17" xfId="20165" xr:uid="{00000000-0005-0000-0000-0000C54E0000}"/>
    <cellStyle name="Normal GHG Numbers (0.00) 3 2 2 2 18" xfId="20166" xr:uid="{00000000-0005-0000-0000-0000C64E0000}"/>
    <cellStyle name="Normal GHG Numbers (0.00) 3 2 2 2 19" xfId="20167" xr:uid="{00000000-0005-0000-0000-0000C74E0000}"/>
    <cellStyle name="Normal GHG Numbers (0.00) 3 2 2 2 2" xfId="20168" xr:uid="{00000000-0005-0000-0000-0000C84E0000}"/>
    <cellStyle name="Normal GHG Numbers (0.00) 3 2 2 2 20" xfId="20169" xr:uid="{00000000-0005-0000-0000-0000C94E0000}"/>
    <cellStyle name="Normal GHG Numbers (0.00) 3 2 2 2 21" xfId="20170" xr:uid="{00000000-0005-0000-0000-0000CA4E0000}"/>
    <cellStyle name="Normal GHG Numbers (0.00) 3 2 2 2 22" xfId="20171" xr:uid="{00000000-0005-0000-0000-0000CB4E0000}"/>
    <cellStyle name="Normal GHG Numbers (0.00) 3 2 2 2 23" xfId="20172" xr:uid="{00000000-0005-0000-0000-0000CC4E0000}"/>
    <cellStyle name="Normal GHG Numbers (0.00) 3 2 2 2 24" xfId="20173" xr:uid="{00000000-0005-0000-0000-0000CD4E0000}"/>
    <cellStyle name="Normal GHG Numbers (0.00) 3 2 2 2 25" xfId="20174" xr:uid="{00000000-0005-0000-0000-0000CE4E0000}"/>
    <cellStyle name="Normal GHG Numbers (0.00) 3 2 2 2 26" xfId="20175" xr:uid="{00000000-0005-0000-0000-0000CF4E0000}"/>
    <cellStyle name="Normal GHG Numbers (0.00) 3 2 2 2 27" xfId="20176" xr:uid="{00000000-0005-0000-0000-0000D04E0000}"/>
    <cellStyle name="Normal GHG Numbers (0.00) 3 2 2 2 28" xfId="20177" xr:uid="{00000000-0005-0000-0000-0000D14E0000}"/>
    <cellStyle name="Normal GHG Numbers (0.00) 3 2 2 2 29" xfId="20178" xr:uid="{00000000-0005-0000-0000-0000D24E0000}"/>
    <cellStyle name="Normal GHG Numbers (0.00) 3 2 2 2 3" xfId="20179" xr:uid="{00000000-0005-0000-0000-0000D34E0000}"/>
    <cellStyle name="Normal GHG Numbers (0.00) 3 2 2 2 30" xfId="20180" xr:uid="{00000000-0005-0000-0000-0000D44E0000}"/>
    <cellStyle name="Normal GHG Numbers (0.00) 3 2 2 2 31" xfId="20181" xr:uid="{00000000-0005-0000-0000-0000D54E0000}"/>
    <cellStyle name="Normal GHG Numbers (0.00) 3 2 2 2 32" xfId="20182" xr:uid="{00000000-0005-0000-0000-0000D64E0000}"/>
    <cellStyle name="Normal GHG Numbers (0.00) 3 2 2 2 33" xfId="20183" xr:uid="{00000000-0005-0000-0000-0000D74E0000}"/>
    <cellStyle name="Normal GHG Numbers (0.00) 3 2 2 2 34" xfId="20184" xr:uid="{00000000-0005-0000-0000-0000D84E0000}"/>
    <cellStyle name="Normal GHG Numbers (0.00) 3 2 2 2 35" xfId="20185" xr:uid="{00000000-0005-0000-0000-0000D94E0000}"/>
    <cellStyle name="Normal GHG Numbers (0.00) 3 2 2 2 36" xfId="20186" xr:uid="{00000000-0005-0000-0000-0000DA4E0000}"/>
    <cellStyle name="Normal GHG Numbers (0.00) 3 2 2 2 37" xfId="20187" xr:uid="{00000000-0005-0000-0000-0000DB4E0000}"/>
    <cellStyle name="Normal GHG Numbers (0.00) 3 2 2 2 38" xfId="20188" xr:uid="{00000000-0005-0000-0000-0000DC4E0000}"/>
    <cellStyle name="Normal GHG Numbers (0.00) 3 2 2 2 39" xfId="20189" xr:uid="{00000000-0005-0000-0000-0000DD4E0000}"/>
    <cellStyle name="Normal GHG Numbers (0.00) 3 2 2 2 4" xfId="20190" xr:uid="{00000000-0005-0000-0000-0000DE4E0000}"/>
    <cellStyle name="Normal GHG Numbers (0.00) 3 2 2 2 40" xfId="20191" xr:uid="{00000000-0005-0000-0000-0000DF4E0000}"/>
    <cellStyle name="Normal GHG Numbers (0.00) 3 2 2 2 41" xfId="20192" xr:uid="{00000000-0005-0000-0000-0000E04E0000}"/>
    <cellStyle name="Normal GHG Numbers (0.00) 3 2 2 2 42" xfId="20193" xr:uid="{00000000-0005-0000-0000-0000E14E0000}"/>
    <cellStyle name="Normal GHG Numbers (0.00) 3 2 2 2 43" xfId="20194" xr:uid="{00000000-0005-0000-0000-0000E24E0000}"/>
    <cellStyle name="Normal GHG Numbers (0.00) 3 2 2 2 44" xfId="20195" xr:uid="{00000000-0005-0000-0000-0000E34E0000}"/>
    <cellStyle name="Normal GHG Numbers (0.00) 3 2 2 2 45" xfId="20196" xr:uid="{00000000-0005-0000-0000-0000E44E0000}"/>
    <cellStyle name="Normal GHG Numbers (0.00) 3 2 2 2 46" xfId="20197" xr:uid="{00000000-0005-0000-0000-0000E54E0000}"/>
    <cellStyle name="Normal GHG Numbers (0.00) 3 2 2 2 47" xfId="20198" xr:uid="{00000000-0005-0000-0000-0000E64E0000}"/>
    <cellStyle name="Normal GHG Numbers (0.00) 3 2 2 2 48" xfId="20199" xr:uid="{00000000-0005-0000-0000-0000E74E0000}"/>
    <cellStyle name="Normal GHG Numbers (0.00) 3 2 2 2 49" xfId="20200" xr:uid="{00000000-0005-0000-0000-0000E84E0000}"/>
    <cellStyle name="Normal GHG Numbers (0.00) 3 2 2 2 5" xfId="20201" xr:uid="{00000000-0005-0000-0000-0000E94E0000}"/>
    <cellStyle name="Normal GHG Numbers (0.00) 3 2 2 2 50" xfId="20202" xr:uid="{00000000-0005-0000-0000-0000EA4E0000}"/>
    <cellStyle name="Normal GHG Numbers (0.00) 3 2 2 2 51" xfId="20203" xr:uid="{00000000-0005-0000-0000-0000EB4E0000}"/>
    <cellStyle name="Normal GHG Numbers (0.00) 3 2 2 2 52" xfId="20204" xr:uid="{00000000-0005-0000-0000-0000EC4E0000}"/>
    <cellStyle name="Normal GHG Numbers (0.00) 3 2 2 2 53" xfId="20205" xr:uid="{00000000-0005-0000-0000-0000ED4E0000}"/>
    <cellStyle name="Normal GHG Numbers (0.00) 3 2 2 2 54" xfId="20206" xr:uid="{00000000-0005-0000-0000-0000EE4E0000}"/>
    <cellStyle name="Normal GHG Numbers (0.00) 3 2 2 2 55" xfId="20207" xr:uid="{00000000-0005-0000-0000-0000EF4E0000}"/>
    <cellStyle name="Normal GHG Numbers (0.00) 3 2 2 2 56" xfId="20208" xr:uid="{00000000-0005-0000-0000-0000F04E0000}"/>
    <cellStyle name="Normal GHG Numbers (0.00) 3 2 2 2 57" xfId="20209" xr:uid="{00000000-0005-0000-0000-0000F14E0000}"/>
    <cellStyle name="Normal GHG Numbers (0.00) 3 2 2 2 58" xfId="20210" xr:uid="{00000000-0005-0000-0000-0000F24E0000}"/>
    <cellStyle name="Normal GHG Numbers (0.00) 3 2 2 2 59" xfId="20211" xr:uid="{00000000-0005-0000-0000-0000F34E0000}"/>
    <cellStyle name="Normal GHG Numbers (0.00) 3 2 2 2 6" xfId="20212" xr:uid="{00000000-0005-0000-0000-0000F44E0000}"/>
    <cellStyle name="Normal GHG Numbers (0.00) 3 2 2 2 60" xfId="20213" xr:uid="{00000000-0005-0000-0000-0000F54E0000}"/>
    <cellStyle name="Normal GHG Numbers (0.00) 3 2 2 2 61" xfId="20214" xr:uid="{00000000-0005-0000-0000-0000F64E0000}"/>
    <cellStyle name="Normal GHG Numbers (0.00) 3 2 2 2 62" xfId="20215" xr:uid="{00000000-0005-0000-0000-0000F74E0000}"/>
    <cellStyle name="Normal GHG Numbers (0.00) 3 2 2 2 63" xfId="20216" xr:uid="{00000000-0005-0000-0000-0000F84E0000}"/>
    <cellStyle name="Normal GHG Numbers (0.00) 3 2 2 2 64" xfId="20217" xr:uid="{00000000-0005-0000-0000-0000F94E0000}"/>
    <cellStyle name="Normal GHG Numbers (0.00) 3 2 2 2 65" xfId="20218" xr:uid="{00000000-0005-0000-0000-0000FA4E0000}"/>
    <cellStyle name="Normal GHG Numbers (0.00) 3 2 2 2 7" xfId="20219" xr:uid="{00000000-0005-0000-0000-0000FB4E0000}"/>
    <cellStyle name="Normal GHG Numbers (0.00) 3 2 2 2 8" xfId="20220" xr:uid="{00000000-0005-0000-0000-0000FC4E0000}"/>
    <cellStyle name="Normal GHG Numbers (0.00) 3 2 2 2 9" xfId="20221" xr:uid="{00000000-0005-0000-0000-0000FD4E0000}"/>
    <cellStyle name="Normal GHG Numbers (0.00) 3 2 2 20" xfId="20222" xr:uid="{00000000-0005-0000-0000-0000FE4E0000}"/>
    <cellStyle name="Normal GHG Numbers (0.00) 3 2 2 21" xfId="20223" xr:uid="{00000000-0005-0000-0000-0000FF4E0000}"/>
    <cellStyle name="Normal GHG Numbers (0.00) 3 2 2 22" xfId="20224" xr:uid="{00000000-0005-0000-0000-0000004F0000}"/>
    <cellStyle name="Normal GHG Numbers (0.00) 3 2 2 23" xfId="20225" xr:uid="{00000000-0005-0000-0000-0000014F0000}"/>
    <cellStyle name="Normal GHG Numbers (0.00) 3 2 2 24" xfId="20226" xr:uid="{00000000-0005-0000-0000-0000024F0000}"/>
    <cellStyle name="Normal GHG Numbers (0.00) 3 2 2 25" xfId="20227" xr:uid="{00000000-0005-0000-0000-0000034F0000}"/>
    <cellStyle name="Normal GHG Numbers (0.00) 3 2 2 26" xfId="20228" xr:uid="{00000000-0005-0000-0000-0000044F0000}"/>
    <cellStyle name="Normal GHG Numbers (0.00) 3 2 2 27" xfId="20229" xr:uid="{00000000-0005-0000-0000-0000054F0000}"/>
    <cellStyle name="Normal GHG Numbers (0.00) 3 2 2 28" xfId="20230" xr:uid="{00000000-0005-0000-0000-0000064F0000}"/>
    <cellStyle name="Normal GHG Numbers (0.00) 3 2 2 29" xfId="20231" xr:uid="{00000000-0005-0000-0000-0000074F0000}"/>
    <cellStyle name="Normal GHG Numbers (0.00) 3 2 2 3" xfId="20232" xr:uid="{00000000-0005-0000-0000-0000084F0000}"/>
    <cellStyle name="Normal GHG Numbers (0.00) 3 2 2 30" xfId="20233" xr:uid="{00000000-0005-0000-0000-0000094F0000}"/>
    <cellStyle name="Normal GHG Numbers (0.00) 3 2 2 31" xfId="20234" xr:uid="{00000000-0005-0000-0000-00000A4F0000}"/>
    <cellStyle name="Normal GHG Numbers (0.00) 3 2 2 32" xfId="20235" xr:uid="{00000000-0005-0000-0000-00000B4F0000}"/>
    <cellStyle name="Normal GHG Numbers (0.00) 3 2 2 33" xfId="20236" xr:uid="{00000000-0005-0000-0000-00000C4F0000}"/>
    <cellStyle name="Normal GHG Numbers (0.00) 3 2 2 34" xfId="20237" xr:uid="{00000000-0005-0000-0000-00000D4F0000}"/>
    <cellStyle name="Normal GHG Numbers (0.00) 3 2 2 35" xfId="20238" xr:uid="{00000000-0005-0000-0000-00000E4F0000}"/>
    <cellStyle name="Normal GHG Numbers (0.00) 3 2 2 36" xfId="20239" xr:uid="{00000000-0005-0000-0000-00000F4F0000}"/>
    <cellStyle name="Normal GHG Numbers (0.00) 3 2 2 37" xfId="20240" xr:uid="{00000000-0005-0000-0000-0000104F0000}"/>
    <cellStyle name="Normal GHG Numbers (0.00) 3 2 2 38" xfId="20241" xr:uid="{00000000-0005-0000-0000-0000114F0000}"/>
    <cellStyle name="Normal GHG Numbers (0.00) 3 2 2 39" xfId="20242" xr:uid="{00000000-0005-0000-0000-0000124F0000}"/>
    <cellStyle name="Normal GHG Numbers (0.00) 3 2 2 4" xfId="20243" xr:uid="{00000000-0005-0000-0000-0000134F0000}"/>
    <cellStyle name="Normal GHG Numbers (0.00) 3 2 2 40" xfId="20244" xr:uid="{00000000-0005-0000-0000-0000144F0000}"/>
    <cellStyle name="Normal GHG Numbers (0.00) 3 2 2 41" xfId="20245" xr:uid="{00000000-0005-0000-0000-0000154F0000}"/>
    <cellStyle name="Normal GHG Numbers (0.00) 3 2 2 42" xfId="20246" xr:uid="{00000000-0005-0000-0000-0000164F0000}"/>
    <cellStyle name="Normal GHG Numbers (0.00) 3 2 2 43" xfId="20247" xr:uid="{00000000-0005-0000-0000-0000174F0000}"/>
    <cellStyle name="Normal GHG Numbers (0.00) 3 2 2 44" xfId="20248" xr:uid="{00000000-0005-0000-0000-0000184F0000}"/>
    <cellStyle name="Normal GHG Numbers (0.00) 3 2 2 45" xfId="20249" xr:uid="{00000000-0005-0000-0000-0000194F0000}"/>
    <cellStyle name="Normal GHG Numbers (0.00) 3 2 2 46" xfId="20250" xr:uid="{00000000-0005-0000-0000-00001A4F0000}"/>
    <cellStyle name="Normal GHG Numbers (0.00) 3 2 2 47" xfId="20251" xr:uid="{00000000-0005-0000-0000-00001B4F0000}"/>
    <cellStyle name="Normal GHG Numbers (0.00) 3 2 2 48" xfId="20252" xr:uid="{00000000-0005-0000-0000-00001C4F0000}"/>
    <cellStyle name="Normal GHG Numbers (0.00) 3 2 2 49" xfId="20253" xr:uid="{00000000-0005-0000-0000-00001D4F0000}"/>
    <cellStyle name="Normal GHG Numbers (0.00) 3 2 2 5" xfId="20254" xr:uid="{00000000-0005-0000-0000-00001E4F0000}"/>
    <cellStyle name="Normal GHG Numbers (0.00) 3 2 2 50" xfId="20255" xr:uid="{00000000-0005-0000-0000-00001F4F0000}"/>
    <cellStyle name="Normal GHG Numbers (0.00) 3 2 2 51" xfId="20256" xr:uid="{00000000-0005-0000-0000-0000204F0000}"/>
    <cellStyle name="Normal GHG Numbers (0.00) 3 2 2 52" xfId="20257" xr:uid="{00000000-0005-0000-0000-0000214F0000}"/>
    <cellStyle name="Normal GHG Numbers (0.00) 3 2 2 53" xfId="20258" xr:uid="{00000000-0005-0000-0000-0000224F0000}"/>
    <cellStyle name="Normal GHG Numbers (0.00) 3 2 2 54" xfId="20259" xr:uid="{00000000-0005-0000-0000-0000234F0000}"/>
    <cellStyle name="Normal GHG Numbers (0.00) 3 2 2 55" xfId="20260" xr:uid="{00000000-0005-0000-0000-0000244F0000}"/>
    <cellStyle name="Normal GHG Numbers (0.00) 3 2 2 56" xfId="20261" xr:uid="{00000000-0005-0000-0000-0000254F0000}"/>
    <cellStyle name="Normal GHG Numbers (0.00) 3 2 2 57" xfId="20262" xr:uid="{00000000-0005-0000-0000-0000264F0000}"/>
    <cellStyle name="Normal GHG Numbers (0.00) 3 2 2 58" xfId="20263" xr:uid="{00000000-0005-0000-0000-0000274F0000}"/>
    <cellStyle name="Normal GHG Numbers (0.00) 3 2 2 59" xfId="20264" xr:uid="{00000000-0005-0000-0000-0000284F0000}"/>
    <cellStyle name="Normal GHG Numbers (0.00) 3 2 2 6" xfId="20265" xr:uid="{00000000-0005-0000-0000-0000294F0000}"/>
    <cellStyle name="Normal GHG Numbers (0.00) 3 2 2 60" xfId="20266" xr:uid="{00000000-0005-0000-0000-00002A4F0000}"/>
    <cellStyle name="Normal GHG Numbers (0.00) 3 2 2 61" xfId="20267" xr:uid="{00000000-0005-0000-0000-00002B4F0000}"/>
    <cellStyle name="Normal GHG Numbers (0.00) 3 2 2 62" xfId="20268" xr:uid="{00000000-0005-0000-0000-00002C4F0000}"/>
    <cellStyle name="Normal GHG Numbers (0.00) 3 2 2 63" xfId="20269" xr:uid="{00000000-0005-0000-0000-00002D4F0000}"/>
    <cellStyle name="Normal GHG Numbers (0.00) 3 2 2 64" xfId="20270" xr:uid="{00000000-0005-0000-0000-00002E4F0000}"/>
    <cellStyle name="Normal GHG Numbers (0.00) 3 2 2 65" xfId="20271" xr:uid="{00000000-0005-0000-0000-00002F4F0000}"/>
    <cellStyle name="Normal GHG Numbers (0.00) 3 2 2 66" xfId="20272" xr:uid="{00000000-0005-0000-0000-0000304F0000}"/>
    <cellStyle name="Normal GHG Numbers (0.00) 3 2 2 7" xfId="20273" xr:uid="{00000000-0005-0000-0000-0000314F0000}"/>
    <cellStyle name="Normal GHG Numbers (0.00) 3 2 2 8" xfId="20274" xr:uid="{00000000-0005-0000-0000-0000324F0000}"/>
    <cellStyle name="Normal GHG Numbers (0.00) 3 2 2 9" xfId="20275" xr:uid="{00000000-0005-0000-0000-0000334F0000}"/>
    <cellStyle name="Normal GHG Numbers (0.00) 3 2 3" xfId="20276" xr:uid="{00000000-0005-0000-0000-0000344F0000}"/>
    <cellStyle name="Normal GHG Numbers (0.00) 3 2 3 10" xfId="20277" xr:uid="{00000000-0005-0000-0000-0000354F0000}"/>
    <cellStyle name="Normal GHG Numbers (0.00) 3 2 3 11" xfId="20278" xr:uid="{00000000-0005-0000-0000-0000364F0000}"/>
    <cellStyle name="Normal GHG Numbers (0.00) 3 2 3 12" xfId="20279" xr:uid="{00000000-0005-0000-0000-0000374F0000}"/>
    <cellStyle name="Normal GHG Numbers (0.00) 3 2 3 13" xfId="20280" xr:uid="{00000000-0005-0000-0000-0000384F0000}"/>
    <cellStyle name="Normal GHG Numbers (0.00) 3 2 3 14" xfId="20281" xr:uid="{00000000-0005-0000-0000-0000394F0000}"/>
    <cellStyle name="Normal GHG Numbers (0.00) 3 2 3 15" xfId="20282" xr:uid="{00000000-0005-0000-0000-00003A4F0000}"/>
    <cellStyle name="Normal GHG Numbers (0.00) 3 2 3 16" xfId="20283" xr:uid="{00000000-0005-0000-0000-00003B4F0000}"/>
    <cellStyle name="Normal GHG Numbers (0.00) 3 2 3 17" xfId="20284" xr:uid="{00000000-0005-0000-0000-00003C4F0000}"/>
    <cellStyle name="Normal GHG Numbers (0.00) 3 2 3 18" xfId="20285" xr:uid="{00000000-0005-0000-0000-00003D4F0000}"/>
    <cellStyle name="Normal GHG Numbers (0.00) 3 2 3 19" xfId="20286" xr:uid="{00000000-0005-0000-0000-00003E4F0000}"/>
    <cellStyle name="Normal GHG Numbers (0.00) 3 2 3 2" xfId="20287" xr:uid="{00000000-0005-0000-0000-00003F4F0000}"/>
    <cellStyle name="Normal GHG Numbers (0.00) 3 2 3 20" xfId="20288" xr:uid="{00000000-0005-0000-0000-0000404F0000}"/>
    <cellStyle name="Normal GHG Numbers (0.00) 3 2 3 21" xfId="20289" xr:uid="{00000000-0005-0000-0000-0000414F0000}"/>
    <cellStyle name="Normal GHG Numbers (0.00) 3 2 3 22" xfId="20290" xr:uid="{00000000-0005-0000-0000-0000424F0000}"/>
    <cellStyle name="Normal GHG Numbers (0.00) 3 2 3 23" xfId="20291" xr:uid="{00000000-0005-0000-0000-0000434F0000}"/>
    <cellStyle name="Normal GHG Numbers (0.00) 3 2 3 24" xfId="20292" xr:uid="{00000000-0005-0000-0000-0000444F0000}"/>
    <cellStyle name="Normal GHG Numbers (0.00) 3 2 3 25" xfId="20293" xr:uid="{00000000-0005-0000-0000-0000454F0000}"/>
    <cellStyle name="Normal GHG Numbers (0.00) 3 2 3 26" xfId="20294" xr:uid="{00000000-0005-0000-0000-0000464F0000}"/>
    <cellStyle name="Normal GHG Numbers (0.00) 3 2 3 27" xfId="20295" xr:uid="{00000000-0005-0000-0000-0000474F0000}"/>
    <cellStyle name="Normal GHG Numbers (0.00) 3 2 3 28" xfId="20296" xr:uid="{00000000-0005-0000-0000-0000484F0000}"/>
    <cellStyle name="Normal GHG Numbers (0.00) 3 2 3 29" xfId="20297" xr:uid="{00000000-0005-0000-0000-0000494F0000}"/>
    <cellStyle name="Normal GHG Numbers (0.00) 3 2 3 3" xfId="20298" xr:uid="{00000000-0005-0000-0000-00004A4F0000}"/>
    <cellStyle name="Normal GHG Numbers (0.00) 3 2 3 30" xfId="20299" xr:uid="{00000000-0005-0000-0000-00004B4F0000}"/>
    <cellStyle name="Normal GHG Numbers (0.00) 3 2 3 31" xfId="20300" xr:uid="{00000000-0005-0000-0000-00004C4F0000}"/>
    <cellStyle name="Normal GHG Numbers (0.00) 3 2 3 32" xfId="20301" xr:uid="{00000000-0005-0000-0000-00004D4F0000}"/>
    <cellStyle name="Normal GHG Numbers (0.00) 3 2 3 33" xfId="20302" xr:uid="{00000000-0005-0000-0000-00004E4F0000}"/>
    <cellStyle name="Normal GHG Numbers (0.00) 3 2 3 34" xfId="20303" xr:uid="{00000000-0005-0000-0000-00004F4F0000}"/>
    <cellStyle name="Normal GHG Numbers (0.00) 3 2 3 35" xfId="20304" xr:uid="{00000000-0005-0000-0000-0000504F0000}"/>
    <cellStyle name="Normal GHG Numbers (0.00) 3 2 3 36" xfId="20305" xr:uid="{00000000-0005-0000-0000-0000514F0000}"/>
    <cellStyle name="Normal GHG Numbers (0.00) 3 2 3 37" xfId="20306" xr:uid="{00000000-0005-0000-0000-0000524F0000}"/>
    <cellStyle name="Normal GHG Numbers (0.00) 3 2 3 38" xfId="20307" xr:uid="{00000000-0005-0000-0000-0000534F0000}"/>
    <cellStyle name="Normal GHG Numbers (0.00) 3 2 3 39" xfId="20308" xr:uid="{00000000-0005-0000-0000-0000544F0000}"/>
    <cellStyle name="Normal GHG Numbers (0.00) 3 2 3 4" xfId="20309" xr:uid="{00000000-0005-0000-0000-0000554F0000}"/>
    <cellStyle name="Normal GHG Numbers (0.00) 3 2 3 40" xfId="20310" xr:uid="{00000000-0005-0000-0000-0000564F0000}"/>
    <cellStyle name="Normal GHG Numbers (0.00) 3 2 3 41" xfId="20311" xr:uid="{00000000-0005-0000-0000-0000574F0000}"/>
    <cellStyle name="Normal GHG Numbers (0.00) 3 2 3 42" xfId="20312" xr:uid="{00000000-0005-0000-0000-0000584F0000}"/>
    <cellStyle name="Normal GHG Numbers (0.00) 3 2 3 43" xfId="20313" xr:uid="{00000000-0005-0000-0000-0000594F0000}"/>
    <cellStyle name="Normal GHG Numbers (0.00) 3 2 3 44" xfId="20314" xr:uid="{00000000-0005-0000-0000-00005A4F0000}"/>
    <cellStyle name="Normal GHG Numbers (0.00) 3 2 3 45" xfId="20315" xr:uid="{00000000-0005-0000-0000-00005B4F0000}"/>
    <cellStyle name="Normal GHG Numbers (0.00) 3 2 3 46" xfId="20316" xr:uid="{00000000-0005-0000-0000-00005C4F0000}"/>
    <cellStyle name="Normal GHG Numbers (0.00) 3 2 3 47" xfId="20317" xr:uid="{00000000-0005-0000-0000-00005D4F0000}"/>
    <cellStyle name="Normal GHG Numbers (0.00) 3 2 3 48" xfId="20318" xr:uid="{00000000-0005-0000-0000-00005E4F0000}"/>
    <cellStyle name="Normal GHG Numbers (0.00) 3 2 3 49" xfId="20319" xr:uid="{00000000-0005-0000-0000-00005F4F0000}"/>
    <cellStyle name="Normal GHG Numbers (0.00) 3 2 3 5" xfId="20320" xr:uid="{00000000-0005-0000-0000-0000604F0000}"/>
    <cellStyle name="Normal GHG Numbers (0.00) 3 2 3 50" xfId="20321" xr:uid="{00000000-0005-0000-0000-0000614F0000}"/>
    <cellStyle name="Normal GHG Numbers (0.00) 3 2 3 51" xfId="20322" xr:uid="{00000000-0005-0000-0000-0000624F0000}"/>
    <cellStyle name="Normal GHG Numbers (0.00) 3 2 3 52" xfId="20323" xr:uid="{00000000-0005-0000-0000-0000634F0000}"/>
    <cellStyle name="Normal GHG Numbers (0.00) 3 2 3 53" xfId="20324" xr:uid="{00000000-0005-0000-0000-0000644F0000}"/>
    <cellStyle name="Normal GHG Numbers (0.00) 3 2 3 54" xfId="20325" xr:uid="{00000000-0005-0000-0000-0000654F0000}"/>
    <cellStyle name="Normal GHG Numbers (0.00) 3 2 3 55" xfId="20326" xr:uid="{00000000-0005-0000-0000-0000664F0000}"/>
    <cellStyle name="Normal GHG Numbers (0.00) 3 2 3 56" xfId="20327" xr:uid="{00000000-0005-0000-0000-0000674F0000}"/>
    <cellStyle name="Normal GHG Numbers (0.00) 3 2 3 57" xfId="20328" xr:uid="{00000000-0005-0000-0000-0000684F0000}"/>
    <cellStyle name="Normal GHG Numbers (0.00) 3 2 3 58" xfId="20329" xr:uid="{00000000-0005-0000-0000-0000694F0000}"/>
    <cellStyle name="Normal GHG Numbers (0.00) 3 2 3 59" xfId="20330" xr:uid="{00000000-0005-0000-0000-00006A4F0000}"/>
    <cellStyle name="Normal GHG Numbers (0.00) 3 2 3 6" xfId="20331" xr:uid="{00000000-0005-0000-0000-00006B4F0000}"/>
    <cellStyle name="Normal GHG Numbers (0.00) 3 2 3 60" xfId="20332" xr:uid="{00000000-0005-0000-0000-00006C4F0000}"/>
    <cellStyle name="Normal GHG Numbers (0.00) 3 2 3 61" xfId="20333" xr:uid="{00000000-0005-0000-0000-00006D4F0000}"/>
    <cellStyle name="Normal GHG Numbers (0.00) 3 2 3 62" xfId="20334" xr:uid="{00000000-0005-0000-0000-00006E4F0000}"/>
    <cellStyle name="Normal GHG Numbers (0.00) 3 2 3 63" xfId="20335" xr:uid="{00000000-0005-0000-0000-00006F4F0000}"/>
    <cellStyle name="Normal GHG Numbers (0.00) 3 2 3 64" xfId="20336" xr:uid="{00000000-0005-0000-0000-0000704F0000}"/>
    <cellStyle name="Normal GHG Numbers (0.00) 3 2 3 65" xfId="20337" xr:uid="{00000000-0005-0000-0000-0000714F0000}"/>
    <cellStyle name="Normal GHG Numbers (0.00) 3 2 3 7" xfId="20338" xr:uid="{00000000-0005-0000-0000-0000724F0000}"/>
    <cellStyle name="Normal GHG Numbers (0.00) 3 2 3 8" xfId="20339" xr:uid="{00000000-0005-0000-0000-0000734F0000}"/>
    <cellStyle name="Normal GHG Numbers (0.00) 3 2 3 9" xfId="20340" xr:uid="{00000000-0005-0000-0000-0000744F0000}"/>
    <cellStyle name="Normal GHG Numbers (0.00) 3 3" xfId="20341" xr:uid="{00000000-0005-0000-0000-0000754F0000}"/>
    <cellStyle name="Normal GHG Numbers (0.00) 3 3 10" xfId="20342" xr:uid="{00000000-0005-0000-0000-0000764F0000}"/>
    <cellStyle name="Normal GHG Numbers (0.00) 3 3 11" xfId="20343" xr:uid="{00000000-0005-0000-0000-0000774F0000}"/>
    <cellStyle name="Normal GHG Numbers (0.00) 3 3 12" xfId="20344" xr:uid="{00000000-0005-0000-0000-0000784F0000}"/>
    <cellStyle name="Normal GHG Numbers (0.00) 3 3 13" xfId="20345" xr:uid="{00000000-0005-0000-0000-0000794F0000}"/>
    <cellStyle name="Normal GHG Numbers (0.00) 3 3 14" xfId="20346" xr:uid="{00000000-0005-0000-0000-00007A4F0000}"/>
    <cellStyle name="Normal GHG Numbers (0.00) 3 3 15" xfId="20347" xr:uid="{00000000-0005-0000-0000-00007B4F0000}"/>
    <cellStyle name="Normal GHG Numbers (0.00) 3 3 16" xfId="20348" xr:uid="{00000000-0005-0000-0000-00007C4F0000}"/>
    <cellStyle name="Normal GHG Numbers (0.00) 3 3 17" xfId="20349" xr:uid="{00000000-0005-0000-0000-00007D4F0000}"/>
    <cellStyle name="Normal GHG Numbers (0.00) 3 3 18" xfId="20350" xr:uid="{00000000-0005-0000-0000-00007E4F0000}"/>
    <cellStyle name="Normal GHG Numbers (0.00) 3 3 19" xfId="20351" xr:uid="{00000000-0005-0000-0000-00007F4F0000}"/>
    <cellStyle name="Normal GHG Numbers (0.00) 3 3 2" xfId="20352" xr:uid="{00000000-0005-0000-0000-0000804F0000}"/>
    <cellStyle name="Normal GHG Numbers (0.00) 3 3 2 10" xfId="20353" xr:uid="{00000000-0005-0000-0000-0000814F0000}"/>
    <cellStyle name="Normal GHG Numbers (0.00) 3 3 2 11" xfId="20354" xr:uid="{00000000-0005-0000-0000-0000824F0000}"/>
    <cellStyle name="Normal GHG Numbers (0.00) 3 3 2 12" xfId="20355" xr:uid="{00000000-0005-0000-0000-0000834F0000}"/>
    <cellStyle name="Normal GHG Numbers (0.00) 3 3 2 13" xfId="20356" xr:uid="{00000000-0005-0000-0000-0000844F0000}"/>
    <cellStyle name="Normal GHG Numbers (0.00) 3 3 2 14" xfId="20357" xr:uid="{00000000-0005-0000-0000-0000854F0000}"/>
    <cellStyle name="Normal GHG Numbers (0.00) 3 3 2 15" xfId="20358" xr:uid="{00000000-0005-0000-0000-0000864F0000}"/>
    <cellStyle name="Normal GHG Numbers (0.00) 3 3 2 16" xfId="20359" xr:uid="{00000000-0005-0000-0000-0000874F0000}"/>
    <cellStyle name="Normal GHG Numbers (0.00) 3 3 2 17" xfId="20360" xr:uid="{00000000-0005-0000-0000-0000884F0000}"/>
    <cellStyle name="Normal GHG Numbers (0.00) 3 3 2 18" xfId="20361" xr:uid="{00000000-0005-0000-0000-0000894F0000}"/>
    <cellStyle name="Normal GHG Numbers (0.00) 3 3 2 19" xfId="20362" xr:uid="{00000000-0005-0000-0000-00008A4F0000}"/>
    <cellStyle name="Normal GHG Numbers (0.00) 3 3 2 2" xfId="20363" xr:uid="{00000000-0005-0000-0000-00008B4F0000}"/>
    <cellStyle name="Normal GHG Numbers (0.00) 3 3 2 2 10" xfId="20364" xr:uid="{00000000-0005-0000-0000-00008C4F0000}"/>
    <cellStyle name="Normal GHG Numbers (0.00) 3 3 2 2 11" xfId="20365" xr:uid="{00000000-0005-0000-0000-00008D4F0000}"/>
    <cellStyle name="Normal GHG Numbers (0.00) 3 3 2 2 12" xfId="20366" xr:uid="{00000000-0005-0000-0000-00008E4F0000}"/>
    <cellStyle name="Normal GHG Numbers (0.00) 3 3 2 2 13" xfId="20367" xr:uid="{00000000-0005-0000-0000-00008F4F0000}"/>
    <cellStyle name="Normal GHG Numbers (0.00) 3 3 2 2 14" xfId="20368" xr:uid="{00000000-0005-0000-0000-0000904F0000}"/>
    <cellStyle name="Normal GHG Numbers (0.00) 3 3 2 2 15" xfId="20369" xr:uid="{00000000-0005-0000-0000-0000914F0000}"/>
    <cellStyle name="Normal GHG Numbers (0.00) 3 3 2 2 16" xfId="20370" xr:uid="{00000000-0005-0000-0000-0000924F0000}"/>
    <cellStyle name="Normal GHG Numbers (0.00) 3 3 2 2 17" xfId="20371" xr:uid="{00000000-0005-0000-0000-0000934F0000}"/>
    <cellStyle name="Normal GHG Numbers (0.00) 3 3 2 2 18" xfId="20372" xr:uid="{00000000-0005-0000-0000-0000944F0000}"/>
    <cellStyle name="Normal GHG Numbers (0.00) 3 3 2 2 19" xfId="20373" xr:uid="{00000000-0005-0000-0000-0000954F0000}"/>
    <cellStyle name="Normal GHG Numbers (0.00) 3 3 2 2 2" xfId="20374" xr:uid="{00000000-0005-0000-0000-0000964F0000}"/>
    <cellStyle name="Normal GHG Numbers (0.00) 3 3 2 2 20" xfId="20375" xr:uid="{00000000-0005-0000-0000-0000974F0000}"/>
    <cellStyle name="Normal GHG Numbers (0.00) 3 3 2 2 21" xfId="20376" xr:uid="{00000000-0005-0000-0000-0000984F0000}"/>
    <cellStyle name="Normal GHG Numbers (0.00) 3 3 2 2 22" xfId="20377" xr:uid="{00000000-0005-0000-0000-0000994F0000}"/>
    <cellStyle name="Normal GHG Numbers (0.00) 3 3 2 2 23" xfId="20378" xr:uid="{00000000-0005-0000-0000-00009A4F0000}"/>
    <cellStyle name="Normal GHG Numbers (0.00) 3 3 2 2 24" xfId="20379" xr:uid="{00000000-0005-0000-0000-00009B4F0000}"/>
    <cellStyle name="Normal GHG Numbers (0.00) 3 3 2 2 25" xfId="20380" xr:uid="{00000000-0005-0000-0000-00009C4F0000}"/>
    <cellStyle name="Normal GHG Numbers (0.00) 3 3 2 2 26" xfId="20381" xr:uid="{00000000-0005-0000-0000-00009D4F0000}"/>
    <cellStyle name="Normal GHG Numbers (0.00) 3 3 2 2 27" xfId="20382" xr:uid="{00000000-0005-0000-0000-00009E4F0000}"/>
    <cellStyle name="Normal GHG Numbers (0.00) 3 3 2 2 28" xfId="20383" xr:uid="{00000000-0005-0000-0000-00009F4F0000}"/>
    <cellStyle name="Normal GHG Numbers (0.00) 3 3 2 2 29" xfId="20384" xr:uid="{00000000-0005-0000-0000-0000A04F0000}"/>
    <cellStyle name="Normal GHG Numbers (0.00) 3 3 2 2 3" xfId="20385" xr:uid="{00000000-0005-0000-0000-0000A14F0000}"/>
    <cellStyle name="Normal GHG Numbers (0.00) 3 3 2 2 30" xfId="20386" xr:uid="{00000000-0005-0000-0000-0000A24F0000}"/>
    <cellStyle name="Normal GHG Numbers (0.00) 3 3 2 2 31" xfId="20387" xr:uid="{00000000-0005-0000-0000-0000A34F0000}"/>
    <cellStyle name="Normal GHG Numbers (0.00) 3 3 2 2 32" xfId="20388" xr:uid="{00000000-0005-0000-0000-0000A44F0000}"/>
    <cellStyle name="Normal GHG Numbers (0.00) 3 3 2 2 33" xfId="20389" xr:uid="{00000000-0005-0000-0000-0000A54F0000}"/>
    <cellStyle name="Normal GHG Numbers (0.00) 3 3 2 2 34" xfId="20390" xr:uid="{00000000-0005-0000-0000-0000A64F0000}"/>
    <cellStyle name="Normal GHG Numbers (0.00) 3 3 2 2 35" xfId="20391" xr:uid="{00000000-0005-0000-0000-0000A74F0000}"/>
    <cellStyle name="Normal GHG Numbers (0.00) 3 3 2 2 36" xfId="20392" xr:uid="{00000000-0005-0000-0000-0000A84F0000}"/>
    <cellStyle name="Normal GHG Numbers (0.00) 3 3 2 2 37" xfId="20393" xr:uid="{00000000-0005-0000-0000-0000A94F0000}"/>
    <cellStyle name="Normal GHG Numbers (0.00) 3 3 2 2 38" xfId="20394" xr:uid="{00000000-0005-0000-0000-0000AA4F0000}"/>
    <cellStyle name="Normal GHG Numbers (0.00) 3 3 2 2 39" xfId="20395" xr:uid="{00000000-0005-0000-0000-0000AB4F0000}"/>
    <cellStyle name="Normal GHG Numbers (0.00) 3 3 2 2 4" xfId="20396" xr:uid="{00000000-0005-0000-0000-0000AC4F0000}"/>
    <cellStyle name="Normal GHG Numbers (0.00) 3 3 2 2 40" xfId="20397" xr:uid="{00000000-0005-0000-0000-0000AD4F0000}"/>
    <cellStyle name="Normal GHG Numbers (0.00) 3 3 2 2 41" xfId="20398" xr:uid="{00000000-0005-0000-0000-0000AE4F0000}"/>
    <cellStyle name="Normal GHG Numbers (0.00) 3 3 2 2 42" xfId="20399" xr:uid="{00000000-0005-0000-0000-0000AF4F0000}"/>
    <cellStyle name="Normal GHG Numbers (0.00) 3 3 2 2 43" xfId="20400" xr:uid="{00000000-0005-0000-0000-0000B04F0000}"/>
    <cellStyle name="Normal GHG Numbers (0.00) 3 3 2 2 44" xfId="20401" xr:uid="{00000000-0005-0000-0000-0000B14F0000}"/>
    <cellStyle name="Normal GHG Numbers (0.00) 3 3 2 2 45" xfId="20402" xr:uid="{00000000-0005-0000-0000-0000B24F0000}"/>
    <cellStyle name="Normal GHG Numbers (0.00) 3 3 2 2 46" xfId="20403" xr:uid="{00000000-0005-0000-0000-0000B34F0000}"/>
    <cellStyle name="Normal GHG Numbers (0.00) 3 3 2 2 47" xfId="20404" xr:uid="{00000000-0005-0000-0000-0000B44F0000}"/>
    <cellStyle name="Normal GHG Numbers (0.00) 3 3 2 2 48" xfId="20405" xr:uid="{00000000-0005-0000-0000-0000B54F0000}"/>
    <cellStyle name="Normal GHG Numbers (0.00) 3 3 2 2 49" xfId="20406" xr:uid="{00000000-0005-0000-0000-0000B64F0000}"/>
    <cellStyle name="Normal GHG Numbers (0.00) 3 3 2 2 5" xfId="20407" xr:uid="{00000000-0005-0000-0000-0000B74F0000}"/>
    <cellStyle name="Normal GHG Numbers (0.00) 3 3 2 2 50" xfId="20408" xr:uid="{00000000-0005-0000-0000-0000B84F0000}"/>
    <cellStyle name="Normal GHG Numbers (0.00) 3 3 2 2 51" xfId="20409" xr:uid="{00000000-0005-0000-0000-0000B94F0000}"/>
    <cellStyle name="Normal GHG Numbers (0.00) 3 3 2 2 52" xfId="20410" xr:uid="{00000000-0005-0000-0000-0000BA4F0000}"/>
    <cellStyle name="Normal GHG Numbers (0.00) 3 3 2 2 53" xfId="20411" xr:uid="{00000000-0005-0000-0000-0000BB4F0000}"/>
    <cellStyle name="Normal GHG Numbers (0.00) 3 3 2 2 54" xfId="20412" xr:uid="{00000000-0005-0000-0000-0000BC4F0000}"/>
    <cellStyle name="Normal GHG Numbers (0.00) 3 3 2 2 55" xfId="20413" xr:uid="{00000000-0005-0000-0000-0000BD4F0000}"/>
    <cellStyle name="Normal GHG Numbers (0.00) 3 3 2 2 56" xfId="20414" xr:uid="{00000000-0005-0000-0000-0000BE4F0000}"/>
    <cellStyle name="Normal GHG Numbers (0.00) 3 3 2 2 57" xfId="20415" xr:uid="{00000000-0005-0000-0000-0000BF4F0000}"/>
    <cellStyle name="Normal GHG Numbers (0.00) 3 3 2 2 58" xfId="20416" xr:uid="{00000000-0005-0000-0000-0000C04F0000}"/>
    <cellStyle name="Normal GHG Numbers (0.00) 3 3 2 2 59" xfId="20417" xr:uid="{00000000-0005-0000-0000-0000C14F0000}"/>
    <cellStyle name="Normal GHG Numbers (0.00) 3 3 2 2 6" xfId="20418" xr:uid="{00000000-0005-0000-0000-0000C24F0000}"/>
    <cellStyle name="Normal GHG Numbers (0.00) 3 3 2 2 60" xfId="20419" xr:uid="{00000000-0005-0000-0000-0000C34F0000}"/>
    <cellStyle name="Normal GHG Numbers (0.00) 3 3 2 2 61" xfId="20420" xr:uid="{00000000-0005-0000-0000-0000C44F0000}"/>
    <cellStyle name="Normal GHG Numbers (0.00) 3 3 2 2 62" xfId="20421" xr:uid="{00000000-0005-0000-0000-0000C54F0000}"/>
    <cellStyle name="Normal GHG Numbers (0.00) 3 3 2 2 63" xfId="20422" xr:uid="{00000000-0005-0000-0000-0000C64F0000}"/>
    <cellStyle name="Normal GHG Numbers (0.00) 3 3 2 2 64" xfId="20423" xr:uid="{00000000-0005-0000-0000-0000C74F0000}"/>
    <cellStyle name="Normal GHG Numbers (0.00) 3 3 2 2 65" xfId="20424" xr:uid="{00000000-0005-0000-0000-0000C84F0000}"/>
    <cellStyle name="Normal GHG Numbers (0.00) 3 3 2 2 7" xfId="20425" xr:uid="{00000000-0005-0000-0000-0000C94F0000}"/>
    <cellStyle name="Normal GHG Numbers (0.00) 3 3 2 2 8" xfId="20426" xr:uid="{00000000-0005-0000-0000-0000CA4F0000}"/>
    <cellStyle name="Normal GHG Numbers (0.00) 3 3 2 2 9" xfId="20427" xr:uid="{00000000-0005-0000-0000-0000CB4F0000}"/>
    <cellStyle name="Normal GHG Numbers (0.00) 3 3 2 20" xfId="20428" xr:uid="{00000000-0005-0000-0000-0000CC4F0000}"/>
    <cellStyle name="Normal GHG Numbers (0.00) 3 3 2 21" xfId="20429" xr:uid="{00000000-0005-0000-0000-0000CD4F0000}"/>
    <cellStyle name="Normal GHG Numbers (0.00) 3 3 2 22" xfId="20430" xr:uid="{00000000-0005-0000-0000-0000CE4F0000}"/>
    <cellStyle name="Normal GHG Numbers (0.00) 3 3 2 23" xfId="20431" xr:uid="{00000000-0005-0000-0000-0000CF4F0000}"/>
    <cellStyle name="Normal GHG Numbers (0.00) 3 3 2 24" xfId="20432" xr:uid="{00000000-0005-0000-0000-0000D04F0000}"/>
    <cellStyle name="Normal GHG Numbers (0.00) 3 3 2 25" xfId="20433" xr:uid="{00000000-0005-0000-0000-0000D14F0000}"/>
    <cellStyle name="Normal GHG Numbers (0.00) 3 3 2 26" xfId="20434" xr:uid="{00000000-0005-0000-0000-0000D24F0000}"/>
    <cellStyle name="Normal GHG Numbers (0.00) 3 3 2 27" xfId="20435" xr:uid="{00000000-0005-0000-0000-0000D34F0000}"/>
    <cellStyle name="Normal GHG Numbers (0.00) 3 3 2 28" xfId="20436" xr:uid="{00000000-0005-0000-0000-0000D44F0000}"/>
    <cellStyle name="Normal GHG Numbers (0.00) 3 3 2 29" xfId="20437" xr:uid="{00000000-0005-0000-0000-0000D54F0000}"/>
    <cellStyle name="Normal GHG Numbers (0.00) 3 3 2 3" xfId="20438" xr:uid="{00000000-0005-0000-0000-0000D64F0000}"/>
    <cellStyle name="Normal GHG Numbers (0.00) 3 3 2 30" xfId="20439" xr:uid="{00000000-0005-0000-0000-0000D74F0000}"/>
    <cellStyle name="Normal GHG Numbers (0.00) 3 3 2 31" xfId="20440" xr:uid="{00000000-0005-0000-0000-0000D84F0000}"/>
    <cellStyle name="Normal GHG Numbers (0.00) 3 3 2 32" xfId="20441" xr:uid="{00000000-0005-0000-0000-0000D94F0000}"/>
    <cellStyle name="Normal GHG Numbers (0.00) 3 3 2 33" xfId="20442" xr:uid="{00000000-0005-0000-0000-0000DA4F0000}"/>
    <cellStyle name="Normal GHG Numbers (0.00) 3 3 2 34" xfId="20443" xr:uid="{00000000-0005-0000-0000-0000DB4F0000}"/>
    <cellStyle name="Normal GHG Numbers (0.00) 3 3 2 35" xfId="20444" xr:uid="{00000000-0005-0000-0000-0000DC4F0000}"/>
    <cellStyle name="Normal GHG Numbers (0.00) 3 3 2 36" xfId="20445" xr:uid="{00000000-0005-0000-0000-0000DD4F0000}"/>
    <cellStyle name="Normal GHG Numbers (0.00) 3 3 2 37" xfId="20446" xr:uid="{00000000-0005-0000-0000-0000DE4F0000}"/>
    <cellStyle name="Normal GHG Numbers (0.00) 3 3 2 38" xfId="20447" xr:uid="{00000000-0005-0000-0000-0000DF4F0000}"/>
    <cellStyle name="Normal GHG Numbers (0.00) 3 3 2 39" xfId="20448" xr:uid="{00000000-0005-0000-0000-0000E04F0000}"/>
    <cellStyle name="Normal GHG Numbers (0.00) 3 3 2 4" xfId="20449" xr:uid="{00000000-0005-0000-0000-0000E14F0000}"/>
    <cellStyle name="Normal GHG Numbers (0.00) 3 3 2 40" xfId="20450" xr:uid="{00000000-0005-0000-0000-0000E24F0000}"/>
    <cellStyle name="Normal GHG Numbers (0.00) 3 3 2 41" xfId="20451" xr:uid="{00000000-0005-0000-0000-0000E34F0000}"/>
    <cellStyle name="Normal GHG Numbers (0.00) 3 3 2 42" xfId="20452" xr:uid="{00000000-0005-0000-0000-0000E44F0000}"/>
    <cellStyle name="Normal GHG Numbers (0.00) 3 3 2 43" xfId="20453" xr:uid="{00000000-0005-0000-0000-0000E54F0000}"/>
    <cellStyle name="Normal GHG Numbers (0.00) 3 3 2 44" xfId="20454" xr:uid="{00000000-0005-0000-0000-0000E64F0000}"/>
    <cellStyle name="Normal GHG Numbers (0.00) 3 3 2 45" xfId="20455" xr:uid="{00000000-0005-0000-0000-0000E74F0000}"/>
    <cellStyle name="Normal GHG Numbers (0.00) 3 3 2 46" xfId="20456" xr:uid="{00000000-0005-0000-0000-0000E84F0000}"/>
    <cellStyle name="Normal GHG Numbers (0.00) 3 3 2 47" xfId="20457" xr:uid="{00000000-0005-0000-0000-0000E94F0000}"/>
    <cellStyle name="Normal GHG Numbers (0.00) 3 3 2 48" xfId="20458" xr:uid="{00000000-0005-0000-0000-0000EA4F0000}"/>
    <cellStyle name="Normal GHG Numbers (0.00) 3 3 2 49" xfId="20459" xr:uid="{00000000-0005-0000-0000-0000EB4F0000}"/>
    <cellStyle name="Normal GHG Numbers (0.00) 3 3 2 5" xfId="20460" xr:uid="{00000000-0005-0000-0000-0000EC4F0000}"/>
    <cellStyle name="Normal GHG Numbers (0.00) 3 3 2 50" xfId="20461" xr:uid="{00000000-0005-0000-0000-0000ED4F0000}"/>
    <cellStyle name="Normal GHG Numbers (0.00) 3 3 2 51" xfId="20462" xr:uid="{00000000-0005-0000-0000-0000EE4F0000}"/>
    <cellStyle name="Normal GHG Numbers (0.00) 3 3 2 52" xfId="20463" xr:uid="{00000000-0005-0000-0000-0000EF4F0000}"/>
    <cellStyle name="Normal GHG Numbers (0.00) 3 3 2 53" xfId="20464" xr:uid="{00000000-0005-0000-0000-0000F04F0000}"/>
    <cellStyle name="Normal GHG Numbers (0.00) 3 3 2 54" xfId="20465" xr:uid="{00000000-0005-0000-0000-0000F14F0000}"/>
    <cellStyle name="Normal GHG Numbers (0.00) 3 3 2 55" xfId="20466" xr:uid="{00000000-0005-0000-0000-0000F24F0000}"/>
    <cellStyle name="Normal GHG Numbers (0.00) 3 3 2 56" xfId="20467" xr:uid="{00000000-0005-0000-0000-0000F34F0000}"/>
    <cellStyle name="Normal GHG Numbers (0.00) 3 3 2 57" xfId="20468" xr:uid="{00000000-0005-0000-0000-0000F44F0000}"/>
    <cellStyle name="Normal GHG Numbers (0.00) 3 3 2 58" xfId="20469" xr:uid="{00000000-0005-0000-0000-0000F54F0000}"/>
    <cellStyle name="Normal GHG Numbers (0.00) 3 3 2 59" xfId="20470" xr:uid="{00000000-0005-0000-0000-0000F64F0000}"/>
    <cellStyle name="Normal GHG Numbers (0.00) 3 3 2 6" xfId="20471" xr:uid="{00000000-0005-0000-0000-0000F74F0000}"/>
    <cellStyle name="Normal GHG Numbers (0.00) 3 3 2 60" xfId="20472" xr:uid="{00000000-0005-0000-0000-0000F84F0000}"/>
    <cellStyle name="Normal GHG Numbers (0.00) 3 3 2 61" xfId="20473" xr:uid="{00000000-0005-0000-0000-0000F94F0000}"/>
    <cellStyle name="Normal GHG Numbers (0.00) 3 3 2 62" xfId="20474" xr:uid="{00000000-0005-0000-0000-0000FA4F0000}"/>
    <cellStyle name="Normal GHG Numbers (0.00) 3 3 2 63" xfId="20475" xr:uid="{00000000-0005-0000-0000-0000FB4F0000}"/>
    <cellStyle name="Normal GHG Numbers (0.00) 3 3 2 64" xfId="20476" xr:uid="{00000000-0005-0000-0000-0000FC4F0000}"/>
    <cellStyle name="Normal GHG Numbers (0.00) 3 3 2 65" xfId="20477" xr:uid="{00000000-0005-0000-0000-0000FD4F0000}"/>
    <cellStyle name="Normal GHG Numbers (0.00) 3 3 2 66" xfId="20478" xr:uid="{00000000-0005-0000-0000-0000FE4F0000}"/>
    <cellStyle name="Normal GHG Numbers (0.00) 3 3 2 7" xfId="20479" xr:uid="{00000000-0005-0000-0000-0000FF4F0000}"/>
    <cellStyle name="Normal GHG Numbers (0.00) 3 3 2 8" xfId="20480" xr:uid="{00000000-0005-0000-0000-000000500000}"/>
    <cellStyle name="Normal GHG Numbers (0.00) 3 3 2 9" xfId="20481" xr:uid="{00000000-0005-0000-0000-000001500000}"/>
    <cellStyle name="Normal GHG Numbers (0.00) 3 3 20" xfId="20482" xr:uid="{00000000-0005-0000-0000-000002500000}"/>
    <cellStyle name="Normal GHG Numbers (0.00) 3 3 21" xfId="20483" xr:uid="{00000000-0005-0000-0000-000003500000}"/>
    <cellStyle name="Normal GHG Numbers (0.00) 3 3 22" xfId="20484" xr:uid="{00000000-0005-0000-0000-000004500000}"/>
    <cellStyle name="Normal GHG Numbers (0.00) 3 3 23" xfId="20485" xr:uid="{00000000-0005-0000-0000-000005500000}"/>
    <cellStyle name="Normal GHG Numbers (0.00) 3 3 24" xfId="20486" xr:uid="{00000000-0005-0000-0000-000006500000}"/>
    <cellStyle name="Normal GHG Numbers (0.00) 3 3 25" xfId="20487" xr:uid="{00000000-0005-0000-0000-000007500000}"/>
    <cellStyle name="Normal GHG Numbers (0.00) 3 3 26" xfId="20488" xr:uid="{00000000-0005-0000-0000-000008500000}"/>
    <cellStyle name="Normal GHG Numbers (0.00) 3 3 27" xfId="20489" xr:uid="{00000000-0005-0000-0000-000009500000}"/>
    <cellStyle name="Normal GHG Numbers (0.00) 3 3 28" xfId="20490" xr:uid="{00000000-0005-0000-0000-00000A500000}"/>
    <cellStyle name="Normal GHG Numbers (0.00) 3 3 29" xfId="20491" xr:uid="{00000000-0005-0000-0000-00000B500000}"/>
    <cellStyle name="Normal GHG Numbers (0.00) 3 3 3" xfId="20492" xr:uid="{00000000-0005-0000-0000-00000C500000}"/>
    <cellStyle name="Normal GHG Numbers (0.00) 3 3 3 10" xfId="20493" xr:uid="{00000000-0005-0000-0000-00000D500000}"/>
    <cellStyle name="Normal GHG Numbers (0.00) 3 3 3 11" xfId="20494" xr:uid="{00000000-0005-0000-0000-00000E500000}"/>
    <cellStyle name="Normal GHG Numbers (0.00) 3 3 3 12" xfId="20495" xr:uid="{00000000-0005-0000-0000-00000F500000}"/>
    <cellStyle name="Normal GHG Numbers (0.00) 3 3 3 13" xfId="20496" xr:uid="{00000000-0005-0000-0000-000010500000}"/>
    <cellStyle name="Normal GHG Numbers (0.00) 3 3 3 14" xfId="20497" xr:uid="{00000000-0005-0000-0000-000011500000}"/>
    <cellStyle name="Normal GHG Numbers (0.00) 3 3 3 15" xfId="20498" xr:uid="{00000000-0005-0000-0000-000012500000}"/>
    <cellStyle name="Normal GHG Numbers (0.00) 3 3 3 16" xfId="20499" xr:uid="{00000000-0005-0000-0000-000013500000}"/>
    <cellStyle name="Normal GHG Numbers (0.00) 3 3 3 17" xfId="20500" xr:uid="{00000000-0005-0000-0000-000014500000}"/>
    <cellStyle name="Normal GHG Numbers (0.00) 3 3 3 18" xfId="20501" xr:uid="{00000000-0005-0000-0000-000015500000}"/>
    <cellStyle name="Normal GHG Numbers (0.00) 3 3 3 19" xfId="20502" xr:uid="{00000000-0005-0000-0000-000016500000}"/>
    <cellStyle name="Normal GHG Numbers (0.00) 3 3 3 2" xfId="20503" xr:uid="{00000000-0005-0000-0000-000017500000}"/>
    <cellStyle name="Normal GHG Numbers (0.00) 3 3 3 2 10" xfId="20504" xr:uid="{00000000-0005-0000-0000-000018500000}"/>
    <cellStyle name="Normal GHG Numbers (0.00) 3 3 3 2 11" xfId="20505" xr:uid="{00000000-0005-0000-0000-000019500000}"/>
    <cellStyle name="Normal GHG Numbers (0.00) 3 3 3 2 12" xfId="20506" xr:uid="{00000000-0005-0000-0000-00001A500000}"/>
    <cellStyle name="Normal GHG Numbers (0.00) 3 3 3 2 13" xfId="20507" xr:uid="{00000000-0005-0000-0000-00001B500000}"/>
    <cellStyle name="Normal GHG Numbers (0.00) 3 3 3 2 14" xfId="20508" xr:uid="{00000000-0005-0000-0000-00001C500000}"/>
    <cellStyle name="Normal GHG Numbers (0.00) 3 3 3 2 15" xfId="20509" xr:uid="{00000000-0005-0000-0000-00001D500000}"/>
    <cellStyle name="Normal GHG Numbers (0.00) 3 3 3 2 16" xfId="20510" xr:uid="{00000000-0005-0000-0000-00001E500000}"/>
    <cellStyle name="Normal GHG Numbers (0.00) 3 3 3 2 17" xfId="20511" xr:uid="{00000000-0005-0000-0000-00001F500000}"/>
    <cellStyle name="Normal GHG Numbers (0.00) 3 3 3 2 18" xfId="20512" xr:uid="{00000000-0005-0000-0000-000020500000}"/>
    <cellStyle name="Normal GHG Numbers (0.00) 3 3 3 2 19" xfId="20513" xr:uid="{00000000-0005-0000-0000-000021500000}"/>
    <cellStyle name="Normal GHG Numbers (0.00) 3 3 3 2 2" xfId="20514" xr:uid="{00000000-0005-0000-0000-000022500000}"/>
    <cellStyle name="Normal GHG Numbers (0.00) 3 3 3 2 20" xfId="20515" xr:uid="{00000000-0005-0000-0000-000023500000}"/>
    <cellStyle name="Normal GHG Numbers (0.00) 3 3 3 2 21" xfId="20516" xr:uid="{00000000-0005-0000-0000-000024500000}"/>
    <cellStyle name="Normal GHG Numbers (0.00) 3 3 3 2 22" xfId="20517" xr:uid="{00000000-0005-0000-0000-000025500000}"/>
    <cellStyle name="Normal GHG Numbers (0.00) 3 3 3 2 23" xfId="20518" xr:uid="{00000000-0005-0000-0000-000026500000}"/>
    <cellStyle name="Normal GHG Numbers (0.00) 3 3 3 2 24" xfId="20519" xr:uid="{00000000-0005-0000-0000-000027500000}"/>
    <cellStyle name="Normal GHG Numbers (0.00) 3 3 3 2 25" xfId="20520" xr:uid="{00000000-0005-0000-0000-000028500000}"/>
    <cellStyle name="Normal GHG Numbers (0.00) 3 3 3 2 26" xfId="20521" xr:uid="{00000000-0005-0000-0000-000029500000}"/>
    <cellStyle name="Normal GHG Numbers (0.00) 3 3 3 2 27" xfId="20522" xr:uid="{00000000-0005-0000-0000-00002A500000}"/>
    <cellStyle name="Normal GHG Numbers (0.00) 3 3 3 2 28" xfId="20523" xr:uid="{00000000-0005-0000-0000-00002B500000}"/>
    <cellStyle name="Normal GHG Numbers (0.00) 3 3 3 2 29" xfId="20524" xr:uid="{00000000-0005-0000-0000-00002C500000}"/>
    <cellStyle name="Normal GHG Numbers (0.00) 3 3 3 2 3" xfId="20525" xr:uid="{00000000-0005-0000-0000-00002D500000}"/>
    <cellStyle name="Normal GHG Numbers (0.00) 3 3 3 2 30" xfId="20526" xr:uid="{00000000-0005-0000-0000-00002E500000}"/>
    <cellStyle name="Normal GHG Numbers (0.00) 3 3 3 2 31" xfId="20527" xr:uid="{00000000-0005-0000-0000-00002F500000}"/>
    <cellStyle name="Normal GHG Numbers (0.00) 3 3 3 2 32" xfId="20528" xr:uid="{00000000-0005-0000-0000-000030500000}"/>
    <cellStyle name="Normal GHG Numbers (0.00) 3 3 3 2 33" xfId="20529" xr:uid="{00000000-0005-0000-0000-000031500000}"/>
    <cellStyle name="Normal GHG Numbers (0.00) 3 3 3 2 34" xfId="20530" xr:uid="{00000000-0005-0000-0000-000032500000}"/>
    <cellStyle name="Normal GHG Numbers (0.00) 3 3 3 2 35" xfId="20531" xr:uid="{00000000-0005-0000-0000-000033500000}"/>
    <cellStyle name="Normal GHG Numbers (0.00) 3 3 3 2 36" xfId="20532" xr:uid="{00000000-0005-0000-0000-000034500000}"/>
    <cellStyle name="Normal GHG Numbers (0.00) 3 3 3 2 37" xfId="20533" xr:uid="{00000000-0005-0000-0000-000035500000}"/>
    <cellStyle name="Normal GHG Numbers (0.00) 3 3 3 2 38" xfId="20534" xr:uid="{00000000-0005-0000-0000-000036500000}"/>
    <cellStyle name="Normal GHG Numbers (0.00) 3 3 3 2 39" xfId="20535" xr:uid="{00000000-0005-0000-0000-000037500000}"/>
    <cellStyle name="Normal GHG Numbers (0.00) 3 3 3 2 4" xfId="20536" xr:uid="{00000000-0005-0000-0000-000038500000}"/>
    <cellStyle name="Normal GHG Numbers (0.00) 3 3 3 2 40" xfId="20537" xr:uid="{00000000-0005-0000-0000-000039500000}"/>
    <cellStyle name="Normal GHG Numbers (0.00) 3 3 3 2 41" xfId="20538" xr:uid="{00000000-0005-0000-0000-00003A500000}"/>
    <cellStyle name="Normal GHG Numbers (0.00) 3 3 3 2 42" xfId="20539" xr:uid="{00000000-0005-0000-0000-00003B500000}"/>
    <cellStyle name="Normal GHG Numbers (0.00) 3 3 3 2 43" xfId="20540" xr:uid="{00000000-0005-0000-0000-00003C500000}"/>
    <cellStyle name="Normal GHG Numbers (0.00) 3 3 3 2 44" xfId="20541" xr:uid="{00000000-0005-0000-0000-00003D500000}"/>
    <cellStyle name="Normal GHG Numbers (0.00) 3 3 3 2 45" xfId="20542" xr:uid="{00000000-0005-0000-0000-00003E500000}"/>
    <cellStyle name="Normal GHG Numbers (0.00) 3 3 3 2 46" xfId="20543" xr:uid="{00000000-0005-0000-0000-00003F500000}"/>
    <cellStyle name="Normal GHG Numbers (0.00) 3 3 3 2 47" xfId="20544" xr:uid="{00000000-0005-0000-0000-000040500000}"/>
    <cellStyle name="Normal GHG Numbers (0.00) 3 3 3 2 48" xfId="20545" xr:uid="{00000000-0005-0000-0000-000041500000}"/>
    <cellStyle name="Normal GHG Numbers (0.00) 3 3 3 2 49" xfId="20546" xr:uid="{00000000-0005-0000-0000-000042500000}"/>
    <cellStyle name="Normal GHG Numbers (0.00) 3 3 3 2 5" xfId="20547" xr:uid="{00000000-0005-0000-0000-000043500000}"/>
    <cellStyle name="Normal GHG Numbers (0.00) 3 3 3 2 50" xfId="20548" xr:uid="{00000000-0005-0000-0000-000044500000}"/>
    <cellStyle name="Normal GHG Numbers (0.00) 3 3 3 2 51" xfId="20549" xr:uid="{00000000-0005-0000-0000-000045500000}"/>
    <cellStyle name="Normal GHG Numbers (0.00) 3 3 3 2 52" xfId="20550" xr:uid="{00000000-0005-0000-0000-000046500000}"/>
    <cellStyle name="Normal GHG Numbers (0.00) 3 3 3 2 53" xfId="20551" xr:uid="{00000000-0005-0000-0000-000047500000}"/>
    <cellStyle name="Normal GHG Numbers (0.00) 3 3 3 2 54" xfId="20552" xr:uid="{00000000-0005-0000-0000-000048500000}"/>
    <cellStyle name="Normal GHG Numbers (0.00) 3 3 3 2 55" xfId="20553" xr:uid="{00000000-0005-0000-0000-000049500000}"/>
    <cellStyle name="Normal GHG Numbers (0.00) 3 3 3 2 56" xfId="20554" xr:uid="{00000000-0005-0000-0000-00004A500000}"/>
    <cellStyle name="Normal GHG Numbers (0.00) 3 3 3 2 57" xfId="20555" xr:uid="{00000000-0005-0000-0000-00004B500000}"/>
    <cellStyle name="Normal GHG Numbers (0.00) 3 3 3 2 58" xfId="20556" xr:uid="{00000000-0005-0000-0000-00004C500000}"/>
    <cellStyle name="Normal GHG Numbers (0.00) 3 3 3 2 59" xfId="20557" xr:uid="{00000000-0005-0000-0000-00004D500000}"/>
    <cellStyle name="Normal GHG Numbers (0.00) 3 3 3 2 6" xfId="20558" xr:uid="{00000000-0005-0000-0000-00004E500000}"/>
    <cellStyle name="Normal GHG Numbers (0.00) 3 3 3 2 60" xfId="20559" xr:uid="{00000000-0005-0000-0000-00004F500000}"/>
    <cellStyle name="Normal GHG Numbers (0.00) 3 3 3 2 61" xfId="20560" xr:uid="{00000000-0005-0000-0000-000050500000}"/>
    <cellStyle name="Normal GHG Numbers (0.00) 3 3 3 2 62" xfId="20561" xr:uid="{00000000-0005-0000-0000-000051500000}"/>
    <cellStyle name="Normal GHG Numbers (0.00) 3 3 3 2 63" xfId="20562" xr:uid="{00000000-0005-0000-0000-000052500000}"/>
    <cellStyle name="Normal GHG Numbers (0.00) 3 3 3 2 64" xfId="20563" xr:uid="{00000000-0005-0000-0000-000053500000}"/>
    <cellStyle name="Normal GHG Numbers (0.00) 3 3 3 2 65" xfId="20564" xr:uid="{00000000-0005-0000-0000-000054500000}"/>
    <cellStyle name="Normal GHG Numbers (0.00) 3 3 3 2 7" xfId="20565" xr:uid="{00000000-0005-0000-0000-000055500000}"/>
    <cellStyle name="Normal GHG Numbers (0.00) 3 3 3 2 8" xfId="20566" xr:uid="{00000000-0005-0000-0000-000056500000}"/>
    <cellStyle name="Normal GHG Numbers (0.00) 3 3 3 2 9" xfId="20567" xr:uid="{00000000-0005-0000-0000-000057500000}"/>
    <cellStyle name="Normal GHG Numbers (0.00) 3 3 3 20" xfId="20568" xr:uid="{00000000-0005-0000-0000-000058500000}"/>
    <cellStyle name="Normal GHG Numbers (0.00) 3 3 3 21" xfId="20569" xr:uid="{00000000-0005-0000-0000-000059500000}"/>
    <cellStyle name="Normal GHG Numbers (0.00) 3 3 3 22" xfId="20570" xr:uid="{00000000-0005-0000-0000-00005A500000}"/>
    <cellStyle name="Normal GHG Numbers (0.00) 3 3 3 23" xfId="20571" xr:uid="{00000000-0005-0000-0000-00005B500000}"/>
    <cellStyle name="Normal GHG Numbers (0.00) 3 3 3 24" xfId="20572" xr:uid="{00000000-0005-0000-0000-00005C500000}"/>
    <cellStyle name="Normal GHG Numbers (0.00) 3 3 3 25" xfId="20573" xr:uid="{00000000-0005-0000-0000-00005D500000}"/>
    <cellStyle name="Normal GHG Numbers (0.00) 3 3 3 26" xfId="20574" xr:uid="{00000000-0005-0000-0000-00005E500000}"/>
    <cellStyle name="Normal GHG Numbers (0.00) 3 3 3 27" xfId="20575" xr:uid="{00000000-0005-0000-0000-00005F500000}"/>
    <cellStyle name="Normal GHG Numbers (0.00) 3 3 3 28" xfId="20576" xr:uid="{00000000-0005-0000-0000-000060500000}"/>
    <cellStyle name="Normal GHG Numbers (0.00) 3 3 3 29" xfId="20577" xr:uid="{00000000-0005-0000-0000-000061500000}"/>
    <cellStyle name="Normal GHG Numbers (0.00) 3 3 3 3" xfId="20578" xr:uid="{00000000-0005-0000-0000-000062500000}"/>
    <cellStyle name="Normal GHG Numbers (0.00) 3 3 3 30" xfId="20579" xr:uid="{00000000-0005-0000-0000-000063500000}"/>
    <cellStyle name="Normal GHG Numbers (0.00) 3 3 3 31" xfId="20580" xr:uid="{00000000-0005-0000-0000-000064500000}"/>
    <cellStyle name="Normal GHG Numbers (0.00) 3 3 3 32" xfId="20581" xr:uid="{00000000-0005-0000-0000-000065500000}"/>
    <cellStyle name="Normal GHG Numbers (0.00) 3 3 3 33" xfId="20582" xr:uid="{00000000-0005-0000-0000-000066500000}"/>
    <cellStyle name="Normal GHG Numbers (0.00) 3 3 3 34" xfId="20583" xr:uid="{00000000-0005-0000-0000-000067500000}"/>
    <cellStyle name="Normal GHG Numbers (0.00) 3 3 3 35" xfId="20584" xr:uid="{00000000-0005-0000-0000-000068500000}"/>
    <cellStyle name="Normal GHG Numbers (0.00) 3 3 3 36" xfId="20585" xr:uid="{00000000-0005-0000-0000-000069500000}"/>
    <cellStyle name="Normal GHG Numbers (0.00) 3 3 3 37" xfId="20586" xr:uid="{00000000-0005-0000-0000-00006A500000}"/>
    <cellStyle name="Normal GHG Numbers (0.00) 3 3 3 38" xfId="20587" xr:uid="{00000000-0005-0000-0000-00006B500000}"/>
    <cellStyle name="Normal GHG Numbers (0.00) 3 3 3 39" xfId="20588" xr:uid="{00000000-0005-0000-0000-00006C500000}"/>
    <cellStyle name="Normal GHG Numbers (0.00) 3 3 3 4" xfId="20589" xr:uid="{00000000-0005-0000-0000-00006D500000}"/>
    <cellStyle name="Normal GHG Numbers (0.00) 3 3 3 40" xfId="20590" xr:uid="{00000000-0005-0000-0000-00006E500000}"/>
    <cellStyle name="Normal GHG Numbers (0.00) 3 3 3 41" xfId="20591" xr:uid="{00000000-0005-0000-0000-00006F500000}"/>
    <cellStyle name="Normal GHG Numbers (0.00) 3 3 3 42" xfId="20592" xr:uid="{00000000-0005-0000-0000-000070500000}"/>
    <cellStyle name="Normal GHG Numbers (0.00) 3 3 3 43" xfId="20593" xr:uid="{00000000-0005-0000-0000-000071500000}"/>
    <cellStyle name="Normal GHG Numbers (0.00) 3 3 3 44" xfId="20594" xr:uid="{00000000-0005-0000-0000-000072500000}"/>
    <cellStyle name="Normal GHG Numbers (0.00) 3 3 3 45" xfId="20595" xr:uid="{00000000-0005-0000-0000-000073500000}"/>
    <cellStyle name="Normal GHG Numbers (0.00) 3 3 3 46" xfId="20596" xr:uid="{00000000-0005-0000-0000-000074500000}"/>
    <cellStyle name="Normal GHG Numbers (0.00) 3 3 3 47" xfId="20597" xr:uid="{00000000-0005-0000-0000-000075500000}"/>
    <cellStyle name="Normal GHG Numbers (0.00) 3 3 3 48" xfId="20598" xr:uid="{00000000-0005-0000-0000-000076500000}"/>
    <cellStyle name="Normal GHG Numbers (0.00) 3 3 3 49" xfId="20599" xr:uid="{00000000-0005-0000-0000-000077500000}"/>
    <cellStyle name="Normal GHG Numbers (0.00) 3 3 3 5" xfId="20600" xr:uid="{00000000-0005-0000-0000-000078500000}"/>
    <cellStyle name="Normal GHG Numbers (0.00) 3 3 3 50" xfId="20601" xr:uid="{00000000-0005-0000-0000-000079500000}"/>
    <cellStyle name="Normal GHG Numbers (0.00) 3 3 3 51" xfId="20602" xr:uid="{00000000-0005-0000-0000-00007A500000}"/>
    <cellStyle name="Normal GHG Numbers (0.00) 3 3 3 52" xfId="20603" xr:uid="{00000000-0005-0000-0000-00007B500000}"/>
    <cellStyle name="Normal GHG Numbers (0.00) 3 3 3 53" xfId="20604" xr:uid="{00000000-0005-0000-0000-00007C500000}"/>
    <cellStyle name="Normal GHG Numbers (0.00) 3 3 3 54" xfId="20605" xr:uid="{00000000-0005-0000-0000-00007D500000}"/>
    <cellStyle name="Normal GHG Numbers (0.00) 3 3 3 55" xfId="20606" xr:uid="{00000000-0005-0000-0000-00007E500000}"/>
    <cellStyle name="Normal GHG Numbers (0.00) 3 3 3 56" xfId="20607" xr:uid="{00000000-0005-0000-0000-00007F500000}"/>
    <cellStyle name="Normal GHG Numbers (0.00) 3 3 3 57" xfId="20608" xr:uid="{00000000-0005-0000-0000-000080500000}"/>
    <cellStyle name="Normal GHG Numbers (0.00) 3 3 3 58" xfId="20609" xr:uid="{00000000-0005-0000-0000-000081500000}"/>
    <cellStyle name="Normal GHG Numbers (0.00) 3 3 3 59" xfId="20610" xr:uid="{00000000-0005-0000-0000-000082500000}"/>
    <cellStyle name="Normal GHG Numbers (0.00) 3 3 3 6" xfId="20611" xr:uid="{00000000-0005-0000-0000-000083500000}"/>
    <cellStyle name="Normal GHG Numbers (0.00) 3 3 3 60" xfId="20612" xr:uid="{00000000-0005-0000-0000-000084500000}"/>
    <cellStyle name="Normal GHG Numbers (0.00) 3 3 3 61" xfId="20613" xr:uid="{00000000-0005-0000-0000-000085500000}"/>
    <cellStyle name="Normal GHG Numbers (0.00) 3 3 3 62" xfId="20614" xr:uid="{00000000-0005-0000-0000-000086500000}"/>
    <cellStyle name="Normal GHG Numbers (0.00) 3 3 3 63" xfId="20615" xr:uid="{00000000-0005-0000-0000-000087500000}"/>
    <cellStyle name="Normal GHG Numbers (0.00) 3 3 3 64" xfId="20616" xr:uid="{00000000-0005-0000-0000-000088500000}"/>
    <cellStyle name="Normal GHG Numbers (0.00) 3 3 3 65" xfId="20617" xr:uid="{00000000-0005-0000-0000-000089500000}"/>
    <cellStyle name="Normal GHG Numbers (0.00) 3 3 3 66" xfId="20618" xr:uid="{00000000-0005-0000-0000-00008A500000}"/>
    <cellStyle name="Normal GHG Numbers (0.00) 3 3 3 7" xfId="20619" xr:uid="{00000000-0005-0000-0000-00008B500000}"/>
    <cellStyle name="Normal GHG Numbers (0.00) 3 3 3 8" xfId="20620" xr:uid="{00000000-0005-0000-0000-00008C500000}"/>
    <cellStyle name="Normal GHG Numbers (0.00) 3 3 3 9" xfId="20621" xr:uid="{00000000-0005-0000-0000-00008D500000}"/>
    <cellStyle name="Normal GHG Numbers (0.00) 3 3 30" xfId="20622" xr:uid="{00000000-0005-0000-0000-00008E500000}"/>
    <cellStyle name="Normal GHG Numbers (0.00) 3 3 31" xfId="20623" xr:uid="{00000000-0005-0000-0000-00008F500000}"/>
    <cellStyle name="Normal GHG Numbers (0.00) 3 3 32" xfId="20624" xr:uid="{00000000-0005-0000-0000-000090500000}"/>
    <cellStyle name="Normal GHG Numbers (0.00) 3 3 33" xfId="20625" xr:uid="{00000000-0005-0000-0000-000091500000}"/>
    <cellStyle name="Normal GHG Numbers (0.00) 3 3 34" xfId="20626" xr:uid="{00000000-0005-0000-0000-000092500000}"/>
    <cellStyle name="Normal GHG Numbers (0.00) 3 3 35" xfId="20627" xr:uid="{00000000-0005-0000-0000-000093500000}"/>
    <cellStyle name="Normal GHG Numbers (0.00) 3 3 36" xfId="20628" xr:uid="{00000000-0005-0000-0000-000094500000}"/>
    <cellStyle name="Normal GHG Numbers (0.00) 3 3 37" xfId="20629" xr:uid="{00000000-0005-0000-0000-000095500000}"/>
    <cellStyle name="Normal GHG Numbers (0.00) 3 3 38" xfId="20630" xr:uid="{00000000-0005-0000-0000-000096500000}"/>
    <cellStyle name="Normal GHG Numbers (0.00) 3 3 39" xfId="20631" xr:uid="{00000000-0005-0000-0000-000097500000}"/>
    <cellStyle name="Normal GHG Numbers (0.00) 3 3 4" xfId="20632" xr:uid="{00000000-0005-0000-0000-000098500000}"/>
    <cellStyle name="Normal GHG Numbers (0.00) 3 3 4 10" xfId="20633" xr:uid="{00000000-0005-0000-0000-000099500000}"/>
    <cellStyle name="Normal GHG Numbers (0.00) 3 3 4 11" xfId="20634" xr:uid="{00000000-0005-0000-0000-00009A500000}"/>
    <cellStyle name="Normal GHG Numbers (0.00) 3 3 4 12" xfId="20635" xr:uid="{00000000-0005-0000-0000-00009B500000}"/>
    <cellStyle name="Normal GHG Numbers (0.00) 3 3 4 13" xfId="20636" xr:uid="{00000000-0005-0000-0000-00009C500000}"/>
    <cellStyle name="Normal GHG Numbers (0.00) 3 3 4 14" xfId="20637" xr:uid="{00000000-0005-0000-0000-00009D500000}"/>
    <cellStyle name="Normal GHG Numbers (0.00) 3 3 4 15" xfId="20638" xr:uid="{00000000-0005-0000-0000-00009E500000}"/>
    <cellStyle name="Normal GHG Numbers (0.00) 3 3 4 16" xfId="20639" xr:uid="{00000000-0005-0000-0000-00009F500000}"/>
    <cellStyle name="Normal GHG Numbers (0.00) 3 3 4 17" xfId="20640" xr:uid="{00000000-0005-0000-0000-0000A0500000}"/>
    <cellStyle name="Normal GHG Numbers (0.00) 3 3 4 18" xfId="20641" xr:uid="{00000000-0005-0000-0000-0000A1500000}"/>
    <cellStyle name="Normal GHG Numbers (0.00) 3 3 4 19" xfId="20642" xr:uid="{00000000-0005-0000-0000-0000A2500000}"/>
    <cellStyle name="Normal GHG Numbers (0.00) 3 3 4 2" xfId="20643" xr:uid="{00000000-0005-0000-0000-0000A3500000}"/>
    <cellStyle name="Normal GHG Numbers (0.00) 3 3 4 2 10" xfId="20644" xr:uid="{00000000-0005-0000-0000-0000A4500000}"/>
    <cellStyle name="Normal GHG Numbers (0.00) 3 3 4 2 11" xfId="20645" xr:uid="{00000000-0005-0000-0000-0000A5500000}"/>
    <cellStyle name="Normal GHG Numbers (0.00) 3 3 4 2 12" xfId="20646" xr:uid="{00000000-0005-0000-0000-0000A6500000}"/>
    <cellStyle name="Normal GHG Numbers (0.00) 3 3 4 2 13" xfId="20647" xr:uid="{00000000-0005-0000-0000-0000A7500000}"/>
    <cellStyle name="Normal GHG Numbers (0.00) 3 3 4 2 14" xfId="20648" xr:uid="{00000000-0005-0000-0000-0000A8500000}"/>
    <cellStyle name="Normal GHG Numbers (0.00) 3 3 4 2 15" xfId="20649" xr:uid="{00000000-0005-0000-0000-0000A9500000}"/>
    <cellStyle name="Normal GHG Numbers (0.00) 3 3 4 2 16" xfId="20650" xr:uid="{00000000-0005-0000-0000-0000AA500000}"/>
    <cellStyle name="Normal GHG Numbers (0.00) 3 3 4 2 17" xfId="20651" xr:uid="{00000000-0005-0000-0000-0000AB500000}"/>
    <cellStyle name="Normal GHG Numbers (0.00) 3 3 4 2 18" xfId="20652" xr:uid="{00000000-0005-0000-0000-0000AC500000}"/>
    <cellStyle name="Normal GHG Numbers (0.00) 3 3 4 2 19" xfId="20653" xr:uid="{00000000-0005-0000-0000-0000AD500000}"/>
    <cellStyle name="Normal GHG Numbers (0.00) 3 3 4 2 2" xfId="20654" xr:uid="{00000000-0005-0000-0000-0000AE500000}"/>
    <cellStyle name="Normal GHG Numbers (0.00) 3 3 4 2 20" xfId="20655" xr:uid="{00000000-0005-0000-0000-0000AF500000}"/>
    <cellStyle name="Normal GHG Numbers (0.00) 3 3 4 2 21" xfId="20656" xr:uid="{00000000-0005-0000-0000-0000B0500000}"/>
    <cellStyle name="Normal GHG Numbers (0.00) 3 3 4 2 22" xfId="20657" xr:uid="{00000000-0005-0000-0000-0000B1500000}"/>
    <cellStyle name="Normal GHG Numbers (0.00) 3 3 4 2 23" xfId="20658" xr:uid="{00000000-0005-0000-0000-0000B2500000}"/>
    <cellStyle name="Normal GHG Numbers (0.00) 3 3 4 2 24" xfId="20659" xr:uid="{00000000-0005-0000-0000-0000B3500000}"/>
    <cellStyle name="Normal GHG Numbers (0.00) 3 3 4 2 25" xfId="20660" xr:uid="{00000000-0005-0000-0000-0000B4500000}"/>
    <cellStyle name="Normal GHG Numbers (0.00) 3 3 4 2 26" xfId="20661" xr:uid="{00000000-0005-0000-0000-0000B5500000}"/>
    <cellStyle name="Normal GHG Numbers (0.00) 3 3 4 2 27" xfId="20662" xr:uid="{00000000-0005-0000-0000-0000B6500000}"/>
    <cellStyle name="Normal GHG Numbers (0.00) 3 3 4 2 28" xfId="20663" xr:uid="{00000000-0005-0000-0000-0000B7500000}"/>
    <cellStyle name="Normal GHG Numbers (0.00) 3 3 4 2 29" xfId="20664" xr:uid="{00000000-0005-0000-0000-0000B8500000}"/>
    <cellStyle name="Normal GHG Numbers (0.00) 3 3 4 2 3" xfId="20665" xr:uid="{00000000-0005-0000-0000-0000B9500000}"/>
    <cellStyle name="Normal GHG Numbers (0.00) 3 3 4 2 30" xfId="20666" xr:uid="{00000000-0005-0000-0000-0000BA500000}"/>
    <cellStyle name="Normal GHG Numbers (0.00) 3 3 4 2 31" xfId="20667" xr:uid="{00000000-0005-0000-0000-0000BB500000}"/>
    <cellStyle name="Normal GHG Numbers (0.00) 3 3 4 2 32" xfId="20668" xr:uid="{00000000-0005-0000-0000-0000BC500000}"/>
    <cellStyle name="Normal GHG Numbers (0.00) 3 3 4 2 33" xfId="20669" xr:uid="{00000000-0005-0000-0000-0000BD500000}"/>
    <cellStyle name="Normal GHG Numbers (0.00) 3 3 4 2 34" xfId="20670" xr:uid="{00000000-0005-0000-0000-0000BE500000}"/>
    <cellStyle name="Normal GHG Numbers (0.00) 3 3 4 2 35" xfId="20671" xr:uid="{00000000-0005-0000-0000-0000BF500000}"/>
    <cellStyle name="Normal GHG Numbers (0.00) 3 3 4 2 36" xfId="20672" xr:uid="{00000000-0005-0000-0000-0000C0500000}"/>
    <cellStyle name="Normal GHG Numbers (0.00) 3 3 4 2 37" xfId="20673" xr:uid="{00000000-0005-0000-0000-0000C1500000}"/>
    <cellStyle name="Normal GHG Numbers (0.00) 3 3 4 2 38" xfId="20674" xr:uid="{00000000-0005-0000-0000-0000C2500000}"/>
    <cellStyle name="Normal GHG Numbers (0.00) 3 3 4 2 39" xfId="20675" xr:uid="{00000000-0005-0000-0000-0000C3500000}"/>
    <cellStyle name="Normal GHG Numbers (0.00) 3 3 4 2 4" xfId="20676" xr:uid="{00000000-0005-0000-0000-0000C4500000}"/>
    <cellStyle name="Normal GHG Numbers (0.00) 3 3 4 2 40" xfId="20677" xr:uid="{00000000-0005-0000-0000-0000C5500000}"/>
    <cellStyle name="Normal GHG Numbers (0.00) 3 3 4 2 41" xfId="20678" xr:uid="{00000000-0005-0000-0000-0000C6500000}"/>
    <cellStyle name="Normal GHG Numbers (0.00) 3 3 4 2 42" xfId="20679" xr:uid="{00000000-0005-0000-0000-0000C7500000}"/>
    <cellStyle name="Normal GHG Numbers (0.00) 3 3 4 2 43" xfId="20680" xr:uid="{00000000-0005-0000-0000-0000C8500000}"/>
    <cellStyle name="Normal GHG Numbers (0.00) 3 3 4 2 44" xfId="20681" xr:uid="{00000000-0005-0000-0000-0000C9500000}"/>
    <cellStyle name="Normal GHG Numbers (0.00) 3 3 4 2 45" xfId="20682" xr:uid="{00000000-0005-0000-0000-0000CA500000}"/>
    <cellStyle name="Normal GHG Numbers (0.00) 3 3 4 2 46" xfId="20683" xr:uid="{00000000-0005-0000-0000-0000CB500000}"/>
    <cellStyle name="Normal GHG Numbers (0.00) 3 3 4 2 47" xfId="20684" xr:uid="{00000000-0005-0000-0000-0000CC500000}"/>
    <cellStyle name="Normal GHG Numbers (0.00) 3 3 4 2 48" xfId="20685" xr:uid="{00000000-0005-0000-0000-0000CD500000}"/>
    <cellStyle name="Normal GHG Numbers (0.00) 3 3 4 2 49" xfId="20686" xr:uid="{00000000-0005-0000-0000-0000CE500000}"/>
    <cellStyle name="Normal GHG Numbers (0.00) 3 3 4 2 5" xfId="20687" xr:uid="{00000000-0005-0000-0000-0000CF500000}"/>
    <cellStyle name="Normal GHG Numbers (0.00) 3 3 4 2 50" xfId="20688" xr:uid="{00000000-0005-0000-0000-0000D0500000}"/>
    <cellStyle name="Normal GHG Numbers (0.00) 3 3 4 2 51" xfId="20689" xr:uid="{00000000-0005-0000-0000-0000D1500000}"/>
    <cellStyle name="Normal GHG Numbers (0.00) 3 3 4 2 52" xfId="20690" xr:uid="{00000000-0005-0000-0000-0000D2500000}"/>
    <cellStyle name="Normal GHG Numbers (0.00) 3 3 4 2 53" xfId="20691" xr:uid="{00000000-0005-0000-0000-0000D3500000}"/>
    <cellStyle name="Normal GHG Numbers (0.00) 3 3 4 2 54" xfId="20692" xr:uid="{00000000-0005-0000-0000-0000D4500000}"/>
    <cellStyle name="Normal GHG Numbers (0.00) 3 3 4 2 55" xfId="20693" xr:uid="{00000000-0005-0000-0000-0000D5500000}"/>
    <cellStyle name="Normal GHG Numbers (0.00) 3 3 4 2 56" xfId="20694" xr:uid="{00000000-0005-0000-0000-0000D6500000}"/>
    <cellStyle name="Normal GHG Numbers (0.00) 3 3 4 2 57" xfId="20695" xr:uid="{00000000-0005-0000-0000-0000D7500000}"/>
    <cellStyle name="Normal GHG Numbers (0.00) 3 3 4 2 58" xfId="20696" xr:uid="{00000000-0005-0000-0000-0000D8500000}"/>
    <cellStyle name="Normal GHG Numbers (0.00) 3 3 4 2 59" xfId="20697" xr:uid="{00000000-0005-0000-0000-0000D9500000}"/>
    <cellStyle name="Normal GHG Numbers (0.00) 3 3 4 2 6" xfId="20698" xr:uid="{00000000-0005-0000-0000-0000DA500000}"/>
    <cellStyle name="Normal GHG Numbers (0.00) 3 3 4 2 60" xfId="20699" xr:uid="{00000000-0005-0000-0000-0000DB500000}"/>
    <cellStyle name="Normal GHG Numbers (0.00) 3 3 4 2 61" xfId="20700" xr:uid="{00000000-0005-0000-0000-0000DC500000}"/>
    <cellStyle name="Normal GHG Numbers (0.00) 3 3 4 2 62" xfId="20701" xr:uid="{00000000-0005-0000-0000-0000DD500000}"/>
    <cellStyle name="Normal GHG Numbers (0.00) 3 3 4 2 63" xfId="20702" xr:uid="{00000000-0005-0000-0000-0000DE500000}"/>
    <cellStyle name="Normal GHG Numbers (0.00) 3 3 4 2 64" xfId="20703" xr:uid="{00000000-0005-0000-0000-0000DF500000}"/>
    <cellStyle name="Normal GHG Numbers (0.00) 3 3 4 2 65" xfId="20704" xr:uid="{00000000-0005-0000-0000-0000E0500000}"/>
    <cellStyle name="Normal GHG Numbers (0.00) 3 3 4 2 7" xfId="20705" xr:uid="{00000000-0005-0000-0000-0000E1500000}"/>
    <cellStyle name="Normal GHG Numbers (0.00) 3 3 4 2 8" xfId="20706" xr:uid="{00000000-0005-0000-0000-0000E2500000}"/>
    <cellStyle name="Normal GHG Numbers (0.00) 3 3 4 2 9" xfId="20707" xr:uid="{00000000-0005-0000-0000-0000E3500000}"/>
    <cellStyle name="Normal GHG Numbers (0.00) 3 3 4 20" xfId="20708" xr:uid="{00000000-0005-0000-0000-0000E4500000}"/>
    <cellStyle name="Normal GHG Numbers (0.00) 3 3 4 21" xfId="20709" xr:uid="{00000000-0005-0000-0000-0000E5500000}"/>
    <cellStyle name="Normal GHG Numbers (0.00) 3 3 4 22" xfId="20710" xr:uid="{00000000-0005-0000-0000-0000E6500000}"/>
    <cellStyle name="Normal GHG Numbers (0.00) 3 3 4 23" xfId="20711" xr:uid="{00000000-0005-0000-0000-0000E7500000}"/>
    <cellStyle name="Normal GHG Numbers (0.00) 3 3 4 24" xfId="20712" xr:uid="{00000000-0005-0000-0000-0000E8500000}"/>
    <cellStyle name="Normal GHG Numbers (0.00) 3 3 4 25" xfId="20713" xr:uid="{00000000-0005-0000-0000-0000E9500000}"/>
    <cellStyle name="Normal GHG Numbers (0.00) 3 3 4 26" xfId="20714" xr:uid="{00000000-0005-0000-0000-0000EA500000}"/>
    <cellStyle name="Normal GHG Numbers (0.00) 3 3 4 27" xfId="20715" xr:uid="{00000000-0005-0000-0000-0000EB500000}"/>
    <cellStyle name="Normal GHG Numbers (0.00) 3 3 4 28" xfId="20716" xr:uid="{00000000-0005-0000-0000-0000EC500000}"/>
    <cellStyle name="Normal GHG Numbers (0.00) 3 3 4 29" xfId="20717" xr:uid="{00000000-0005-0000-0000-0000ED500000}"/>
    <cellStyle name="Normal GHG Numbers (0.00) 3 3 4 3" xfId="20718" xr:uid="{00000000-0005-0000-0000-0000EE500000}"/>
    <cellStyle name="Normal GHG Numbers (0.00) 3 3 4 30" xfId="20719" xr:uid="{00000000-0005-0000-0000-0000EF500000}"/>
    <cellStyle name="Normal GHG Numbers (0.00) 3 3 4 31" xfId="20720" xr:uid="{00000000-0005-0000-0000-0000F0500000}"/>
    <cellStyle name="Normal GHG Numbers (0.00) 3 3 4 32" xfId="20721" xr:uid="{00000000-0005-0000-0000-0000F1500000}"/>
    <cellStyle name="Normal GHG Numbers (0.00) 3 3 4 33" xfId="20722" xr:uid="{00000000-0005-0000-0000-0000F2500000}"/>
    <cellStyle name="Normal GHG Numbers (0.00) 3 3 4 34" xfId="20723" xr:uid="{00000000-0005-0000-0000-0000F3500000}"/>
    <cellStyle name="Normal GHG Numbers (0.00) 3 3 4 35" xfId="20724" xr:uid="{00000000-0005-0000-0000-0000F4500000}"/>
    <cellStyle name="Normal GHG Numbers (0.00) 3 3 4 36" xfId="20725" xr:uid="{00000000-0005-0000-0000-0000F5500000}"/>
    <cellStyle name="Normal GHG Numbers (0.00) 3 3 4 37" xfId="20726" xr:uid="{00000000-0005-0000-0000-0000F6500000}"/>
    <cellStyle name="Normal GHG Numbers (0.00) 3 3 4 38" xfId="20727" xr:uid="{00000000-0005-0000-0000-0000F7500000}"/>
    <cellStyle name="Normal GHG Numbers (0.00) 3 3 4 39" xfId="20728" xr:uid="{00000000-0005-0000-0000-0000F8500000}"/>
    <cellStyle name="Normal GHG Numbers (0.00) 3 3 4 4" xfId="20729" xr:uid="{00000000-0005-0000-0000-0000F9500000}"/>
    <cellStyle name="Normal GHG Numbers (0.00) 3 3 4 40" xfId="20730" xr:uid="{00000000-0005-0000-0000-0000FA500000}"/>
    <cellStyle name="Normal GHG Numbers (0.00) 3 3 4 41" xfId="20731" xr:uid="{00000000-0005-0000-0000-0000FB500000}"/>
    <cellStyle name="Normal GHG Numbers (0.00) 3 3 4 42" xfId="20732" xr:uid="{00000000-0005-0000-0000-0000FC500000}"/>
    <cellStyle name="Normal GHG Numbers (0.00) 3 3 4 43" xfId="20733" xr:uid="{00000000-0005-0000-0000-0000FD500000}"/>
    <cellStyle name="Normal GHG Numbers (0.00) 3 3 4 44" xfId="20734" xr:uid="{00000000-0005-0000-0000-0000FE500000}"/>
    <cellStyle name="Normal GHG Numbers (0.00) 3 3 4 45" xfId="20735" xr:uid="{00000000-0005-0000-0000-0000FF500000}"/>
    <cellStyle name="Normal GHG Numbers (0.00) 3 3 4 46" xfId="20736" xr:uid="{00000000-0005-0000-0000-000000510000}"/>
    <cellStyle name="Normal GHG Numbers (0.00) 3 3 4 47" xfId="20737" xr:uid="{00000000-0005-0000-0000-000001510000}"/>
    <cellStyle name="Normal GHG Numbers (0.00) 3 3 4 48" xfId="20738" xr:uid="{00000000-0005-0000-0000-000002510000}"/>
    <cellStyle name="Normal GHG Numbers (0.00) 3 3 4 49" xfId="20739" xr:uid="{00000000-0005-0000-0000-000003510000}"/>
    <cellStyle name="Normal GHG Numbers (0.00) 3 3 4 5" xfId="20740" xr:uid="{00000000-0005-0000-0000-000004510000}"/>
    <cellStyle name="Normal GHG Numbers (0.00) 3 3 4 50" xfId="20741" xr:uid="{00000000-0005-0000-0000-000005510000}"/>
    <cellStyle name="Normal GHG Numbers (0.00) 3 3 4 51" xfId="20742" xr:uid="{00000000-0005-0000-0000-000006510000}"/>
    <cellStyle name="Normal GHG Numbers (0.00) 3 3 4 52" xfId="20743" xr:uid="{00000000-0005-0000-0000-000007510000}"/>
    <cellStyle name="Normal GHG Numbers (0.00) 3 3 4 53" xfId="20744" xr:uid="{00000000-0005-0000-0000-000008510000}"/>
    <cellStyle name="Normal GHG Numbers (0.00) 3 3 4 54" xfId="20745" xr:uid="{00000000-0005-0000-0000-000009510000}"/>
    <cellStyle name="Normal GHG Numbers (0.00) 3 3 4 55" xfId="20746" xr:uid="{00000000-0005-0000-0000-00000A510000}"/>
    <cellStyle name="Normal GHG Numbers (0.00) 3 3 4 56" xfId="20747" xr:uid="{00000000-0005-0000-0000-00000B510000}"/>
    <cellStyle name="Normal GHG Numbers (0.00) 3 3 4 57" xfId="20748" xr:uid="{00000000-0005-0000-0000-00000C510000}"/>
    <cellStyle name="Normal GHG Numbers (0.00) 3 3 4 58" xfId="20749" xr:uid="{00000000-0005-0000-0000-00000D510000}"/>
    <cellStyle name="Normal GHG Numbers (0.00) 3 3 4 59" xfId="20750" xr:uid="{00000000-0005-0000-0000-00000E510000}"/>
    <cellStyle name="Normal GHG Numbers (0.00) 3 3 4 6" xfId="20751" xr:uid="{00000000-0005-0000-0000-00000F510000}"/>
    <cellStyle name="Normal GHG Numbers (0.00) 3 3 4 60" xfId="20752" xr:uid="{00000000-0005-0000-0000-000010510000}"/>
    <cellStyle name="Normal GHG Numbers (0.00) 3 3 4 61" xfId="20753" xr:uid="{00000000-0005-0000-0000-000011510000}"/>
    <cellStyle name="Normal GHG Numbers (0.00) 3 3 4 62" xfId="20754" xr:uid="{00000000-0005-0000-0000-000012510000}"/>
    <cellStyle name="Normal GHG Numbers (0.00) 3 3 4 63" xfId="20755" xr:uid="{00000000-0005-0000-0000-000013510000}"/>
    <cellStyle name="Normal GHG Numbers (0.00) 3 3 4 64" xfId="20756" xr:uid="{00000000-0005-0000-0000-000014510000}"/>
    <cellStyle name="Normal GHG Numbers (0.00) 3 3 4 65" xfId="20757" xr:uid="{00000000-0005-0000-0000-000015510000}"/>
    <cellStyle name="Normal GHG Numbers (0.00) 3 3 4 66" xfId="20758" xr:uid="{00000000-0005-0000-0000-000016510000}"/>
    <cellStyle name="Normal GHG Numbers (0.00) 3 3 4 7" xfId="20759" xr:uid="{00000000-0005-0000-0000-000017510000}"/>
    <cellStyle name="Normal GHG Numbers (0.00) 3 3 4 8" xfId="20760" xr:uid="{00000000-0005-0000-0000-000018510000}"/>
    <cellStyle name="Normal GHG Numbers (0.00) 3 3 4 9" xfId="20761" xr:uid="{00000000-0005-0000-0000-000019510000}"/>
    <cellStyle name="Normal GHG Numbers (0.00) 3 3 40" xfId="20762" xr:uid="{00000000-0005-0000-0000-00001A510000}"/>
    <cellStyle name="Normal GHG Numbers (0.00) 3 3 41" xfId="20763" xr:uid="{00000000-0005-0000-0000-00001B510000}"/>
    <cellStyle name="Normal GHG Numbers (0.00) 3 3 42" xfId="20764" xr:uid="{00000000-0005-0000-0000-00001C510000}"/>
    <cellStyle name="Normal GHG Numbers (0.00) 3 3 43" xfId="20765" xr:uid="{00000000-0005-0000-0000-00001D510000}"/>
    <cellStyle name="Normal GHG Numbers (0.00) 3 3 44" xfId="20766" xr:uid="{00000000-0005-0000-0000-00001E510000}"/>
    <cellStyle name="Normal GHG Numbers (0.00) 3 3 45" xfId="20767" xr:uid="{00000000-0005-0000-0000-00001F510000}"/>
    <cellStyle name="Normal GHG Numbers (0.00) 3 3 46" xfId="20768" xr:uid="{00000000-0005-0000-0000-000020510000}"/>
    <cellStyle name="Normal GHG Numbers (0.00) 3 3 47" xfId="20769" xr:uid="{00000000-0005-0000-0000-000021510000}"/>
    <cellStyle name="Normal GHG Numbers (0.00) 3 3 48" xfId="20770" xr:uid="{00000000-0005-0000-0000-000022510000}"/>
    <cellStyle name="Normal GHG Numbers (0.00) 3 3 49" xfId="20771" xr:uid="{00000000-0005-0000-0000-000023510000}"/>
    <cellStyle name="Normal GHG Numbers (0.00) 3 3 5" xfId="20772" xr:uid="{00000000-0005-0000-0000-000024510000}"/>
    <cellStyle name="Normal GHG Numbers (0.00) 3 3 50" xfId="20773" xr:uid="{00000000-0005-0000-0000-000025510000}"/>
    <cellStyle name="Normal GHG Numbers (0.00) 3 3 51" xfId="20774" xr:uid="{00000000-0005-0000-0000-000026510000}"/>
    <cellStyle name="Normal GHG Numbers (0.00) 3 3 52" xfId="20775" xr:uid="{00000000-0005-0000-0000-000027510000}"/>
    <cellStyle name="Normal GHG Numbers (0.00) 3 3 53" xfId="20776" xr:uid="{00000000-0005-0000-0000-000028510000}"/>
    <cellStyle name="Normal GHG Numbers (0.00) 3 3 54" xfId="20777" xr:uid="{00000000-0005-0000-0000-000029510000}"/>
    <cellStyle name="Normal GHG Numbers (0.00) 3 3 55" xfId="20778" xr:uid="{00000000-0005-0000-0000-00002A510000}"/>
    <cellStyle name="Normal GHG Numbers (0.00) 3 3 56" xfId="20779" xr:uid="{00000000-0005-0000-0000-00002B510000}"/>
    <cellStyle name="Normal GHG Numbers (0.00) 3 3 57" xfId="20780" xr:uid="{00000000-0005-0000-0000-00002C510000}"/>
    <cellStyle name="Normal GHG Numbers (0.00) 3 3 58" xfId="20781" xr:uid="{00000000-0005-0000-0000-00002D510000}"/>
    <cellStyle name="Normal GHG Numbers (0.00) 3 3 59" xfId="20782" xr:uid="{00000000-0005-0000-0000-00002E510000}"/>
    <cellStyle name="Normal GHG Numbers (0.00) 3 3 6" xfId="20783" xr:uid="{00000000-0005-0000-0000-00002F510000}"/>
    <cellStyle name="Normal GHG Numbers (0.00) 3 3 60" xfId="20784" xr:uid="{00000000-0005-0000-0000-000030510000}"/>
    <cellStyle name="Normal GHG Numbers (0.00) 3 3 61" xfId="20785" xr:uid="{00000000-0005-0000-0000-000031510000}"/>
    <cellStyle name="Normal GHG Numbers (0.00) 3 3 62" xfId="20786" xr:uid="{00000000-0005-0000-0000-000032510000}"/>
    <cellStyle name="Normal GHG Numbers (0.00) 3 3 63" xfId="20787" xr:uid="{00000000-0005-0000-0000-000033510000}"/>
    <cellStyle name="Normal GHG Numbers (0.00) 3 3 64" xfId="20788" xr:uid="{00000000-0005-0000-0000-000034510000}"/>
    <cellStyle name="Normal GHG Numbers (0.00) 3 3 65" xfId="20789" xr:uid="{00000000-0005-0000-0000-000035510000}"/>
    <cellStyle name="Normal GHG Numbers (0.00) 3 3 66" xfId="20790" xr:uid="{00000000-0005-0000-0000-000036510000}"/>
    <cellStyle name="Normal GHG Numbers (0.00) 3 3 67" xfId="20791" xr:uid="{00000000-0005-0000-0000-000037510000}"/>
    <cellStyle name="Normal GHG Numbers (0.00) 3 3 68" xfId="20792" xr:uid="{00000000-0005-0000-0000-000038510000}"/>
    <cellStyle name="Normal GHG Numbers (0.00) 3 3 7" xfId="20793" xr:uid="{00000000-0005-0000-0000-000039510000}"/>
    <cellStyle name="Normal GHG Numbers (0.00) 3 3 8" xfId="20794" xr:uid="{00000000-0005-0000-0000-00003A510000}"/>
    <cellStyle name="Normal GHG Numbers (0.00) 3 3 9" xfId="20795" xr:uid="{00000000-0005-0000-0000-00003B510000}"/>
    <cellStyle name="Normal GHG Numbers (0.00) 3 4" xfId="20796" xr:uid="{00000000-0005-0000-0000-00003C510000}"/>
    <cellStyle name="Normal GHG Numbers (0.00) 3 4 10" xfId="20797" xr:uid="{00000000-0005-0000-0000-00003D510000}"/>
    <cellStyle name="Normal GHG Numbers (0.00) 3 4 11" xfId="20798" xr:uid="{00000000-0005-0000-0000-00003E510000}"/>
    <cellStyle name="Normal GHG Numbers (0.00) 3 4 12" xfId="20799" xr:uid="{00000000-0005-0000-0000-00003F510000}"/>
    <cellStyle name="Normal GHG Numbers (0.00) 3 4 13" xfId="20800" xr:uid="{00000000-0005-0000-0000-000040510000}"/>
    <cellStyle name="Normal GHG Numbers (0.00) 3 4 14" xfId="20801" xr:uid="{00000000-0005-0000-0000-000041510000}"/>
    <cellStyle name="Normal GHG Numbers (0.00) 3 4 15" xfId="20802" xr:uid="{00000000-0005-0000-0000-000042510000}"/>
    <cellStyle name="Normal GHG Numbers (0.00) 3 4 16" xfId="20803" xr:uid="{00000000-0005-0000-0000-000043510000}"/>
    <cellStyle name="Normal GHG Numbers (0.00) 3 4 2" xfId="20804" xr:uid="{00000000-0005-0000-0000-000044510000}"/>
    <cellStyle name="Normal GHG Numbers (0.00) 3 4 3" xfId="20805" xr:uid="{00000000-0005-0000-0000-000045510000}"/>
    <cellStyle name="Normal GHG Numbers (0.00) 3 4 4" xfId="20806" xr:uid="{00000000-0005-0000-0000-000046510000}"/>
    <cellStyle name="Normal GHG Numbers (0.00) 3 4 5" xfId="20807" xr:uid="{00000000-0005-0000-0000-000047510000}"/>
    <cellStyle name="Normal GHG Numbers (0.00) 3 4 6" xfId="20808" xr:uid="{00000000-0005-0000-0000-000048510000}"/>
    <cellStyle name="Normal GHG Numbers (0.00) 3 4 7" xfId="20809" xr:uid="{00000000-0005-0000-0000-000049510000}"/>
    <cellStyle name="Normal GHG Numbers (0.00) 3 4 8" xfId="20810" xr:uid="{00000000-0005-0000-0000-00004A510000}"/>
    <cellStyle name="Normal GHG Numbers (0.00) 3 4 9" xfId="20811" xr:uid="{00000000-0005-0000-0000-00004B510000}"/>
    <cellStyle name="Normal GHG Textfiels Bold" xfId="20812" xr:uid="{00000000-0005-0000-0000-00004C510000}"/>
    <cellStyle name="Normal GHG Textfiels Bold 2" xfId="20813" xr:uid="{00000000-0005-0000-0000-00004D510000}"/>
    <cellStyle name="Normal GHG Textfiels Bold 3" xfId="20814" xr:uid="{00000000-0005-0000-0000-00004E510000}"/>
    <cellStyle name="Normal GHG Textfiels Bold 3 2" xfId="20815" xr:uid="{00000000-0005-0000-0000-00004F510000}"/>
    <cellStyle name="Normal GHG Textfiels Bold 3 2 2" xfId="20816" xr:uid="{00000000-0005-0000-0000-000050510000}"/>
    <cellStyle name="Normal GHG Textfiels Bold 3 2 2 10" xfId="20817" xr:uid="{00000000-0005-0000-0000-000051510000}"/>
    <cellStyle name="Normal GHG Textfiels Bold 3 2 2 11" xfId="20818" xr:uid="{00000000-0005-0000-0000-000052510000}"/>
    <cellStyle name="Normal GHG Textfiels Bold 3 2 2 12" xfId="20819" xr:uid="{00000000-0005-0000-0000-000053510000}"/>
    <cellStyle name="Normal GHG Textfiels Bold 3 2 2 13" xfId="20820" xr:uid="{00000000-0005-0000-0000-000054510000}"/>
    <cellStyle name="Normal GHG Textfiels Bold 3 2 2 14" xfId="20821" xr:uid="{00000000-0005-0000-0000-000055510000}"/>
    <cellStyle name="Normal GHG Textfiels Bold 3 2 2 15" xfId="20822" xr:uid="{00000000-0005-0000-0000-000056510000}"/>
    <cellStyle name="Normal GHG Textfiels Bold 3 2 2 16" xfId="20823" xr:uid="{00000000-0005-0000-0000-000057510000}"/>
    <cellStyle name="Normal GHG Textfiels Bold 3 2 2 17" xfId="20824" xr:uid="{00000000-0005-0000-0000-000058510000}"/>
    <cellStyle name="Normal GHG Textfiels Bold 3 2 2 18" xfId="20825" xr:uid="{00000000-0005-0000-0000-000059510000}"/>
    <cellStyle name="Normal GHG Textfiels Bold 3 2 2 19" xfId="20826" xr:uid="{00000000-0005-0000-0000-00005A510000}"/>
    <cellStyle name="Normal GHG Textfiels Bold 3 2 2 2" xfId="20827" xr:uid="{00000000-0005-0000-0000-00005B510000}"/>
    <cellStyle name="Normal GHG Textfiels Bold 3 2 2 2 10" xfId="20828" xr:uid="{00000000-0005-0000-0000-00005C510000}"/>
    <cellStyle name="Normal GHG Textfiels Bold 3 2 2 2 11" xfId="20829" xr:uid="{00000000-0005-0000-0000-00005D510000}"/>
    <cellStyle name="Normal GHG Textfiels Bold 3 2 2 2 12" xfId="20830" xr:uid="{00000000-0005-0000-0000-00005E510000}"/>
    <cellStyle name="Normal GHG Textfiels Bold 3 2 2 2 13" xfId="20831" xr:uid="{00000000-0005-0000-0000-00005F510000}"/>
    <cellStyle name="Normal GHG Textfiels Bold 3 2 2 2 14" xfId="20832" xr:uid="{00000000-0005-0000-0000-000060510000}"/>
    <cellStyle name="Normal GHG Textfiels Bold 3 2 2 2 15" xfId="20833" xr:uid="{00000000-0005-0000-0000-000061510000}"/>
    <cellStyle name="Normal GHG Textfiels Bold 3 2 2 2 16" xfId="20834" xr:uid="{00000000-0005-0000-0000-000062510000}"/>
    <cellStyle name="Normal GHG Textfiels Bold 3 2 2 2 17" xfId="20835" xr:uid="{00000000-0005-0000-0000-000063510000}"/>
    <cellStyle name="Normal GHG Textfiels Bold 3 2 2 2 18" xfId="20836" xr:uid="{00000000-0005-0000-0000-000064510000}"/>
    <cellStyle name="Normal GHG Textfiels Bold 3 2 2 2 19" xfId="20837" xr:uid="{00000000-0005-0000-0000-000065510000}"/>
    <cellStyle name="Normal GHG Textfiels Bold 3 2 2 2 2" xfId="20838" xr:uid="{00000000-0005-0000-0000-000066510000}"/>
    <cellStyle name="Normal GHG Textfiels Bold 3 2 2 2 20" xfId="20839" xr:uid="{00000000-0005-0000-0000-000067510000}"/>
    <cellStyle name="Normal GHG Textfiels Bold 3 2 2 2 21" xfId="20840" xr:uid="{00000000-0005-0000-0000-000068510000}"/>
    <cellStyle name="Normal GHG Textfiels Bold 3 2 2 2 22" xfId="20841" xr:uid="{00000000-0005-0000-0000-000069510000}"/>
    <cellStyle name="Normal GHG Textfiels Bold 3 2 2 2 23" xfId="20842" xr:uid="{00000000-0005-0000-0000-00006A510000}"/>
    <cellStyle name="Normal GHG Textfiels Bold 3 2 2 2 24" xfId="20843" xr:uid="{00000000-0005-0000-0000-00006B510000}"/>
    <cellStyle name="Normal GHG Textfiels Bold 3 2 2 2 25" xfId="20844" xr:uid="{00000000-0005-0000-0000-00006C510000}"/>
    <cellStyle name="Normal GHG Textfiels Bold 3 2 2 2 26" xfId="20845" xr:uid="{00000000-0005-0000-0000-00006D510000}"/>
    <cellStyle name="Normal GHG Textfiels Bold 3 2 2 2 27" xfId="20846" xr:uid="{00000000-0005-0000-0000-00006E510000}"/>
    <cellStyle name="Normal GHG Textfiels Bold 3 2 2 2 28" xfId="20847" xr:uid="{00000000-0005-0000-0000-00006F510000}"/>
    <cellStyle name="Normal GHG Textfiels Bold 3 2 2 2 29" xfId="20848" xr:uid="{00000000-0005-0000-0000-000070510000}"/>
    <cellStyle name="Normal GHG Textfiels Bold 3 2 2 2 3" xfId="20849" xr:uid="{00000000-0005-0000-0000-000071510000}"/>
    <cellStyle name="Normal GHG Textfiels Bold 3 2 2 2 30" xfId="20850" xr:uid="{00000000-0005-0000-0000-000072510000}"/>
    <cellStyle name="Normal GHG Textfiels Bold 3 2 2 2 31" xfId="20851" xr:uid="{00000000-0005-0000-0000-000073510000}"/>
    <cellStyle name="Normal GHG Textfiels Bold 3 2 2 2 32" xfId="20852" xr:uid="{00000000-0005-0000-0000-000074510000}"/>
    <cellStyle name="Normal GHG Textfiels Bold 3 2 2 2 33" xfId="20853" xr:uid="{00000000-0005-0000-0000-000075510000}"/>
    <cellStyle name="Normal GHG Textfiels Bold 3 2 2 2 34" xfId="20854" xr:uid="{00000000-0005-0000-0000-000076510000}"/>
    <cellStyle name="Normal GHG Textfiels Bold 3 2 2 2 35" xfId="20855" xr:uid="{00000000-0005-0000-0000-000077510000}"/>
    <cellStyle name="Normal GHG Textfiels Bold 3 2 2 2 36" xfId="20856" xr:uid="{00000000-0005-0000-0000-000078510000}"/>
    <cellStyle name="Normal GHG Textfiels Bold 3 2 2 2 37" xfId="20857" xr:uid="{00000000-0005-0000-0000-000079510000}"/>
    <cellStyle name="Normal GHG Textfiels Bold 3 2 2 2 38" xfId="20858" xr:uid="{00000000-0005-0000-0000-00007A510000}"/>
    <cellStyle name="Normal GHG Textfiels Bold 3 2 2 2 39" xfId="20859" xr:uid="{00000000-0005-0000-0000-00007B510000}"/>
    <cellStyle name="Normal GHG Textfiels Bold 3 2 2 2 4" xfId="20860" xr:uid="{00000000-0005-0000-0000-00007C510000}"/>
    <cellStyle name="Normal GHG Textfiels Bold 3 2 2 2 40" xfId="20861" xr:uid="{00000000-0005-0000-0000-00007D510000}"/>
    <cellStyle name="Normal GHG Textfiels Bold 3 2 2 2 41" xfId="20862" xr:uid="{00000000-0005-0000-0000-00007E510000}"/>
    <cellStyle name="Normal GHG Textfiels Bold 3 2 2 2 42" xfId="20863" xr:uid="{00000000-0005-0000-0000-00007F510000}"/>
    <cellStyle name="Normal GHG Textfiels Bold 3 2 2 2 43" xfId="20864" xr:uid="{00000000-0005-0000-0000-000080510000}"/>
    <cellStyle name="Normal GHG Textfiels Bold 3 2 2 2 44" xfId="20865" xr:uid="{00000000-0005-0000-0000-000081510000}"/>
    <cellStyle name="Normal GHG Textfiels Bold 3 2 2 2 45" xfId="20866" xr:uid="{00000000-0005-0000-0000-000082510000}"/>
    <cellStyle name="Normal GHG Textfiels Bold 3 2 2 2 46" xfId="20867" xr:uid="{00000000-0005-0000-0000-000083510000}"/>
    <cellStyle name="Normal GHG Textfiels Bold 3 2 2 2 47" xfId="20868" xr:uid="{00000000-0005-0000-0000-000084510000}"/>
    <cellStyle name="Normal GHG Textfiels Bold 3 2 2 2 48" xfId="20869" xr:uid="{00000000-0005-0000-0000-000085510000}"/>
    <cellStyle name="Normal GHG Textfiels Bold 3 2 2 2 49" xfId="20870" xr:uid="{00000000-0005-0000-0000-000086510000}"/>
    <cellStyle name="Normal GHG Textfiels Bold 3 2 2 2 5" xfId="20871" xr:uid="{00000000-0005-0000-0000-000087510000}"/>
    <cellStyle name="Normal GHG Textfiels Bold 3 2 2 2 50" xfId="20872" xr:uid="{00000000-0005-0000-0000-000088510000}"/>
    <cellStyle name="Normal GHG Textfiels Bold 3 2 2 2 51" xfId="20873" xr:uid="{00000000-0005-0000-0000-000089510000}"/>
    <cellStyle name="Normal GHG Textfiels Bold 3 2 2 2 52" xfId="20874" xr:uid="{00000000-0005-0000-0000-00008A510000}"/>
    <cellStyle name="Normal GHG Textfiels Bold 3 2 2 2 53" xfId="20875" xr:uid="{00000000-0005-0000-0000-00008B510000}"/>
    <cellStyle name="Normal GHG Textfiels Bold 3 2 2 2 54" xfId="20876" xr:uid="{00000000-0005-0000-0000-00008C510000}"/>
    <cellStyle name="Normal GHG Textfiels Bold 3 2 2 2 55" xfId="20877" xr:uid="{00000000-0005-0000-0000-00008D510000}"/>
    <cellStyle name="Normal GHG Textfiels Bold 3 2 2 2 56" xfId="20878" xr:uid="{00000000-0005-0000-0000-00008E510000}"/>
    <cellStyle name="Normal GHG Textfiels Bold 3 2 2 2 57" xfId="20879" xr:uid="{00000000-0005-0000-0000-00008F510000}"/>
    <cellStyle name="Normal GHG Textfiels Bold 3 2 2 2 58" xfId="20880" xr:uid="{00000000-0005-0000-0000-000090510000}"/>
    <cellStyle name="Normal GHG Textfiels Bold 3 2 2 2 59" xfId="20881" xr:uid="{00000000-0005-0000-0000-000091510000}"/>
    <cellStyle name="Normal GHG Textfiels Bold 3 2 2 2 6" xfId="20882" xr:uid="{00000000-0005-0000-0000-000092510000}"/>
    <cellStyle name="Normal GHG Textfiels Bold 3 2 2 2 60" xfId="20883" xr:uid="{00000000-0005-0000-0000-000093510000}"/>
    <cellStyle name="Normal GHG Textfiels Bold 3 2 2 2 61" xfId="20884" xr:uid="{00000000-0005-0000-0000-000094510000}"/>
    <cellStyle name="Normal GHG Textfiels Bold 3 2 2 2 62" xfId="20885" xr:uid="{00000000-0005-0000-0000-000095510000}"/>
    <cellStyle name="Normal GHG Textfiels Bold 3 2 2 2 63" xfId="20886" xr:uid="{00000000-0005-0000-0000-000096510000}"/>
    <cellStyle name="Normal GHG Textfiels Bold 3 2 2 2 64" xfId="20887" xr:uid="{00000000-0005-0000-0000-000097510000}"/>
    <cellStyle name="Normal GHG Textfiels Bold 3 2 2 2 65" xfId="20888" xr:uid="{00000000-0005-0000-0000-000098510000}"/>
    <cellStyle name="Normal GHG Textfiels Bold 3 2 2 2 7" xfId="20889" xr:uid="{00000000-0005-0000-0000-000099510000}"/>
    <cellStyle name="Normal GHG Textfiels Bold 3 2 2 2 8" xfId="20890" xr:uid="{00000000-0005-0000-0000-00009A510000}"/>
    <cellStyle name="Normal GHG Textfiels Bold 3 2 2 2 9" xfId="20891" xr:uid="{00000000-0005-0000-0000-00009B510000}"/>
    <cellStyle name="Normal GHG Textfiels Bold 3 2 2 20" xfId="20892" xr:uid="{00000000-0005-0000-0000-00009C510000}"/>
    <cellStyle name="Normal GHG Textfiels Bold 3 2 2 21" xfId="20893" xr:uid="{00000000-0005-0000-0000-00009D510000}"/>
    <cellStyle name="Normal GHG Textfiels Bold 3 2 2 22" xfId="20894" xr:uid="{00000000-0005-0000-0000-00009E510000}"/>
    <cellStyle name="Normal GHG Textfiels Bold 3 2 2 23" xfId="20895" xr:uid="{00000000-0005-0000-0000-00009F510000}"/>
    <cellStyle name="Normal GHG Textfiels Bold 3 2 2 24" xfId="20896" xr:uid="{00000000-0005-0000-0000-0000A0510000}"/>
    <cellStyle name="Normal GHG Textfiels Bold 3 2 2 25" xfId="20897" xr:uid="{00000000-0005-0000-0000-0000A1510000}"/>
    <cellStyle name="Normal GHG Textfiels Bold 3 2 2 26" xfId="20898" xr:uid="{00000000-0005-0000-0000-0000A2510000}"/>
    <cellStyle name="Normal GHG Textfiels Bold 3 2 2 27" xfId="20899" xr:uid="{00000000-0005-0000-0000-0000A3510000}"/>
    <cellStyle name="Normal GHG Textfiels Bold 3 2 2 28" xfId="20900" xr:uid="{00000000-0005-0000-0000-0000A4510000}"/>
    <cellStyle name="Normal GHG Textfiels Bold 3 2 2 29" xfId="20901" xr:uid="{00000000-0005-0000-0000-0000A5510000}"/>
    <cellStyle name="Normal GHG Textfiels Bold 3 2 2 3" xfId="20902" xr:uid="{00000000-0005-0000-0000-0000A6510000}"/>
    <cellStyle name="Normal GHG Textfiels Bold 3 2 2 30" xfId="20903" xr:uid="{00000000-0005-0000-0000-0000A7510000}"/>
    <cellStyle name="Normal GHG Textfiels Bold 3 2 2 31" xfId="20904" xr:uid="{00000000-0005-0000-0000-0000A8510000}"/>
    <cellStyle name="Normal GHG Textfiels Bold 3 2 2 32" xfId="20905" xr:uid="{00000000-0005-0000-0000-0000A9510000}"/>
    <cellStyle name="Normal GHG Textfiels Bold 3 2 2 33" xfId="20906" xr:uid="{00000000-0005-0000-0000-0000AA510000}"/>
    <cellStyle name="Normal GHG Textfiels Bold 3 2 2 34" xfId="20907" xr:uid="{00000000-0005-0000-0000-0000AB510000}"/>
    <cellStyle name="Normal GHG Textfiels Bold 3 2 2 35" xfId="20908" xr:uid="{00000000-0005-0000-0000-0000AC510000}"/>
    <cellStyle name="Normal GHG Textfiels Bold 3 2 2 36" xfId="20909" xr:uid="{00000000-0005-0000-0000-0000AD510000}"/>
    <cellStyle name="Normal GHG Textfiels Bold 3 2 2 37" xfId="20910" xr:uid="{00000000-0005-0000-0000-0000AE510000}"/>
    <cellStyle name="Normal GHG Textfiels Bold 3 2 2 38" xfId="20911" xr:uid="{00000000-0005-0000-0000-0000AF510000}"/>
    <cellStyle name="Normal GHG Textfiels Bold 3 2 2 39" xfId="20912" xr:uid="{00000000-0005-0000-0000-0000B0510000}"/>
    <cellStyle name="Normal GHG Textfiels Bold 3 2 2 4" xfId="20913" xr:uid="{00000000-0005-0000-0000-0000B1510000}"/>
    <cellStyle name="Normal GHG Textfiels Bold 3 2 2 40" xfId="20914" xr:uid="{00000000-0005-0000-0000-0000B2510000}"/>
    <cellStyle name="Normal GHG Textfiels Bold 3 2 2 41" xfId="20915" xr:uid="{00000000-0005-0000-0000-0000B3510000}"/>
    <cellStyle name="Normal GHG Textfiels Bold 3 2 2 42" xfId="20916" xr:uid="{00000000-0005-0000-0000-0000B4510000}"/>
    <cellStyle name="Normal GHG Textfiels Bold 3 2 2 43" xfId="20917" xr:uid="{00000000-0005-0000-0000-0000B5510000}"/>
    <cellStyle name="Normal GHG Textfiels Bold 3 2 2 44" xfId="20918" xr:uid="{00000000-0005-0000-0000-0000B6510000}"/>
    <cellStyle name="Normal GHG Textfiels Bold 3 2 2 45" xfId="20919" xr:uid="{00000000-0005-0000-0000-0000B7510000}"/>
    <cellStyle name="Normal GHG Textfiels Bold 3 2 2 46" xfId="20920" xr:uid="{00000000-0005-0000-0000-0000B8510000}"/>
    <cellStyle name="Normal GHG Textfiels Bold 3 2 2 47" xfId="20921" xr:uid="{00000000-0005-0000-0000-0000B9510000}"/>
    <cellStyle name="Normal GHG Textfiels Bold 3 2 2 48" xfId="20922" xr:uid="{00000000-0005-0000-0000-0000BA510000}"/>
    <cellStyle name="Normal GHG Textfiels Bold 3 2 2 49" xfId="20923" xr:uid="{00000000-0005-0000-0000-0000BB510000}"/>
    <cellStyle name="Normal GHG Textfiels Bold 3 2 2 5" xfId="20924" xr:uid="{00000000-0005-0000-0000-0000BC510000}"/>
    <cellStyle name="Normal GHG Textfiels Bold 3 2 2 50" xfId="20925" xr:uid="{00000000-0005-0000-0000-0000BD510000}"/>
    <cellStyle name="Normal GHG Textfiels Bold 3 2 2 51" xfId="20926" xr:uid="{00000000-0005-0000-0000-0000BE510000}"/>
    <cellStyle name="Normal GHG Textfiels Bold 3 2 2 52" xfId="20927" xr:uid="{00000000-0005-0000-0000-0000BF510000}"/>
    <cellStyle name="Normal GHG Textfiels Bold 3 2 2 53" xfId="20928" xr:uid="{00000000-0005-0000-0000-0000C0510000}"/>
    <cellStyle name="Normal GHG Textfiels Bold 3 2 2 54" xfId="20929" xr:uid="{00000000-0005-0000-0000-0000C1510000}"/>
    <cellStyle name="Normal GHG Textfiels Bold 3 2 2 55" xfId="20930" xr:uid="{00000000-0005-0000-0000-0000C2510000}"/>
    <cellStyle name="Normal GHG Textfiels Bold 3 2 2 56" xfId="20931" xr:uid="{00000000-0005-0000-0000-0000C3510000}"/>
    <cellStyle name="Normal GHG Textfiels Bold 3 2 2 57" xfId="20932" xr:uid="{00000000-0005-0000-0000-0000C4510000}"/>
    <cellStyle name="Normal GHG Textfiels Bold 3 2 2 58" xfId="20933" xr:uid="{00000000-0005-0000-0000-0000C5510000}"/>
    <cellStyle name="Normal GHG Textfiels Bold 3 2 2 59" xfId="20934" xr:uid="{00000000-0005-0000-0000-0000C6510000}"/>
    <cellStyle name="Normal GHG Textfiels Bold 3 2 2 6" xfId="20935" xr:uid="{00000000-0005-0000-0000-0000C7510000}"/>
    <cellStyle name="Normal GHG Textfiels Bold 3 2 2 60" xfId="20936" xr:uid="{00000000-0005-0000-0000-0000C8510000}"/>
    <cellStyle name="Normal GHG Textfiels Bold 3 2 2 61" xfId="20937" xr:uid="{00000000-0005-0000-0000-0000C9510000}"/>
    <cellStyle name="Normal GHG Textfiels Bold 3 2 2 62" xfId="20938" xr:uid="{00000000-0005-0000-0000-0000CA510000}"/>
    <cellStyle name="Normal GHG Textfiels Bold 3 2 2 63" xfId="20939" xr:uid="{00000000-0005-0000-0000-0000CB510000}"/>
    <cellStyle name="Normal GHG Textfiels Bold 3 2 2 64" xfId="20940" xr:uid="{00000000-0005-0000-0000-0000CC510000}"/>
    <cellStyle name="Normal GHG Textfiels Bold 3 2 2 65" xfId="20941" xr:uid="{00000000-0005-0000-0000-0000CD510000}"/>
    <cellStyle name="Normal GHG Textfiels Bold 3 2 2 66" xfId="20942" xr:uid="{00000000-0005-0000-0000-0000CE510000}"/>
    <cellStyle name="Normal GHG Textfiels Bold 3 2 2 7" xfId="20943" xr:uid="{00000000-0005-0000-0000-0000CF510000}"/>
    <cellStyle name="Normal GHG Textfiels Bold 3 2 2 8" xfId="20944" xr:uid="{00000000-0005-0000-0000-0000D0510000}"/>
    <cellStyle name="Normal GHG Textfiels Bold 3 2 2 9" xfId="20945" xr:uid="{00000000-0005-0000-0000-0000D1510000}"/>
    <cellStyle name="Normal GHG Textfiels Bold 3 2 3" xfId="20946" xr:uid="{00000000-0005-0000-0000-0000D2510000}"/>
    <cellStyle name="Normal GHG Textfiels Bold 3 2 3 10" xfId="20947" xr:uid="{00000000-0005-0000-0000-0000D3510000}"/>
    <cellStyle name="Normal GHG Textfiels Bold 3 2 3 11" xfId="20948" xr:uid="{00000000-0005-0000-0000-0000D4510000}"/>
    <cellStyle name="Normal GHG Textfiels Bold 3 2 3 12" xfId="20949" xr:uid="{00000000-0005-0000-0000-0000D5510000}"/>
    <cellStyle name="Normal GHG Textfiels Bold 3 2 3 13" xfId="20950" xr:uid="{00000000-0005-0000-0000-0000D6510000}"/>
    <cellStyle name="Normal GHG Textfiels Bold 3 2 3 14" xfId="20951" xr:uid="{00000000-0005-0000-0000-0000D7510000}"/>
    <cellStyle name="Normal GHG Textfiels Bold 3 2 3 15" xfId="20952" xr:uid="{00000000-0005-0000-0000-0000D8510000}"/>
    <cellStyle name="Normal GHG Textfiels Bold 3 2 3 16" xfId="20953" xr:uid="{00000000-0005-0000-0000-0000D9510000}"/>
    <cellStyle name="Normal GHG Textfiels Bold 3 2 3 17" xfId="20954" xr:uid="{00000000-0005-0000-0000-0000DA510000}"/>
    <cellStyle name="Normal GHG Textfiels Bold 3 2 3 18" xfId="20955" xr:uid="{00000000-0005-0000-0000-0000DB510000}"/>
    <cellStyle name="Normal GHG Textfiels Bold 3 2 3 19" xfId="20956" xr:uid="{00000000-0005-0000-0000-0000DC510000}"/>
    <cellStyle name="Normal GHG Textfiels Bold 3 2 3 2" xfId="20957" xr:uid="{00000000-0005-0000-0000-0000DD510000}"/>
    <cellStyle name="Normal GHG Textfiels Bold 3 2 3 20" xfId="20958" xr:uid="{00000000-0005-0000-0000-0000DE510000}"/>
    <cellStyle name="Normal GHG Textfiels Bold 3 2 3 21" xfId="20959" xr:uid="{00000000-0005-0000-0000-0000DF510000}"/>
    <cellStyle name="Normal GHG Textfiels Bold 3 2 3 22" xfId="20960" xr:uid="{00000000-0005-0000-0000-0000E0510000}"/>
    <cellStyle name="Normal GHG Textfiels Bold 3 2 3 23" xfId="20961" xr:uid="{00000000-0005-0000-0000-0000E1510000}"/>
    <cellStyle name="Normal GHG Textfiels Bold 3 2 3 24" xfId="20962" xr:uid="{00000000-0005-0000-0000-0000E2510000}"/>
    <cellStyle name="Normal GHG Textfiels Bold 3 2 3 25" xfId="20963" xr:uid="{00000000-0005-0000-0000-0000E3510000}"/>
    <cellStyle name="Normal GHG Textfiels Bold 3 2 3 26" xfId="20964" xr:uid="{00000000-0005-0000-0000-0000E4510000}"/>
    <cellStyle name="Normal GHG Textfiels Bold 3 2 3 27" xfId="20965" xr:uid="{00000000-0005-0000-0000-0000E5510000}"/>
    <cellStyle name="Normal GHG Textfiels Bold 3 2 3 28" xfId="20966" xr:uid="{00000000-0005-0000-0000-0000E6510000}"/>
    <cellStyle name="Normal GHG Textfiels Bold 3 2 3 29" xfId="20967" xr:uid="{00000000-0005-0000-0000-0000E7510000}"/>
    <cellStyle name="Normal GHG Textfiels Bold 3 2 3 3" xfId="20968" xr:uid="{00000000-0005-0000-0000-0000E8510000}"/>
    <cellStyle name="Normal GHG Textfiels Bold 3 2 3 30" xfId="20969" xr:uid="{00000000-0005-0000-0000-0000E9510000}"/>
    <cellStyle name="Normal GHG Textfiels Bold 3 2 3 31" xfId="20970" xr:uid="{00000000-0005-0000-0000-0000EA510000}"/>
    <cellStyle name="Normal GHG Textfiels Bold 3 2 3 32" xfId="20971" xr:uid="{00000000-0005-0000-0000-0000EB510000}"/>
    <cellStyle name="Normal GHG Textfiels Bold 3 2 3 33" xfId="20972" xr:uid="{00000000-0005-0000-0000-0000EC510000}"/>
    <cellStyle name="Normal GHG Textfiels Bold 3 2 3 34" xfId="20973" xr:uid="{00000000-0005-0000-0000-0000ED510000}"/>
    <cellStyle name="Normal GHG Textfiels Bold 3 2 3 35" xfId="20974" xr:uid="{00000000-0005-0000-0000-0000EE510000}"/>
    <cellStyle name="Normal GHG Textfiels Bold 3 2 3 36" xfId="20975" xr:uid="{00000000-0005-0000-0000-0000EF510000}"/>
    <cellStyle name="Normal GHG Textfiels Bold 3 2 3 37" xfId="20976" xr:uid="{00000000-0005-0000-0000-0000F0510000}"/>
    <cellStyle name="Normal GHG Textfiels Bold 3 2 3 38" xfId="20977" xr:uid="{00000000-0005-0000-0000-0000F1510000}"/>
    <cellStyle name="Normal GHG Textfiels Bold 3 2 3 39" xfId="20978" xr:uid="{00000000-0005-0000-0000-0000F2510000}"/>
    <cellStyle name="Normal GHG Textfiels Bold 3 2 3 4" xfId="20979" xr:uid="{00000000-0005-0000-0000-0000F3510000}"/>
    <cellStyle name="Normal GHG Textfiels Bold 3 2 3 40" xfId="20980" xr:uid="{00000000-0005-0000-0000-0000F4510000}"/>
    <cellStyle name="Normal GHG Textfiels Bold 3 2 3 41" xfId="20981" xr:uid="{00000000-0005-0000-0000-0000F5510000}"/>
    <cellStyle name="Normal GHG Textfiels Bold 3 2 3 42" xfId="20982" xr:uid="{00000000-0005-0000-0000-0000F6510000}"/>
    <cellStyle name="Normal GHG Textfiels Bold 3 2 3 43" xfId="20983" xr:uid="{00000000-0005-0000-0000-0000F7510000}"/>
    <cellStyle name="Normal GHG Textfiels Bold 3 2 3 44" xfId="20984" xr:uid="{00000000-0005-0000-0000-0000F8510000}"/>
    <cellStyle name="Normal GHG Textfiels Bold 3 2 3 45" xfId="20985" xr:uid="{00000000-0005-0000-0000-0000F9510000}"/>
    <cellStyle name="Normal GHG Textfiels Bold 3 2 3 46" xfId="20986" xr:uid="{00000000-0005-0000-0000-0000FA510000}"/>
    <cellStyle name="Normal GHG Textfiels Bold 3 2 3 47" xfId="20987" xr:uid="{00000000-0005-0000-0000-0000FB510000}"/>
    <cellStyle name="Normal GHG Textfiels Bold 3 2 3 48" xfId="20988" xr:uid="{00000000-0005-0000-0000-0000FC510000}"/>
    <cellStyle name="Normal GHG Textfiels Bold 3 2 3 49" xfId="20989" xr:uid="{00000000-0005-0000-0000-0000FD510000}"/>
    <cellStyle name="Normal GHG Textfiels Bold 3 2 3 5" xfId="20990" xr:uid="{00000000-0005-0000-0000-0000FE510000}"/>
    <cellStyle name="Normal GHG Textfiels Bold 3 2 3 50" xfId="20991" xr:uid="{00000000-0005-0000-0000-0000FF510000}"/>
    <cellStyle name="Normal GHG Textfiels Bold 3 2 3 51" xfId="20992" xr:uid="{00000000-0005-0000-0000-000000520000}"/>
    <cellStyle name="Normal GHG Textfiels Bold 3 2 3 52" xfId="20993" xr:uid="{00000000-0005-0000-0000-000001520000}"/>
    <cellStyle name="Normal GHG Textfiels Bold 3 2 3 53" xfId="20994" xr:uid="{00000000-0005-0000-0000-000002520000}"/>
    <cellStyle name="Normal GHG Textfiels Bold 3 2 3 54" xfId="20995" xr:uid="{00000000-0005-0000-0000-000003520000}"/>
    <cellStyle name="Normal GHG Textfiels Bold 3 2 3 55" xfId="20996" xr:uid="{00000000-0005-0000-0000-000004520000}"/>
    <cellStyle name="Normal GHG Textfiels Bold 3 2 3 56" xfId="20997" xr:uid="{00000000-0005-0000-0000-000005520000}"/>
    <cellStyle name="Normal GHG Textfiels Bold 3 2 3 57" xfId="20998" xr:uid="{00000000-0005-0000-0000-000006520000}"/>
    <cellStyle name="Normal GHG Textfiels Bold 3 2 3 58" xfId="20999" xr:uid="{00000000-0005-0000-0000-000007520000}"/>
    <cellStyle name="Normal GHG Textfiels Bold 3 2 3 59" xfId="21000" xr:uid="{00000000-0005-0000-0000-000008520000}"/>
    <cellStyle name="Normal GHG Textfiels Bold 3 2 3 6" xfId="21001" xr:uid="{00000000-0005-0000-0000-000009520000}"/>
    <cellStyle name="Normal GHG Textfiels Bold 3 2 3 60" xfId="21002" xr:uid="{00000000-0005-0000-0000-00000A520000}"/>
    <cellStyle name="Normal GHG Textfiels Bold 3 2 3 61" xfId="21003" xr:uid="{00000000-0005-0000-0000-00000B520000}"/>
    <cellStyle name="Normal GHG Textfiels Bold 3 2 3 62" xfId="21004" xr:uid="{00000000-0005-0000-0000-00000C520000}"/>
    <cellStyle name="Normal GHG Textfiels Bold 3 2 3 63" xfId="21005" xr:uid="{00000000-0005-0000-0000-00000D520000}"/>
    <cellStyle name="Normal GHG Textfiels Bold 3 2 3 64" xfId="21006" xr:uid="{00000000-0005-0000-0000-00000E520000}"/>
    <cellStyle name="Normal GHG Textfiels Bold 3 2 3 65" xfId="21007" xr:uid="{00000000-0005-0000-0000-00000F520000}"/>
    <cellStyle name="Normal GHG Textfiels Bold 3 2 3 7" xfId="21008" xr:uid="{00000000-0005-0000-0000-000010520000}"/>
    <cellStyle name="Normal GHG Textfiels Bold 3 2 3 8" xfId="21009" xr:uid="{00000000-0005-0000-0000-000011520000}"/>
    <cellStyle name="Normal GHG Textfiels Bold 3 2 3 9" xfId="21010" xr:uid="{00000000-0005-0000-0000-000012520000}"/>
    <cellStyle name="Normal GHG Textfiels Bold 3 3" xfId="21011" xr:uid="{00000000-0005-0000-0000-000013520000}"/>
    <cellStyle name="Normal GHG Textfiels Bold 3 3 10" xfId="21012" xr:uid="{00000000-0005-0000-0000-000014520000}"/>
    <cellStyle name="Normal GHG Textfiels Bold 3 3 11" xfId="21013" xr:uid="{00000000-0005-0000-0000-000015520000}"/>
    <cellStyle name="Normal GHG Textfiels Bold 3 3 12" xfId="21014" xr:uid="{00000000-0005-0000-0000-000016520000}"/>
    <cellStyle name="Normal GHG Textfiels Bold 3 3 13" xfId="21015" xr:uid="{00000000-0005-0000-0000-000017520000}"/>
    <cellStyle name="Normal GHG Textfiels Bold 3 3 14" xfId="21016" xr:uid="{00000000-0005-0000-0000-000018520000}"/>
    <cellStyle name="Normal GHG Textfiels Bold 3 3 15" xfId="21017" xr:uid="{00000000-0005-0000-0000-000019520000}"/>
    <cellStyle name="Normal GHG Textfiels Bold 3 3 16" xfId="21018" xr:uid="{00000000-0005-0000-0000-00001A520000}"/>
    <cellStyle name="Normal GHG Textfiels Bold 3 3 17" xfId="21019" xr:uid="{00000000-0005-0000-0000-00001B520000}"/>
    <cellStyle name="Normal GHG Textfiels Bold 3 3 18" xfId="21020" xr:uid="{00000000-0005-0000-0000-00001C520000}"/>
    <cellStyle name="Normal GHG Textfiels Bold 3 3 19" xfId="21021" xr:uid="{00000000-0005-0000-0000-00001D520000}"/>
    <cellStyle name="Normal GHG Textfiels Bold 3 3 2" xfId="21022" xr:uid="{00000000-0005-0000-0000-00001E520000}"/>
    <cellStyle name="Normal GHG Textfiels Bold 3 3 2 10" xfId="21023" xr:uid="{00000000-0005-0000-0000-00001F520000}"/>
    <cellStyle name="Normal GHG Textfiels Bold 3 3 2 11" xfId="21024" xr:uid="{00000000-0005-0000-0000-000020520000}"/>
    <cellStyle name="Normal GHG Textfiels Bold 3 3 2 12" xfId="21025" xr:uid="{00000000-0005-0000-0000-000021520000}"/>
    <cellStyle name="Normal GHG Textfiels Bold 3 3 2 13" xfId="21026" xr:uid="{00000000-0005-0000-0000-000022520000}"/>
    <cellStyle name="Normal GHG Textfiels Bold 3 3 2 14" xfId="21027" xr:uid="{00000000-0005-0000-0000-000023520000}"/>
    <cellStyle name="Normal GHG Textfiels Bold 3 3 2 15" xfId="21028" xr:uid="{00000000-0005-0000-0000-000024520000}"/>
    <cellStyle name="Normal GHG Textfiels Bold 3 3 2 16" xfId="21029" xr:uid="{00000000-0005-0000-0000-000025520000}"/>
    <cellStyle name="Normal GHG Textfiels Bold 3 3 2 17" xfId="21030" xr:uid="{00000000-0005-0000-0000-000026520000}"/>
    <cellStyle name="Normal GHG Textfiels Bold 3 3 2 18" xfId="21031" xr:uid="{00000000-0005-0000-0000-000027520000}"/>
    <cellStyle name="Normal GHG Textfiels Bold 3 3 2 19" xfId="21032" xr:uid="{00000000-0005-0000-0000-000028520000}"/>
    <cellStyle name="Normal GHG Textfiels Bold 3 3 2 2" xfId="21033" xr:uid="{00000000-0005-0000-0000-000029520000}"/>
    <cellStyle name="Normal GHG Textfiels Bold 3 3 2 2 10" xfId="21034" xr:uid="{00000000-0005-0000-0000-00002A520000}"/>
    <cellStyle name="Normal GHG Textfiels Bold 3 3 2 2 11" xfId="21035" xr:uid="{00000000-0005-0000-0000-00002B520000}"/>
    <cellStyle name="Normal GHG Textfiels Bold 3 3 2 2 12" xfId="21036" xr:uid="{00000000-0005-0000-0000-00002C520000}"/>
    <cellStyle name="Normal GHG Textfiels Bold 3 3 2 2 13" xfId="21037" xr:uid="{00000000-0005-0000-0000-00002D520000}"/>
    <cellStyle name="Normal GHG Textfiels Bold 3 3 2 2 14" xfId="21038" xr:uid="{00000000-0005-0000-0000-00002E520000}"/>
    <cellStyle name="Normal GHG Textfiels Bold 3 3 2 2 15" xfId="21039" xr:uid="{00000000-0005-0000-0000-00002F520000}"/>
    <cellStyle name="Normal GHG Textfiels Bold 3 3 2 2 16" xfId="21040" xr:uid="{00000000-0005-0000-0000-000030520000}"/>
    <cellStyle name="Normal GHG Textfiels Bold 3 3 2 2 17" xfId="21041" xr:uid="{00000000-0005-0000-0000-000031520000}"/>
    <cellStyle name="Normal GHG Textfiels Bold 3 3 2 2 18" xfId="21042" xr:uid="{00000000-0005-0000-0000-000032520000}"/>
    <cellStyle name="Normal GHG Textfiels Bold 3 3 2 2 19" xfId="21043" xr:uid="{00000000-0005-0000-0000-000033520000}"/>
    <cellStyle name="Normal GHG Textfiels Bold 3 3 2 2 2" xfId="21044" xr:uid="{00000000-0005-0000-0000-000034520000}"/>
    <cellStyle name="Normal GHG Textfiels Bold 3 3 2 2 20" xfId="21045" xr:uid="{00000000-0005-0000-0000-000035520000}"/>
    <cellStyle name="Normal GHG Textfiels Bold 3 3 2 2 21" xfId="21046" xr:uid="{00000000-0005-0000-0000-000036520000}"/>
    <cellStyle name="Normal GHG Textfiels Bold 3 3 2 2 22" xfId="21047" xr:uid="{00000000-0005-0000-0000-000037520000}"/>
    <cellStyle name="Normal GHG Textfiels Bold 3 3 2 2 23" xfId="21048" xr:uid="{00000000-0005-0000-0000-000038520000}"/>
    <cellStyle name="Normal GHG Textfiels Bold 3 3 2 2 24" xfId="21049" xr:uid="{00000000-0005-0000-0000-000039520000}"/>
    <cellStyle name="Normal GHG Textfiels Bold 3 3 2 2 25" xfId="21050" xr:uid="{00000000-0005-0000-0000-00003A520000}"/>
    <cellStyle name="Normal GHG Textfiels Bold 3 3 2 2 26" xfId="21051" xr:uid="{00000000-0005-0000-0000-00003B520000}"/>
    <cellStyle name="Normal GHG Textfiels Bold 3 3 2 2 27" xfId="21052" xr:uid="{00000000-0005-0000-0000-00003C520000}"/>
    <cellStyle name="Normal GHG Textfiels Bold 3 3 2 2 28" xfId="21053" xr:uid="{00000000-0005-0000-0000-00003D520000}"/>
    <cellStyle name="Normal GHG Textfiels Bold 3 3 2 2 29" xfId="21054" xr:uid="{00000000-0005-0000-0000-00003E520000}"/>
    <cellStyle name="Normal GHG Textfiels Bold 3 3 2 2 3" xfId="21055" xr:uid="{00000000-0005-0000-0000-00003F520000}"/>
    <cellStyle name="Normal GHG Textfiels Bold 3 3 2 2 30" xfId="21056" xr:uid="{00000000-0005-0000-0000-000040520000}"/>
    <cellStyle name="Normal GHG Textfiels Bold 3 3 2 2 31" xfId="21057" xr:uid="{00000000-0005-0000-0000-000041520000}"/>
    <cellStyle name="Normal GHG Textfiels Bold 3 3 2 2 32" xfId="21058" xr:uid="{00000000-0005-0000-0000-000042520000}"/>
    <cellStyle name="Normal GHG Textfiels Bold 3 3 2 2 33" xfId="21059" xr:uid="{00000000-0005-0000-0000-000043520000}"/>
    <cellStyle name="Normal GHG Textfiels Bold 3 3 2 2 34" xfId="21060" xr:uid="{00000000-0005-0000-0000-000044520000}"/>
    <cellStyle name="Normal GHG Textfiels Bold 3 3 2 2 35" xfId="21061" xr:uid="{00000000-0005-0000-0000-000045520000}"/>
    <cellStyle name="Normal GHG Textfiels Bold 3 3 2 2 36" xfId="21062" xr:uid="{00000000-0005-0000-0000-000046520000}"/>
    <cellStyle name="Normal GHG Textfiels Bold 3 3 2 2 37" xfId="21063" xr:uid="{00000000-0005-0000-0000-000047520000}"/>
    <cellStyle name="Normal GHG Textfiels Bold 3 3 2 2 38" xfId="21064" xr:uid="{00000000-0005-0000-0000-000048520000}"/>
    <cellStyle name="Normal GHG Textfiels Bold 3 3 2 2 39" xfId="21065" xr:uid="{00000000-0005-0000-0000-000049520000}"/>
    <cellStyle name="Normal GHG Textfiels Bold 3 3 2 2 4" xfId="21066" xr:uid="{00000000-0005-0000-0000-00004A520000}"/>
    <cellStyle name="Normal GHG Textfiels Bold 3 3 2 2 40" xfId="21067" xr:uid="{00000000-0005-0000-0000-00004B520000}"/>
    <cellStyle name="Normal GHG Textfiels Bold 3 3 2 2 41" xfId="21068" xr:uid="{00000000-0005-0000-0000-00004C520000}"/>
    <cellStyle name="Normal GHG Textfiels Bold 3 3 2 2 42" xfId="21069" xr:uid="{00000000-0005-0000-0000-00004D520000}"/>
    <cellStyle name="Normal GHG Textfiels Bold 3 3 2 2 43" xfId="21070" xr:uid="{00000000-0005-0000-0000-00004E520000}"/>
    <cellStyle name="Normal GHG Textfiels Bold 3 3 2 2 44" xfId="21071" xr:uid="{00000000-0005-0000-0000-00004F520000}"/>
    <cellStyle name="Normal GHG Textfiels Bold 3 3 2 2 45" xfId="21072" xr:uid="{00000000-0005-0000-0000-000050520000}"/>
    <cellStyle name="Normal GHG Textfiels Bold 3 3 2 2 46" xfId="21073" xr:uid="{00000000-0005-0000-0000-000051520000}"/>
    <cellStyle name="Normal GHG Textfiels Bold 3 3 2 2 47" xfId="21074" xr:uid="{00000000-0005-0000-0000-000052520000}"/>
    <cellStyle name="Normal GHG Textfiels Bold 3 3 2 2 48" xfId="21075" xr:uid="{00000000-0005-0000-0000-000053520000}"/>
    <cellStyle name="Normal GHG Textfiels Bold 3 3 2 2 49" xfId="21076" xr:uid="{00000000-0005-0000-0000-000054520000}"/>
    <cellStyle name="Normal GHG Textfiels Bold 3 3 2 2 5" xfId="21077" xr:uid="{00000000-0005-0000-0000-000055520000}"/>
    <cellStyle name="Normal GHG Textfiels Bold 3 3 2 2 50" xfId="21078" xr:uid="{00000000-0005-0000-0000-000056520000}"/>
    <cellStyle name="Normal GHG Textfiels Bold 3 3 2 2 51" xfId="21079" xr:uid="{00000000-0005-0000-0000-000057520000}"/>
    <cellStyle name="Normal GHG Textfiels Bold 3 3 2 2 52" xfId="21080" xr:uid="{00000000-0005-0000-0000-000058520000}"/>
    <cellStyle name="Normal GHG Textfiels Bold 3 3 2 2 53" xfId="21081" xr:uid="{00000000-0005-0000-0000-000059520000}"/>
    <cellStyle name="Normal GHG Textfiels Bold 3 3 2 2 54" xfId="21082" xr:uid="{00000000-0005-0000-0000-00005A520000}"/>
    <cellStyle name="Normal GHG Textfiels Bold 3 3 2 2 55" xfId="21083" xr:uid="{00000000-0005-0000-0000-00005B520000}"/>
    <cellStyle name="Normal GHG Textfiels Bold 3 3 2 2 56" xfId="21084" xr:uid="{00000000-0005-0000-0000-00005C520000}"/>
    <cellStyle name="Normal GHG Textfiels Bold 3 3 2 2 57" xfId="21085" xr:uid="{00000000-0005-0000-0000-00005D520000}"/>
    <cellStyle name="Normal GHG Textfiels Bold 3 3 2 2 58" xfId="21086" xr:uid="{00000000-0005-0000-0000-00005E520000}"/>
    <cellStyle name="Normal GHG Textfiels Bold 3 3 2 2 59" xfId="21087" xr:uid="{00000000-0005-0000-0000-00005F520000}"/>
    <cellStyle name="Normal GHG Textfiels Bold 3 3 2 2 6" xfId="21088" xr:uid="{00000000-0005-0000-0000-000060520000}"/>
    <cellStyle name="Normal GHG Textfiels Bold 3 3 2 2 60" xfId="21089" xr:uid="{00000000-0005-0000-0000-000061520000}"/>
    <cellStyle name="Normal GHG Textfiels Bold 3 3 2 2 61" xfId="21090" xr:uid="{00000000-0005-0000-0000-000062520000}"/>
    <cellStyle name="Normal GHG Textfiels Bold 3 3 2 2 62" xfId="21091" xr:uid="{00000000-0005-0000-0000-000063520000}"/>
    <cellStyle name="Normal GHG Textfiels Bold 3 3 2 2 63" xfId="21092" xr:uid="{00000000-0005-0000-0000-000064520000}"/>
    <cellStyle name="Normal GHG Textfiels Bold 3 3 2 2 64" xfId="21093" xr:uid="{00000000-0005-0000-0000-000065520000}"/>
    <cellStyle name="Normal GHG Textfiels Bold 3 3 2 2 65" xfId="21094" xr:uid="{00000000-0005-0000-0000-000066520000}"/>
    <cellStyle name="Normal GHG Textfiels Bold 3 3 2 2 7" xfId="21095" xr:uid="{00000000-0005-0000-0000-000067520000}"/>
    <cellStyle name="Normal GHG Textfiels Bold 3 3 2 2 8" xfId="21096" xr:uid="{00000000-0005-0000-0000-000068520000}"/>
    <cellStyle name="Normal GHG Textfiels Bold 3 3 2 2 9" xfId="21097" xr:uid="{00000000-0005-0000-0000-000069520000}"/>
    <cellStyle name="Normal GHG Textfiels Bold 3 3 2 20" xfId="21098" xr:uid="{00000000-0005-0000-0000-00006A520000}"/>
    <cellStyle name="Normal GHG Textfiels Bold 3 3 2 21" xfId="21099" xr:uid="{00000000-0005-0000-0000-00006B520000}"/>
    <cellStyle name="Normal GHG Textfiels Bold 3 3 2 22" xfId="21100" xr:uid="{00000000-0005-0000-0000-00006C520000}"/>
    <cellStyle name="Normal GHG Textfiels Bold 3 3 2 23" xfId="21101" xr:uid="{00000000-0005-0000-0000-00006D520000}"/>
    <cellStyle name="Normal GHG Textfiels Bold 3 3 2 24" xfId="21102" xr:uid="{00000000-0005-0000-0000-00006E520000}"/>
    <cellStyle name="Normal GHG Textfiels Bold 3 3 2 25" xfId="21103" xr:uid="{00000000-0005-0000-0000-00006F520000}"/>
    <cellStyle name="Normal GHG Textfiels Bold 3 3 2 26" xfId="21104" xr:uid="{00000000-0005-0000-0000-000070520000}"/>
    <cellStyle name="Normal GHG Textfiels Bold 3 3 2 27" xfId="21105" xr:uid="{00000000-0005-0000-0000-000071520000}"/>
    <cellStyle name="Normal GHG Textfiels Bold 3 3 2 28" xfId="21106" xr:uid="{00000000-0005-0000-0000-000072520000}"/>
    <cellStyle name="Normal GHG Textfiels Bold 3 3 2 29" xfId="21107" xr:uid="{00000000-0005-0000-0000-000073520000}"/>
    <cellStyle name="Normal GHG Textfiels Bold 3 3 2 3" xfId="21108" xr:uid="{00000000-0005-0000-0000-000074520000}"/>
    <cellStyle name="Normal GHG Textfiels Bold 3 3 2 30" xfId="21109" xr:uid="{00000000-0005-0000-0000-000075520000}"/>
    <cellStyle name="Normal GHG Textfiels Bold 3 3 2 31" xfId="21110" xr:uid="{00000000-0005-0000-0000-000076520000}"/>
    <cellStyle name="Normal GHG Textfiels Bold 3 3 2 32" xfId="21111" xr:uid="{00000000-0005-0000-0000-000077520000}"/>
    <cellStyle name="Normal GHG Textfiels Bold 3 3 2 33" xfId="21112" xr:uid="{00000000-0005-0000-0000-000078520000}"/>
    <cellStyle name="Normal GHG Textfiels Bold 3 3 2 34" xfId="21113" xr:uid="{00000000-0005-0000-0000-000079520000}"/>
    <cellStyle name="Normal GHG Textfiels Bold 3 3 2 35" xfId="21114" xr:uid="{00000000-0005-0000-0000-00007A520000}"/>
    <cellStyle name="Normal GHG Textfiels Bold 3 3 2 36" xfId="21115" xr:uid="{00000000-0005-0000-0000-00007B520000}"/>
    <cellStyle name="Normal GHG Textfiels Bold 3 3 2 37" xfId="21116" xr:uid="{00000000-0005-0000-0000-00007C520000}"/>
    <cellStyle name="Normal GHG Textfiels Bold 3 3 2 38" xfId="21117" xr:uid="{00000000-0005-0000-0000-00007D520000}"/>
    <cellStyle name="Normal GHG Textfiels Bold 3 3 2 39" xfId="21118" xr:uid="{00000000-0005-0000-0000-00007E520000}"/>
    <cellStyle name="Normal GHG Textfiels Bold 3 3 2 4" xfId="21119" xr:uid="{00000000-0005-0000-0000-00007F520000}"/>
    <cellStyle name="Normal GHG Textfiels Bold 3 3 2 40" xfId="21120" xr:uid="{00000000-0005-0000-0000-000080520000}"/>
    <cellStyle name="Normal GHG Textfiels Bold 3 3 2 41" xfId="21121" xr:uid="{00000000-0005-0000-0000-000081520000}"/>
    <cellStyle name="Normal GHG Textfiels Bold 3 3 2 42" xfId="21122" xr:uid="{00000000-0005-0000-0000-000082520000}"/>
    <cellStyle name="Normal GHG Textfiels Bold 3 3 2 43" xfId="21123" xr:uid="{00000000-0005-0000-0000-000083520000}"/>
    <cellStyle name="Normal GHG Textfiels Bold 3 3 2 44" xfId="21124" xr:uid="{00000000-0005-0000-0000-000084520000}"/>
    <cellStyle name="Normal GHG Textfiels Bold 3 3 2 45" xfId="21125" xr:uid="{00000000-0005-0000-0000-000085520000}"/>
    <cellStyle name="Normal GHG Textfiels Bold 3 3 2 46" xfId="21126" xr:uid="{00000000-0005-0000-0000-000086520000}"/>
    <cellStyle name="Normal GHG Textfiels Bold 3 3 2 47" xfId="21127" xr:uid="{00000000-0005-0000-0000-000087520000}"/>
    <cellStyle name="Normal GHG Textfiels Bold 3 3 2 48" xfId="21128" xr:uid="{00000000-0005-0000-0000-000088520000}"/>
    <cellStyle name="Normal GHG Textfiels Bold 3 3 2 49" xfId="21129" xr:uid="{00000000-0005-0000-0000-000089520000}"/>
    <cellStyle name="Normal GHG Textfiels Bold 3 3 2 5" xfId="21130" xr:uid="{00000000-0005-0000-0000-00008A520000}"/>
    <cellStyle name="Normal GHG Textfiels Bold 3 3 2 50" xfId="21131" xr:uid="{00000000-0005-0000-0000-00008B520000}"/>
    <cellStyle name="Normal GHG Textfiels Bold 3 3 2 51" xfId="21132" xr:uid="{00000000-0005-0000-0000-00008C520000}"/>
    <cellStyle name="Normal GHG Textfiels Bold 3 3 2 52" xfId="21133" xr:uid="{00000000-0005-0000-0000-00008D520000}"/>
    <cellStyle name="Normal GHG Textfiels Bold 3 3 2 53" xfId="21134" xr:uid="{00000000-0005-0000-0000-00008E520000}"/>
    <cellStyle name="Normal GHG Textfiels Bold 3 3 2 54" xfId="21135" xr:uid="{00000000-0005-0000-0000-00008F520000}"/>
    <cellStyle name="Normal GHG Textfiels Bold 3 3 2 55" xfId="21136" xr:uid="{00000000-0005-0000-0000-000090520000}"/>
    <cellStyle name="Normal GHG Textfiels Bold 3 3 2 56" xfId="21137" xr:uid="{00000000-0005-0000-0000-000091520000}"/>
    <cellStyle name="Normal GHG Textfiels Bold 3 3 2 57" xfId="21138" xr:uid="{00000000-0005-0000-0000-000092520000}"/>
    <cellStyle name="Normal GHG Textfiels Bold 3 3 2 58" xfId="21139" xr:uid="{00000000-0005-0000-0000-000093520000}"/>
    <cellStyle name="Normal GHG Textfiels Bold 3 3 2 59" xfId="21140" xr:uid="{00000000-0005-0000-0000-000094520000}"/>
    <cellStyle name="Normal GHG Textfiels Bold 3 3 2 6" xfId="21141" xr:uid="{00000000-0005-0000-0000-000095520000}"/>
    <cellStyle name="Normal GHG Textfiels Bold 3 3 2 60" xfId="21142" xr:uid="{00000000-0005-0000-0000-000096520000}"/>
    <cellStyle name="Normal GHG Textfiels Bold 3 3 2 61" xfId="21143" xr:uid="{00000000-0005-0000-0000-000097520000}"/>
    <cellStyle name="Normal GHG Textfiels Bold 3 3 2 62" xfId="21144" xr:uid="{00000000-0005-0000-0000-000098520000}"/>
    <cellStyle name="Normal GHG Textfiels Bold 3 3 2 63" xfId="21145" xr:uid="{00000000-0005-0000-0000-000099520000}"/>
    <cellStyle name="Normal GHG Textfiels Bold 3 3 2 64" xfId="21146" xr:uid="{00000000-0005-0000-0000-00009A520000}"/>
    <cellStyle name="Normal GHG Textfiels Bold 3 3 2 65" xfId="21147" xr:uid="{00000000-0005-0000-0000-00009B520000}"/>
    <cellStyle name="Normal GHG Textfiels Bold 3 3 2 66" xfId="21148" xr:uid="{00000000-0005-0000-0000-00009C520000}"/>
    <cellStyle name="Normal GHG Textfiels Bold 3 3 2 7" xfId="21149" xr:uid="{00000000-0005-0000-0000-00009D520000}"/>
    <cellStyle name="Normal GHG Textfiels Bold 3 3 2 8" xfId="21150" xr:uid="{00000000-0005-0000-0000-00009E520000}"/>
    <cellStyle name="Normal GHG Textfiels Bold 3 3 2 9" xfId="21151" xr:uid="{00000000-0005-0000-0000-00009F520000}"/>
    <cellStyle name="Normal GHG Textfiels Bold 3 3 20" xfId="21152" xr:uid="{00000000-0005-0000-0000-0000A0520000}"/>
    <cellStyle name="Normal GHG Textfiels Bold 3 3 21" xfId="21153" xr:uid="{00000000-0005-0000-0000-0000A1520000}"/>
    <cellStyle name="Normal GHG Textfiels Bold 3 3 22" xfId="21154" xr:uid="{00000000-0005-0000-0000-0000A2520000}"/>
    <cellStyle name="Normal GHG Textfiels Bold 3 3 23" xfId="21155" xr:uid="{00000000-0005-0000-0000-0000A3520000}"/>
    <cellStyle name="Normal GHG Textfiels Bold 3 3 24" xfId="21156" xr:uid="{00000000-0005-0000-0000-0000A4520000}"/>
    <cellStyle name="Normal GHG Textfiels Bold 3 3 25" xfId="21157" xr:uid="{00000000-0005-0000-0000-0000A5520000}"/>
    <cellStyle name="Normal GHG Textfiels Bold 3 3 26" xfId="21158" xr:uid="{00000000-0005-0000-0000-0000A6520000}"/>
    <cellStyle name="Normal GHG Textfiels Bold 3 3 27" xfId="21159" xr:uid="{00000000-0005-0000-0000-0000A7520000}"/>
    <cellStyle name="Normal GHG Textfiels Bold 3 3 28" xfId="21160" xr:uid="{00000000-0005-0000-0000-0000A8520000}"/>
    <cellStyle name="Normal GHG Textfiels Bold 3 3 29" xfId="21161" xr:uid="{00000000-0005-0000-0000-0000A9520000}"/>
    <cellStyle name="Normal GHG Textfiels Bold 3 3 3" xfId="21162" xr:uid="{00000000-0005-0000-0000-0000AA520000}"/>
    <cellStyle name="Normal GHG Textfiels Bold 3 3 3 10" xfId="21163" xr:uid="{00000000-0005-0000-0000-0000AB520000}"/>
    <cellStyle name="Normal GHG Textfiels Bold 3 3 3 11" xfId="21164" xr:uid="{00000000-0005-0000-0000-0000AC520000}"/>
    <cellStyle name="Normal GHG Textfiels Bold 3 3 3 12" xfId="21165" xr:uid="{00000000-0005-0000-0000-0000AD520000}"/>
    <cellStyle name="Normal GHG Textfiels Bold 3 3 3 13" xfId="21166" xr:uid="{00000000-0005-0000-0000-0000AE520000}"/>
    <cellStyle name="Normal GHG Textfiels Bold 3 3 3 14" xfId="21167" xr:uid="{00000000-0005-0000-0000-0000AF520000}"/>
    <cellStyle name="Normal GHG Textfiels Bold 3 3 3 15" xfId="21168" xr:uid="{00000000-0005-0000-0000-0000B0520000}"/>
    <cellStyle name="Normal GHG Textfiels Bold 3 3 3 16" xfId="21169" xr:uid="{00000000-0005-0000-0000-0000B1520000}"/>
    <cellStyle name="Normal GHG Textfiels Bold 3 3 3 17" xfId="21170" xr:uid="{00000000-0005-0000-0000-0000B2520000}"/>
    <cellStyle name="Normal GHG Textfiels Bold 3 3 3 18" xfId="21171" xr:uid="{00000000-0005-0000-0000-0000B3520000}"/>
    <cellStyle name="Normal GHG Textfiels Bold 3 3 3 19" xfId="21172" xr:uid="{00000000-0005-0000-0000-0000B4520000}"/>
    <cellStyle name="Normal GHG Textfiels Bold 3 3 3 2" xfId="21173" xr:uid="{00000000-0005-0000-0000-0000B5520000}"/>
    <cellStyle name="Normal GHG Textfiels Bold 3 3 3 2 10" xfId="21174" xr:uid="{00000000-0005-0000-0000-0000B6520000}"/>
    <cellStyle name="Normal GHG Textfiels Bold 3 3 3 2 11" xfId="21175" xr:uid="{00000000-0005-0000-0000-0000B7520000}"/>
    <cellStyle name="Normal GHG Textfiels Bold 3 3 3 2 12" xfId="21176" xr:uid="{00000000-0005-0000-0000-0000B8520000}"/>
    <cellStyle name="Normal GHG Textfiels Bold 3 3 3 2 13" xfId="21177" xr:uid="{00000000-0005-0000-0000-0000B9520000}"/>
    <cellStyle name="Normal GHG Textfiels Bold 3 3 3 2 14" xfId="21178" xr:uid="{00000000-0005-0000-0000-0000BA520000}"/>
    <cellStyle name="Normal GHG Textfiels Bold 3 3 3 2 15" xfId="21179" xr:uid="{00000000-0005-0000-0000-0000BB520000}"/>
    <cellStyle name="Normal GHG Textfiels Bold 3 3 3 2 16" xfId="21180" xr:uid="{00000000-0005-0000-0000-0000BC520000}"/>
    <cellStyle name="Normal GHG Textfiels Bold 3 3 3 2 17" xfId="21181" xr:uid="{00000000-0005-0000-0000-0000BD520000}"/>
    <cellStyle name="Normal GHG Textfiels Bold 3 3 3 2 18" xfId="21182" xr:uid="{00000000-0005-0000-0000-0000BE520000}"/>
    <cellStyle name="Normal GHG Textfiels Bold 3 3 3 2 19" xfId="21183" xr:uid="{00000000-0005-0000-0000-0000BF520000}"/>
    <cellStyle name="Normal GHG Textfiels Bold 3 3 3 2 2" xfId="21184" xr:uid="{00000000-0005-0000-0000-0000C0520000}"/>
    <cellStyle name="Normal GHG Textfiels Bold 3 3 3 2 20" xfId="21185" xr:uid="{00000000-0005-0000-0000-0000C1520000}"/>
    <cellStyle name="Normal GHG Textfiels Bold 3 3 3 2 21" xfId="21186" xr:uid="{00000000-0005-0000-0000-0000C2520000}"/>
    <cellStyle name="Normal GHG Textfiels Bold 3 3 3 2 22" xfId="21187" xr:uid="{00000000-0005-0000-0000-0000C3520000}"/>
    <cellStyle name="Normal GHG Textfiels Bold 3 3 3 2 23" xfId="21188" xr:uid="{00000000-0005-0000-0000-0000C4520000}"/>
    <cellStyle name="Normal GHG Textfiels Bold 3 3 3 2 24" xfId="21189" xr:uid="{00000000-0005-0000-0000-0000C5520000}"/>
    <cellStyle name="Normal GHG Textfiels Bold 3 3 3 2 25" xfId="21190" xr:uid="{00000000-0005-0000-0000-0000C6520000}"/>
    <cellStyle name="Normal GHG Textfiels Bold 3 3 3 2 26" xfId="21191" xr:uid="{00000000-0005-0000-0000-0000C7520000}"/>
    <cellStyle name="Normal GHG Textfiels Bold 3 3 3 2 27" xfId="21192" xr:uid="{00000000-0005-0000-0000-0000C8520000}"/>
    <cellStyle name="Normal GHG Textfiels Bold 3 3 3 2 28" xfId="21193" xr:uid="{00000000-0005-0000-0000-0000C9520000}"/>
    <cellStyle name="Normal GHG Textfiels Bold 3 3 3 2 29" xfId="21194" xr:uid="{00000000-0005-0000-0000-0000CA520000}"/>
    <cellStyle name="Normal GHG Textfiels Bold 3 3 3 2 3" xfId="21195" xr:uid="{00000000-0005-0000-0000-0000CB520000}"/>
    <cellStyle name="Normal GHG Textfiels Bold 3 3 3 2 30" xfId="21196" xr:uid="{00000000-0005-0000-0000-0000CC520000}"/>
    <cellStyle name="Normal GHG Textfiels Bold 3 3 3 2 31" xfId="21197" xr:uid="{00000000-0005-0000-0000-0000CD520000}"/>
    <cellStyle name="Normal GHG Textfiels Bold 3 3 3 2 32" xfId="21198" xr:uid="{00000000-0005-0000-0000-0000CE520000}"/>
    <cellStyle name="Normal GHG Textfiels Bold 3 3 3 2 33" xfId="21199" xr:uid="{00000000-0005-0000-0000-0000CF520000}"/>
    <cellStyle name="Normal GHG Textfiels Bold 3 3 3 2 34" xfId="21200" xr:uid="{00000000-0005-0000-0000-0000D0520000}"/>
    <cellStyle name="Normal GHG Textfiels Bold 3 3 3 2 35" xfId="21201" xr:uid="{00000000-0005-0000-0000-0000D1520000}"/>
    <cellStyle name="Normal GHG Textfiels Bold 3 3 3 2 36" xfId="21202" xr:uid="{00000000-0005-0000-0000-0000D2520000}"/>
    <cellStyle name="Normal GHG Textfiels Bold 3 3 3 2 37" xfId="21203" xr:uid="{00000000-0005-0000-0000-0000D3520000}"/>
    <cellStyle name="Normal GHG Textfiels Bold 3 3 3 2 38" xfId="21204" xr:uid="{00000000-0005-0000-0000-0000D4520000}"/>
    <cellStyle name="Normal GHG Textfiels Bold 3 3 3 2 39" xfId="21205" xr:uid="{00000000-0005-0000-0000-0000D5520000}"/>
    <cellStyle name="Normal GHG Textfiels Bold 3 3 3 2 4" xfId="21206" xr:uid="{00000000-0005-0000-0000-0000D6520000}"/>
    <cellStyle name="Normal GHG Textfiels Bold 3 3 3 2 40" xfId="21207" xr:uid="{00000000-0005-0000-0000-0000D7520000}"/>
    <cellStyle name="Normal GHG Textfiels Bold 3 3 3 2 41" xfId="21208" xr:uid="{00000000-0005-0000-0000-0000D8520000}"/>
    <cellStyle name="Normal GHG Textfiels Bold 3 3 3 2 42" xfId="21209" xr:uid="{00000000-0005-0000-0000-0000D9520000}"/>
    <cellStyle name="Normal GHG Textfiels Bold 3 3 3 2 43" xfId="21210" xr:uid="{00000000-0005-0000-0000-0000DA520000}"/>
    <cellStyle name="Normal GHG Textfiels Bold 3 3 3 2 44" xfId="21211" xr:uid="{00000000-0005-0000-0000-0000DB520000}"/>
    <cellStyle name="Normal GHG Textfiels Bold 3 3 3 2 45" xfId="21212" xr:uid="{00000000-0005-0000-0000-0000DC520000}"/>
    <cellStyle name="Normal GHG Textfiels Bold 3 3 3 2 46" xfId="21213" xr:uid="{00000000-0005-0000-0000-0000DD520000}"/>
    <cellStyle name="Normal GHG Textfiels Bold 3 3 3 2 47" xfId="21214" xr:uid="{00000000-0005-0000-0000-0000DE520000}"/>
    <cellStyle name="Normal GHG Textfiels Bold 3 3 3 2 48" xfId="21215" xr:uid="{00000000-0005-0000-0000-0000DF520000}"/>
    <cellStyle name="Normal GHG Textfiels Bold 3 3 3 2 49" xfId="21216" xr:uid="{00000000-0005-0000-0000-0000E0520000}"/>
    <cellStyle name="Normal GHG Textfiels Bold 3 3 3 2 5" xfId="21217" xr:uid="{00000000-0005-0000-0000-0000E1520000}"/>
    <cellStyle name="Normal GHG Textfiels Bold 3 3 3 2 50" xfId="21218" xr:uid="{00000000-0005-0000-0000-0000E2520000}"/>
    <cellStyle name="Normal GHG Textfiels Bold 3 3 3 2 51" xfId="21219" xr:uid="{00000000-0005-0000-0000-0000E3520000}"/>
    <cellStyle name="Normal GHG Textfiels Bold 3 3 3 2 52" xfId="21220" xr:uid="{00000000-0005-0000-0000-0000E4520000}"/>
    <cellStyle name="Normal GHG Textfiels Bold 3 3 3 2 53" xfId="21221" xr:uid="{00000000-0005-0000-0000-0000E5520000}"/>
    <cellStyle name="Normal GHG Textfiels Bold 3 3 3 2 54" xfId="21222" xr:uid="{00000000-0005-0000-0000-0000E6520000}"/>
    <cellStyle name="Normal GHG Textfiels Bold 3 3 3 2 55" xfId="21223" xr:uid="{00000000-0005-0000-0000-0000E7520000}"/>
    <cellStyle name="Normal GHG Textfiels Bold 3 3 3 2 56" xfId="21224" xr:uid="{00000000-0005-0000-0000-0000E8520000}"/>
    <cellStyle name="Normal GHG Textfiels Bold 3 3 3 2 57" xfId="21225" xr:uid="{00000000-0005-0000-0000-0000E9520000}"/>
    <cellStyle name="Normal GHG Textfiels Bold 3 3 3 2 58" xfId="21226" xr:uid="{00000000-0005-0000-0000-0000EA520000}"/>
    <cellStyle name="Normal GHG Textfiels Bold 3 3 3 2 59" xfId="21227" xr:uid="{00000000-0005-0000-0000-0000EB520000}"/>
    <cellStyle name="Normal GHG Textfiels Bold 3 3 3 2 6" xfId="21228" xr:uid="{00000000-0005-0000-0000-0000EC520000}"/>
    <cellStyle name="Normal GHG Textfiels Bold 3 3 3 2 60" xfId="21229" xr:uid="{00000000-0005-0000-0000-0000ED520000}"/>
    <cellStyle name="Normal GHG Textfiels Bold 3 3 3 2 61" xfId="21230" xr:uid="{00000000-0005-0000-0000-0000EE520000}"/>
    <cellStyle name="Normal GHG Textfiels Bold 3 3 3 2 62" xfId="21231" xr:uid="{00000000-0005-0000-0000-0000EF520000}"/>
    <cellStyle name="Normal GHG Textfiels Bold 3 3 3 2 63" xfId="21232" xr:uid="{00000000-0005-0000-0000-0000F0520000}"/>
    <cellStyle name="Normal GHG Textfiels Bold 3 3 3 2 64" xfId="21233" xr:uid="{00000000-0005-0000-0000-0000F1520000}"/>
    <cellStyle name="Normal GHG Textfiels Bold 3 3 3 2 65" xfId="21234" xr:uid="{00000000-0005-0000-0000-0000F2520000}"/>
    <cellStyle name="Normal GHG Textfiels Bold 3 3 3 2 7" xfId="21235" xr:uid="{00000000-0005-0000-0000-0000F3520000}"/>
    <cellStyle name="Normal GHG Textfiels Bold 3 3 3 2 8" xfId="21236" xr:uid="{00000000-0005-0000-0000-0000F4520000}"/>
    <cellStyle name="Normal GHG Textfiels Bold 3 3 3 2 9" xfId="21237" xr:uid="{00000000-0005-0000-0000-0000F5520000}"/>
    <cellStyle name="Normal GHG Textfiels Bold 3 3 3 20" xfId="21238" xr:uid="{00000000-0005-0000-0000-0000F6520000}"/>
    <cellStyle name="Normal GHG Textfiels Bold 3 3 3 21" xfId="21239" xr:uid="{00000000-0005-0000-0000-0000F7520000}"/>
    <cellStyle name="Normal GHG Textfiels Bold 3 3 3 22" xfId="21240" xr:uid="{00000000-0005-0000-0000-0000F8520000}"/>
    <cellStyle name="Normal GHG Textfiels Bold 3 3 3 23" xfId="21241" xr:uid="{00000000-0005-0000-0000-0000F9520000}"/>
    <cellStyle name="Normal GHG Textfiels Bold 3 3 3 24" xfId="21242" xr:uid="{00000000-0005-0000-0000-0000FA520000}"/>
    <cellStyle name="Normal GHG Textfiels Bold 3 3 3 25" xfId="21243" xr:uid="{00000000-0005-0000-0000-0000FB520000}"/>
    <cellStyle name="Normal GHG Textfiels Bold 3 3 3 26" xfId="21244" xr:uid="{00000000-0005-0000-0000-0000FC520000}"/>
    <cellStyle name="Normal GHG Textfiels Bold 3 3 3 27" xfId="21245" xr:uid="{00000000-0005-0000-0000-0000FD520000}"/>
    <cellStyle name="Normal GHG Textfiels Bold 3 3 3 28" xfId="21246" xr:uid="{00000000-0005-0000-0000-0000FE520000}"/>
    <cellStyle name="Normal GHG Textfiels Bold 3 3 3 29" xfId="21247" xr:uid="{00000000-0005-0000-0000-0000FF520000}"/>
    <cellStyle name="Normal GHG Textfiels Bold 3 3 3 3" xfId="21248" xr:uid="{00000000-0005-0000-0000-000000530000}"/>
    <cellStyle name="Normal GHG Textfiels Bold 3 3 3 30" xfId="21249" xr:uid="{00000000-0005-0000-0000-000001530000}"/>
    <cellStyle name="Normal GHG Textfiels Bold 3 3 3 31" xfId="21250" xr:uid="{00000000-0005-0000-0000-000002530000}"/>
    <cellStyle name="Normal GHG Textfiels Bold 3 3 3 32" xfId="21251" xr:uid="{00000000-0005-0000-0000-000003530000}"/>
    <cellStyle name="Normal GHG Textfiels Bold 3 3 3 33" xfId="21252" xr:uid="{00000000-0005-0000-0000-000004530000}"/>
    <cellStyle name="Normal GHG Textfiels Bold 3 3 3 34" xfId="21253" xr:uid="{00000000-0005-0000-0000-000005530000}"/>
    <cellStyle name="Normal GHG Textfiels Bold 3 3 3 35" xfId="21254" xr:uid="{00000000-0005-0000-0000-000006530000}"/>
    <cellStyle name="Normal GHG Textfiels Bold 3 3 3 36" xfId="21255" xr:uid="{00000000-0005-0000-0000-000007530000}"/>
    <cellStyle name="Normal GHG Textfiels Bold 3 3 3 37" xfId="21256" xr:uid="{00000000-0005-0000-0000-000008530000}"/>
    <cellStyle name="Normal GHG Textfiels Bold 3 3 3 38" xfId="21257" xr:uid="{00000000-0005-0000-0000-000009530000}"/>
    <cellStyle name="Normal GHG Textfiels Bold 3 3 3 39" xfId="21258" xr:uid="{00000000-0005-0000-0000-00000A530000}"/>
    <cellStyle name="Normal GHG Textfiels Bold 3 3 3 4" xfId="21259" xr:uid="{00000000-0005-0000-0000-00000B530000}"/>
    <cellStyle name="Normal GHG Textfiels Bold 3 3 3 40" xfId="21260" xr:uid="{00000000-0005-0000-0000-00000C530000}"/>
    <cellStyle name="Normal GHG Textfiels Bold 3 3 3 41" xfId="21261" xr:uid="{00000000-0005-0000-0000-00000D530000}"/>
    <cellStyle name="Normal GHG Textfiels Bold 3 3 3 42" xfId="21262" xr:uid="{00000000-0005-0000-0000-00000E530000}"/>
    <cellStyle name="Normal GHG Textfiels Bold 3 3 3 43" xfId="21263" xr:uid="{00000000-0005-0000-0000-00000F530000}"/>
    <cellStyle name="Normal GHG Textfiels Bold 3 3 3 44" xfId="21264" xr:uid="{00000000-0005-0000-0000-000010530000}"/>
    <cellStyle name="Normal GHG Textfiels Bold 3 3 3 45" xfId="21265" xr:uid="{00000000-0005-0000-0000-000011530000}"/>
    <cellStyle name="Normal GHG Textfiels Bold 3 3 3 46" xfId="21266" xr:uid="{00000000-0005-0000-0000-000012530000}"/>
    <cellStyle name="Normal GHG Textfiels Bold 3 3 3 47" xfId="21267" xr:uid="{00000000-0005-0000-0000-000013530000}"/>
    <cellStyle name="Normal GHG Textfiels Bold 3 3 3 48" xfId="21268" xr:uid="{00000000-0005-0000-0000-000014530000}"/>
    <cellStyle name="Normal GHG Textfiels Bold 3 3 3 49" xfId="21269" xr:uid="{00000000-0005-0000-0000-000015530000}"/>
    <cellStyle name="Normal GHG Textfiels Bold 3 3 3 5" xfId="21270" xr:uid="{00000000-0005-0000-0000-000016530000}"/>
    <cellStyle name="Normal GHG Textfiels Bold 3 3 3 50" xfId="21271" xr:uid="{00000000-0005-0000-0000-000017530000}"/>
    <cellStyle name="Normal GHG Textfiels Bold 3 3 3 51" xfId="21272" xr:uid="{00000000-0005-0000-0000-000018530000}"/>
    <cellStyle name="Normal GHG Textfiels Bold 3 3 3 52" xfId="21273" xr:uid="{00000000-0005-0000-0000-000019530000}"/>
    <cellStyle name="Normal GHG Textfiels Bold 3 3 3 53" xfId="21274" xr:uid="{00000000-0005-0000-0000-00001A530000}"/>
    <cellStyle name="Normal GHG Textfiels Bold 3 3 3 54" xfId="21275" xr:uid="{00000000-0005-0000-0000-00001B530000}"/>
    <cellStyle name="Normal GHG Textfiels Bold 3 3 3 55" xfId="21276" xr:uid="{00000000-0005-0000-0000-00001C530000}"/>
    <cellStyle name="Normal GHG Textfiels Bold 3 3 3 56" xfId="21277" xr:uid="{00000000-0005-0000-0000-00001D530000}"/>
    <cellStyle name="Normal GHG Textfiels Bold 3 3 3 57" xfId="21278" xr:uid="{00000000-0005-0000-0000-00001E530000}"/>
    <cellStyle name="Normal GHG Textfiels Bold 3 3 3 58" xfId="21279" xr:uid="{00000000-0005-0000-0000-00001F530000}"/>
    <cellStyle name="Normal GHG Textfiels Bold 3 3 3 59" xfId="21280" xr:uid="{00000000-0005-0000-0000-000020530000}"/>
    <cellStyle name="Normal GHG Textfiels Bold 3 3 3 6" xfId="21281" xr:uid="{00000000-0005-0000-0000-000021530000}"/>
    <cellStyle name="Normal GHG Textfiels Bold 3 3 3 60" xfId="21282" xr:uid="{00000000-0005-0000-0000-000022530000}"/>
    <cellStyle name="Normal GHG Textfiels Bold 3 3 3 61" xfId="21283" xr:uid="{00000000-0005-0000-0000-000023530000}"/>
    <cellStyle name="Normal GHG Textfiels Bold 3 3 3 62" xfId="21284" xr:uid="{00000000-0005-0000-0000-000024530000}"/>
    <cellStyle name="Normal GHG Textfiels Bold 3 3 3 63" xfId="21285" xr:uid="{00000000-0005-0000-0000-000025530000}"/>
    <cellStyle name="Normal GHG Textfiels Bold 3 3 3 64" xfId="21286" xr:uid="{00000000-0005-0000-0000-000026530000}"/>
    <cellStyle name="Normal GHG Textfiels Bold 3 3 3 65" xfId="21287" xr:uid="{00000000-0005-0000-0000-000027530000}"/>
    <cellStyle name="Normal GHG Textfiels Bold 3 3 3 66" xfId="21288" xr:uid="{00000000-0005-0000-0000-000028530000}"/>
    <cellStyle name="Normal GHG Textfiels Bold 3 3 3 7" xfId="21289" xr:uid="{00000000-0005-0000-0000-000029530000}"/>
    <cellStyle name="Normal GHG Textfiels Bold 3 3 3 8" xfId="21290" xr:uid="{00000000-0005-0000-0000-00002A530000}"/>
    <cellStyle name="Normal GHG Textfiels Bold 3 3 3 9" xfId="21291" xr:uid="{00000000-0005-0000-0000-00002B530000}"/>
    <cellStyle name="Normal GHG Textfiels Bold 3 3 30" xfId="21292" xr:uid="{00000000-0005-0000-0000-00002C530000}"/>
    <cellStyle name="Normal GHG Textfiels Bold 3 3 31" xfId="21293" xr:uid="{00000000-0005-0000-0000-00002D530000}"/>
    <cellStyle name="Normal GHG Textfiels Bold 3 3 32" xfId="21294" xr:uid="{00000000-0005-0000-0000-00002E530000}"/>
    <cellStyle name="Normal GHG Textfiels Bold 3 3 33" xfId="21295" xr:uid="{00000000-0005-0000-0000-00002F530000}"/>
    <cellStyle name="Normal GHG Textfiels Bold 3 3 34" xfId="21296" xr:uid="{00000000-0005-0000-0000-000030530000}"/>
    <cellStyle name="Normal GHG Textfiels Bold 3 3 35" xfId="21297" xr:uid="{00000000-0005-0000-0000-000031530000}"/>
    <cellStyle name="Normal GHG Textfiels Bold 3 3 36" xfId="21298" xr:uid="{00000000-0005-0000-0000-000032530000}"/>
    <cellStyle name="Normal GHG Textfiels Bold 3 3 37" xfId="21299" xr:uid="{00000000-0005-0000-0000-000033530000}"/>
    <cellStyle name="Normal GHG Textfiels Bold 3 3 38" xfId="21300" xr:uid="{00000000-0005-0000-0000-000034530000}"/>
    <cellStyle name="Normal GHG Textfiels Bold 3 3 39" xfId="21301" xr:uid="{00000000-0005-0000-0000-000035530000}"/>
    <cellStyle name="Normal GHG Textfiels Bold 3 3 4" xfId="21302" xr:uid="{00000000-0005-0000-0000-000036530000}"/>
    <cellStyle name="Normal GHG Textfiels Bold 3 3 4 10" xfId="21303" xr:uid="{00000000-0005-0000-0000-000037530000}"/>
    <cellStyle name="Normal GHG Textfiels Bold 3 3 4 11" xfId="21304" xr:uid="{00000000-0005-0000-0000-000038530000}"/>
    <cellStyle name="Normal GHG Textfiels Bold 3 3 4 12" xfId="21305" xr:uid="{00000000-0005-0000-0000-000039530000}"/>
    <cellStyle name="Normal GHG Textfiels Bold 3 3 4 13" xfId="21306" xr:uid="{00000000-0005-0000-0000-00003A530000}"/>
    <cellStyle name="Normal GHG Textfiels Bold 3 3 4 14" xfId="21307" xr:uid="{00000000-0005-0000-0000-00003B530000}"/>
    <cellStyle name="Normal GHG Textfiels Bold 3 3 4 15" xfId="21308" xr:uid="{00000000-0005-0000-0000-00003C530000}"/>
    <cellStyle name="Normal GHG Textfiels Bold 3 3 4 16" xfId="21309" xr:uid="{00000000-0005-0000-0000-00003D530000}"/>
    <cellStyle name="Normal GHG Textfiels Bold 3 3 4 17" xfId="21310" xr:uid="{00000000-0005-0000-0000-00003E530000}"/>
    <cellStyle name="Normal GHG Textfiels Bold 3 3 4 18" xfId="21311" xr:uid="{00000000-0005-0000-0000-00003F530000}"/>
    <cellStyle name="Normal GHG Textfiels Bold 3 3 4 19" xfId="21312" xr:uid="{00000000-0005-0000-0000-000040530000}"/>
    <cellStyle name="Normal GHG Textfiels Bold 3 3 4 2" xfId="21313" xr:uid="{00000000-0005-0000-0000-000041530000}"/>
    <cellStyle name="Normal GHG Textfiels Bold 3 3 4 2 10" xfId="21314" xr:uid="{00000000-0005-0000-0000-000042530000}"/>
    <cellStyle name="Normal GHG Textfiels Bold 3 3 4 2 11" xfId="21315" xr:uid="{00000000-0005-0000-0000-000043530000}"/>
    <cellStyle name="Normal GHG Textfiels Bold 3 3 4 2 12" xfId="21316" xr:uid="{00000000-0005-0000-0000-000044530000}"/>
    <cellStyle name="Normal GHG Textfiels Bold 3 3 4 2 13" xfId="21317" xr:uid="{00000000-0005-0000-0000-000045530000}"/>
    <cellStyle name="Normal GHG Textfiels Bold 3 3 4 2 14" xfId="21318" xr:uid="{00000000-0005-0000-0000-000046530000}"/>
    <cellStyle name="Normal GHG Textfiels Bold 3 3 4 2 15" xfId="21319" xr:uid="{00000000-0005-0000-0000-000047530000}"/>
    <cellStyle name="Normal GHG Textfiels Bold 3 3 4 2 16" xfId="21320" xr:uid="{00000000-0005-0000-0000-000048530000}"/>
    <cellStyle name="Normal GHG Textfiels Bold 3 3 4 2 17" xfId="21321" xr:uid="{00000000-0005-0000-0000-000049530000}"/>
    <cellStyle name="Normal GHG Textfiels Bold 3 3 4 2 18" xfId="21322" xr:uid="{00000000-0005-0000-0000-00004A530000}"/>
    <cellStyle name="Normal GHG Textfiels Bold 3 3 4 2 19" xfId="21323" xr:uid="{00000000-0005-0000-0000-00004B530000}"/>
    <cellStyle name="Normal GHG Textfiels Bold 3 3 4 2 2" xfId="21324" xr:uid="{00000000-0005-0000-0000-00004C530000}"/>
    <cellStyle name="Normal GHG Textfiels Bold 3 3 4 2 20" xfId="21325" xr:uid="{00000000-0005-0000-0000-00004D530000}"/>
    <cellStyle name="Normal GHG Textfiels Bold 3 3 4 2 21" xfId="21326" xr:uid="{00000000-0005-0000-0000-00004E530000}"/>
    <cellStyle name="Normal GHG Textfiels Bold 3 3 4 2 22" xfId="21327" xr:uid="{00000000-0005-0000-0000-00004F530000}"/>
    <cellStyle name="Normal GHG Textfiels Bold 3 3 4 2 23" xfId="21328" xr:uid="{00000000-0005-0000-0000-000050530000}"/>
    <cellStyle name="Normal GHG Textfiels Bold 3 3 4 2 24" xfId="21329" xr:uid="{00000000-0005-0000-0000-000051530000}"/>
    <cellStyle name="Normal GHG Textfiels Bold 3 3 4 2 25" xfId="21330" xr:uid="{00000000-0005-0000-0000-000052530000}"/>
    <cellStyle name="Normal GHG Textfiels Bold 3 3 4 2 26" xfId="21331" xr:uid="{00000000-0005-0000-0000-000053530000}"/>
    <cellStyle name="Normal GHG Textfiels Bold 3 3 4 2 27" xfId="21332" xr:uid="{00000000-0005-0000-0000-000054530000}"/>
    <cellStyle name="Normal GHG Textfiels Bold 3 3 4 2 28" xfId="21333" xr:uid="{00000000-0005-0000-0000-000055530000}"/>
    <cellStyle name="Normal GHG Textfiels Bold 3 3 4 2 29" xfId="21334" xr:uid="{00000000-0005-0000-0000-000056530000}"/>
    <cellStyle name="Normal GHG Textfiels Bold 3 3 4 2 3" xfId="21335" xr:uid="{00000000-0005-0000-0000-000057530000}"/>
    <cellStyle name="Normal GHG Textfiels Bold 3 3 4 2 30" xfId="21336" xr:uid="{00000000-0005-0000-0000-000058530000}"/>
    <cellStyle name="Normal GHG Textfiels Bold 3 3 4 2 31" xfId="21337" xr:uid="{00000000-0005-0000-0000-000059530000}"/>
    <cellStyle name="Normal GHG Textfiels Bold 3 3 4 2 32" xfId="21338" xr:uid="{00000000-0005-0000-0000-00005A530000}"/>
    <cellStyle name="Normal GHG Textfiels Bold 3 3 4 2 33" xfId="21339" xr:uid="{00000000-0005-0000-0000-00005B530000}"/>
    <cellStyle name="Normal GHG Textfiels Bold 3 3 4 2 34" xfId="21340" xr:uid="{00000000-0005-0000-0000-00005C530000}"/>
    <cellStyle name="Normal GHG Textfiels Bold 3 3 4 2 35" xfId="21341" xr:uid="{00000000-0005-0000-0000-00005D530000}"/>
    <cellStyle name="Normal GHG Textfiels Bold 3 3 4 2 36" xfId="21342" xr:uid="{00000000-0005-0000-0000-00005E530000}"/>
    <cellStyle name="Normal GHG Textfiels Bold 3 3 4 2 37" xfId="21343" xr:uid="{00000000-0005-0000-0000-00005F530000}"/>
    <cellStyle name="Normal GHG Textfiels Bold 3 3 4 2 38" xfId="21344" xr:uid="{00000000-0005-0000-0000-000060530000}"/>
    <cellStyle name="Normal GHG Textfiels Bold 3 3 4 2 39" xfId="21345" xr:uid="{00000000-0005-0000-0000-000061530000}"/>
    <cellStyle name="Normal GHG Textfiels Bold 3 3 4 2 4" xfId="21346" xr:uid="{00000000-0005-0000-0000-000062530000}"/>
    <cellStyle name="Normal GHG Textfiels Bold 3 3 4 2 40" xfId="21347" xr:uid="{00000000-0005-0000-0000-000063530000}"/>
    <cellStyle name="Normal GHG Textfiels Bold 3 3 4 2 41" xfId="21348" xr:uid="{00000000-0005-0000-0000-000064530000}"/>
    <cellStyle name="Normal GHG Textfiels Bold 3 3 4 2 42" xfId="21349" xr:uid="{00000000-0005-0000-0000-000065530000}"/>
    <cellStyle name="Normal GHG Textfiels Bold 3 3 4 2 43" xfId="21350" xr:uid="{00000000-0005-0000-0000-000066530000}"/>
    <cellStyle name="Normal GHG Textfiels Bold 3 3 4 2 44" xfId="21351" xr:uid="{00000000-0005-0000-0000-000067530000}"/>
    <cellStyle name="Normal GHG Textfiels Bold 3 3 4 2 45" xfId="21352" xr:uid="{00000000-0005-0000-0000-000068530000}"/>
    <cellStyle name="Normal GHG Textfiels Bold 3 3 4 2 46" xfId="21353" xr:uid="{00000000-0005-0000-0000-000069530000}"/>
    <cellStyle name="Normal GHG Textfiels Bold 3 3 4 2 47" xfId="21354" xr:uid="{00000000-0005-0000-0000-00006A530000}"/>
    <cellStyle name="Normal GHG Textfiels Bold 3 3 4 2 48" xfId="21355" xr:uid="{00000000-0005-0000-0000-00006B530000}"/>
    <cellStyle name="Normal GHG Textfiels Bold 3 3 4 2 49" xfId="21356" xr:uid="{00000000-0005-0000-0000-00006C530000}"/>
    <cellStyle name="Normal GHG Textfiels Bold 3 3 4 2 5" xfId="21357" xr:uid="{00000000-0005-0000-0000-00006D530000}"/>
    <cellStyle name="Normal GHG Textfiels Bold 3 3 4 2 50" xfId="21358" xr:uid="{00000000-0005-0000-0000-00006E530000}"/>
    <cellStyle name="Normal GHG Textfiels Bold 3 3 4 2 51" xfId="21359" xr:uid="{00000000-0005-0000-0000-00006F530000}"/>
    <cellStyle name="Normal GHG Textfiels Bold 3 3 4 2 52" xfId="21360" xr:uid="{00000000-0005-0000-0000-000070530000}"/>
    <cellStyle name="Normal GHG Textfiels Bold 3 3 4 2 53" xfId="21361" xr:uid="{00000000-0005-0000-0000-000071530000}"/>
    <cellStyle name="Normal GHG Textfiels Bold 3 3 4 2 54" xfId="21362" xr:uid="{00000000-0005-0000-0000-000072530000}"/>
    <cellStyle name="Normal GHG Textfiels Bold 3 3 4 2 55" xfId="21363" xr:uid="{00000000-0005-0000-0000-000073530000}"/>
    <cellStyle name="Normal GHG Textfiels Bold 3 3 4 2 56" xfId="21364" xr:uid="{00000000-0005-0000-0000-000074530000}"/>
    <cellStyle name="Normal GHG Textfiels Bold 3 3 4 2 57" xfId="21365" xr:uid="{00000000-0005-0000-0000-000075530000}"/>
    <cellStyle name="Normal GHG Textfiels Bold 3 3 4 2 58" xfId="21366" xr:uid="{00000000-0005-0000-0000-000076530000}"/>
    <cellStyle name="Normal GHG Textfiels Bold 3 3 4 2 59" xfId="21367" xr:uid="{00000000-0005-0000-0000-000077530000}"/>
    <cellStyle name="Normal GHG Textfiels Bold 3 3 4 2 6" xfId="21368" xr:uid="{00000000-0005-0000-0000-000078530000}"/>
    <cellStyle name="Normal GHG Textfiels Bold 3 3 4 2 60" xfId="21369" xr:uid="{00000000-0005-0000-0000-000079530000}"/>
    <cellStyle name="Normal GHG Textfiels Bold 3 3 4 2 61" xfId="21370" xr:uid="{00000000-0005-0000-0000-00007A530000}"/>
    <cellStyle name="Normal GHG Textfiels Bold 3 3 4 2 62" xfId="21371" xr:uid="{00000000-0005-0000-0000-00007B530000}"/>
    <cellStyle name="Normal GHG Textfiels Bold 3 3 4 2 63" xfId="21372" xr:uid="{00000000-0005-0000-0000-00007C530000}"/>
    <cellStyle name="Normal GHG Textfiels Bold 3 3 4 2 64" xfId="21373" xr:uid="{00000000-0005-0000-0000-00007D530000}"/>
    <cellStyle name="Normal GHG Textfiels Bold 3 3 4 2 65" xfId="21374" xr:uid="{00000000-0005-0000-0000-00007E530000}"/>
    <cellStyle name="Normal GHG Textfiels Bold 3 3 4 2 7" xfId="21375" xr:uid="{00000000-0005-0000-0000-00007F530000}"/>
    <cellStyle name="Normal GHG Textfiels Bold 3 3 4 2 8" xfId="21376" xr:uid="{00000000-0005-0000-0000-000080530000}"/>
    <cellStyle name="Normal GHG Textfiels Bold 3 3 4 2 9" xfId="21377" xr:uid="{00000000-0005-0000-0000-000081530000}"/>
    <cellStyle name="Normal GHG Textfiels Bold 3 3 4 20" xfId="21378" xr:uid="{00000000-0005-0000-0000-000082530000}"/>
    <cellStyle name="Normal GHG Textfiels Bold 3 3 4 21" xfId="21379" xr:uid="{00000000-0005-0000-0000-000083530000}"/>
    <cellStyle name="Normal GHG Textfiels Bold 3 3 4 22" xfId="21380" xr:uid="{00000000-0005-0000-0000-000084530000}"/>
    <cellStyle name="Normal GHG Textfiels Bold 3 3 4 23" xfId="21381" xr:uid="{00000000-0005-0000-0000-000085530000}"/>
    <cellStyle name="Normal GHG Textfiels Bold 3 3 4 24" xfId="21382" xr:uid="{00000000-0005-0000-0000-000086530000}"/>
    <cellStyle name="Normal GHG Textfiels Bold 3 3 4 25" xfId="21383" xr:uid="{00000000-0005-0000-0000-000087530000}"/>
    <cellStyle name="Normal GHG Textfiels Bold 3 3 4 26" xfId="21384" xr:uid="{00000000-0005-0000-0000-000088530000}"/>
    <cellStyle name="Normal GHG Textfiels Bold 3 3 4 27" xfId="21385" xr:uid="{00000000-0005-0000-0000-000089530000}"/>
    <cellStyle name="Normal GHG Textfiels Bold 3 3 4 28" xfId="21386" xr:uid="{00000000-0005-0000-0000-00008A530000}"/>
    <cellStyle name="Normal GHG Textfiels Bold 3 3 4 29" xfId="21387" xr:uid="{00000000-0005-0000-0000-00008B530000}"/>
    <cellStyle name="Normal GHG Textfiels Bold 3 3 4 3" xfId="21388" xr:uid="{00000000-0005-0000-0000-00008C530000}"/>
    <cellStyle name="Normal GHG Textfiels Bold 3 3 4 30" xfId="21389" xr:uid="{00000000-0005-0000-0000-00008D530000}"/>
    <cellStyle name="Normal GHG Textfiels Bold 3 3 4 31" xfId="21390" xr:uid="{00000000-0005-0000-0000-00008E530000}"/>
    <cellStyle name="Normal GHG Textfiels Bold 3 3 4 32" xfId="21391" xr:uid="{00000000-0005-0000-0000-00008F530000}"/>
    <cellStyle name="Normal GHG Textfiels Bold 3 3 4 33" xfId="21392" xr:uid="{00000000-0005-0000-0000-000090530000}"/>
    <cellStyle name="Normal GHG Textfiels Bold 3 3 4 34" xfId="21393" xr:uid="{00000000-0005-0000-0000-000091530000}"/>
    <cellStyle name="Normal GHG Textfiels Bold 3 3 4 35" xfId="21394" xr:uid="{00000000-0005-0000-0000-000092530000}"/>
    <cellStyle name="Normal GHG Textfiels Bold 3 3 4 36" xfId="21395" xr:uid="{00000000-0005-0000-0000-000093530000}"/>
    <cellStyle name="Normal GHG Textfiels Bold 3 3 4 37" xfId="21396" xr:uid="{00000000-0005-0000-0000-000094530000}"/>
    <cellStyle name="Normal GHG Textfiels Bold 3 3 4 38" xfId="21397" xr:uid="{00000000-0005-0000-0000-000095530000}"/>
    <cellStyle name="Normal GHG Textfiels Bold 3 3 4 39" xfId="21398" xr:uid="{00000000-0005-0000-0000-000096530000}"/>
    <cellStyle name="Normal GHG Textfiels Bold 3 3 4 4" xfId="21399" xr:uid="{00000000-0005-0000-0000-000097530000}"/>
    <cellStyle name="Normal GHG Textfiels Bold 3 3 4 40" xfId="21400" xr:uid="{00000000-0005-0000-0000-000098530000}"/>
    <cellStyle name="Normal GHG Textfiels Bold 3 3 4 41" xfId="21401" xr:uid="{00000000-0005-0000-0000-000099530000}"/>
    <cellStyle name="Normal GHG Textfiels Bold 3 3 4 42" xfId="21402" xr:uid="{00000000-0005-0000-0000-00009A530000}"/>
    <cellStyle name="Normal GHG Textfiels Bold 3 3 4 43" xfId="21403" xr:uid="{00000000-0005-0000-0000-00009B530000}"/>
    <cellStyle name="Normal GHG Textfiels Bold 3 3 4 44" xfId="21404" xr:uid="{00000000-0005-0000-0000-00009C530000}"/>
    <cellStyle name="Normal GHG Textfiels Bold 3 3 4 45" xfId="21405" xr:uid="{00000000-0005-0000-0000-00009D530000}"/>
    <cellStyle name="Normal GHG Textfiels Bold 3 3 4 46" xfId="21406" xr:uid="{00000000-0005-0000-0000-00009E530000}"/>
    <cellStyle name="Normal GHG Textfiels Bold 3 3 4 47" xfId="21407" xr:uid="{00000000-0005-0000-0000-00009F530000}"/>
    <cellStyle name="Normal GHG Textfiels Bold 3 3 4 48" xfId="21408" xr:uid="{00000000-0005-0000-0000-0000A0530000}"/>
    <cellStyle name="Normal GHG Textfiels Bold 3 3 4 49" xfId="21409" xr:uid="{00000000-0005-0000-0000-0000A1530000}"/>
    <cellStyle name="Normal GHG Textfiels Bold 3 3 4 5" xfId="21410" xr:uid="{00000000-0005-0000-0000-0000A2530000}"/>
    <cellStyle name="Normal GHG Textfiels Bold 3 3 4 50" xfId="21411" xr:uid="{00000000-0005-0000-0000-0000A3530000}"/>
    <cellStyle name="Normal GHG Textfiels Bold 3 3 4 51" xfId="21412" xr:uid="{00000000-0005-0000-0000-0000A4530000}"/>
    <cellStyle name="Normal GHG Textfiels Bold 3 3 4 52" xfId="21413" xr:uid="{00000000-0005-0000-0000-0000A5530000}"/>
    <cellStyle name="Normal GHG Textfiels Bold 3 3 4 53" xfId="21414" xr:uid="{00000000-0005-0000-0000-0000A6530000}"/>
    <cellStyle name="Normal GHG Textfiels Bold 3 3 4 54" xfId="21415" xr:uid="{00000000-0005-0000-0000-0000A7530000}"/>
    <cellStyle name="Normal GHG Textfiels Bold 3 3 4 55" xfId="21416" xr:uid="{00000000-0005-0000-0000-0000A8530000}"/>
    <cellStyle name="Normal GHG Textfiels Bold 3 3 4 56" xfId="21417" xr:uid="{00000000-0005-0000-0000-0000A9530000}"/>
    <cellStyle name="Normal GHG Textfiels Bold 3 3 4 57" xfId="21418" xr:uid="{00000000-0005-0000-0000-0000AA530000}"/>
    <cellStyle name="Normal GHG Textfiels Bold 3 3 4 58" xfId="21419" xr:uid="{00000000-0005-0000-0000-0000AB530000}"/>
    <cellStyle name="Normal GHG Textfiels Bold 3 3 4 59" xfId="21420" xr:uid="{00000000-0005-0000-0000-0000AC530000}"/>
    <cellStyle name="Normal GHG Textfiels Bold 3 3 4 6" xfId="21421" xr:uid="{00000000-0005-0000-0000-0000AD530000}"/>
    <cellStyle name="Normal GHG Textfiels Bold 3 3 4 60" xfId="21422" xr:uid="{00000000-0005-0000-0000-0000AE530000}"/>
    <cellStyle name="Normal GHG Textfiels Bold 3 3 4 61" xfId="21423" xr:uid="{00000000-0005-0000-0000-0000AF530000}"/>
    <cellStyle name="Normal GHG Textfiels Bold 3 3 4 62" xfId="21424" xr:uid="{00000000-0005-0000-0000-0000B0530000}"/>
    <cellStyle name="Normal GHG Textfiels Bold 3 3 4 63" xfId="21425" xr:uid="{00000000-0005-0000-0000-0000B1530000}"/>
    <cellStyle name="Normal GHG Textfiels Bold 3 3 4 64" xfId="21426" xr:uid="{00000000-0005-0000-0000-0000B2530000}"/>
    <cellStyle name="Normal GHG Textfiels Bold 3 3 4 65" xfId="21427" xr:uid="{00000000-0005-0000-0000-0000B3530000}"/>
    <cellStyle name="Normal GHG Textfiels Bold 3 3 4 66" xfId="21428" xr:uid="{00000000-0005-0000-0000-0000B4530000}"/>
    <cellStyle name="Normal GHG Textfiels Bold 3 3 4 7" xfId="21429" xr:uid="{00000000-0005-0000-0000-0000B5530000}"/>
    <cellStyle name="Normal GHG Textfiels Bold 3 3 4 8" xfId="21430" xr:uid="{00000000-0005-0000-0000-0000B6530000}"/>
    <cellStyle name="Normal GHG Textfiels Bold 3 3 4 9" xfId="21431" xr:uid="{00000000-0005-0000-0000-0000B7530000}"/>
    <cellStyle name="Normal GHG Textfiels Bold 3 3 40" xfId="21432" xr:uid="{00000000-0005-0000-0000-0000B8530000}"/>
    <cellStyle name="Normal GHG Textfiels Bold 3 3 41" xfId="21433" xr:uid="{00000000-0005-0000-0000-0000B9530000}"/>
    <cellStyle name="Normal GHG Textfiels Bold 3 3 42" xfId="21434" xr:uid="{00000000-0005-0000-0000-0000BA530000}"/>
    <cellStyle name="Normal GHG Textfiels Bold 3 3 43" xfId="21435" xr:uid="{00000000-0005-0000-0000-0000BB530000}"/>
    <cellStyle name="Normal GHG Textfiels Bold 3 3 44" xfId="21436" xr:uid="{00000000-0005-0000-0000-0000BC530000}"/>
    <cellStyle name="Normal GHG Textfiels Bold 3 3 45" xfId="21437" xr:uid="{00000000-0005-0000-0000-0000BD530000}"/>
    <cellStyle name="Normal GHG Textfiels Bold 3 3 46" xfId="21438" xr:uid="{00000000-0005-0000-0000-0000BE530000}"/>
    <cellStyle name="Normal GHG Textfiels Bold 3 3 47" xfId="21439" xr:uid="{00000000-0005-0000-0000-0000BF530000}"/>
    <cellStyle name="Normal GHG Textfiels Bold 3 3 48" xfId="21440" xr:uid="{00000000-0005-0000-0000-0000C0530000}"/>
    <cellStyle name="Normal GHG Textfiels Bold 3 3 49" xfId="21441" xr:uid="{00000000-0005-0000-0000-0000C1530000}"/>
    <cellStyle name="Normal GHG Textfiels Bold 3 3 5" xfId="21442" xr:uid="{00000000-0005-0000-0000-0000C2530000}"/>
    <cellStyle name="Normal GHG Textfiels Bold 3 3 50" xfId="21443" xr:uid="{00000000-0005-0000-0000-0000C3530000}"/>
    <cellStyle name="Normal GHG Textfiels Bold 3 3 51" xfId="21444" xr:uid="{00000000-0005-0000-0000-0000C4530000}"/>
    <cellStyle name="Normal GHG Textfiels Bold 3 3 52" xfId="21445" xr:uid="{00000000-0005-0000-0000-0000C5530000}"/>
    <cellStyle name="Normal GHG Textfiels Bold 3 3 53" xfId="21446" xr:uid="{00000000-0005-0000-0000-0000C6530000}"/>
    <cellStyle name="Normal GHG Textfiels Bold 3 3 54" xfId="21447" xr:uid="{00000000-0005-0000-0000-0000C7530000}"/>
    <cellStyle name="Normal GHG Textfiels Bold 3 3 55" xfId="21448" xr:uid="{00000000-0005-0000-0000-0000C8530000}"/>
    <cellStyle name="Normal GHG Textfiels Bold 3 3 56" xfId="21449" xr:uid="{00000000-0005-0000-0000-0000C9530000}"/>
    <cellStyle name="Normal GHG Textfiels Bold 3 3 57" xfId="21450" xr:uid="{00000000-0005-0000-0000-0000CA530000}"/>
    <cellStyle name="Normal GHG Textfiels Bold 3 3 58" xfId="21451" xr:uid="{00000000-0005-0000-0000-0000CB530000}"/>
    <cellStyle name="Normal GHG Textfiels Bold 3 3 59" xfId="21452" xr:uid="{00000000-0005-0000-0000-0000CC530000}"/>
    <cellStyle name="Normal GHG Textfiels Bold 3 3 6" xfId="21453" xr:uid="{00000000-0005-0000-0000-0000CD530000}"/>
    <cellStyle name="Normal GHG Textfiels Bold 3 3 60" xfId="21454" xr:uid="{00000000-0005-0000-0000-0000CE530000}"/>
    <cellStyle name="Normal GHG Textfiels Bold 3 3 61" xfId="21455" xr:uid="{00000000-0005-0000-0000-0000CF530000}"/>
    <cellStyle name="Normal GHG Textfiels Bold 3 3 62" xfId="21456" xr:uid="{00000000-0005-0000-0000-0000D0530000}"/>
    <cellStyle name="Normal GHG Textfiels Bold 3 3 63" xfId="21457" xr:uid="{00000000-0005-0000-0000-0000D1530000}"/>
    <cellStyle name="Normal GHG Textfiels Bold 3 3 64" xfId="21458" xr:uid="{00000000-0005-0000-0000-0000D2530000}"/>
    <cellStyle name="Normal GHG Textfiels Bold 3 3 65" xfId="21459" xr:uid="{00000000-0005-0000-0000-0000D3530000}"/>
    <cellStyle name="Normal GHG Textfiels Bold 3 3 66" xfId="21460" xr:uid="{00000000-0005-0000-0000-0000D4530000}"/>
    <cellStyle name="Normal GHG Textfiels Bold 3 3 67" xfId="21461" xr:uid="{00000000-0005-0000-0000-0000D5530000}"/>
    <cellStyle name="Normal GHG Textfiels Bold 3 3 68" xfId="21462" xr:uid="{00000000-0005-0000-0000-0000D6530000}"/>
    <cellStyle name="Normal GHG Textfiels Bold 3 3 7" xfId="21463" xr:uid="{00000000-0005-0000-0000-0000D7530000}"/>
    <cellStyle name="Normal GHG Textfiels Bold 3 3 8" xfId="21464" xr:uid="{00000000-0005-0000-0000-0000D8530000}"/>
    <cellStyle name="Normal GHG Textfiels Bold 3 3 9" xfId="21465" xr:uid="{00000000-0005-0000-0000-0000D9530000}"/>
    <cellStyle name="Normal GHG whole table" xfId="21466" xr:uid="{00000000-0005-0000-0000-0000DA530000}"/>
    <cellStyle name="Normal GHG whole table 2" xfId="21467" xr:uid="{00000000-0005-0000-0000-0000DB530000}"/>
    <cellStyle name="Normal GHG whole table 2 2" xfId="21468" xr:uid="{00000000-0005-0000-0000-0000DC530000}"/>
    <cellStyle name="Normal GHG whole table 2 2 10" xfId="21469" xr:uid="{00000000-0005-0000-0000-0000DD530000}"/>
    <cellStyle name="Normal GHG whole table 2 2 11" xfId="21470" xr:uid="{00000000-0005-0000-0000-0000DE530000}"/>
    <cellStyle name="Normal GHG whole table 2 2 12" xfId="21471" xr:uid="{00000000-0005-0000-0000-0000DF530000}"/>
    <cellStyle name="Normal GHG whole table 2 2 13" xfId="21472" xr:uid="{00000000-0005-0000-0000-0000E0530000}"/>
    <cellStyle name="Normal GHG whole table 2 2 14" xfId="21473" xr:uid="{00000000-0005-0000-0000-0000E1530000}"/>
    <cellStyle name="Normal GHG whole table 2 2 15" xfId="21474" xr:uid="{00000000-0005-0000-0000-0000E2530000}"/>
    <cellStyle name="Normal GHG whole table 2 2 16" xfId="21475" xr:uid="{00000000-0005-0000-0000-0000E3530000}"/>
    <cellStyle name="Normal GHG whole table 2 2 17" xfId="21476" xr:uid="{00000000-0005-0000-0000-0000E4530000}"/>
    <cellStyle name="Normal GHG whole table 2 2 18" xfId="21477" xr:uid="{00000000-0005-0000-0000-0000E5530000}"/>
    <cellStyle name="Normal GHG whole table 2 2 19" xfId="21478" xr:uid="{00000000-0005-0000-0000-0000E6530000}"/>
    <cellStyle name="Normal GHG whole table 2 2 2" xfId="21479" xr:uid="{00000000-0005-0000-0000-0000E7530000}"/>
    <cellStyle name="Normal GHG whole table 2 2 2 10" xfId="21480" xr:uid="{00000000-0005-0000-0000-0000E8530000}"/>
    <cellStyle name="Normal GHG whole table 2 2 2 11" xfId="21481" xr:uid="{00000000-0005-0000-0000-0000E9530000}"/>
    <cellStyle name="Normal GHG whole table 2 2 2 12" xfId="21482" xr:uid="{00000000-0005-0000-0000-0000EA530000}"/>
    <cellStyle name="Normal GHG whole table 2 2 2 13" xfId="21483" xr:uid="{00000000-0005-0000-0000-0000EB530000}"/>
    <cellStyle name="Normal GHG whole table 2 2 2 14" xfId="21484" xr:uid="{00000000-0005-0000-0000-0000EC530000}"/>
    <cellStyle name="Normal GHG whole table 2 2 2 15" xfId="21485" xr:uid="{00000000-0005-0000-0000-0000ED530000}"/>
    <cellStyle name="Normal GHG whole table 2 2 2 16" xfId="21486" xr:uid="{00000000-0005-0000-0000-0000EE530000}"/>
    <cellStyle name="Normal GHG whole table 2 2 2 17" xfId="21487" xr:uid="{00000000-0005-0000-0000-0000EF530000}"/>
    <cellStyle name="Normal GHG whole table 2 2 2 18" xfId="21488" xr:uid="{00000000-0005-0000-0000-0000F0530000}"/>
    <cellStyle name="Normal GHG whole table 2 2 2 19" xfId="21489" xr:uid="{00000000-0005-0000-0000-0000F1530000}"/>
    <cellStyle name="Normal GHG whole table 2 2 2 2" xfId="21490" xr:uid="{00000000-0005-0000-0000-0000F2530000}"/>
    <cellStyle name="Normal GHG whole table 2 2 2 20" xfId="21491" xr:uid="{00000000-0005-0000-0000-0000F3530000}"/>
    <cellStyle name="Normal GHG whole table 2 2 2 21" xfId="21492" xr:uid="{00000000-0005-0000-0000-0000F4530000}"/>
    <cellStyle name="Normal GHG whole table 2 2 2 22" xfId="21493" xr:uid="{00000000-0005-0000-0000-0000F5530000}"/>
    <cellStyle name="Normal GHG whole table 2 2 2 23" xfId="21494" xr:uid="{00000000-0005-0000-0000-0000F6530000}"/>
    <cellStyle name="Normal GHG whole table 2 2 2 24" xfId="21495" xr:uid="{00000000-0005-0000-0000-0000F7530000}"/>
    <cellStyle name="Normal GHG whole table 2 2 2 25" xfId="21496" xr:uid="{00000000-0005-0000-0000-0000F8530000}"/>
    <cellStyle name="Normal GHG whole table 2 2 2 26" xfId="21497" xr:uid="{00000000-0005-0000-0000-0000F9530000}"/>
    <cellStyle name="Normal GHG whole table 2 2 2 27" xfId="21498" xr:uid="{00000000-0005-0000-0000-0000FA530000}"/>
    <cellStyle name="Normal GHG whole table 2 2 2 28" xfId="21499" xr:uid="{00000000-0005-0000-0000-0000FB530000}"/>
    <cellStyle name="Normal GHG whole table 2 2 2 29" xfId="21500" xr:uid="{00000000-0005-0000-0000-0000FC530000}"/>
    <cellStyle name="Normal GHG whole table 2 2 2 3" xfId="21501" xr:uid="{00000000-0005-0000-0000-0000FD530000}"/>
    <cellStyle name="Normal GHG whole table 2 2 2 30" xfId="21502" xr:uid="{00000000-0005-0000-0000-0000FE530000}"/>
    <cellStyle name="Normal GHG whole table 2 2 2 31" xfId="21503" xr:uid="{00000000-0005-0000-0000-0000FF530000}"/>
    <cellStyle name="Normal GHG whole table 2 2 2 32" xfId="21504" xr:uid="{00000000-0005-0000-0000-000000540000}"/>
    <cellStyle name="Normal GHG whole table 2 2 2 33" xfId="21505" xr:uid="{00000000-0005-0000-0000-000001540000}"/>
    <cellStyle name="Normal GHG whole table 2 2 2 34" xfId="21506" xr:uid="{00000000-0005-0000-0000-000002540000}"/>
    <cellStyle name="Normal GHG whole table 2 2 2 35" xfId="21507" xr:uid="{00000000-0005-0000-0000-000003540000}"/>
    <cellStyle name="Normal GHG whole table 2 2 2 36" xfId="21508" xr:uid="{00000000-0005-0000-0000-000004540000}"/>
    <cellStyle name="Normal GHG whole table 2 2 2 37" xfId="21509" xr:uid="{00000000-0005-0000-0000-000005540000}"/>
    <cellStyle name="Normal GHG whole table 2 2 2 38" xfId="21510" xr:uid="{00000000-0005-0000-0000-000006540000}"/>
    <cellStyle name="Normal GHG whole table 2 2 2 39" xfId="21511" xr:uid="{00000000-0005-0000-0000-000007540000}"/>
    <cellStyle name="Normal GHG whole table 2 2 2 4" xfId="21512" xr:uid="{00000000-0005-0000-0000-000008540000}"/>
    <cellStyle name="Normal GHG whole table 2 2 2 40" xfId="21513" xr:uid="{00000000-0005-0000-0000-000009540000}"/>
    <cellStyle name="Normal GHG whole table 2 2 2 41" xfId="21514" xr:uid="{00000000-0005-0000-0000-00000A540000}"/>
    <cellStyle name="Normal GHG whole table 2 2 2 42" xfId="21515" xr:uid="{00000000-0005-0000-0000-00000B540000}"/>
    <cellStyle name="Normal GHG whole table 2 2 2 43" xfId="21516" xr:uid="{00000000-0005-0000-0000-00000C540000}"/>
    <cellStyle name="Normal GHG whole table 2 2 2 44" xfId="21517" xr:uid="{00000000-0005-0000-0000-00000D540000}"/>
    <cellStyle name="Normal GHG whole table 2 2 2 45" xfId="21518" xr:uid="{00000000-0005-0000-0000-00000E540000}"/>
    <cellStyle name="Normal GHG whole table 2 2 2 46" xfId="21519" xr:uid="{00000000-0005-0000-0000-00000F540000}"/>
    <cellStyle name="Normal GHG whole table 2 2 2 47" xfId="21520" xr:uid="{00000000-0005-0000-0000-000010540000}"/>
    <cellStyle name="Normal GHG whole table 2 2 2 48" xfId="21521" xr:uid="{00000000-0005-0000-0000-000011540000}"/>
    <cellStyle name="Normal GHG whole table 2 2 2 49" xfId="21522" xr:uid="{00000000-0005-0000-0000-000012540000}"/>
    <cellStyle name="Normal GHG whole table 2 2 2 5" xfId="21523" xr:uid="{00000000-0005-0000-0000-000013540000}"/>
    <cellStyle name="Normal GHG whole table 2 2 2 50" xfId="21524" xr:uid="{00000000-0005-0000-0000-000014540000}"/>
    <cellStyle name="Normal GHG whole table 2 2 2 51" xfId="21525" xr:uid="{00000000-0005-0000-0000-000015540000}"/>
    <cellStyle name="Normal GHG whole table 2 2 2 52" xfId="21526" xr:uid="{00000000-0005-0000-0000-000016540000}"/>
    <cellStyle name="Normal GHG whole table 2 2 2 53" xfId="21527" xr:uid="{00000000-0005-0000-0000-000017540000}"/>
    <cellStyle name="Normal GHG whole table 2 2 2 54" xfId="21528" xr:uid="{00000000-0005-0000-0000-000018540000}"/>
    <cellStyle name="Normal GHG whole table 2 2 2 55" xfId="21529" xr:uid="{00000000-0005-0000-0000-000019540000}"/>
    <cellStyle name="Normal GHG whole table 2 2 2 56" xfId="21530" xr:uid="{00000000-0005-0000-0000-00001A540000}"/>
    <cellStyle name="Normal GHG whole table 2 2 2 57" xfId="21531" xr:uid="{00000000-0005-0000-0000-00001B540000}"/>
    <cellStyle name="Normal GHG whole table 2 2 2 58" xfId="21532" xr:uid="{00000000-0005-0000-0000-00001C540000}"/>
    <cellStyle name="Normal GHG whole table 2 2 2 59" xfId="21533" xr:uid="{00000000-0005-0000-0000-00001D540000}"/>
    <cellStyle name="Normal GHG whole table 2 2 2 6" xfId="21534" xr:uid="{00000000-0005-0000-0000-00001E540000}"/>
    <cellStyle name="Normal GHG whole table 2 2 2 60" xfId="21535" xr:uid="{00000000-0005-0000-0000-00001F540000}"/>
    <cellStyle name="Normal GHG whole table 2 2 2 61" xfId="21536" xr:uid="{00000000-0005-0000-0000-000020540000}"/>
    <cellStyle name="Normal GHG whole table 2 2 2 62" xfId="21537" xr:uid="{00000000-0005-0000-0000-000021540000}"/>
    <cellStyle name="Normal GHG whole table 2 2 2 63" xfId="21538" xr:uid="{00000000-0005-0000-0000-000022540000}"/>
    <cellStyle name="Normal GHG whole table 2 2 2 64" xfId="21539" xr:uid="{00000000-0005-0000-0000-000023540000}"/>
    <cellStyle name="Normal GHG whole table 2 2 2 65" xfId="21540" xr:uid="{00000000-0005-0000-0000-000024540000}"/>
    <cellStyle name="Normal GHG whole table 2 2 2 7" xfId="21541" xr:uid="{00000000-0005-0000-0000-000025540000}"/>
    <cellStyle name="Normal GHG whole table 2 2 2 8" xfId="21542" xr:uid="{00000000-0005-0000-0000-000026540000}"/>
    <cellStyle name="Normal GHG whole table 2 2 2 9" xfId="21543" xr:uid="{00000000-0005-0000-0000-000027540000}"/>
    <cellStyle name="Normal GHG whole table 2 2 20" xfId="21544" xr:uid="{00000000-0005-0000-0000-000028540000}"/>
    <cellStyle name="Normal GHG whole table 2 2 21" xfId="21545" xr:uid="{00000000-0005-0000-0000-000029540000}"/>
    <cellStyle name="Normal GHG whole table 2 2 22" xfId="21546" xr:uid="{00000000-0005-0000-0000-00002A540000}"/>
    <cellStyle name="Normal GHG whole table 2 2 23" xfId="21547" xr:uid="{00000000-0005-0000-0000-00002B540000}"/>
    <cellStyle name="Normal GHG whole table 2 2 24" xfId="21548" xr:uid="{00000000-0005-0000-0000-00002C540000}"/>
    <cellStyle name="Normal GHG whole table 2 2 25" xfId="21549" xr:uid="{00000000-0005-0000-0000-00002D540000}"/>
    <cellStyle name="Normal GHG whole table 2 2 26" xfId="21550" xr:uid="{00000000-0005-0000-0000-00002E540000}"/>
    <cellStyle name="Normal GHG whole table 2 2 27" xfId="21551" xr:uid="{00000000-0005-0000-0000-00002F540000}"/>
    <cellStyle name="Normal GHG whole table 2 2 28" xfId="21552" xr:uid="{00000000-0005-0000-0000-000030540000}"/>
    <cellStyle name="Normal GHG whole table 2 2 29" xfId="21553" xr:uid="{00000000-0005-0000-0000-000031540000}"/>
    <cellStyle name="Normal GHG whole table 2 2 3" xfId="21554" xr:uid="{00000000-0005-0000-0000-000032540000}"/>
    <cellStyle name="Normal GHG whole table 2 2 30" xfId="21555" xr:uid="{00000000-0005-0000-0000-000033540000}"/>
    <cellStyle name="Normal GHG whole table 2 2 31" xfId="21556" xr:uid="{00000000-0005-0000-0000-000034540000}"/>
    <cellStyle name="Normal GHG whole table 2 2 32" xfId="21557" xr:uid="{00000000-0005-0000-0000-000035540000}"/>
    <cellStyle name="Normal GHG whole table 2 2 33" xfId="21558" xr:uid="{00000000-0005-0000-0000-000036540000}"/>
    <cellStyle name="Normal GHG whole table 2 2 34" xfId="21559" xr:uid="{00000000-0005-0000-0000-000037540000}"/>
    <cellStyle name="Normal GHG whole table 2 2 35" xfId="21560" xr:uid="{00000000-0005-0000-0000-000038540000}"/>
    <cellStyle name="Normal GHG whole table 2 2 36" xfId="21561" xr:uid="{00000000-0005-0000-0000-000039540000}"/>
    <cellStyle name="Normal GHG whole table 2 2 37" xfId="21562" xr:uid="{00000000-0005-0000-0000-00003A540000}"/>
    <cellStyle name="Normal GHG whole table 2 2 38" xfId="21563" xr:uid="{00000000-0005-0000-0000-00003B540000}"/>
    <cellStyle name="Normal GHG whole table 2 2 39" xfId="21564" xr:uid="{00000000-0005-0000-0000-00003C540000}"/>
    <cellStyle name="Normal GHG whole table 2 2 4" xfId="21565" xr:uid="{00000000-0005-0000-0000-00003D540000}"/>
    <cellStyle name="Normal GHG whole table 2 2 40" xfId="21566" xr:uid="{00000000-0005-0000-0000-00003E540000}"/>
    <cellStyle name="Normal GHG whole table 2 2 41" xfId="21567" xr:uid="{00000000-0005-0000-0000-00003F540000}"/>
    <cellStyle name="Normal GHG whole table 2 2 42" xfId="21568" xr:uid="{00000000-0005-0000-0000-000040540000}"/>
    <cellStyle name="Normal GHG whole table 2 2 43" xfId="21569" xr:uid="{00000000-0005-0000-0000-000041540000}"/>
    <cellStyle name="Normal GHG whole table 2 2 44" xfId="21570" xr:uid="{00000000-0005-0000-0000-000042540000}"/>
    <cellStyle name="Normal GHG whole table 2 2 45" xfId="21571" xr:uid="{00000000-0005-0000-0000-000043540000}"/>
    <cellStyle name="Normal GHG whole table 2 2 46" xfId="21572" xr:uid="{00000000-0005-0000-0000-000044540000}"/>
    <cellStyle name="Normal GHG whole table 2 2 47" xfId="21573" xr:uid="{00000000-0005-0000-0000-000045540000}"/>
    <cellStyle name="Normal GHG whole table 2 2 48" xfId="21574" xr:uid="{00000000-0005-0000-0000-000046540000}"/>
    <cellStyle name="Normal GHG whole table 2 2 49" xfId="21575" xr:uid="{00000000-0005-0000-0000-000047540000}"/>
    <cellStyle name="Normal GHG whole table 2 2 5" xfId="21576" xr:uid="{00000000-0005-0000-0000-000048540000}"/>
    <cellStyle name="Normal GHG whole table 2 2 50" xfId="21577" xr:uid="{00000000-0005-0000-0000-000049540000}"/>
    <cellStyle name="Normal GHG whole table 2 2 51" xfId="21578" xr:uid="{00000000-0005-0000-0000-00004A540000}"/>
    <cellStyle name="Normal GHG whole table 2 2 52" xfId="21579" xr:uid="{00000000-0005-0000-0000-00004B540000}"/>
    <cellStyle name="Normal GHG whole table 2 2 53" xfId="21580" xr:uid="{00000000-0005-0000-0000-00004C540000}"/>
    <cellStyle name="Normal GHG whole table 2 2 54" xfId="21581" xr:uid="{00000000-0005-0000-0000-00004D540000}"/>
    <cellStyle name="Normal GHG whole table 2 2 55" xfId="21582" xr:uid="{00000000-0005-0000-0000-00004E540000}"/>
    <cellStyle name="Normal GHG whole table 2 2 56" xfId="21583" xr:uid="{00000000-0005-0000-0000-00004F540000}"/>
    <cellStyle name="Normal GHG whole table 2 2 57" xfId="21584" xr:uid="{00000000-0005-0000-0000-000050540000}"/>
    <cellStyle name="Normal GHG whole table 2 2 58" xfId="21585" xr:uid="{00000000-0005-0000-0000-000051540000}"/>
    <cellStyle name="Normal GHG whole table 2 2 59" xfId="21586" xr:uid="{00000000-0005-0000-0000-000052540000}"/>
    <cellStyle name="Normal GHG whole table 2 2 6" xfId="21587" xr:uid="{00000000-0005-0000-0000-000053540000}"/>
    <cellStyle name="Normal GHG whole table 2 2 60" xfId="21588" xr:uid="{00000000-0005-0000-0000-000054540000}"/>
    <cellStyle name="Normal GHG whole table 2 2 61" xfId="21589" xr:uid="{00000000-0005-0000-0000-000055540000}"/>
    <cellStyle name="Normal GHG whole table 2 2 62" xfId="21590" xr:uid="{00000000-0005-0000-0000-000056540000}"/>
    <cellStyle name="Normal GHG whole table 2 2 63" xfId="21591" xr:uid="{00000000-0005-0000-0000-000057540000}"/>
    <cellStyle name="Normal GHG whole table 2 2 64" xfId="21592" xr:uid="{00000000-0005-0000-0000-000058540000}"/>
    <cellStyle name="Normal GHG whole table 2 2 65" xfId="21593" xr:uid="{00000000-0005-0000-0000-000059540000}"/>
    <cellStyle name="Normal GHG whole table 2 2 66" xfId="21594" xr:uid="{00000000-0005-0000-0000-00005A540000}"/>
    <cellStyle name="Normal GHG whole table 2 2 7" xfId="21595" xr:uid="{00000000-0005-0000-0000-00005B540000}"/>
    <cellStyle name="Normal GHG whole table 2 2 8" xfId="21596" xr:uid="{00000000-0005-0000-0000-00005C540000}"/>
    <cellStyle name="Normal GHG whole table 2 2 9" xfId="21597" xr:uid="{00000000-0005-0000-0000-00005D540000}"/>
    <cellStyle name="Normal GHG whole table 2 3" xfId="21598" xr:uid="{00000000-0005-0000-0000-00005E540000}"/>
    <cellStyle name="Normal GHG whole table 2 3 10" xfId="21599" xr:uid="{00000000-0005-0000-0000-00005F540000}"/>
    <cellStyle name="Normal GHG whole table 2 3 11" xfId="21600" xr:uid="{00000000-0005-0000-0000-000060540000}"/>
    <cellStyle name="Normal GHG whole table 2 3 12" xfId="21601" xr:uid="{00000000-0005-0000-0000-000061540000}"/>
    <cellStyle name="Normal GHG whole table 2 3 13" xfId="21602" xr:uid="{00000000-0005-0000-0000-000062540000}"/>
    <cellStyle name="Normal GHG whole table 2 3 14" xfId="21603" xr:uid="{00000000-0005-0000-0000-000063540000}"/>
    <cellStyle name="Normal GHG whole table 2 3 15" xfId="21604" xr:uid="{00000000-0005-0000-0000-000064540000}"/>
    <cellStyle name="Normal GHG whole table 2 3 16" xfId="21605" xr:uid="{00000000-0005-0000-0000-000065540000}"/>
    <cellStyle name="Normal GHG whole table 2 3 17" xfId="21606" xr:uid="{00000000-0005-0000-0000-000066540000}"/>
    <cellStyle name="Normal GHG whole table 2 3 18" xfId="21607" xr:uid="{00000000-0005-0000-0000-000067540000}"/>
    <cellStyle name="Normal GHG whole table 2 3 19" xfId="21608" xr:uid="{00000000-0005-0000-0000-000068540000}"/>
    <cellStyle name="Normal GHG whole table 2 3 2" xfId="21609" xr:uid="{00000000-0005-0000-0000-000069540000}"/>
    <cellStyle name="Normal GHG whole table 2 3 20" xfId="21610" xr:uid="{00000000-0005-0000-0000-00006A540000}"/>
    <cellStyle name="Normal GHG whole table 2 3 21" xfId="21611" xr:uid="{00000000-0005-0000-0000-00006B540000}"/>
    <cellStyle name="Normal GHG whole table 2 3 22" xfId="21612" xr:uid="{00000000-0005-0000-0000-00006C540000}"/>
    <cellStyle name="Normal GHG whole table 2 3 23" xfId="21613" xr:uid="{00000000-0005-0000-0000-00006D540000}"/>
    <cellStyle name="Normal GHG whole table 2 3 24" xfId="21614" xr:uid="{00000000-0005-0000-0000-00006E540000}"/>
    <cellStyle name="Normal GHG whole table 2 3 25" xfId="21615" xr:uid="{00000000-0005-0000-0000-00006F540000}"/>
    <cellStyle name="Normal GHG whole table 2 3 26" xfId="21616" xr:uid="{00000000-0005-0000-0000-000070540000}"/>
    <cellStyle name="Normal GHG whole table 2 3 27" xfId="21617" xr:uid="{00000000-0005-0000-0000-000071540000}"/>
    <cellStyle name="Normal GHG whole table 2 3 28" xfId="21618" xr:uid="{00000000-0005-0000-0000-000072540000}"/>
    <cellStyle name="Normal GHG whole table 2 3 29" xfId="21619" xr:uid="{00000000-0005-0000-0000-000073540000}"/>
    <cellStyle name="Normal GHG whole table 2 3 3" xfId="21620" xr:uid="{00000000-0005-0000-0000-000074540000}"/>
    <cellStyle name="Normal GHG whole table 2 3 30" xfId="21621" xr:uid="{00000000-0005-0000-0000-000075540000}"/>
    <cellStyle name="Normal GHG whole table 2 3 31" xfId="21622" xr:uid="{00000000-0005-0000-0000-000076540000}"/>
    <cellStyle name="Normal GHG whole table 2 3 32" xfId="21623" xr:uid="{00000000-0005-0000-0000-000077540000}"/>
    <cellStyle name="Normal GHG whole table 2 3 33" xfId="21624" xr:uid="{00000000-0005-0000-0000-000078540000}"/>
    <cellStyle name="Normal GHG whole table 2 3 34" xfId="21625" xr:uid="{00000000-0005-0000-0000-000079540000}"/>
    <cellStyle name="Normal GHG whole table 2 3 35" xfId="21626" xr:uid="{00000000-0005-0000-0000-00007A540000}"/>
    <cellStyle name="Normal GHG whole table 2 3 36" xfId="21627" xr:uid="{00000000-0005-0000-0000-00007B540000}"/>
    <cellStyle name="Normal GHG whole table 2 3 37" xfId="21628" xr:uid="{00000000-0005-0000-0000-00007C540000}"/>
    <cellStyle name="Normal GHG whole table 2 3 38" xfId="21629" xr:uid="{00000000-0005-0000-0000-00007D540000}"/>
    <cellStyle name="Normal GHG whole table 2 3 39" xfId="21630" xr:uid="{00000000-0005-0000-0000-00007E540000}"/>
    <cellStyle name="Normal GHG whole table 2 3 4" xfId="21631" xr:uid="{00000000-0005-0000-0000-00007F540000}"/>
    <cellStyle name="Normal GHG whole table 2 3 40" xfId="21632" xr:uid="{00000000-0005-0000-0000-000080540000}"/>
    <cellStyle name="Normal GHG whole table 2 3 41" xfId="21633" xr:uid="{00000000-0005-0000-0000-000081540000}"/>
    <cellStyle name="Normal GHG whole table 2 3 42" xfId="21634" xr:uid="{00000000-0005-0000-0000-000082540000}"/>
    <cellStyle name="Normal GHG whole table 2 3 43" xfId="21635" xr:uid="{00000000-0005-0000-0000-000083540000}"/>
    <cellStyle name="Normal GHG whole table 2 3 44" xfId="21636" xr:uid="{00000000-0005-0000-0000-000084540000}"/>
    <cellStyle name="Normal GHG whole table 2 3 45" xfId="21637" xr:uid="{00000000-0005-0000-0000-000085540000}"/>
    <cellStyle name="Normal GHG whole table 2 3 46" xfId="21638" xr:uid="{00000000-0005-0000-0000-000086540000}"/>
    <cellStyle name="Normal GHG whole table 2 3 47" xfId="21639" xr:uid="{00000000-0005-0000-0000-000087540000}"/>
    <cellStyle name="Normal GHG whole table 2 3 48" xfId="21640" xr:uid="{00000000-0005-0000-0000-000088540000}"/>
    <cellStyle name="Normal GHG whole table 2 3 49" xfId="21641" xr:uid="{00000000-0005-0000-0000-000089540000}"/>
    <cellStyle name="Normal GHG whole table 2 3 5" xfId="21642" xr:uid="{00000000-0005-0000-0000-00008A540000}"/>
    <cellStyle name="Normal GHG whole table 2 3 50" xfId="21643" xr:uid="{00000000-0005-0000-0000-00008B540000}"/>
    <cellStyle name="Normal GHG whole table 2 3 51" xfId="21644" xr:uid="{00000000-0005-0000-0000-00008C540000}"/>
    <cellStyle name="Normal GHG whole table 2 3 52" xfId="21645" xr:uid="{00000000-0005-0000-0000-00008D540000}"/>
    <cellStyle name="Normal GHG whole table 2 3 53" xfId="21646" xr:uid="{00000000-0005-0000-0000-00008E540000}"/>
    <cellStyle name="Normal GHG whole table 2 3 54" xfId="21647" xr:uid="{00000000-0005-0000-0000-00008F540000}"/>
    <cellStyle name="Normal GHG whole table 2 3 55" xfId="21648" xr:uid="{00000000-0005-0000-0000-000090540000}"/>
    <cellStyle name="Normal GHG whole table 2 3 56" xfId="21649" xr:uid="{00000000-0005-0000-0000-000091540000}"/>
    <cellStyle name="Normal GHG whole table 2 3 57" xfId="21650" xr:uid="{00000000-0005-0000-0000-000092540000}"/>
    <cellStyle name="Normal GHG whole table 2 3 58" xfId="21651" xr:uid="{00000000-0005-0000-0000-000093540000}"/>
    <cellStyle name="Normal GHG whole table 2 3 59" xfId="21652" xr:uid="{00000000-0005-0000-0000-000094540000}"/>
    <cellStyle name="Normal GHG whole table 2 3 6" xfId="21653" xr:uid="{00000000-0005-0000-0000-000095540000}"/>
    <cellStyle name="Normal GHG whole table 2 3 60" xfId="21654" xr:uid="{00000000-0005-0000-0000-000096540000}"/>
    <cellStyle name="Normal GHG whole table 2 3 61" xfId="21655" xr:uid="{00000000-0005-0000-0000-000097540000}"/>
    <cellStyle name="Normal GHG whole table 2 3 62" xfId="21656" xr:uid="{00000000-0005-0000-0000-000098540000}"/>
    <cellStyle name="Normal GHG whole table 2 3 63" xfId="21657" xr:uid="{00000000-0005-0000-0000-000099540000}"/>
    <cellStyle name="Normal GHG whole table 2 3 64" xfId="21658" xr:uid="{00000000-0005-0000-0000-00009A540000}"/>
    <cellStyle name="Normal GHG whole table 2 3 65" xfId="21659" xr:uid="{00000000-0005-0000-0000-00009B540000}"/>
    <cellStyle name="Normal GHG whole table 2 3 7" xfId="21660" xr:uid="{00000000-0005-0000-0000-00009C540000}"/>
    <cellStyle name="Normal GHG whole table 2 3 8" xfId="21661" xr:uid="{00000000-0005-0000-0000-00009D540000}"/>
    <cellStyle name="Normal GHG whole table 2 3 9" xfId="21662" xr:uid="{00000000-0005-0000-0000-00009E540000}"/>
    <cellStyle name="Normal GHG whole table 3" xfId="21663" xr:uid="{00000000-0005-0000-0000-00009F540000}"/>
    <cellStyle name="Normal GHG whole table 3 10" xfId="21664" xr:uid="{00000000-0005-0000-0000-0000A0540000}"/>
    <cellStyle name="Normal GHG whole table 3 11" xfId="21665" xr:uid="{00000000-0005-0000-0000-0000A1540000}"/>
    <cellStyle name="Normal GHG whole table 3 12" xfId="21666" xr:uid="{00000000-0005-0000-0000-0000A2540000}"/>
    <cellStyle name="Normal GHG whole table 3 13" xfId="21667" xr:uid="{00000000-0005-0000-0000-0000A3540000}"/>
    <cellStyle name="Normal GHG whole table 3 14" xfId="21668" xr:uid="{00000000-0005-0000-0000-0000A4540000}"/>
    <cellStyle name="Normal GHG whole table 3 15" xfId="21669" xr:uid="{00000000-0005-0000-0000-0000A5540000}"/>
    <cellStyle name="Normal GHG whole table 3 16" xfId="21670" xr:uid="{00000000-0005-0000-0000-0000A6540000}"/>
    <cellStyle name="Normal GHG whole table 3 17" xfId="21671" xr:uid="{00000000-0005-0000-0000-0000A7540000}"/>
    <cellStyle name="Normal GHG whole table 3 18" xfId="21672" xr:uid="{00000000-0005-0000-0000-0000A8540000}"/>
    <cellStyle name="Normal GHG whole table 3 19" xfId="21673" xr:uid="{00000000-0005-0000-0000-0000A9540000}"/>
    <cellStyle name="Normal GHG whole table 3 2" xfId="21674" xr:uid="{00000000-0005-0000-0000-0000AA540000}"/>
    <cellStyle name="Normal GHG whole table 3 2 10" xfId="21675" xr:uid="{00000000-0005-0000-0000-0000AB540000}"/>
    <cellStyle name="Normal GHG whole table 3 2 11" xfId="21676" xr:uid="{00000000-0005-0000-0000-0000AC540000}"/>
    <cellStyle name="Normal GHG whole table 3 2 12" xfId="21677" xr:uid="{00000000-0005-0000-0000-0000AD540000}"/>
    <cellStyle name="Normal GHG whole table 3 2 13" xfId="21678" xr:uid="{00000000-0005-0000-0000-0000AE540000}"/>
    <cellStyle name="Normal GHG whole table 3 2 14" xfId="21679" xr:uid="{00000000-0005-0000-0000-0000AF540000}"/>
    <cellStyle name="Normal GHG whole table 3 2 15" xfId="21680" xr:uid="{00000000-0005-0000-0000-0000B0540000}"/>
    <cellStyle name="Normal GHG whole table 3 2 16" xfId="21681" xr:uid="{00000000-0005-0000-0000-0000B1540000}"/>
    <cellStyle name="Normal GHG whole table 3 2 17" xfId="21682" xr:uid="{00000000-0005-0000-0000-0000B2540000}"/>
    <cellStyle name="Normal GHG whole table 3 2 18" xfId="21683" xr:uid="{00000000-0005-0000-0000-0000B3540000}"/>
    <cellStyle name="Normal GHG whole table 3 2 19" xfId="21684" xr:uid="{00000000-0005-0000-0000-0000B4540000}"/>
    <cellStyle name="Normal GHG whole table 3 2 2" xfId="21685" xr:uid="{00000000-0005-0000-0000-0000B5540000}"/>
    <cellStyle name="Normal GHG whole table 3 2 2 10" xfId="21686" xr:uid="{00000000-0005-0000-0000-0000B6540000}"/>
    <cellStyle name="Normal GHG whole table 3 2 2 11" xfId="21687" xr:uid="{00000000-0005-0000-0000-0000B7540000}"/>
    <cellStyle name="Normal GHG whole table 3 2 2 12" xfId="21688" xr:uid="{00000000-0005-0000-0000-0000B8540000}"/>
    <cellStyle name="Normal GHG whole table 3 2 2 13" xfId="21689" xr:uid="{00000000-0005-0000-0000-0000B9540000}"/>
    <cellStyle name="Normal GHG whole table 3 2 2 14" xfId="21690" xr:uid="{00000000-0005-0000-0000-0000BA540000}"/>
    <cellStyle name="Normal GHG whole table 3 2 2 15" xfId="21691" xr:uid="{00000000-0005-0000-0000-0000BB540000}"/>
    <cellStyle name="Normal GHG whole table 3 2 2 16" xfId="21692" xr:uid="{00000000-0005-0000-0000-0000BC540000}"/>
    <cellStyle name="Normal GHG whole table 3 2 2 17" xfId="21693" xr:uid="{00000000-0005-0000-0000-0000BD540000}"/>
    <cellStyle name="Normal GHG whole table 3 2 2 18" xfId="21694" xr:uid="{00000000-0005-0000-0000-0000BE540000}"/>
    <cellStyle name="Normal GHG whole table 3 2 2 19" xfId="21695" xr:uid="{00000000-0005-0000-0000-0000BF540000}"/>
    <cellStyle name="Normal GHG whole table 3 2 2 2" xfId="21696" xr:uid="{00000000-0005-0000-0000-0000C0540000}"/>
    <cellStyle name="Normal GHG whole table 3 2 2 20" xfId="21697" xr:uid="{00000000-0005-0000-0000-0000C1540000}"/>
    <cellStyle name="Normal GHG whole table 3 2 2 21" xfId="21698" xr:uid="{00000000-0005-0000-0000-0000C2540000}"/>
    <cellStyle name="Normal GHG whole table 3 2 2 22" xfId="21699" xr:uid="{00000000-0005-0000-0000-0000C3540000}"/>
    <cellStyle name="Normal GHG whole table 3 2 2 23" xfId="21700" xr:uid="{00000000-0005-0000-0000-0000C4540000}"/>
    <cellStyle name="Normal GHG whole table 3 2 2 24" xfId="21701" xr:uid="{00000000-0005-0000-0000-0000C5540000}"/>
    <cellStyle name="Normal GHG whole table 3 2 2 25" xfId="21702" xr:uid="{00000000-0005-0000-0000-0000C6540000}"/>
    <cellStyle name="Normal GHG whole table 3 2 2 26" xfId="21703" xr:uid="{00000000-0005-0000-0000-0000C7540000}"/>
    <cellStyle name="Normal GHG whole table 3 2 2 27" xfId="21704" xr:uid="{00000000-0005-0000-0000-0000C8540000}"/>
    <cellStyle name="Normal GHG whole table 3 2 2 28" xfId="21705" xr:uid="{00000000-0005-0000-0000-0000C9540000}"/>
    <cellStyle name="Normal GHG whole table 3 2 2 29" xfId="21706" xr:uid="{00000000-0005-0000-0000-0000CA540000}"/>
    <cellStyle name="Normal GHG whole table 3 2 2 3" xfId="21707" xr:uid="{00000000-0005-0000-0000-0000CB540000}"/>
    <cellStyle name="Normal GHG whole table 3 2 2 30" xfId="21708" xr:uid="{00000000-0005-0000-0000-0000CC540000}"/>
    <cellStyle name="Normal GHG whole table 3 2 2 31" xfId="21709" xr:uid="{00000000-0005-0000-0000-0000CD540000}"/>
    <cellStyle name="Normal GHG whole table 3 2 2 32" xfId="21710" xr:uid="{00000000-0005-0000-0000-0000CE540000}"/>
    <cellStyle name="Normal GHG whole table 3 2 2 33" xfId="21711" xr:uid="{00000000-0005-0000-0000-0000CF540000}"/>
    <cellStyle name="Normal GHG whole table 3 2 2 34" xfId="21712" xr:uid="{00000000-0005-0000-0000-0000D0540000}"/>
    <cellStyle name="Normal GHG whole table 3 2 2 35" xfId="21713" xr:uid="{00000000-0005-0000-0000-0000D1540000}"/>
    <cellStyle name="Normal GHG whole table 3 2 2 36" xfId="21714" xr:uid="{00000000-0005-0000-0000-0000D2540000}"/>
    <cellStyle name="Normal GHG whole table 3 2 2 37" xfId="21715" xr:uid="{00000000-0005-0000-0000-0000D3540000}"/>
    <cellStyle name="Normal GHG whole table 3 2 2 38" xfId="21716" xr:uid="{00000000-0005-0000-0000-0000D4540000}"/>
    <cellStyle name="Normal GHG whole table 3 2 2 39" xfId="21717" xr:uid="{00000000-0005-0000-0000-0000D5540000}"/>
    <cellStyle name="Normal GHG whole table 3 2 2 4" xfId="21718" xr:uid="{00000000-0005-0000-0000-0000D6540000}"/>
    <cellStyle name="Normal GHG whole table 3 2 2 40" xfId="21719" xr:uid="{00000000-0005-0000-0000-0000D7540000}"/>
    <cellStyle name="Normal GHG whole table 3 2 2 41" xfId="21720" xr:uid="{00000000-0005-0000-0000-0000D8540000}"/>
    <cellStyle name="Normal GHG whole table 3 2 2 42" xfId="21721" xr:uid="{00000000-0005-0000-0000-0000D9540000}"/>
    <cellStyle name="Normal GHG whole table 3 2 2 43" xfId="21722" xr:uid="{00000000-0005-0000-0000-0000DA540000}"/>
    <cellStyle name="Normal GHG whole table 3 2 2 44" xfId="21723" xr:uid="{00000000-0005-0000-0000-0000DB540000}"/>
    <cellStyle name="Normal GHG whole table 3 2 2 45" xfId="21724" xr:uid="{00000000-0005-0000-0000-0000DC540000}"/>
    <cellStyle name="Normal GHG whole table 3 2 2 46" xfId="21725" xr:uid="{00000000-0005-0000-0000-0000DD540000}"/>
    <cellStyle name="Normal GHG whole table 3 2 2 47" xfId="21726" xr:uid="{00000000-0005-0000-0000-0000DE540000}"/>
    <cellStyle name="Normal GHG whole table 3 2 2 48" xfId="21727" xr:uid="{00000000-0005-0000-0000-0000DF540000}"/>
    <cellStyle name="Normal GHG whole table 3 2 2 49" xfId="21728" xr:uid="{00000000-0005-0000-0000-0000E0540000}"/>
    <cellStyle name="Normal GHG whole table 3 2 2 5" xfId="21729" xr:uid="{00000000-0005-0000-0000-0000E1540000}"/>
    <cellStyle name="Normal GHG whole table 3 2 2 50" xfId="21730" xr:uid="{00000000-0005-0000-0000-0000E2540000}"/>
    <cellStyle name="Normal GHG whole table 3 2 2 51" xfId="21731" xr:uid="{00000000-0005-0000-0000-0000E3540000}"/>
    <cellStyle name="Normal GHG whole table 3 2 2 52" xfId="21732" xr:uid="{00000000-0005-0000-0000-0000E4540000}"/>
    <cellStyle name="Normal GHG whole table 3 2 2 53" xfId="21733" xr:uid="{00000000-0005-0000-0000-0000E5540000}"/>
    <cellStyle name="Normal GHG whole table 3 2 2 54" xfId="21734" xr:uid="{00000000-0005-0000-0000-0000E6540000}"/>
    <cellStyle name="Normal GHG whole table 3 2 2 55" xfId="21735" xr:uid="{00000000-0005-0000-0000-0000E7540000}"/>
    <cellStyle name="Normal GHG whole table 3 2 2 56" xfId="21736" xr:uid="{00000000-0005-0000-0000-0000E8540000}"/>
    <cellStyle name="Normal GHG whole table 3 2 2 57" xfId="21737" xr:uid="{00000000-0005-0000-0000-0000E9540000}"/>
    <cellStyle name="Normal GHG whole table 3 2 2 58" xfId="21738" xr:uid="{00000000-0005-0000-0000-0000EA540000}"/>
    <cellStyle name="Normal GHG whole table 3 2 2 59" xfId="21739" xr:uid="{00000000-0005-0000-0000-0000EB540000}"/>
    <cellStyle name="Normal GHG whole table 3 2 2 6" xfId="21740" xr:uid="{00000000-0005-0000-0000-0000EC540000}"/>
    <cellStyle name="Normal GHG whole table 3 2 2 60" xfId="21741" xr:uid="{00000000-0005-0000-0000-0000ED540000}"/>
    <cellStyle name="Normal GHG whole table 3 2 2 61" xfId="21742" xr:uid="{00000000-0005-0000-0000-0000EE540000}"/>
    <cellStyle name="Normal GHG whole table 3 2 2 62" xfId="21743" xr:uid="{00000000-0005-0000-0000-0000EF540000}"/>
    <cellStyle name="Normal GHG whole table 3 2 2 63" xfId="21744" xr:uid="{00000000-0005-0000-0000-0000F0540000}"/>
    <cellStyle name="Normal GHG whole table 3 2 2 64" xfId="21745" xr:uid="{00000000-0005-0000-0000-0000F1540000}"/>
    <cellStyle name="Normal GHG whole table 3 2 2 65" xfId="21746" xr:uid="{00000000-0005-0000-0000-0000F2540000}"/>
    <cellStyle name="Normal GHG whole table 3 2 2 7" xfId="21747" xr:uid="{00000000-0005-0000-0000-0000F3540000}"/>
    <cellStyle name="Normal GHG whole table 3 2 2 8" xfId="21748" xr:uid="{00000000-0005-0000-0000-0000F4540000}"/>
    <cellStyle name="Normal GHG whole table 3 2 2 9" xfId="21749" xr:uid="{00000000-0005-0000-0000-0000F5540000}"/>
    <cellStyle name="Normal GHG whole table 3 2 20" xfId="21750" xr:uid="{00000000-0005-0000-0000-0000F6540000}"/>
    <cellStyle name="Normal GHG whole table 3 2 21" xfId="21751" xr:uid="{00000000-0005-0000-0000-0000F7540000}"/>
    <cellStyle name="Normal GHG whole table 3 2 22" xfId="21752" xr:uid="{00000000-0005-0000-0000-0000F8540000}"/>
    <cellStyle name="Normal GHG whole table 3 2 23" xfId="21753" xr:uid="{00000000-0005-0000-0000-0000F9540000}"/>
    <cellStyle name="Normal GHG whole table 3 2 24" xfId="21754" xr:uid="{00000000-0005-0000-0000-0000FA540000}"/>
    <cellStyle name="Normal GHG whole table 3 2 25" xfId="21755" xr:uid="{00000000-0005-0000-0000-0000FB540000}"/>
    <cellStyle name="Normal GHG whole table 3 2 26" xfId="21756" xr:uid="{00000000-0005-0000-0000-0000FC540000}"/>
    <cellStyle name="Normal GHG whole table 3 2 27" xfId="21757" xr:uid="{00000000-0005-0000-0000-0000FD540000}"/>
    <cellStyle name="Normal GHG whole table 3 2 28" xfId="21758" xr:uid="{00000000-0005-0000-0000-0000FE540000}"/>
    <cellStyle name="Normal GHG whole table 3 2 29" xfId="21759" xr:uid="{00000000-0005-0000-0000-0000FF540000}"/>
    <cellStyle name="Normal GHG whole table 3 2 3" xfId="21760" xr:uid="{00000000-0005-0000-0000-000000550000}"/>
    <cellStyle name="Normal GHG whole table 3 2 30" xfId="21761" xr:uid="{00000000-0005-0000-0000-000001550000}"/>
    <cellStyle name="Normal GHG whole table 3 2 31" xfId="21762" xr:uid="{00000000-0005-0000-0000-000002550000}"/>
    <cellStyle name="Normal GHG whole table 3 2 32" xfId="21763" xr:uid="{00000000-0005-0000-0000-000003550000}"/>
    <cellStyle name="Normal GHG whole table 3 2 33" xfId="21764" xr:uid="{00000000-0005-0000-0000-000004550000}"/>
    <cellStyle name="Normal GHG whole table 3 2 34" xfId="21765" xr:uid="{00000000-0005-0000-0000-000005550000}"/>
    <cellStyle name="Normal GHG whole table 3 2 35" xfId="21766" xr:uid="{00000000-0005-0000-0000-000006550000}"/>
    <cellStyle name="Normal GHG whole table 3 2 36" xfId="21767" xr:uid="{00000000-0005-0000-0000-000007550000}"/>
    <cellStyle name="Normal GHG whole table 3 2 37" xfId="21768" xr:uid="{00000000-0005-0000-0000-000008550000}"/>
    <cellStyle name="Normal GHG whole table 3 2 38" xfId="21769" xr:uid="{00000000-0005-0000-0000-000009550000}"/>
    <cellStyle name="Normal GHG whole table 3 2 39" xfId="21770" xr:uid="{00000000-0005-0000-0000-00000A550000}"/>
    <cellStyle name="Normal GHG whole table 3 2 4" xfId="21771" xr:uid="{00000000-0005-0000-0000-00000B550000}"/>
    <cellStyle name="Normal GHG whole table 3 2 40" xfId="21772" xr:uid="{00000000-0005-0000-0000-00000C550000}"/>
    <cellStyle name="Normal GHG whole table 3 2 41" xfId="21773" xr:uid="{00000000-0005-0000-0000-00000D550000}"/>
    <cellStyle name="Normal GHG whole table 3 2 42" xfId="21774" xr:uid="{00000000-0005-0000-0000-00000E550000}"/>
    <cellStyle name="Normal GHG whole table 3 2 43" xfId="21775" xr:uid="{00000000-0005-0000-0000-00000F550000}"/>
    <cellStyle name="Normal GHG whole table 3 2 44" xfId="21776" xr:uid="{00000000-0005-0000-0000-000010550000}"/>
    <cellStyle name="Normal GHG whole table 3 2 45" xfId="21777" xr:uid="{00000000-0005-0000-0000-000011550000}"/>
    <cellStyle name="Normal GHG whole table 3 2 46" xfId="21778" xr:uid="{00000000-0005-0000-0000-000012550000}"/>
    <cellStyle name="Normal GHG whole table 3 2 47" xfId="21779" xr:uid="{00000000-0005-0000-0000-000013550000}"/>
    <cellStyle name="Normal GHG whole table 3 2 48" xfId="21780" xr:uid="{00000000-0005-0000-0000-000014550000}"/>
    <cellStyle name="Normal GHG whole table 3 2 49" xfId="21781" xr:uid="{00000000-0005-0000-0000-000015550000}"/>
    <cellStyle name="Normal GHG whole table 3 2 5" xfId="21782" xr:uid="{00000000-0005-0000-0000-000016550000}"/>
    <cellStyle name="Normal GHG whole table 3 2 50" xfId="21783" xr:uid="{00000000-0005-0000-0000-000017550000}"/>
    <cellStyle name="Normal GHG whole table 3 2 51" xfId="21784" xr:uid="{00000000-0005-0000-0000-000018550000}"/>
    <cellStyle name="Normal GHG whole table 3 2 52" xfId="21785" xr:uid="{00000000-0005-0000-0000-000019550000}"/>
    <cellStyle name="Normal GHG whole table 3 2 53" xfId="21786" xr:uid="{00000000-0005-0000-0000-00001A550000}"/>
    <cellStyle name="Normal GHG whole table 3 2 54" xfId="21787" xr:uid="{00000000-0005-0000-0000-00001B550000}"/>
    <cellStyle name="Normal GHG whole table 3 2 55" xfId="21788" xr:uid="{00000000-0005-0000-0000-00001C550000}"/>
    <cellStyle name="Normal GHG whole table 3 2 56" xfId="21789" xr:uid="{00000000-0005-0000-0000-00001D550000}"/>
    <cellStyle name="Normal GHG whole table 3 2 57" xfId="21790" xr:uid="{00000000-0005-0000-0000-00001E550000}"/>
    <cellStyle name="Normal GHG whole table 3 2 58" xfId="21791" xr:uid="{00000000-0005-0000-0000-00001F550000}"/>
    <cellStyle name="Normal GHG whole table 3 2 59" xfId="21792" xr:uid="{00000000-0005-0000-0000-000020550000}"/>
    <cellStyle name="Normal GHG whole table 3 2 6" xfId="21793" xr:uid="{00000000-0005-0000-0000-000021550000}"/>
    <cellStyle name="Normal GHG whole table 3 2 60" xfId="21794" xr:uid="{00000000-0005-0000-0000-000022550000}"/>
    <cellStyle name="Normal GHG whole table 3 2 61" xfId="21795" xr:uid="{00000000-0005-0000-0000-000023550000}"/>
    <cellStyle name="Normal GHG whole table 3 2 62" xfId="21796" xr:uid="{00000000-0005-0000-0000-000024550000}"/>
    <cellStyle name="Normal GHG whole table 3 2 63" xfId="21797" xr:uid="{00000000-0005-0000-0000-000025550000}"/>
    <cellStyle name="Normal GHG whole table 3 2 64" xfId="21798" xr:uid="{00000000-0005-0000-0000-000026550000}"/>
    <cellStyle name="Normal GHG whole table 3 2 65" xfId="21799" xr:uid="{00000000-0005-0000-0000-000027550000}"/>
    <cellStyle name="Normal GHG whole table 3 2 66" xfId="21800" xr:uid="{00000000-0005-0000-0000-000028550000}"/>
    <cellStyle name="Normal GHG whole table 3 2 7" xfId="21801" xr:uid="{00000000-0005-0000-0000-000029550000}"/>
    <cellStyle name="Normal GHG whole table 3 2 8" xfId="21802" xr:uid="{00000000-0005-0000-0000-00002A550000}"/>
    <cellStyle name="Normal GHG whole table 3 2 9" xfId="21803" xr:uid="{00000000-0005-0000-0000-00002B550000}"/>
    <cellStyle name="Normal GHG whole table 3 20" xfId="21804" xr:uid="{00000000-0005-0000-0000-00002C550000}"/>
    <cellStyle name="Normal GHG whole table 3 21" xfId="21805" xr:uid="{00000000-0005-0000-0000-00002D550000}"/>
    <cellStyle name="Normal GHG whole table 3 22" xfId="21806" xr:uid="{00000000-0005-0000-0000-00002E550000}"/>
    <cellStyle name="Normal GHG whole table 3 23" xfId="21807" xr:uid="{00000000-0005-0000-0000-00002F550000}"/>
    <cellStyle name="Normal GHG whole table 3 24" xfId="21808" xr:uid="{00000000-0005-0000-0000-000030550000}"/>
    <cellStyle name="Normal GHG whole table 3 25" xfId="21809" xr:uid="{00000000-0005-0000-0000-000031550000}"/>
    <cellStyle name="Normal GHG whole table 3 26" xfId="21810" xr:uid="{00000000-0005-0000-0000-000032550000}"/>
    <cellStyle name="Normal GHG whole table 3 27" xfId="21811" xr:uid="{00000000-0005-0000-0000-000033550000}"/>
    <cellStyle name="Normal GHG whole table 3 28" xfId="21812" xr:uid="{00000000-0005-0000-0000-000034550000}"/>
    <cellStyle name="Normal GHG whole table 3 29" xfId="21813" xr:uid="{00000000-0005-0000-0000-000035550000}"/>
    <cellStyle name="Normal GHG whole table 3 3" xfId="21814" xr:uid="{00000000-0005-0000-0000-000036550000}"/>
    <cellStyle name="Normal GHG whole table 3 3 10" xfId="21815" xr:uid="{00000000-0005-0000-0000-000037550000}"/>
    <cellStyle name="Normal GHG whole table 3 3 11" xfId="21816" xr:uid="{00000000-0005-0000-0000-000038550000}"/>
    <cellStyle name="Normal GHG whole table 3 3 12" xfId="21817" xr:uid="{00000000-0005-0000-0000-000039550000}"/>
    <cellStyle name="Normal GHG whole table 3 3 13" xfId="21818" xr:uid="{00000000-0005-0000-0000-00003A550000}"/>
    <cellStyle name="Normal GHG whole table 3 3 14" xfId="21819" xr:uid="{00000000-0005-0000-0000-00003B550000}"/>
    <cellStyle name="Normal GHG whole table 3 3 15" xfId="21820" xr:uid="{00000000-0005-0000-0000-00003C550000}"/>
    <cellStyle name="Normal GHG whole table 3 3 16" xfId="21821" xr:uid="{00000000-0005-0000-0000-00003D550000}"/>
    <cellStyle name="Normal GHG whole table 3 3 17" xfId="21822" xr:uid="{00000000-0005-0000-0000-00003E550000}"/>
    <cellStyle name="Normal GHG whole table 3 3 18" xfId="21823" xr:uid="{00000000-0005-0000-0000-00003F550000}"/>
    <cellStyle name="Normal GHG whole table 3 3 19" xfId="21824" xr:uid="{00000000-0005-0000-0000-000040550000}"/>
    <cellStyle name="Normal GHG whole table 3 3 2" xfId="21825" xr:uid="{00000000-0005-0000-0000-000041550000}"/>
    <cellStyle name="Normal GHG whole table 3 3 2 10" xfId="21826" xr:uid="{00000000-0005-0000-0000-000042550000}"/>
    <cellStyle name="Normal GHG whole table 3 3 2 11" xfId="21827" xr:uid="{00000000-0005-0000-0000-000043550000}"/>
    <cellStyle name="Normal GHG whole table 3 3 2 12" xfId="21828" xr:uid="{00000000-0005-0000-0000-000044550000}"/>
    <cellStyle name="Normal GHG whole table 3 3 2 13" xfId="21829" xr:uid="{00000000-0005-0000-0000-000045550000}"/>
    <cellStyle name="Normal GHG whole table 3 3 2 14" xfId="21830" xr:uid="{00000000-0005-0000-0000-000046550000}"/>
    <cellStyle name="Normal GHG whole table 3 3 2 15" xfId="21831" xr:uid="{00000000-0005-0000-0000-000047550000}"/>
    <cellStyle name="Normal GHG whole table 3 3 2 16" xfId="21832" xr:uid="{00000000-0005-0000-0000-000048550000}"/>
    <cellStyle name="Normal GHG whole table 3 3 2 17" xfId="21833" xr:uid="{00000000-0005-0000-0000-000049550000}"/>
    <cellStyle name="Normal GHG whole table 3 3 2 18" xfId="21834" xr:uid="{00000000-0005-0000-0000-00004A550000}"/>
    <cellStyle name="Normal GHG whole table 3 3 2 19" xfId="21835" xr:uid="{00000000-0005-0000-0000-00004B550000}"/>
    <cellStyle name="Normal GHG whole table 3 3 2 2" xfId="21836" xr:uid="{00000000-0005-0000-0000-00004C550000}"/>
    <cellStyle name="Normal GHG whole table 3 3 2 20" xfId="21837" xr:uid="{00000000-0005-0000-0000-00004D550000}"/>
    <cellStyle name="Normal GHG whole table 3 3 2 21" xfId="21838" xr:uid="{00000000-0005-0000-0000-00004E550000}"/>
    <cellStyle name="Normal GHG whole table 3 3 2 22" xfId="21839" xr:uid="{00000000-0005-0000-0000-00004F550000}"/>
    <cellStyle name="Normal GHG whole table 3 3 2 23" xfId="21840" xr:uid="{00000000-0005-0000-0000-000050550000}"/>
    <cellStyle name="Normal GHG whole table 3 3 2 24" xfId="21841" xr:uid="{00000000-0005-0000-0000-000051550000}"/>
    <cellStyle name="Normal GHG whole table 3 3 2 25" xfId="21842" xr:uid="{00000000-0005-0000-0000-000052550000}"/>
    <cellStyle name="Normal GHG whole table 3 3 2 26" xfId="21843" xr:uid="{00000000-0005-0000-0000-000053550000}"/>
    <cellStyle name="Normal GHG whole table 3 3 2 27" xfId="21844" xr:uid="{00000000-0005-0000-0000-000054550000}"/>
    <cellStyle name="Normal GHG whole table 3 3 2 28" xfId="21845" xr:uid="{00000000-0005-0000-0000-000055550000}"/>
    <cellStyle name="Normal GHG whole table 3 3 2 29" xfId="21846" xr:uid="{00000000-0005-0000-0000-000056550000}"/>
    <cellStyle name="Normal GHG whole table 3 3 2 3" xfId="21847" xr:uid="{00000000-0005-0000-0000-000057550000}"/>
    <cellStyle name="Normal GHG whole table 3 3 2 30" xfId="21848" xr:uid="{00000000-0005-0000-0000-000058550000}"/>
    <cellStyle name="Normal GHG whole table 3 3 2 31" xfId="21849" xr:uid="{00000000-0005-0000-0000-000059550000}"/>
    <cellStyle name="Normal GHG whole table 3 3 2 32" xfId="21850" xr:uid="{00000000-0005-0000-0000-00005A550000}"/>
    <cellStyle name="Normal GHG whole table 3 3 2 33" xfId="21851" xr:uid="{00000000-0005-0000-0000-00005B550000}"/>
    <cellStyle name="Normal GHG whole table 3 3 2 34" xfId="21852" xr:uid="{00000000-0005-0000-0000-00005C550000}"/>
    <cellStyle name="Normal GHG whole table 3 3 2 35" xfId="21853" xr:uid="{00000000-0005-0000-0000-00005D550000}"/>
    <cellStyle name="Normal GHG whole table 3 3 2 36" xfId="21854" xr:uid="{00000000-0005-0000-0000-00005E550000}"/>
    <cellStyle name="Normal GHG whole table 3 3 2 37" xfId="21855" xr:uid="{00000000-0005-0000-0000-00005F550000}"/>
    <cellStyle name="Normal GHG whole table 3 3 2 38" xfId="21856" xr:uid="{00000000-0005-0000-0000-000060550000}"/>
    <cellStyle name="Normal GHG whole table 3 3 2 39" xfId="21857" xr:uid="{00000000-0005-0000-0000-000061550000}"/>
    <cellStyle name="Normal GHG whole table 3 3 2 4" xfId="21858" xr:uid="{00000000-0005-0000-0000-000062550000}"/>
    <cellStyle name="Normal GHG whole table 3 3 2 40" xfId="21859" xr:uid="{00000000-0005-0000-0000-000063550000}"/>
    <cellStyle name="Normal GHG whole table 3 3 2 41" xfId="21860" xr:uid="{00000000-0005-0000-0000-000064550000}"/>
    <cellStyle name="Normal GHG whole table 3 3 2 42" xfId="21861" xr:uid="{00000000-0005-0000-0000-000065550000}"/>
    <cellStyle name="Normal GHG whole table 3 3 2 43" xfId="21862" xr:uid="{00000000-0005-0000-0000-000066550000}"/>
    <cellStyle name="Normal GHG whole table 3 3 2 44" xfId="21863" xr:uid="{00000000-0005-0000-0000-000067550000}"/>
    <cellStyle name="Normal GHG whole table 3 3 2 45" xfId="21864" xr:uid="{00000000-0005-0000-0000-000068550000}"/>
    <cellStyle name="Normal GHG whole table 3 3 2 46" xfId="21865" xr:uid="{00000000-0005-0000-0000-000069550000}"/>
    <cellStyle name="Normal GHG whole table 3 3 2 47" xfId="21866" xr:uid="{00000000-0005-0000-0000-00006A550000}"/>
    <cellStyle name="Normal GHG whole table 3 3 2 48" xfId="21867" xr:uid="{00000000-0005-0000-0000-00006B550000}"/>
    <cellStyle name="Normal GHG whole table 3 3 2 49" xfId="21868" xr:uid="{00000000-0005-0000-0000-00006C550000}"/>
    <cellStyle name="Normal GHG whole table 3 3 2 5" xfId="21869" xr:uid="{00000000-0005-0000-0000-00006D550000}"/>
    <cellStyle name="Normal GHG whole table 3 3 2 50" xfId="21870" xr:uid="{00000000-0005-0000-0000-00006E550000}"/>
    <cellStyle name="Normal GHG whole table 3 3 2 51" xfId="21871" xr:uid="{00000000-0005-0000-0000-00006F550000}"/>
    <cellStyle name="Normal GHG whole table 3 3 2 52" xfId="21872" xr:uid="{00000000-0005-0000-0000-000070550000}"/>
    <cellStyle name="Normal GHG whole table 3 3 2 53" xfId="21873" xr:uid="{00000000-0005-0000-0000-000071550000}"/>
    <cellStyle name="Normal GHG whole table 3 3 2 54" xfId="21874" xr:uid="{00000000-0005-0000-0000-000072550000}"/>
    <cellStyle name="Normal GHG whole table 3 3 2 55" xfId="21875" xr:uid="{00000000-0005-0000-0000-000073550000}"/>
    <cellStyle name="Normal GHG whole table 3 3 2 56" xfId="21876" xr:uid="{00000000-0005-0000-0000-000074550000}"/>
    <cellStyle name="Normal GHG whole table 3 3 2 57" xfId="21877" xr:uid="{00000000-0005-0000-0000-000075550000}"/>
    <cellStyle name="Normal GHG whole table 3 3 2 58" xfId="21878" xr:uid="{00000000-0005-0000-0000-000076550000}"/>
    <cellStyle name="Normal GHG whole table 3 3 2 59" xfId="21879" xr:uid="{00000000-0005-0000-0000-000077550000}"/>
    <cellStyle name="Normal GHG whole table 3 3 2 6" xfId="21880" xr:uid="{00000000-0005-0000-0000-000078550000}"/>
    <cellStyle name="Normal GHG whole table 3 3 2 60" xfId="21881" xr:uid="{00000000-0005-0000-0000-000079550000}"/>
    <cellStyle name="Normal GHG whole table 3 3 2 61" xfId="21882" xr:uid="{00000000-0005-0000-0000-00007A550000}"/>
    <cellStyle name="Normal GHG whole table 3 3 2 62" xfId="21883" xr:uid="{00000000-0005-0000-0000-00007B550000}"/>
    <cellStyle name="Normal GHG whole table 3 3 2 63" xfId="21884" xr:uid="{00000000-0005-0000-0000-00007C550000}"/>
    <cellStyle name="Normal GHG whole table 3 3 2 64" xfId="21885" xr:uid="{00000000-0005-0000-0000-00007D550000}"/>
    <cellStyle name="Normal GHG whole table 3 3 2 65" xfId="21886" xr:uid="{00000000-0005-0000-0000-00007E550000}"/>
    <cellStyle name="Normal GHG whole table 3 3 2 7" xfId="21887" xr:uid="{00000000-0005-0000-0000-00007F550000}"/>
    <cellStyle name="Normal GHG whole table 3 3 2 8" xfId="21888" xr:uid="{00000000-0005-0000-0000-000080550000}"/>
    <cellStyle name="Normal GHG whole table 3 3 2 9" xfId="21889" xr:uid="{00000000-0005-0000-0000-000081550000}"/>
    <cellStyle name="Normal GHG whole table 3 3 20" xfId="21890" xr:uid="{00000000-0005-0000-0000-000082550000}"/>
    <cellStyle name="Normal GHG whole table 3 3 21" xfId="21891" xr:uid="{00000000-0005-0000-0000-000083550000}"/>
    <cellStyle name="Normal GHG whole table 3 3 22" xfId="21892" xr:uid="{00000000-0005-0000-0000-000084550000}"/>
    <cellStyle name="Normal GHG whole table 3 3 23" xfId="21893" xr:uid="{00000000-0005-0000-0000-000085550000}"/>
    <cellStyle name="Normal GHG whole table 3 3 24" xfId="21894" xr:uid="{00000000-0005-0000-0000-000086550000}"/>
    <cellStyle name="Normal GHG whole table 3 3 25" xfId="21895" xr:uid="{00000000-0005-0000-0000-000087550000}"/>
    <cellStyle name="Normal GHG whole table 3 3 26" xfId="21896" xr:uid="{00000000-0005-0000-0000-000088550000}"/>
    <cellStyle name="Normal GHG whole table 3 3 27" xfId="21897" xr:uid="{00000000-0005-0000-0000-000089550000}"/>
    <cellStyle name="Normal GHG whole table 3 3 28" xfId="21898" xr:uid="{00000000-0005-0000-0000-00008A550000}"/>
    <cellStyle name="Normal GHG whole table 3 3 29" xfId="21899" xr:uid="{00000000-0005-0000-0000-00008B550000}"/>
    <cellStyle name="Normal GHG whole table 3 3 3" xfId="21900" xr:uid="{00000000-0005-0000-0000-00008C550000}"/>
    <cellStyle name="Normal GHG whole table 3 3 30" xfId="21901" xr:uid="{00000000-0005-0000-0000-00008D550000}"/>
    <cellStyle name="Normal GHG whole table 3 3 31" xfId="21902" xr:uid="{00000000-0005-0000-0000-00008E550000}"/>
    <cellStyle name="Normal GHG whole table 3 3 32" xfId="21903" xr:uid="{00000000-0005-0000-0000-00008F550000}"/>
    <cellStyle name="Normal GHG whole table 3 3 33" xfId="21904" xr:uid="{00000000-0005-0000-0000-000090550000}"/>
    <cellStyle name="Normal GHG whole table 3 3 34" xfId="21905" xr:uid="{00000000-0005-0000-0000-000091550000}"/>
    <cellStyle name="Normal GHG whole table 3 3 35" xfId="21906" xr:uid="{00000000-0005-0000-0000-000092550000}"/>
    <cellStyle name="Normal GHG whole table 3 3 36" xfId="21907" xr:uid="{00000000-0005-0000-0000-000093550000}"/>
    <cellStyle name="Normal GHG whole table 3 3 37" xfId="21908" xr:uid="{00000000-0005-0000-0000-000094550000}"/>
    <cellStyle name="Normal GHG whole table 3 3 38" xfId="21909" xr:uid="{00000000-0005-0000-0000-000095550000}"/>
    <cellStyle name="Normal GHG whole table 3 3 39" xfId="21910" xr:uid="{00000000-0005-0000-0000-000096550000}"/>
    <cellStyle name="Normal GHG whole table 3 3 4" xfId="21911" xr:uid="{00000000-0005-0000-0000-000097550000}"/>
    <cellStyle name="Normal GHG whole table 3 3 40" xfId="21912" xr:uid="{00000000-0005-0000-0000-000098550000}"/>
    <cellStyle name="Normal GHG whole table 3 3 41" xfId="21913" xr:uid="{00000000-0005-0000-0000-000099550000}"/>
    <cellStyle name="Normal GHG whole table 3 3 42" xfId="21914" xr:uid="{00000000-0005-0000-0000-00009A550000}"/>
    <cellStyle name="Normal GHG whole table 3 3 43" xfId="21915" xr:uid="{00000000-0005-0000-0000-00009B550000}"/>
    <cellStyle name="Normal GHG whole table 3 3 44" xfId="21916" xr:uid="{00000000-0005-0000-0000-00009C550000}"/>
    <cellStyle name="Normal GHG whole table 3 3 45" xfId="21917" xr:uid="{00000000-0005-0000-0000-00009D550000}"/>
    <cellStyle name="Normal GHG whole table 3 3 46" xfId="21918" xr:uid="{00000000-0005-0000-0000-00009E550000}"/>
    <cellStyle name="Normal GHG whole table 3 3 47" xfId="21919" xr:uid="{00000000-0005-0000-0000-00009F550000}"/>
    <cellStyle name="Normal GHG whole table 3 3 48" xfId="21920" xr:uid="{00000000-0005-0000-0000-0000A0550000}"/>
    <cellStyle name="Normal GHG whole table 3 3 49" xfId="21921" xr:uid="{00000000-0005-0000-0000-0000A1550000}"/>
    <cellStyle name="Normal GHG whole table 3 3 5" xfId="21922" xr:uid="{00000000-0005-0000-0000-0000A2550000}"/>
    <cellStyle name="Normal GHG whole table 3 3 50" xfId="21923" xr:uid="{00000000-0005-0000-0000-0000A3550000}"/>
    <cellStyle name="Normal GHG whole table 3 3 51" xfId="21924" xr:uid="{00000000-0005-0000-0000-0000A4550000}"/>
    <cellStyle name="Normal GHG whole table 3 3 52" xfId="21925" xr:uid="{00000000-0005-0000-0000-0000A5550000}"/>
    <cellStyle name="Normal GHG whole table 3 3 53" xfId="21926" xr:uid="{00000000-0005-0000-0000-0000A6550000}"/>
    <cellStyle name="Normal GHG whole table 3 3 54" xfId="21927" xr:uid="{00000000-0005-0000-0000-0000A7550000}"/>
    <cellStyle name="Normal GHG whole table 3 3 55" xfId="21928" xr:uid="{00000000-0005-0000-0000-0000A8550000}"/>
    <cellStyle name="Normal GHG whole table 3 3 56" xfId="21929" xr:uid="{00000000-0005-0000-0000-0000A9550000}"/>
    <cellStyle name="Normal GHG whole table 3 3 57" xfId="21930" xr:uid="{00000000-0005-0000-0000-0000AA550000}"/>
    <cellStyle name="Normal GHG whole table 3 3 58" xfId="21931" xr:uid="{00000000-0005-0000-0000-0000AB550000}"/>
    <cellStyle name="Normal GHG whole table 3 3 59" xfId="21932" xr:uid="{00000000-0005-0000-0000-0000AC550000}"/>
    <cellStyle name="Normal GHG whole table 3 3 6" xfId="21933" xr:uid="{00000000-0005-0000-0000-0000AD550000}"/>
    <cellStyle name="Normal GHG whole table 3 3 60" xfId="21934" xr:uid="{00000000-0005-0000-0000-0000AE550000}"/>
    <cellStyle name="Normal GHG whole table 3 3 61" xfId="21935" xr:uid="{00000000-0005-0000-0000-0000AF550000}"/>
    <cellStyle name="Normal GHG whole table 3 3 62" xfId="21936" xr:uid="{00000000-0005-0000-0000-0000B0550000}"/>
    <cellStyle name="Normal GHG whole table 3 3 63" xfId="21937" xr:uid="{00000000-0005-0000-0000-0000B1550000}"/>
    <cellStyle name="Normal GHG whole table 3 3 64" xfId="21938" xr:uid="{00000000-0005-0000-0000-0000B2550000}"/>
    <cellStyle name="Normal GHG whole table 3 3 65" xfId="21939" xr:uid="{00000000-0005-0000-0000-0000B3550000}"/>
    <cellStyle name="Normal GHG whole table 3 3 66" xfId="21940" xr:uid="{00000000-0005-0000-0000-0000B4550000}"/>
    <cellStyle name="Normal GHG whole table 3 3 7" xfId="21941" xr:uid="{00000000-0005-0000-0000-0000B5550000}"/>
    <cellStyle name="Normal GHG whole table 3 3 8" xfId="21942" xr:uid="{00000000-0005-0000-0000-0000B6550000}"/>
    <cellStyle name="Normal GHG whole table 3 3 9" xfId="21943" xr:uid="{00000000-0005-0000-0000-0000B7550000}"/>
    <cellStyle name="Normal GHG whole table 3 30" xfId="21944" xr:uid="{00000000-0005-0000-0000-0000B8550000}"/>
    <cellStyle name="Normal GHG whole table 3 31" xfId="21945" xr:uid="{00000000-0005-0000-0000-0000B9550000}"/>
    <cellStyle name="Normal GHG whole table 3 32" xfId="21946" xr:uid="{00000000-0005-0000-0000-0000BA550000}"/>
    <cellStyle name="Normal GHG whole table 3 33" xfId="21947" xr:uid="{00000000-0005-0000-0000-0000BB550000}"/>
    <cellStyle name="Normal GHG whole table 3 34" xfId="21948" xr:uid="{00000000-0005-0000-0000-0000BC550000}"/>
    <cellStyle name="Normal GHG whole table 3 35" xfId="21949" xr:uid="{00000000-0005-0000-0000-0000BD550000}"/>
    <cellStyle name="Normal GHG whole table 3 36" xfId="21950" xr:uid="{00000000-0005-0000-0000-0000BE550000}"/>
    <cellStyle name="Normal GHG whole table 3 37" xfId="21951" xr:uid="{00000000-0005-0000-0000-0000BF550000}"/>
    <cellStyle name="Normal GHG whole table 3 38" xfId="21952" xr:uid="{00000000-0005-0000-0000-0000C0550000}"/>
    <cellStyle name="Normal GHG whole table 3 39" xfId="21953" xr:uid="{00000000-0005-0000-0000-0000C1550000}"/>
    <cellStyle name="Normal GHG whole table 3 4" xfId="21954" xr:uid="{00000000-0005-0000-0000-0000C2550000}"/>
    <cellStyle name="Normal GHG whole table 3 4 10" xfId="21955" xr:uid="{00000000-0005-0000-0000-0000C3550000}"/>
    <cellStyle name="Normal GHG whole table 3 4 11" xfId="21956" xr:uid="{00000000-0005-0000-0000-0000C4550000}"/>
    <cellStyle name="Normal GHG whole table 3 4 12" xfId="21957" xr:uid="{00000000-0005-0000-0000-0000C5550000}"/>
    <cellStyle name="Normal GHG whole table 3 4 13" xfId="21958" xr:uid="{00000000-0005-0000-0000-0000C6550000}"/>
    <cellStyle name="Normal GHG whole table 3 4 14" xfId="21959" xr:uid="{00000000-0005-0000-0000-0000C7550000}"/>
    <cellStyle name="Normal GHG whole table 3 4 15" xfId="21960" xr:uid="{00000000-0005-0000-0000-0000C8550000}"/>
    <cellStyle name="Normal GHG whole table 3 4 16" xfId="21961" xr:uid="{00000000-0005-0000-0000-0000C9550000}"/>
    <cellStyle name="Normal GHG whole table 3 4 17" xfId="21962" xr:uid="{00000000-0005-0000-0000-0000CA550000}"/>
    <cellStyle name="Normal GHG whole table 3 4 18" xfId="21963" xr:uid="{00000000-0005-0000-0000-0000CB550000}"/>
    <cellStyle name="Normal GHG whole table 3 4 19" xfId="21964" xr:uid="{00000000-0005-0000-0000-0000CC550000}"/>
    <cellStyle name="Normal GHG whole table 3 4 2" xfId="21965" xr:uid="{00000000-0005-0000-0000-0000CD550000}"/>
    <cellStyle name="Normal GHG whole table 3 4 2 10" xfId="21966" xr:uid="{00000000-0005-0000-0000-0000CE550000}"/>
    <cellStyle name="Normal GHG whole table 3 4 2 11" xfId="21967" xr:uid="{00000000-0005-0000-0000-0000CF550000}"/>
    <cellStyle name="Normal GHG whole table 3 4 2 12" xfId="21968" xr:uid="{00000000-0005-0000-0000-0000D0550000}"/>
    <cellStyle name="Normal GHG whole table 3 4 2 13" xfId="21969" xr:uid="{00000000-0005-0000-0000-0000D1550000}"/>
    <cellStyle name="Normal GHG whole table 3 4 2 14" xfId="21970" xr:uid="{00000000-0005-0000-0000-0000D2550000}"/>
    <cellStyle name="Normal GHG whole table 3 4 2 15" xfId="21971" xr:uid="{00000000-0005-0000-0000-0000D3550000}"/>
    <cellStyle name="Normal GHG whole table 3 4 2 16" xfId="21972" xr:uid="{00000000-0005-0000-0000-0000D4550000}"/>
    <cellStyle name="Normal GHG whole table 3 4 2 17" xfId="21973" xr:uid="{00000000-0005-0000-0000-0000D5550000}"/>
    <cellStyle name="Normal GHG whole table 3 4 2 18" xfId="21974" xr:uid="{00000000-0005-0000-0000-0000D6550000}"/>
    <cellStyle name="Normal GHG whole table 3 4 2 19" xfId="21975" xr:uid="{00000000-0005-0000-0000-0000D7550000}"/>
    <cellStyle name="Normal GHG whole table 3 4 2 2" xfId="21976" xr:uid="{00000000-0005-0000-0000-0000D8550000}"/>
    <cellStyle name="Normal GHG whole table 3 4 2 20" xfId="21977" xr:uid="{00000000-0005-0000-0000-0000D9550000}"/>
    <cellStyle name="Normal GHG whole table 3 4 2 21" xfId="21978" xr:uid="{00000000-0005-0000-0000-0000DA550000}"/>
    <cellStyle name="Normal GHG whole table 3 4 2 22" xfId="21979" xr:uid="{00000000-0005-0000-0000-0000DB550000}"/>
    <cellStyle name="Normal GHG whole table 3 4 2 23" xfId="21980" xr:uid="{00000000-0005-0000-0000-0000DC550000}"/>
    <cellStyle name="Normal GHG whole table 3 4 2 24" xfId="21981" xr:uid="{00000000-0005-0000-0000-0000DD550000}"/>
    <cellStyle name="Normal GHG whole table 3 4 2 25" xfId="21982" xr:uid="{00000000-0005-0000-0000-0000DE550000}"/>
    <cellStyle name="Normal GHG whole table 3 4 2 26" xfId="21983" xr:uid="{00000000-0005-0000-0000-0000DF550000}"/>
    <cellStyle name="Normal GHG whole table 3 4 2 27" xfId="21984" xr:uid="{00000000-0005-0000-0000-0000E0550000}"/>
    <cellStyle name="Normal GHG whole table 3 4 2 28" xfId="21985" xr:uid="{00000000-0005-0000-0000-0000E1550000}"/>
    <cellStyle name="Normal GHG whole table 3 4 2 29" xfId="21986" xr:uid="{00000000-0005-0000-0000-0000E2550000}"/>
    <cellStyle name="Normal GHG whole table 3 4 2 3" xfId="21987" xr:uid="{00000000-0005-0000-0000-0000E3550000}"/>
    <cellStyle name="Normal GHG whole table 3 4 2 30" xfId="21988" xr:uid="{00000000-0005-0000-0000-0000E4550000}"/>
    <cellStyle name="Normal GHG whole table 3 4 2 31" xfId="21989" xr:uid="{00000000-0005-0000-0000-0000E5550000}"/>
    <cellStyle name="Normal GHG whole table 3 4 2 32" xfId="21990" xr:uid="{00000000-0005-0000-0000-0000E6550000}"/>
    <cellStyle name="Normal GHG whole table 3 4 2 33" xfId="21991" xr:uid="{00000000-0005-0000-0000-0000E7550000}"/>
    <cellStyle name="Normal GHG whole table 3 4 2 34" xfId="21992" xr:uid="{00000000-0005-0000-0000-0000E8550000}"/>
    <cellStyle name="Normal GHG whole table 3 4 2 35" xfId="21993" xr:uid="{00000000-0005-0000-0000-0000E9550000}"/>
    <cellStyle name="Normal GHG whole table 3 4 2 36" xfId="21994" xr:uid="{00000000-0005-0000-0000-0000EA550000}"/>
    <cellStyle name="Normal GHG whole table 3 4 2 37" xfId="21995" xr:uid="{00000000-0005-0000-0000-0000EB550000}"/>
    <cellStyle name="Normal GHG whole table 3 4 2 38" xfId="21996" xr:uid="{00000000-0005-0000-0000-0000EC550000}"/>
    <cellStyle name="Normal GHG whole table 3 4 2 39" xfId="21997" xr:uid="{00000000-0005-0000-0000-0000ED550000}"/>
    <cellStyle name="Normal GHG whole table 3 4 2 4" xfId="21998" xr:uid="{00000000-0005-0000-0000-0000EE550000}"/>
    <cellStyle name="Normal GHG whole table 3 4 2 40" xfId="21999" xr:uid="{00000000-0005-0000-0000-0000EF550000}"/>
    <cellStyle name="Normal GHG whole table 3 4 2 41" xfId="22000" xr:uid="{00000000-0005-0000-0000-0000F0550000}"/>
    <cellStyle name="Normal GHG whole table 3 4 2 42" xfId="22001" xr:uid="{00000000-0005-0000-0000-0000F1550000}"/>
    <cellStyle name="Normal GHG whole table 3 4 2 43" xfId="22002" xr:uid="{00000000-0005-0000-0000-0000F2550000}"/>
    <cellStyle name="Normal GHG whole table 3 4 2 44" xfId="22003" xr:uid="{00000000-0005-0000-0000-0000F3550000}"/>
    <cellStyle name="Normal GHG whole table 3 4 2 45" xfId="22004" xr:uid="{00000000-0005-0000-0000-0000F4550000}"/>
    <cellStyle name="Normal GHG whole table 3 4 2 46" xfId="22005" xr:uid="{00000000-0005-0000-0000-0000F5550000}"/>
    <cellStyle name="Normal GHG whole table 3 4 2 47" xfId="22006" xr:uid="{00000000-0005-0000-0000-0000F6550000}"/>
    <cellStyle name="Normal GHG whole table 3 4 2 48" xfId="22007" xr:uid="{00000000-0005-0000-0000-0000F7550000}"/>
    <cellStyle name="Normal GHG whole table 3 4 2 49" xfId="22008" xr:uid="{00000000-0005-0000-0000-0000F8550000}"/>
    <cellStyle name="Normal GHG whole table 3 4 2 5" xfId="22009" xr:uid="{00000000-0005-0000-0000-0000F9550000}"/>
    <cellStyle name="Normal GHG whole table 3 4 2 50" xfId="22010" xr:uid="{00000000-0005-0000-0000-0000FA550000}"/>
    <cellStyle name="Normal GHG whole table 3 4 2 51" xfId="22011" xr:uid="{00000000-0005-0000-0000-0000FB550000}"/>
    <cellStyle name="Normal GHG whole table 3 4 2 52" xfId="22012" xr:uid="{00000000-0005-0000-0000-0000FC550000}"/>
    <cellStyle name="Normal GHG whole table 3 4 2 53" xfId="22013" xr:uid="{00000000-0005-0000-0000-0000FD550000}"/>
    <cellStyle name="Normal GHG whole table 3 4 2 54" xfId="22014" xr:uid="{00000000-0005-0000-0000-0000FE550000}"/>
    <cellStyle name="Normal GHG whole table 3 4 2 55" xfId="22015" xr:uid="{00000000-0005-0000-0000-0000FF550000}"/>
    <cellStyle name="Normal GHG whole table 3 4 2 56" xfId="22016" xr:uid="{00000000-0005-0000-0000-000000560000}"/>
    <cellStyle name="Normal GHG whole table 3 4 2 57" xfId="22017" xr:uid="{00000000-0005-0000-0000-000001560000}"/>
    <cellStyle name="Normal GHG whole table 3 4 2 58" xfId="22018" xr:uid="{00000000-0005-0000-0000-000002560000}"/>
    <cellStyle name="Normal GHG whole table 3 4 2 59" xfId="22019" xr:uid="{00000000-0005-0000-0000-000003560000}"/>
    <cellStyle name="Normal GHG whole table 3 4 2 6" xfId="22020" xr:uid="{00000000-0005-0000-0000-000004560000}"/>
    <cellStyle name="Normal GHG whole table 3 4 2 60" xfId="22021" xr:uid="{00000000-0005-0000-0000-000005560000}"/>
    <cellStyle name="Normal GHG whole table 3 4 2 61" xfId="22022" xr:uid="{00000000-0005-0000-0000-000006560000}"/>
    <cellStyle name="Normal GHG whole table 3 4 2 62" xfId="22023" xr:uid="{00000000-0005-0000-0000-000007560000}"/>
    <cellStyle name="Normal GHG whole table 3 4 2 63" xfId="22024" xr:uid="{00000000-0005-0000-0000-000008560000}"/>
    <cellStyle name="Normal GHG whole table 3 4 2 64" xfId="22025" xr:uid="{00000000-0005-0000-0000-000009560000}"/>
    <cellStyle name="Normal GHG whole table 3 4 2 65" xfId="22026" xr:uid="{00000000-0005-0000-0000-00000A560000}"/>
    <cellStyle name="Normal GHG whole table 3 4 2 7" xfId="22027" xr:uid="{00000000-0005-0000-0000-00000B560000}"/>
    <cellStyle name="Normal GHG whole table 3 4 2 8" xfId="22028" xr:uid="{00000000-0005-0000-0000-00000C560000}"/>
    <cellStyle name="Normal GHG whole table 3 4 2 9" xfId="22029" xr:uid="{00000000-0005-0000-0000-00000D560000}"/>
    <cellStyle name="Normal GHG whole table 3 4 20" xfId="22030" xr:uid="{00000000-0005-0000-0000-00000E560000}"/>
    <cellStyle name="Normal GHG whole table 3 4 21" xfId="22031" xr:uid="{00000000-0005-0000-0000-00000F560000}"/>
    <cellStyle name="Normal GHG whole table 3 4 22" xfId="22032" xr:uid="{00000000-0005-0000-0000-000010560000}"/>
    <cellStyle name="Normal GHG whole table 3 4 23" xfId="22033" xr:uid="{00000000-0005-0000-0000-000011560000}"/>
    <cellStyle name="Normal GHG whole table 3 4 24" xfId="22034" xr:uid="{00000000-0005-0000-0000-000012560000}"/>
    <cellStyle name="Normal GHG whole table 3 4 25" xfId="22035" xr:uid="{00000000-0005-0000-0000-000013560000}"/>
    <cellStyle name="Normal GHG whole table 3 4 26" xfId="22036" xr:uid="{00000000-0005-0000-0000-000014560000}"/>
    <cellStyle name="Normal GHG whole table 3 4 27" xfId="22037" xr:uid="{00000000-0005-0000-0000-000015560000}"/>
    <cellStyle name="Normal GHG whole table 3 4 28" xfId="22038" xr:uid="{00000000-0005-0000-0000-000016560000}"/>
    <cellStyle name="Normal GHG whole table 3 4 29" xfId="22039" xr:uid="{00000000-0005-0000-0000-000017560000}"/>
    <cellStyle name="Normal GHG whole table 3 4 3" xfId="22040" xr:uid="{00000000-0005-0000-0000-000018560000}"/>
    <cellStyle name="Normal GHG whole table 3 4 30" xfId="22041" xr:uid="{00000000-0005-0000-0000-000019560000}"/>
    <cellStyle name="Normal GHG whole table 3 4 31" xfId="22042" xr:uid="{00000000-0005-0000-0000-00001A560000}"/>
    <cellStyle name="Normal GHG whole table 3 4 32" xfId="22043" xr:uid="{00000000-0005-0000-0000-00001B560000}"/>
    <cellStyle name="Normal GHG whole table 3 4 33" xfId="22044" xr:uid="{00000000-0005-0000-0000-00001C560000}"/>
    <cellStyle name="Normal GHG whole table 3 4 34" xfId="22045" xr:uid="{00000000-0005-0000-0000-00001D560000}"/>
    <cellStyle name="Normal GHG whole table 3 4 35" xfId="22046" xr:uid="{00000000-0005-0000-0000-00001E560000}"/>
    <cellStyle name="Normal GHG whole table 3 4 36" xfId="22047" xr:uid="{00000000-0005-0000-0000-00001F560000}"/>
    <cellStyle name="Normal GHG whole table 3 4 37" xfId="22048" xr:uid="{00000000-0005-0000-0000-000020560000}"/>
    <cellStyle name="Normal GHG whole table 3 4 38" xfId="22049" xr:uid="{00000000-0005-0000-0000-000021560000}"/>
    <cellStyle name="Normal GHG whole table 3 4 39" xfId="22050" xr:uid="{00000000-0005-0000-0000-000022560000}"/>
    <cellStyle name="Normal GHG whole table 3 4 4" xfId="22051" xr:uid="{00000000-0005-0000-0000-000023560000}"/>
    <cellStyle name="Normal GHG whole table 3 4 40" xfId="22052" xr:uid="{00000000-0005-0000-0000-000024560000}"/>
    <cellStyle name="Normal GHG whole table 3 4 41" xfId="22053" xr:uid="{00000000-0005-0000-0000-000025560000}"/>
    <cellStyle name="Normal GHG whole table 3 4 42" xfId="22054" xr:uid="{00000000-0005-0000-0000-000026560000}"/>
    <cellStyle name="Normal GHG whole table 3 4 43" xfId="22055" xr:uid="{00000000-0005-0000-0000-000027560000}"/>
    <cellStyle name="Normal GHG whole table 3 4 44" xfId="22056" xr:uid="{00000000-0005-0000-0000-000028560000}"/>
    <cellStyle name="Normal GHG whole table 3 4 45" xfId="22057" xr:uid="{00000000-0005-0000-0000-000029560000}"/>
    <cellStyle name="Normal GHG whole table 3 4 46" xfId="22058" xr:uid="{00000000-0005-0000-0000-00002A560000}"/>
    <cellStyle name="Normal GHG whole table 3 4 47" xfId="22059" xr:uid="{00000000-0005-0000-0000-00002B560000}"/>
    <cellStyle name="Normal GHG whole table 3 4 48" xfId="22060" xr:uid="{00000000-0005-0000-0000-00002C560000}"/>
    <cellStyle name="Normal GHG whole table 3 4 49" xfId="22061" xr:uid="{00000000-0005-0000-0000-00002D560000}"/>
    <cellStyle name="Normal GHG whole table 3 4 5" xfId="22062" xr:uid="{00000000-0005-0000-0000-00002E560000}"/>
    <cellStyle name="Normal GHG whole table 3 4 50" xfId="22063" xr:uid="{00000000-0005-0000-0000-00002F560000}"/>
    <cellStyle name="Normal GHG whole table 3 4 51" xfId="22064" xr:uid="{00000000-0005-0000-0000-000030560000}"/>
    <cellStyle name="Normal GHG whole table 3 4 52" xfId="22065" xr:uid="{00000000-0005-0000-0000-000031560000}"/>
    <cellStyle name="Normal GHG whole table 3 4 53" xfId="22066" xr:uid="{00000000-0005-0000-0000-000032560000}"/>
    <cellStyle name="Normal GHG whole table 3 4 54" xfId="22067" xr:uid="{00000000-0005-0000-0000-000033560000}"/>
    <cellStyle name="Normal GHG whole table 3 4 55" xfId="22068" xr:uid="{00000000-0005-0000-0000-000034560000}"/>
    <cellStyle name="Normal GHG whole table 3 4 56" xfId="22069" xr:uid="{00000000-0005-0000-0000-000035560000}"/>
    <cellStyle name="Normal GHG whole table 3 4 57" xfId="22070" xr:uid="{00000000-0005-0000-0000-000036560000}"/>
    <cellStyle name="Normal GHG whole table 3 4 58" xfId="22071" xr:uid="{00000000-0005-0000-0000-000037560000}"/>
    <cellStyle name="Normal GHG whole table 3 4 59" xfId="22072" xr:uid="{00000000-0005-0000-0000-000038560000}"/>
    <cellStyle name="Normal GHG whole table 3 4 6" xfId="22073" xr:uid="{00000000-0005-0000-0000-000039560000}"/>
    <cellStyle name="Normal GHG whole table 3 4 60" xfId="22074" xr:uid="{00000000-0005-0000-0000-00003A560000}"/>
    <cellStyle name="Normal GHG whole table 3 4 61" xfId="22075" xr:uid="{00000000-0005-0000-0000-00003B560000}"/>
    <cellStyle name="Normal GHG whole table 3 4 62" xfId="22076" xr:uid="{00000000-0005-0000-0000-00003C560000}"/>
    <cellStyle name="Normal GHG whole table 3 4 63" xfId="22077" xr:uid="{00000000-0005-0000-0000-00003D560000}"/>
    <cellStyle name="Normal GHG whole table 3 4 64" xfId="22078" xr:uid="{00000000-0005-0000-0000-00003E560000}"/>
    <cellStyle name="Normal GHG whole table 3 4 65" xfId="22079" xr:uid="{00000000-0005-0000-0000-00003F560000}"/>
    <cellStyle name="Normal GHG whole table 3 4 66" xfId="22080" xr:uid="{00000000-0005-0000-0000-000040560000}"/>
    <cellStyle name="Normal GHG whole table 3 4 7" xfId="22081" xr:uid="{00000000-0005-0000-0000-000041560000}"/>
    <cellStyle name="Normal GHG whole table 3 4 8" xfId="22082" xr:uid="{00000000-0005-0000-0000-000042560000}"/>
    <cellStyle name="Normal GHG whole table 3 4 9" xfId="22083" xr:uid="{00000000-0005-0000-0000-000043560000}"/>
    <cellStyle name="Normal GHG whole table 3 40" xfId="22084" xr:uid="{00000000-0005-0000-0000-000044560000}"/>
    <cellStyle name="Normal GHG whole table 3 41" xfId="22085" xr:uid="{00000000-0005-0000-0000-000045560000}"/>
    <cellStyle name="Normal GHG whole table 3 42" xfId="22086" xr:uid="{00000000-0005-0000-0000-000046560000}"/>
    <cellStyle name="Normal GHG whole table 3 43" xfId="22087" xr:uid="{00000000-0005-0000-0000-000047560000}"/>
    <cellStyle name="Normal GHG whole table 3 44" xfId="22088" xr:uid="{00000000-0005-0000-0000-000048560000}"/>
    <cellStyle name="Normal GHG whole table 3 45" xfId="22089" xr:uid="{00000000-0005-0000-0000-000049560000}"/>
    <cellStyle name="Normal GHG whole table 3 46" xfId="22090" xr:uid="{00000000-0005-0000-0000-00004A560000}"/>
    <cellStyle name="Normal GHG whole table 3 47" xfId="22091" xr:uid="{00000000-0005-0000-0000-00004B560000}"/>
    <cellStyle name="Normal GHG whole table 3 48" xfId="22092" xr:uid="{00000000-0005-0000-0000-00004C560000}"/>
    <cellStyle name="Normal GHG whole table 3 49" xfId="22093" xr:uid="{00000000-0005-0000-0000-00004D560000}"/>
    <cellStyle name="Normal GHG whole table 3 5" xfId="22094" xr:uid="{00000000-0005-0000-0000-00004E560000}"/>
    <cellStyle name="Normal GHG whole table 3 50" xfId="22095" xr:uid="{00000000-0005-0000-0000-00004F560000}"/>
    <cellStyle name="Normal GHG whole table 3 51" xfId="22096" xr:uid="{00000000-0005-0000-0000-000050560000}"/>
    <cellStyle name="Normal GHG whole table 3 52" xfId="22097" xr:uid="{00000000-0005-0000-0000-000051560000}"/>
    <cellStyle name="Normal GHG whole table 3 53" xfId="22098" xr:uid="{00000000-0005-0000-0000-000052560000}"/>
    <cellStyle name="Normal GHG whole table 3 54" xfId="22099" xr:uid="{00000000-0005-0000-0000-000053560000}"/>
    <cellStyle name="Normal GHG whole table 3 55" xfId="22100" xr:uid="{00000000-0005-0000-0000-000054560000}"/>
    <cellStyle name="Normal GHG whole table 3 56" xfId="22101" xr:uid="{00000000-0005-0000-0000-000055560000}"/>
    <cellStyle name="Normal GHG whole table 3 57" xfId="22102" xr:uid="{00000000-0005-0000-0000-000056560000}"/>
    <cellStyle name="Normal GHG whole table 3 58" xfId="22103" xr:uid="{00000000-0005-0000-0000-000057560000}"/>
    <cellStyle name="Normal GHG whole table 3 59" xfId="22104" xr:uid="{00000000-0005-0000-0000-000058560000}"/>
    <cellStyle name="Normal GHG whole table 3 6" xfId="22105" xr:uid="{00000000-0005-0000-0000-000059560000}"/>
    <cellStyle name="Normal GHG whole table 3 60" xfId="22106" xr:uid="{00000000-0005-0000-0000-00005A560000}"/>
    <cellStyle name="Normal GHG whole table 3 61" xfId="22107" xr:uid="{00000000-0005-0000-0000-00005B560000}"/>
    <cellStyle name="Normal GHG whole table 3 62" xfId="22108" xr:uid="{00000000-0005-0000-0000-00005C560000}"/>
    <cellStyle name="Normal GHG whole table 3 63" xfId="22109" xr:uid="{00000000-0005-0000-0000-00005D560000}"/>
    <cellStyle name="Normal GHG whole table 3 64" xfId="22110" xr:uid="{00000000-0005-0000-0000-00005E560000}"/>
    <cellStyle name="Normal GHG whole table 3 65" xfId="22111" xr:uid="{00000000-0005-0000-0000-00005F560000}"/>
    <cellStyle name="Normal GHG whole table 3 66" xfId="22112" xr:uid="{00000000-0005-0000-0000-000060560000}"/>
    <cellStyle name="Normal GHG whole table 3 67" xfId="22113" xr:uid="{00000000-0005-0000-0000-000061560000}"/>
    <cellStyle name="Normal GHG whole table 3 68" xfId="22114" xr:uid="{00000000-0005-0000-0000-000062560000}"/>
    <cellStyle name="Normal GHG whole table 3 7" xfId="22115" xr:uid="{00000000-0005-0000-0000-000063560000}"/>
    <cellStyle name="Normal GHG whole table 3 8" xfId="22116" xr:uid="{00000000-0005-0000-0000-000064560000}"/>
    <cellStyle name="Normal GHG whole table 3 9" xfId="22117" xr:uid="{00000000-0005-0000-0000-000065560000}"/>
    <cellStyle name="Normal GHG whole table 4" xfId="22118" xr:uid="{00000000-0005-0000-0000-000066560000}"/>
    <cellStyle name="Normal GHG whole table 4 10" xfId="22119" xr:uid="{00000000-0005-0000-0000-000067560000}"/>
    <cellStyle name="Normal GHG whole table 4 11" xfId="22120" xr:uid="{00000000-0005-0000-0000-000068560000}"/>
    <cellStyle name="Normal GHG whole table 4 12" xfId="22121" xr:uid="{00000000-0005-0000-0000-000069560000}"/>
    <cellStyle name="Normal GHG whole table 4 13" xfId="22122" xr:uid="{00000000-0005-0000-0000-00006A560000}"/>
    <cellStyle name="Normal GHG whole table 4 14" xfId="22123" xr:uid="{00000000-0005-0000-0000-00006B560000}"/>
    <cellStyle name="Normal GHG whole table 4 15" xfId="22124" xr:uid="{00000000-0005-0000-0000-00006C560000}"/>
    <cellStyle name="Normal GHG whole table 4 16" xfId="22125" xr:uid="{00000000-0005-0000-0000-00006D560000}"/>
    <cellStyle name="Normal GHG whole table 4 2" xfId="22126" xr:uid="{00000000-0005-0000-0000-00006E560000}"/>
    <cellStyle name="Normal GHG whole table 4 3" xfId="22127" xr:uid="{00000000-0005-0000-0000-00006F560000}"/>
    <cellStyle name="Normal GHG whole table 4 4" xfId="22128" xr:uid="{00000000-0005-0000-0000-000070560000}"/>
    <cellStyle name="Normal GHG whole table 4 5" xfId="22129" xr:uid="{00000000-0005-0000-0000-000071560000}"/>
    <cellStyle name="Normal GHG whole table 4 6" xfId="22130" xr:uid="{00000000-0005-0000-0000-000072560000}"/>
    <cellStyle name="Normal GHG whole table 4 7" xfId="22131" xr:uid="{00000000-0005-0000-0000-000073560000}"/>
    <cellStyle name="Normal GHG whole table 4 8" xfId="22132" xr:uid="{00000000-0005-0000-0000-000074560000}"/>
    <cellStyle name="Normal GHG whole table 4 9" xfId="22133" xr:uid="{00000000-0005-0000-0000-000075560000}"/>
    <cellStyle name="Normal GHG-Shade" xfId="22134" xr:uid="{00000000-0005-0000-0000-000076560000}"/>
    <cellStyle name="Normal GHG-Shade 2" xfId="22135" xr:uid="{00000000-0005-0000-0000-000077560000}"/>
    <cellStyle name="Normal GHG-Shade 2 2" xfId="22136" xr:uid="{00000000-0005-0000-0000-000078560000}"/>
    <cellStyle name="Normal GHG-Shade 2 3" xfId="22137" xr:uid="{00000000-0005-0000-0000-000079560000}"/>
    <cellStyle name="Normal GHG-Shade 2 4" xfId="22138" xr:uid="{00000000-0005-0000-0000-00007A560000}"/>
    <cellStyle name="Normal GHG-Shade 2 5" xfId="22139" xr:uid="{00000000-0005-0000-0000-00007B560000}"/>
    <cellStyle name="Normal GHG-Shade 3" xfId="22140" xr:uid="{00000000-0005-0000-0000-00007C560000}"/>
    <cellStyle name="Normal GHG-Shade 3 2" xfId="22141" xr:uid="{00000000-0005-0000-0000-00007D560000}"/>
    <cellStyle name="Normal GHG-Shade 4" xfId="22142" xr:uid="{00000000-0005-0000-0000-00007E560000}"/>
    <cellStyle name="Normal GHG-Shade 4 2" xfId="22143" xr:uid="{00000000-0005-0000-0000-00007F560000}"/>
    <cellStyle name="Normal GHG-Shade 4 2 2" xfId="22144" xr:uid="{00000000-0005-0000-0000-000080560000}"/>
    <cellStyle name="Normal GHG-Shade 4 3" xfId="22145" xr:uid="{00000000-0005-0000-0000-000081560000}"/>
    <cellStyle name="Normál_Munka1" xfId="22146" xr:uid="{00000000-0005-0000-0000-000082560000}"/>
    <cellStyle name="Note 2" xfId="22147" xr:uid="{00000000-0005-0000-0000-000083560000}"/>
    <cellStyle name="Note 2 10" xfId="22148" xr:uid="{00000000-0005-0000-0000-000084560000}"/>
    <cellStyle name="Note 2 11" xfId="22149" xr:uid="{00000000-0005-0000-0000-000085560000}"/>
    <cellStyle name="Note 2 12" xfId="22150" xr:uid="{00000000-0005-0000-0000-000086560000}"/>
    <cellStyle name="Note 2 13" xfId="22151" xr:uid="{00000000-0005-0000-0000-000087560000}"/>
    <cellStyle name="Note 2 14" xfId="22152" xr:uid="{00000000-0005-0000-0000-000088560000}"/>
    <cellStyle name="Note 2 15" xfId="22153" xr:uid="{00000000-0005-0000-0000-000089560000}"/>
    <cellStyle name="Note 2 16" xfId="22154" xr:uid="{00000000-0005-0000-0000-00008A560000}"/>
    <cellStyle name="Note 2 17" xfId="22155" xr:uid="{00000000-0005-0000-0000-00008B560000}"/>
    <cellStyle name="Note 2 18" xfId="22156" xr:uid="{00000000-0005-0000-0000-00008C560000}"/>
    <cellStyle name="Note 2 19" xfId="22157" xr:uid="{00000000-0005-0000-0000-00008D560000}"/>
    <cellStyle name="Note 2 2" xfId="22158" xr:uid="{00000000-0005-0000-0000-00008E560000}"/>
    <cellStyle name="Note 2 2 10" xfId="22159" xr:uid="{00000000-0005-0000-0000-00008F560000}"/>
    <cellStyle name="Note 2 2 11" xfId="22160" xr:uid="{00000000-0005-0000-0000-000090560000}"/>
    <cellStyle name="Note 2 2 12" xfId="22161" xr:uid="{00000000-0005-0000-0000-000091560000}"/>
    <cellStyle name="Note 2 2 13" xfId="22162" xr:uid="{00000000-0005-0000-0000-000092560000}"/>
    <cellStyle name="Note 2 2 14" xfId="22163" xr:uid="{00000000-0005-0000-0000-000093560000}"/>
    <cellStyle name="Note 2 2 15" xfId="22164" xr:uid="{00000000-0005-0000-0000-000094560000}"/>
    <cellStyle name="Note 2 2 16" xfId="22165" xr:uid="{00000000-0005-0000-0000-000095560000}"/>
    <cellStyle name="Note 2 2 17" xfId="22166" xr:uid="{00000000-0005-0000-0000-000096560000}"/>
    <cellStyle name="Note 2 2 18" xfId="22167" xr:uid="{00000000-0005-0000-0000-000097560000}"/>
    <cellStyle name="Note 2 2 19" xfId="22168" xr:uid="{00000000-0005-0000-0000-000098560000}"/>
    <cellStyle name="Note 2 2 2" xfId="22169" xr:uid="{00000000-0005-0000-0000-000099560000}"/>
    <cellStyle name="Note 2 2 2 10" xfId="22170" xr:uid="{00000000-0005-0000-0000-00009A560000}"/>
    <cellStyle name="Note 2 2 2 11" xfId="22171" xr:uid="{00000000-0005-0000-0000-00009B560000}"/>
    <cellStyle name="Note 2 2 2 12" xfId="22172" xr:uid="{00000000-0005-0000-0000-00009C560000}"/>
    <cellStyle name="Note 2 2 2 13" xfId="22173" xr:uid="{00000000-0005-0000-0000-00009D560000}"/>
    <cellStyle name="Note 2 2 2 14" xfId="22174" xr:uid="{00000000-0005-0000-0000-00009E560000}"/>
    <cellStyle name="Note 2 2 2 15" xfId="22175" xr:uid="{00000000-0005-0000-0000-00009F560000}"/>
    <cellStyle name="Note 2 2 2 16" xfId="22176" xr:uid="{00000000-0005-0000-0000-0000A0560000}"/>
    <cellStyle name="Note 2 2 2 17" xfId="22177" xr:uid="{00000000-0005-0000-0000-0000A1560000}"/>
    <cellStyle name="Note 2 2 2 18" xfId="22178" xr:uid="{00000000-0005-0000-0000-0000A2560000}"/>
    <cellStyle name="Note 2 2 2 19" xfId="22179" xr:uid="{00000000-0005-0000-0000-0000A3560000}"/>
    <cellStyle name="Note 2 2 2 2" xfId="22180" xr:uid="{00000000-0005-0000-0000-0000A4560000}"/>
    <cellStyle name="Note 2 2 2 20" xfId="22181" xr:uid="{00000000-0005-0000-0000-0000A5560000}"/>
    <cellStyle name="Note 2 2 2 21" xfId="22182" xr:uid="{00000000-0005-0000-0000-0000A6560000}"/>
    <cellStyle name="Note 2 2 2 22" xfId="22183" xr:uid="{00000000-0005-0000-0000-0000A7560000}"/>
    <cellStyle name="Note 2 2 2 23" xfId="22184" xr:uid="{00000000-0005-0000-0000-0000A8560000}"/>
    <cellStyle name="Note 2 2 2 24" xfId="22185" xr:uid="{00000000-0005-0000-0000-0000A9560000}"/>
    <cellStyle name="Note 2 2 2 25" xfId="22186" xr:uid="{00000000-0005-0000-0000-0000AA560000}"/>
    <cellStyle name="Note 2 2 2 26" xfId="22187" xr:uid="{00000000-0005-0000-0000-0000AB560000}"/>
    <cellStyle name="Note 2 2 2 27" xfId="22188" xr:uid="{00000000-0005-0000-0000-0000AC560000}"/>
    <cellStyle name="Note 2 2 2 28" xfId="22189" xr:uid="{00000000-0005-0000-0000-0000AD560000}"/>
    <cellStyle name="Note 2 2 2 29" xfId="22190" xr:uid="{00000000-0005-0000-0000-0000AE560000}"/>
    <cellStyle name="Note 2 2 2 3" xfId="22191" xr:uid="{00000000-0005-0000-0000-0000AF560000}"/>
    <cellStyle name="Note 2 2 2 30" xfId="22192" xr:uid="{00000000-0005-0000-0000-0000B0560000}"/>
    <cellStyle name="Note 2 2 2 31" xfId="22193" xr:uid="{00000000-0005-0000-0000-0000B1560000}"/>
    <cellStyle name="Note 2 2 2 32" xfId="22194" xr:uid="{00000000-0005-0000-0000-0000B2560000}"/>
    <cellStyle name="Note 2 2 2 33" xfId="22195" xr:uid="{00000000-0005-0000-0000-0000B3560000}"/>
    <cellStyle name="Note 2 2 2 34" xfId="22196" xr:uid="{00000000-0005-0000-0000-0000B4560000}"/>
    <cellStyle name="Note 2 2 2 35" xfId="22197" xr:uid="{00000000-0005-0000-0000-0000B5560000}"/>
    <cellStyle name="Note 2 2 2 36" xfId="22198" xr:uid="{00000000-0005-0000-0000-0000B6560000}"/>
    <cellStyle name="Note 2 2 2 37" xfId="22199" xr:uid="{00000000-0005-0000-0000-0000B7560000}"/>
    <cellStyle name="Note 2 2 2 38" xfId="22200" xr:uid="{00000000-0005-0000-0000-0000B8560000}"/>
    <cellStyle name="Note 2 2 2 39" xfId="22201" xr:uid="{00000000-0005-0000-0000-0000B9560000}"/>
    <cellStyle name="Note 2 2 2 4" xfId="22202" xr:uid="{00000000-0005-0000-0000-0000BA560000}"/>
    <cellStyle name="Note 2 2 2 40" xfId="22203" xr:uid="{00000000-0005-0000-0000-0000BB560000}"/>
    <cellStyle name="Note 2 2 2 41" xfId="22204" xr:uid="{00000000-0005-0000-0000-0000BC560000}"/>
    <cellStyle name="Note 2 2 2 42" xfId="22205" xr:uid="{00000000-0005-0000-0000-0000BD560000}"/>
    <cellStyle name="Note 2 2 2 43" xfId="22206" xr:uid="{00000000-0005-0000-0000-0000BE560000}"/>
    <cellStyle name="Note 2 2 2 44" xfId="22207" xr:uid="{00000000-0005-0000-0000-0000BF560000}"/>
    <cellStyle name="Note 2 2 2 45" xfId="22208" xr:uid="{00000000-0005-0000-0000-0000C0560000}"/>
    <cellStyle name="Note 2 2 2 46" xfId="22209" xr:uid="{00000000-0005-0000-0000-0000C1560000}"/>
    <cellStyle name="Note 2 2 2 47" xfId="22210" xr:uid="{00000000-0005-0000-0000-0000C2560000}"/>
    <cellStyle name="Note 2 2 2 48" xfId="22211" xr:uid="{00000000-0005-0000-0000-0000C3560000}"/>
    <cellStyle name="Note 2 2 2 49" xfId="22212" xr:uid="{00000000-0005-0000-0000-0000C4560000}"/>
    <cellStyle name="Note 2 2 2 5" xfId="22213" xr:uid="{00000000-0005-0000-0000-0000C5560000}"/>
    <cellStyle name="Note 2 2 2 50" xfId="22214" xr:uid="{00000000-0005-0000-0000-0000C6560000}"/>
    <cellStyle name="Note 2 2 2 51" xfId="22215" xr:uid="{00000000-0005-0000-0000-0000C7560000}"/>
    <cellStyle name="Note 2 2 2 52" xfId="22216" xr:uid="{00000000-0005-0000-0000-0000C8560000}"/>
    <cellStyle name="Note 2 2 2 53" xfId="22217" xr:uid="{00000000-0005-0000-0000-0000C9560000}"/>
    <cellStyle name="Note 2 2 2 54" xfId="22218" xr:uid="{00000000-0005-0000-0000-0000CA560000}"/>
    <cellStyle name="Note 2 2 2 55" xfId="22219" xr:uid="{00000000-0005-0000-0000-0000CB560000}"/>
    <cellStyle name="Note 2 2 2 56" xfId="22220" xr:uid="{00000000-0005-0000-0000-0000CC560000}"/>
    <cellStyle name="Note 2 2 2 57" xfId="22221" xr:uid="{00000000-0005-0000-0000-0000CD560000}"/>
    <cellStyle name="Note 2 2 2 58" xfId="22222" xr:uid="{00000000-0005-0000-0000-0000CE560000}"/>
    <cellStyle name="Note 2 2 2 59" xfId="22223" xr:uid="{00000000-0005-0000-0000-0000CF560000}"/>
    <cellStyle name="Note 2 2 2 6" xfId="22224" xr:uid="{00000000-0005-0000-0000-0000D0560000}"/>
    <cellStyle name="Note 2 2 2 60" xfId="22225" xr:uid="{00000000-0005-0000-0000-0000D1560000}"/>
    <cellStyle name="Note 2 2 2 61" xfId="22226" xr:uid="{00000000-0005-0000-0000-0000D2560000}"/>
    <cellStyle name="Note 2 2 2 62" xfId="22227" xr:uid="{00000000-0005-0000-0000-0000D3560000}"/>
    <cellStyle name="Note 2 2 2 63" xfId="22228" xr:uid="{00000000-0005-0000-0000-0000D4560000}"/>
    <cellStyle name="Note 2 2 2 64" xfId="22229" xr:uid="{00000000-0005-0000-0000-0000D5560000}"/>
    <cellStyle name="Note 2 2 2 65" xfId="22230" xr:uid="{00000000-0005-0000-0000-0000D6560000}"/>
    <cellStyle name="Note 2 2 2 7" xfId="22231" xr:uid="{00000000-0005-0000-0000-0000D7560000}"/>
    <cellStyle name="Note 2 2 2 8" xfId="22232" xr:uid="{00000000-0005-0000-0000-0000D8560000}"/>
    <cellStyle name="Note 2 2 2 9" xfId="22233" xr:uid="{00000000-0005-0000-0000-0000D9560000}"/>
    <cellStyle name="Note 2 2 20" xfId="22234" xr:uid="{00000000-0005-0000-0000-0000DA560000}"/>
    <cellStyle name="Note 2 2 21" xfId="22235" xr:uid="{00000000-0005-0000-0000-0000DB560000}"/>
    <cellStyle name="Note 2 2 22" xfId="22236" xr:uid="{00000000-0005-0000-0000-0000DC560000}"/>
    <cellStyle name="Note 2 2 23" xfId="22237" xr:uid="{00000000-0005-0000-0000-0000DD560000}"/>
    <cellStyle name="Note 2 2 24" xfId="22238" xr:uid="{00000000-0005-0000-0000-0000DE560000}"/>
    <cellStyle name="Note 2 2 25" xfId="22239" xr:uid="{00000000-0005-0000-0000-0000DF560000}"/>
    <cellStyle name="Note 2 2 26" xfId="22240" xr:uid="{00000000-0005-0000-0000-0000E0560000}"/>
    <cellStyle name="Note 2 2 27" xfId="22241" xr:uid="{00000000-0005-0000-0000-0000E1560000}"/>
    <cellStyle name="Note 2 2 28" xfId="22242" xr:uid="{00000000-0005-0000-0000-0000E2560000}"/>
    <cellStyle name="Note 2 2 29" xfId="22243" xr:uid="{00000000-0005-0000-0000-0000E3560000}"/>
    <cellStyle name="Note 2 2 3" xfId="22244" xr:uid="{00000000-0005-0000-0000-0000E4560000}"/>
    <cellStyle name="Note 2 2 30" xfId="22245" xr:uid="{00000000-0005-0000-0000-0000E5560000}"/>
    <cellStyle name="Note 2 2 31" xfId="22246" xr:uid="{00000000-0005-0000-0000-0000E6560000}"/>
    <cellStyle name="Note 2 2 32" xfId="22247" xr:uid="{00000000-0005-0000-0000-0000E7560000}"/>
    <cellStyle name="Note 2 2 33" xfId="22248" xr:uid="{00000000-0005-0000-0000-0000E8560000}"/>
    <cellStyle name="Note 2 2 34" xfId="22249" xr:uid="{00000000-0005-0000-0000-0000E9560000}"/>
    <cellStyle name="Note 2 2 35" xfId="22250" xr:uid="{00000000-0005-0000-0000-0000EA560000}"/>
    <cellStyle name="Note 2 2 36" xfId="22251" xr:uid="{00000000-0005-0000-0000-0000EB560000}"/>
    <cellStyle name="Note 2 2 37" xfId="22252" xr:uid="{00000000-0005-0000-0000-0000EC560000}"/>
    <cellStyle name="Note 2 2 38" xfId="22253" xr:uid="{00000000-0005-0000-0000-0000ED560000}"/>
    <cellStyle name="Note 2 2 39" xfId="22254" xr:uid="{00000000-0005-0000-0000-0000EE560000}"/>
    <cellStyle name="Note 2 2 4" xfId="22255" xr:uid="{00000000-0005-0000-0000-0000EF560000}"/>
    <cellStyle name="Note 2 2 40" xfId="22256" xr:uid="{00000000-0005-0000-0000-0000F0560000}"/>
    <cellStyle name="Note 2 2 41" xfId="22257" xr:uid="{00000000-0005-0000-0000-0000F1560000}"/>
    <cellStyle name="Note 2 2 42" xfId="22258" xr:uid="{00000000-0005-0000-0000-0000F2560000}"/>
    <cellStyle name="Note 2 2 43" xfId="22259" xr:uid="{00000000-0005-0000-0000-0000F3560000}"/>
    <cellStyle name="Note 2 2 44" xfId="22260" xr:uid="{00000000-0005-0000-0000-0000F4560000}"/>
    <cellStyle name="Note 2 2 45" xfId="22261" xr:uid="{00000000-0005-0000-0000-0000F5560000}"/>
    <cellStyle name="Note 2 2 46" xfId="22262" xr:uid="{00000000-0005-0000-0000-0000F6560000}"/>
    <cellStyle name="Note 2 2 47" xfId="22263" xr:uid="{00000000-0005-0000-0000-0000F7560000}"/>
    <cellStyle name="Note 2 2 48" xfId="22264" xr:uid="{00000000-0005-0000-0000-0000F8560000}"/>
    <cellStyle name="Note 2 2 49" xfId="22265" xr:uid="{00000000-0005-0000-0000-0000F9560000}"/>
    <cellStyle name="Note 2 2 5" xfId="22266" xr:uid="{00000000-0005-0000-0000-0000FA560000}"/>
    <cellStyle name="Note 2 2 50" xfId="22267" xr:uid="{00000000-0005-0000-0000-0000FB560000}"/>
    <cellStyle name="Note 2 2 51" xfId="22268" xr:uid="{00000000-0005-0000-0000-0000FC560000}"/>
    <cellStyle name="Note 2 2 52" xfId="22269" xr:uid="{00000000-0005-0000-0000-0000FD560000}"/>
    <cellStyle name="Note 2 2 53" xfId="22270" xr:uid="{00000000-0005-0000-0000-0000FE560000}"/>
    <cellStyle name="Note 2 2 54" xfId="22271" xr:uid="{00000000-0005-0000-0000-0000FF560000}"/>
    <cellStyle name="Note 2 2 55" xfId="22272" xr:uid="{00000000-0005-0000-0000-000000570000}"/>
    <cellStyle name="Note 2 2 56" xfId="22273" xr:uid="{00000000-0005-0000-0000-000001570000}"/>
    <cellStyle name="Note 2 2 57" xfId="22274" xr:uid="{00000000-0005-0000-0000-000002570000}"/>
    <cellStyle name="Note 2 2 58" xfId="22275" xr:uid="{00000000-0005-0000-0000-000003570000}"/>
    <cellStyle name="Note 2 2 59" xfId="22276" xr:uid="{00000000-0005-0000-0000-000004570000}"/>
    <cellStyle name="Note 2 2 6" xfId="22277" xr:uid="{00000000-0005-0000-0000-000005570000}"/>
    <cellStyle name="Note 2 2 60" xfId="22278" xr:uid="{00000000-0005-0000-0000-000006570000}"/>
    <cellStyle name="Note 2 2 61" xfId="22279" xr:uid="{00000000-0005-0000-0000-000007570000}"/>
    <cellStyle name="Note 2 2 62" xfId="22280" xr:uid="{00000000-0005-0000-0000-000008570000}"/>
    <cellStyle name="Note 2 2 63" xfId="22281" xr:uid="{00000000-0005-0000-0000-000009570000}"/>
    <cellStyle name="Note 2 2 64" xfId="22282" xr:uid="{00000000-0005-0000-0000-00000A570000}"/>
    <cellStyle name="Note 2 2 65" xfId="22283" xr:uid="{00000000-0005-0000-0000-00000B570000}"/>
    <cellStyle name="Note 2 2 66" xfId="22284" xr:uid="{00000000-0005-0000-0000-00000C570000}"/>
    <cellStyle name="Note 2 2 7" xfId="22285" xr:uid="{00000000-0005-0000-0000-00000D570000}"/>
    <cellStyle name="Note 2 2 8" xfId="22286" xr:uid="{00000000-0005-0000-0000-00000E570000}"/>
    <cellStyle name="Note 2 2 9" xfId="22287" xr:uid="{00000000-0005-0000-0000-00000F570000}"/>
    <cellStyle name="Note 2 20" xfId="22288" xr:uid="{00000000-0005-0000-0000-000010570000}"/>
    <cellStyle name="Note 2 21" xfId="22289" xr:uid="{00000000-0005-0000-0000-000011570000}"/>
    <cellStyle name="Note 2 22" xfId="22290" xr:uid="{00000000-0005-0000-0000-000012570000}"/>
    <cellStyle name="Note 2 23" xfId="22291" xr:uid="{00000000-0005-0000-0000-000013570000}"/>
    <cellStyle name="Note 2 24" xfId="22292" xr:uid="{00000000-0005-0000-0000-000014570000}"/>
    <cellStyle name="Note 2 25" xfId="22293" xr:uid="{00000000-0005-0000-0000-000015570000}"/>
    <cellStyle name="Note 2 26" xfId="22294" xr:uid="{00000000-0005-0000-0000-000016570000}"/>
    <cellStyle name="Note 2 27" xfId="22295" xr:uid="{00000000-0005-0000-0000-000017570000}"/>
    <cellStyle name="Note 2 28" xfId="22296" xr:uid="{00000000-0005-0000-0000-000018570000}"/>
    <cellStyle name="Note 2 29" xfId="22297" xr:uid="{00000000-0005-0000-0000-000019570000}"/>
    <cellStyle name="Note 2 3" xfId="22298" xr:uid="{00000000-0005-0000-0000-00001A570000}"/>
    <cellStyle name="Note 2 3 10" xfId="22299" xr:uid="{00000000-0005-0000-0000-00001B570000}"/>
    <cellStyle name="Note 2 3 11" xfId="22300" xr:uid="{00000000-0005-0000-0000-00001C570000}"/>
    <cellStyle name="Note 2 3 12" xfId="22301" xr:uid="{00000000-0005-0000-0000-00001D570000}"/>
    <cellStyle name="Note 2 3 13" xfId="22302" xr:uid="{00000000-0005-0000-0000-00001E570000}"/>
    <cellStyle name="Note 2 3 14" xfId="22303" xr:uid="{00000000-0005-0000-0000-00001F570000}"/>
    <cellStyle name="Note 2 3 15" xfId="22304" xr:uid="{00000000-0005-0000-0000-000020570000}"/>
    <cellStyle name="Note 2 3 16" xfId="22305" xr:uid="{00000000-0005-0000-0000-000021570000}"/>
    <cellStyle name="Note 2 3 17" xfId="22306" xr:uid="{00000000-0005-0000-0000-000022570000}"/>
    <cellStyle name="Note 2 3 18" xfId="22307" xr:uid="{00000000-0005-0000-0000-000023570000}"/>
    <cellStyle name="Note 2 3 19" xfId="22308" xr:uid="{00000000-0005-0000-0000-000024570000}"/>
    <cellStyle name="Note 2 3 2" xfId="22309" xr:uid="{00000000-0005-0000-0000-000025570000}"/>
    <cellStyle name="Note 2 3 2 10" xfId="22310" xr:uid="{00000000-0005-0000-0000-000026570000}"/>
    <cellStyle name="Note 2 3 2 11" xfId="22311" xr:uid="{00000000-0005-0000-0000-000027570000}"/>
    <cellStyle name="Note 2 3 2 12" xfId="22312" xr:uid="{00000000-0005-0000-0000-000028570000}"/>
    <cellStyle name="Note 2 3 2 13" xfId="22313" xr:uid="{00000000-0005-0000-0000-000029570000}"/>
    <cellStyle name="Note 2 3 2 14" xfId="22314" xr:uid="{00000000-0005-0000-0000-00002A570000}"/>
    <cellStyle name="Note 2 3 2 15" xfId="22315" xr:uid="{00000000-0005-0000-0000-00002B570000}"/>
    <cellStyle name="Note 2 3 2 16" xfId="22316" xr:uid="{00000000-0005-0000-0000-00002C570000}"/>
    <cellStyle name="Note 2 3 2 17" xfId="22317" xr:uid="{00000000-0005-0000-0000-00002D570000}"/>
    <cellStyle name="Note 2 3 2 18" xfId="22318" xr:uid="{00000000-0005-0000-0000-00002E570000}"/>
    <cellStyle name="Note 2 3 2 19" xfId="22319" xr:uid="{00000000-0005-0000-0000-00002F570000}"/>
    <cellStyle name="Note 2 3 2 2" xfId="22320" xr:uid="{00000000-0005-0000-0000-000030570000}"/>
    <cellStyle name="Note 2 3 2 20" xfId="22321" xr:uid="{00000000-0005-0000-0000-000031570000}"/>
    <cellStyle name="Note 2 3 2 21" xfId="22322" xr:uid="{00000000-0005-0000-0000-000032570000}"/>
    <cellStyle name="Note 2 3 2 22" xfId="22323" xr:uid="{00000000-0005-0000-0000-000033570000}"/>
    <cellStyle name="Note 2 3 2 23" xfId="22324" xr:uid="{00000000-0005-0000-0000-000034570000}"/>
    <cellStyle name="Note 2 3 2 24" xfId="22325" xr:uid="{00000000-0005-0000-0000-000035570000}"/>
    <cellStyle name="Note 2 3 2 25" xfId="22326" xr:uid="{00000000-0005-0000-0000-000036570000}"/>
    <cellStyle name="Note 2 3 2 26" xfId="22327" xr:uid="{00000000-0005-0000-0000-000037570000}"/>
    <cellStyle name="Note 2 3 2 27" xfId="22328" xr:uid="{00000000-0005-0000-0000-000038570000}"/>
    <cellStyle name="Note 2 3 2 28" xfId="22329" xr:uid="{00000000-0005-0000-0000-000039570000}"/>
    <cellStyle name="Note 2 3 2 29" xfId="22330" xr:uid="{00000000-0005-0000-0000-00003A570000}"/>
    <cellStyle name="Note 2 3 2 3" xfId="22331" xr:uid="{00000000-0005-0000-0000-00003B570000}"/>
    <cellStyle name="Note 2 3 2 30" xfId="22332" xr:uid="{00000000-0005-0000-0000-00003C570000}"/>
    <cellStyle name="Note 2 3 2 31" xfId="22333" xr:uid="{00000000-0005-0000-0000-00003D570000}"/>
    <cellStyle name="Note 2 3 2 32" xfId="22334" xr:uid="{00000000-0005-0000-0000-00003E570000}"/>
    <cellStyle name="Note 2 3 2 33" xfId="22335" xr:uid="{00000000-0005-0000-0000-00003F570000}"/>
    <cellStyle name="Note 2 3 2 34" xfId="22336" xr:uid="{00000000-0005-0000-0000-000040570000}"/>
    <cellStyle name="Note 2 3 2 35" xfId="22337" xr:uid="{00000000-0005-0000-0000-000041570000}"/>
    <cellStyle name="Note 2 3 2 36" xfId="22338" xr:uid="{00000000-0005-0000-0000-000042570000}"/>
    <cellStyle name="Note 2 3 2 37" xfId="22339" xr:uid="{00000000-0005-0000-0000-000043570000}"/>
    <cellStyle name="Note 2 3 2 38" xfId="22340" xr:uid="{00000000-0005-0000-0000-000044570000}"/>
    <cellStyle name="Note 2 3 2 39" xfId="22341" xr:uid="{00000000-0005-0000-0000-000045570000}"/>
    <cellStyle name="Note 2 3 2 4" xfId="22342" xr:uid="{00000000-0005-0000-0000-000046570000}"/>
    <cellStyle name="Note 2 3 2 40" xfId="22343" xr:uid="{00000000-0005-0000-0000-000047570000}"/>
    <cellStyle name="Note 2 3 2 41" xfId="22344" xr:uid="{00000000-0005-0000-0000-000048570000}"/>
    <cellStyle name="Note 2 3 2 42" xfId="22345" xr:uid="{00000000-0005-0000-0000-000049570000}"/>
    <cellStyle name="Note 2 3 2 43" xfId="22346" xr:uid="{00000000-0005-0000-0000-00004A570000}"/>
    <cellStyle name="Note 2 3 2 44" xfId="22347" xr:uid="{00000000-0005-0000-0000-00004B570000}"/>
    <cellStyle name="Note 2 3 2 45" xfId="22348" xr:uid="{00000000-0005-0000-0000-00004C570000}"/>
    <cellStyle name="Note 2 3 2 46" xfId="22349" xr:uid="{00000000-0005-0000-0000-00004D570000}"/>
    <cellStyle name="Note 2 3 2 47" xfId="22350" xr:uid="{00000000-0005-0000-0000-00004E570000}"/>
    <cellStyle name="Note 2 3 2 48" xfId="22351" xr:uid="{00000000-0005-0000-0000-00004F570000}"/>
    <cellStyle name="Note 2 3 2 49" xfId="22352" xr:uid="{00000000-0005-0000-0000-000050570000}"/>
    <cellStyle name="Note 2 3 2 5" xfId="22353" xr:uid="{00000000-0005-0000-0000-000051570000}"/>
    <cellStyle name="Note 2 3 2 50" xfId="22354" xr:uid="{00000000-0005-0000-0000-000052570000}"/>
    <cellStyle name="Note 2 3 2 51" xfId="22355" xr:uid="{00000000-0005-0000-0000-000053570000}"/>
    <cellStyle name="Note 2 3 2 52" xfId="22356" xr:uid="{00000000-0005-0000-0000-000054570000}"/>
    <cellStyle name="Note 2 3 2 53" xfId="22357" xr:uid="{00000000-0005-0000-0000-000055570000}"/>
    <cellStyle name="Note 2 3 2 54" xfId="22358" xr:uid="{00000000-0005-0000-0000-000056570000}"/>
    <cellStyle name="Note 2 3 2 55" xfId="22359" xr:uid="{00000000-0005-0000-0000-000057570000}"/>
    <cellStyle name="Note 2 3 2 56" xfId="22360" xr:uid="{00000000-0005-0000-0000-000058570000}"/>
    <cellStyle name="Note 2 3 2 57" xfId="22361" xr:uid="{00000000-0005-0000-0000-000059570000}"/>
    <cellStyle name="Note 2 3 2 58" xfId="22362" xr:uid="{00000000-0005-0000-0000-00005A570000}"/>
    <cellStyle name="Note 2 3 2 59" xfId="22363" xr:uid="{00000000-0005-0000-0000-00005B570000}"/>
    <cellStyle name="Note 2 3 2 6" xfId="22364" xr:uid="{00000000-0005-0000-0000-00005C570000}"/>
    <cellStyle name="Note 2 3 2 60" xfId="22365" xr:uid="{00000000-0005-0000-0000-00005D570000}"/>
    <cellStyle name="Note 2 3 2 61" xfId="22366" xr:uid="{00000000-0005-0000-0000-00005E570000}"/>
    <cellStyle name="Note 2 3 2 62" xfId="22367" xr:uid="{00000000-0005-0000-0000-00005F570000}"/>
    <cellStyle name="Note 2 3 2 63" xfId="22368" xr:uid="{00000000-0005-0000-0000-000060570000}"/>
    <cellStyle name="Note 2 3 2 64" xfId="22369" xr:uid="{00000000-0005-0000-0000-000061570000}"/>
    <cellStyle name="Note 2 3 2 65" xfId="22370" xr:uid="{00000000-0005-0000-0000-000062570000}"/>
    <cellStyle name="Note 2 3 2 7" xfId="22371" xr:uid="{00000000-0005-0000-0000-000063570000}"/>
    <cellStyle name="Note 2 3 2 8" xfId="22372" xr:uid="{00000000-0005-0000-0000-000064570000}"/>
    <cellStyle name="Note 2 3 2 9" xfId="22373" xr:uid="{00000000-0005-0000-0000-000065570000}"/>
    <cellStyle name="Note 2 3 20" xfId="22374" xr:uid="{00000000-0005-0000-0000-000066570000}"/>
    <cellStyle name="Note 2 3 21" xfId="22375" xr:uid="{00000000-0005-0000-0000-000067570000}"/>
    <cellStyle name="Note 2 3 22" xfId="22376" xr:uid="{00000000-0005-0000-0000-000068570000}"/>
    <cellStyle name="Note 2 3 23" xfId="22377" xr:uid="{00000000-0005-0000-0000-000069570000}"/>
    <cellStyle name="Note 2 3 24" xfId="22378" xr:uid="{00000000-0005-0000-0000-00006A570000}"/>
    <cellStyle name="Note 2 3 25" xfId="22379" xr:uid="{00000000-0005-0000-0000-00006B570000}"/>
    <cellStyle name="Note 2 3 26" xfId="22380" xr:uid="{00000000-0005-0000-0000-00006C570000}"/>
    <cellStyle name="Note 2 3 27" xfId="22381" xr:uid="{00000000-0005-0000-0000-00006D570000}"/>
    <cellStyle name="Note 2 3 28" xfId="22382" xr:uid="{00000000-0005-0000-0000-00006E570000}"/>
    <cellStyle name="Note 2 3 29" xfId="22383" xr:uid="{00000000-0005-0000-0000-00006F570000}"/>
    <cellStyle name="Note 2 3 3" xfId="22384" xr:uid="{00000000-0005-0000-0000-000070570000}"/>
    <cellStyle name="Note 2 3 30" xfId="22385" xr:uid="{00000000-0005-0000-0000-000071570000}"/>
    <cellStyle name="Note 2 3 31" xfId="22386" xr:uid="{00000000-0005-0000-0000-000072570000}"/>
    <cellStyle name="Note 2 3 32" xfId="22387" xr:uid="{00000000-0005-0000-0000-000073570000}"/>
    <cellStyle name="Note 2 3 33" xfId="22388" xr:uid="{00000000-0005-0000-0000-000074570000}"/>
    <cellStyle name="Note 2 3 34" xfId="22389" xr:uid="{00000000-0005-0000-0000-000075570000}"/>
    <cellStyle name="Note 2 3 35" xfId="22390" xr:uid="{00000000-0005-0000-0000-000076570000}"/>
    <cellStyle name="Note 2 3 36" xfId="22391" xr:uid="{00000000-0005-0000-0000-000077570000}"/>
    <cellStyle name="Note 2 3 37" xfId="22392" xr:uid="{00000000-0005-0000-0000-000078570000}"/>
    <cellStyle name="Note 2 3 38" xfId="22393" xr:uid="{00000000-0005-0000-0000-000079570000}"/>
    <cellStyle name="Note 2 3 39" xfId="22394" xr:uid="{00000000-0005-0000-0000-00007A570000}"/>
    <cellStyle name="Note 2 3 4" xfId="22395" xr:uid="{00000000-0005-0000-0000-00007B570000}"/>
    <cellStyle name="Note 2 3 40" xfId="22396" xr:uid="{00000000-0005-0000-0000-00007C570000}"/>
    <cellStyle name="Note 2 3 41" xfId="22397" xr:uid="{00000000-0005-0000-0000-00007D570000}"/>
    <cellStyle name="Note 2 3 42" xfId="22398" xr:uid="{00000000-0005-0000-0000-00007E570000}"/>
    <cellStyle name="Note 2 3 43" xfId="22399" xr:uid="{00000000-0005-0000-0000-00007F570000}"/>
    <cellStyle name="Note 2 3 44" xfId="22400" xr:uid="{00000000-0005-0000-0000-000080570000}"/>
    <cellStyle name="Note 2 3 45" xfId="22401" xr:uid="{00000000-0005-0000-0000-000081570000}"/>
    <cellStyle name="Note 2 3 46" xfId="22402" xr:uid="{00000000-0005-0000-0000-000082570000}"/>
    <cellStyle name="Note 2 3 47" xfId="22403" xr:uid="{00000000-0005-0000-0000-000083570000}"/>
    <cellStyle name="Note 2 3 48" xfId="22404" xr:uid="{00000000-0005-0000-0000-000084570000}"/>
    <cellStyle name="Note 2 3 49" xfId="22405" xr:uid="{00000000-0005-0000-0000-000085570000}"/>
    <cellStyle name="Note 2 3 5" xfId="22406" xr:uid="{00000000-0005-0000-0000-000086570000}"/>
    <cellStyle name="Note 2 3 50" xfId="22407" xr:uid="{00000000-0005-0000-0000-000087570000}"/>
    <cellStyle name="Note 2 3 51" xfId="22408" xr:uid="{00000000-0005-0000-0000-000088570000}"/>
    <cellStyle name="Note 2 3 52" xfId="22409" xr:uid="{00000000-0005-0000-0000-000089570000}"/>
    <cellStyle name="Note 2 3 53" xfId="22410" xr:uid="{00000000-0005-0000-0000-00008A570000}"/>
    <cellStyle name="Note 2 3 54" xfId="22411" xr:uid="{00000000-0005-0000-0000-00008B570000}"/>
    <cellStyle name="Note 2 3 55" xfId="22412" xr:uid="{00000000-0005-0000-0000-00008C570000}"/>
    <cellStyle name="Note 2 3 56" xfId="22413" xr:uid="{00000000-0005-0000-0000-00008D570000}"/>
    <cellStyle name="Note 2 3 57" xfId="22414" xr:uid="{00000000-0005-0000-0000-00008E570000}"/>
    <cellStyle name="Note 2 3 58" xfId="22415" xr:uid="{00000000-0005-0000-0000-00008F570000}"/>
    <cellStyle name="Note 2 3 59" xfId="22416" xr:uid="{00000000-0005-0000-0000-000090570000}"/>
    <cellStyle name="Note 2 3 6" xfId="22417" xr:uid="{00000000-0005-0000-0000-000091570000}"/>
    <cellStyle name="Note 2 3 60" xfId="22418" xr:uid="{00000000-0005-0000-0000-000092570000}"/>
    <cellStyle name="Note 2 3 61" xfId="22419" xr:uid="{00000000-0005-0000-0000-000093570000}"/>
    <cellStyle name="Note 2 3 62" xfId="22420" xr:uid="{00000000-0005-0000-0000-000094570000}"/>
    <cellStyle name="Note 2 3 63" xfId="22421" xr:uid="{00000000-0005-0000-0000-000095570000}"/>
    <cellStyle name="Note 2 3 64" xfId="22422" xr:uid="{00000000-0005-0000-0000-000096570000}"/>
    <cellStyle name="Note 2 3 65" xfId="22423" xr:uid="{00000000-0005-0000-0000-000097570000}"/>
    <cellStyle name="Note 2 3 66" xfId="22424" xr:uid="{00000000-0005-0000-0000-000098570000}"/>
    <cellStyle name="Note 2 3 7" xfId="22425" xr:uid="{00000000-0005-0000-0000-000099570000}"/>
    <cellStyle name="Note 2 3 8" xfId="22426" xr:uid="{00000000-0005-0000-0000-00009A570000}"/>
    <cellStyle name="Note 2 3 9" xfId="22427" xr:uid="{00000000-0005-0000-0000-00009B570000}"/>
    <cellStyle name="Note 2 30" xfId="22428" xr:uid="{00000000-0005-0000-0000-00009C570000}"/>
    <cellStyle name="Note 2 31" xfId="22429" xr:uid="{00000000-0005-0000-0000-00009D570000}"/>
    <cellStyle name="Note 2 32" xfId="22430" xr:uid="{00000000-0005-0000-0000-00009E570000}"/>
    <cellStyle name="Note 2 33" xfId="22431" xr:uid="{00000000-0005-0000-0000-00009F570000}"/>
    <cellStyle name="Note 2 34" xfId="22432" xr:uid="{00000000-0005-0000-0000-0000A0570000}"/>
    <cellStyle name="Note 2 35" xfId="22433" xr:uid="{00000000-0005-0000-0000-0000A1570000}"/>
    <cellStyle name="Note 2 36" xfId="22434" xr:uid="{00000000-0005-0000-0000-0000A2570000}"/>
    <cellStyle name="Note 2 37" xfId="22435" xr:uid="{00000000-0005-0000-0000-0000A3570000}"/>
    <cellStyle name="Note 2 38" xfId="22436" xr:uid="{00000000-0005-0000-0000-0000A4570000}"/>
    <cellStyle name="Note 2 39" xfId="22437" xr:uid="{00000000-0005-0000-0000-0000A5570000}"/>
    <cellStyle name="Note 2 4" xfId="22438" xr:uid="{00000000-0005-0000-0000-0000A6570000}"/>
    <cellStyle name="Note 2 4 10" xfId="22439" xr:uid="{00000000-0005-0000-0000-0000A7570000}"/>
    <cellStyle name="Note 2 4 11" xfId="22440" xr:uid="{00000000-0005-0000-0000-0000A8570000}"/>
    <cellStyle name="Note 2 4 12" xfId="22441" xr:uid="{00000000-0005-0000-0000-0000A9570000}"/>
    <cellStyle name="Note 2 4 13" xfId="22442" xr:uid="{00000000-0005-0000-0000-0000AA570000}"/>
    <cellStyle name="Note 2 4 14" xfId="22443" xr:uid="{00000000-0005-0000-0000-0000AB570000}"/>
    <cellStyle name="Note 2 4 15" xfId="22444" xr:uid="{00000000-0005-0000-0000-0000AC570000}"/>
    <cellStyle name="Note 2 4 16" xfId="22445" xr:uid="{00000000-0005-0000-0000-0000AD570000}"/>
    <cellStyle name="Note 2 4 17" xfId="22446" xr:uid="{00000000-0005-0000-0000-0000AE570000}"/>
    <cellStyle name="Note 2 4 18" xfId="22447" xr:uid="{00000000-0005-0000-0000-0000AF570000}"/>
    <cellStyle name="Note 2 4 19" xfId="22448" xr:uid="{00000000-0005-0000-0000-0000B0570000}"/>
    <cellStyle name="Note 2 4 2" xfId="22449" xr:uid="{00000000-0005-0000-0000-0000B1570000}"/>
    <cellStyle name="Note 2 4 2 10" xfId="22450" xr:uid="{00000000-0005-0000-0000-0000B2570000}"/>
    <cellStyle name="Note 2 4 2 11" xfId="22451" xr:uid="{00000000-0005-0000-0000-0000B3570000}"/>
    <cellStyle name="Note 2 4 2 12" xfId="22452" xr:uid="{00000000-0005-0000-0000-0000B4570000}"/>
    <cellStyle name="Note 2 4 2 13" xfId="22453" xr:uid="{00000000-0005-0000-0000-0000B5570000}"/>
    <cellStyle name="Note 2 4 2 14" xfId="22454" xr:uid="{00000000-0005-0000-0000-0000B6570000}"/>
    <cellStyle name="Note 2 4 2 15" xfId="22455" xr:uid="{00000000-0005-0000-0000-0000B7570000}"/>
    <cellStyle name="Note 2 4 2 16" xfId="22456" xr:uid="{00000000-0005-0000-0000-0000B8570000}"/>
    <cellStyle name="Note 2 4 2 17" xfId="22457" xr:uid="{00000000-0005-0000-0000-0000B9570000}"/>
    <cellStyle name="Note 2 4 2 18" xfId="22458" xr:uid="{00000000-0005-0000-0000-0000BA570000}"/>
    <cellStyle name="Note 2 4 2 19" xfId="22459" xr:uid="{00000000-0005-0000-0000-0000BB570000}"/>
    <cellStyle name="Note 2 4 2 2" xfId="22460" xr:uid="{00000000-0005-0000-0000-0000BC570000}"/>
    <cellStyle name="Note 2 4 2 20" xfId="22461" xr:uid="{00000000-0005-0000-0000-0000BD570000}"/>
    <cellStyle name="Note 2 4 2 21" xfId="22462" xr:uid="{00000000-0005-0000-0000-0000BE570000}"/>
    <cellStyle name="Note 2 4 2 22" xfId="22463" xr:uid="{00000000-0005-0000-0000-0000BF570000}"/>
    <cellStyle name="Note 2 4 2 23" xfId="22464" xr:uid="{00000000-0005-0000-0000-0000C0570000}"/>
    <cellStyle name="Note 2 4 2 24" xfId="22465" xr:uid="{00000000-0005-0000-0000-0000C1570000}"/>
    <cellStyle name="Note 2 4 2 25" xfId="22466" xr:uid="{00000000-0005-0000-0000-0000C2570000}"/>
    <cellStyle name="Note 2 4 2 26" xfId="22467" xr:uid="{00000000-0005-0000-0000-0000C3570000}"/>
    <cellStyle name="Note 2 4 2 27" xfId="22468" xr:uid="{00000000-0005-0000-0000-0000C4570000}"/>
    <cellStyle name="Note 2 4 2 28" xfId="22469" xr:uid="{00000000-0005-0000-0000-0000C5570000}"/>
    <cellStyle name="Note 2 4 2 29" xfId="22470" xr:uid="{00000000-0005-0000-0000-0000C6570000}"/>
    <cellStyle name="Note 2 4 2 3" xfId="22471" xr:uid="{00000000-0005-0000-0000-0000C7570000}"/>
    <cellStyle name="Note 2 4 2 30" xfId="22472" xr:uid="{00000000-0005-0000-0000-0000C8570000}"/>
    <cellStyle name="Note 2 4 2 31" xfId="22473" xr:uid="{00000000-0005-0000-0000-0000C9570000}"/>
    <cellStyle name="Note 2 4 2 32" xfId="22474" xr:uid="{00000000-0005-0000-0000-0000CA570000}"/>
    <cellStyle name="Note 2 4 2 33" xfId="22475" xr:uid="{00000000-0005-0000-0000-0000CB570000}"/>
    <cellStyle name="Note 2 4 2 34" xfId="22476" xr:uid="{00000000-0005-0000-0000-0000CC570000}"/>
    <cellStyle name="Note 2 4 2 35" xfId="22477" xr:uid="{00000000-0005-0000-0000-0000CD570000}"/>
    <cellStyle name="Note 2 4 2 36" xfId="22478" xr:uid="{00000000-0005-0000-0000-0000CE570000}"/>
    <cellStyle name="Note 2 4 2 37" xfId="22479" xr:uid="{00000000-0005-0000-0000-0000CF570000}"/>
    <cellStyle name="Note 2 4 2 38" xfId="22480" xr:uid="{00000000-0005-0000-0000-0000D0570000}"/>
    <cellStyle name="Note 2 4 2 39" xfId="22481" xr:uid="{00000000-0005-0000-0000-0000D1570000}"/>
    <cellStyle name="Note 2 4 2 4" xfId="22482" xr:uid="{00000000-0005-0000-0000-0000D2570000}"/>
    <cellStyle name="Note 2 4 2 40" xfId="22483" xr:uid="{00000000-0005-0000-0000-0000D3570000}"/>
    <cellStyle name="Note 2 4 2 41" xfId="22484" xr:uid="{00000000-0005-0000-0000-0000D4570000}"/>
    <cellStyle name="Note 2 4 2 42" xfId="22485" xr:uid="{00000000-0005-0000-0000-0000D5570000}"/>
    <cellStyle name="Note 2 4 2 43" xfId="22486" xr:uid="{00000000-0005-0000-0000-0000D6570000}"/>
    <cellStyle name="Note 2 4 2 44" xfId="22487" xr:uid="{00000000-0005-0000-0000-0000D7570000}"/>
    <cellStyle name="Note 2 4 2 45" xfId="22488" xr:uid="{00000000-0005-0000-0000-0000D8570000}"/>
    <cellStyle name="Note 2 4 2 46" xfId="22489" xr:uid="{00000000-0005-0000-0000-0000D9570000}"/>
    <cellStyle name="Note 2 4 2 47" xfId="22490" xr:uid="{00000000-0005-0000-0000-0000DA570000}"/>
    <cellStyle name="Note 2 4 2 48" xfId="22491" xr:uid="{00000000-0005-0000-0000-0000DB570000}"/>
    <cellStyle name="Note 2 4 2 49" xfId="22492" xr:uid="{00000000-0005-0000-0000-0000DC570000}"/>
    <cellStyle name="Note 2 4 2 5" xfId="22493" xr:uid="{00000000-0005-0000-0000-0000DD570000}"/>
    <cellStyle name="Note 2 4 2 50" xfId="22494" xr:uid="{00000000-0005-0000-0000-0000DE570000}"/>
    <cellStyle name="Note 2 4 2 51" xfId="22495" xr:uid="{00000000-0005-0000-0000-0000DF570000}"/>
    <cellStyle name="Note 2 4 2 52" xfId="22496" xr:uid="{00000000-0005-0000-0000-0000E0570000}"/>
    <cellStyle name="Note 2 4 2 53" xfId="22497" xr:uid="{00000000-0005-0000-0000-0000E1570000}"/>
    <cellStyle name="Note 2 4 2 54" xfId="22498" xr:uid="{00000000-0005-0000-0000-0000E2570000}"/>
    <cellStyle name="Note 2 4 2 55" xfId="22499" xr:uid="{00000000-0005-0000-0000-0000E3570000}"/>
    <cellStyle name="Note 2 4 2 56" xfId="22500" xr:uid="{00000000-0005-0000-0000-0000E4570000}"/>
    <cellStyle name="Note 2 4 2 57" xfId="22501" xr:uid="{00000000-0005-0000-0000-0000E5570000}"/>
    <cellStyle name="Note 2 4 2 58" xfId="22502" xr:uid="{00000000-0005-0000-0000-0000E6570000}"/>
    <cellStyle name="Note 2 4 2 59" xfId="22503" xr:uid="{00000000-0005-0000-0000-0000E7570000}"/>
    <cellStyle name="Note 2 4 2 6" xfId="22504" xr:uid="{00000000-0005-0000-0000-0000E8570000}"/>
    <cellStyle name="Note 2 4 2 60" xfId="22505" xr:uid="{00000000-0005-0000-0000-0000E9570000}"/>
    <cellStyle name="Note 2 4 2 61" xfId="22506" xr:uid="{00000000-0005-0000-0000-0000EA570000}"/>
    <cellStyle name="Note 2 4 2 62" xfId="22507" xr:uid="{00000000-0005-0000-0000-0000EB570000}"/>
    <cellStyle name="Note 2 4 2 63" xfId="22508" xr:uid="{00000000-0005-0000-0000-0000EC570000}"/>
    <cellStyle name="Note 2 4 2 64" xfId="22509" xr:uid="{00000000-0005-0000-0000-0000ED570000}"/>
    <cellStyle name="Note 2 4 2 65" xfId="22510" xr:uid="{00000000-0005-0000-0000-0000EE570000}"/>
    <cellStyle name="Note 2 4 2 7" xfId="22511" xr:uid="{00000000-0005-0000-0000-0000EF570000}"/>
    <cellStyle name="Note 2 4 2 8" xfId="22512" xr:uid="{00000000-0005-0000-0000-0000F0570000}"/>
    <cellStyle name="Note 2 4 2 9" xfId="22513" xr:uid="{00000000-0005-0000-0000-0000F1570000}"/>
    <cellStyle name="Note 2 4 20" xfId="22514" xr:uid="{00000000-0005-0000-0000-0000F2570000}"/>
    <cellStyle name="Note 2 4 21" xfId="22515" xr:uid="{00000000-0005-0000-0000-0000F3570000}"/>
    <cellStyle name="Note 2 4 22" xfId="22516" xr:uid="{00000000-0005-0000-0000-0000F4570000}"/>
    <cellStyle name="Note 2 4 23" xfId="22517" xr:uid="{00000000-0005-0000-0000-0000F5570000}"/>
    <cellStyle name="Note 2 4 24" xfId="22518" xr:uid="{00000000-0005-0000-0000-0000F6570000}"/>
    <cellStyle name="Note 2 4 25" xfId="22519" xr:uid="{00000000-0005-0000-0000-0000F7570000}"/>
    <cellStyle name="Note 2 4 26" xfId="22520" xr:uid="{00000000-0005-0000-0000-0000F8570000}"/>
    <cellStyle name="Note 2 4 27" xfId="22521" xr:uid="{00000000-0005-0000-0000-0000F9570000}"/>
    <cellStyle name="Note 2 4 28" xfId="22522" xr:uid="{00000000-0005-0000-0000-0000FA570000}"/>
    <cellStyle name="Note 2 4 29" xfId="22523" xr:uid="{00000000-0005-0000-0000-0000FB570000}"/>
    <cellStyle name="Note 2 4 3" xfId="22524" xr:uid="{00000000-0005-0000-0000-0000FC570000}"/>
    <cellStyle name="Note 2 4 30" xfId="22525" xr:uid="{00000000-0005-0000-0000-0000FD570000}"/>
    <cellStyle name="Note 2 4 31" xfId="22526" xr:uid="{00000000-0005-0000-0000-0000FE570000}"/>
    <cellStyle name="Note 2 4 32" xfId="22527" xr:uid="{00000000-0005-0000-0000-0000FF570000}"/>
    <cellStyle name="Note 2 4 33" xfId="22528" xr:uid="{00000000-0005-0000-0000-000000580000}"/>
    <cellStyle name="Note 2 4 34" xfId="22529" xr:uid="{00000000-0005-0000-0000-000001580000}"/>
    <cellStyle name="Note 2 4 35" xfId="22530" xr:uid="{00000000-0005-0000-0000-000002580000}"/>
    <cellStyle name="Note 2 4 36" xfId="22531" xr:uid="{00000000-0005-0000-0000-000003580000}"/>
    <cellStyle name="Note 2 4 37" xfId="22532" xr:uid="{00000000-0005-0000-0000-000004580000}"/>
    <cellStyle name="Note 2 4 38" xfId="22533" xr:uid="{00000000-0005-0000-0000-000005580000}"/>
    <cellStyle name="Note 2 4 39" xfId="22534" xr:uid="{00000000-0005-0000-0000-000006580000}"/>
    <cellStyle name="Note 2 4 4" xfId="22535" xr:uid="{00000000-0005-0000-0000-000007580000}"/>
    <cellStyle name="Note 2 4 40" xfId="22536" xr:uid="{00000000-0005-0000-0000-000008580000}"/>
    <cellStyle name="Note 2 4 41" xfId="22537" xr:uid="{00000000-0005-0000-0000-000009580000}"/>
    <cellStyle name="Note 2 4 42" xfId="22538" xr:uid="{00000000-0005-0000-0000-00000A580000}"/>
    <cellStyle name="Note 2 4 43" xfId="22539" xr:uid="{00000000-0005-0000-0000-00000B580000}"/>
    <cellStyle name="Note 2 4 44" xfId="22540" xr:uid="{00000000-0005-0000-0000-00000C580000}"/>
    <cellStyle name="Note 2 4 45" xfId="22541" xr:uid="{00000000-0005-0000-0000-00000D580000}"/>
    <cellStyle name="Note 2 4 46" xfId="22542" xr:uid="{00000000-0005-0000-0000-00000E580000}"/>
    <cellStyle name="Note 2 4 47" xfId="22543" xr:uid="{00000000-0005-0000-0000-00000F580000}"/>
    <cellStyle name="Note 2 4 48" xfId="22544" xr:uid="{00000000-0005-0000-0000-000010580000}"/>
    <cellStyle name="Note 2 4 49" xfId="22545" xr:uid="{00000000-0005-0000-0000-000011580000}"/>
    <cellStyle name="Note 2 4 5" xfId="22546" xr:uid="{00000000-0005-0000-0000-000012580000}"/>
    <cellStyle name="Note 2 4 50" xfId="22547" xr:uid="{00000000-0005-0000-0000-000013580000}"/>
    <cellStyle name="Note 2 4 51" xfId="22548" xr:uid="{00000000-0005-0000-0000-000014580000}"/>
    <cellStyle name="Note 2 4 52" xfId="22549" xr:uid="{00000000-0005-0000-0000-000015580000}"/>
    <cellStyle name="Note 2 4 53" xfId="22550" xr:uid="{00000000-0005-0000-0000-000016580000}"/>
    <cellStyle name="Note 2 4 54" xfId="22551" xr:uid="{00000000-0005-0000-0000-000017580000}"/>
    <cellStyle name="Note 2 4 55" xfId="22552" xr:uid="{00000000-0005-0000-0000-000018580000}"/>
    <cellStyle name="Note 2 4 56" xfId="22553" xr:uid="{00000000-0005-0000-0000-000019580000}"/>
    <cellStyle name="Note 2 4 57" xfId="22554" xr:uid="{00000000-0005-0000-0000-00001A580000}"/>
    <cellStyle name="Note 2 4 58" xfId="22555" xr:uid="{00000000-0005-0000-0000-00001B580000}"/>
    <cellStyle name="Note 2 4 59" xfId="22556" xr:uid="{00000000-0005-0000-0000-00001C580000}"/>
    <cellStyle name="Note 2 4 6" xfId="22557" xr:uid="{00000000-0005-0000-0000-00001D580000}"/>
    <cellStyle name="Note 2 4 60" xfId="22558" xr:uid="{00000000-0005-0000-0000-00001E580000}"/>
    <cellStyle name="Note 2 4 61" xfId="22559" xr:uid="{00000000-0005-0000-0000-00001F580000}"/>
    <cellStyle name="Note 2 4 62" xfId="22560" xr:uid="{00000000-0005-0000-0000-000020580000}"/>
    <cellStyle name="Note 2 4 63" xfId="22561" xr:uid="{00000000-0005-0000-0000-000021580000}"/>
    <cellStyle name="Note 2 4 64" xfId="22562" xr:uid="{00000000-0005-0000-0000-000022580000}"/>
    <cellStyle name="Note 2 4 65" xfId="22563" xr:uid="{00000000-0005-0000-0000-000023580000}"/>
    <cellStyle name="Note 2 4 66" xfId="22564" xr:uid="{00000000-0005-0000-0000-000024580000}"/>
    <cellStyle name="Note 2 4 7" xfId="22565" xr:uid="{00000000-0005-0000-0000-000025580000}"/>
    <cellStyle name="Note 2 4 8" xfId="22566" xr:uid="{00000000-0005-0000-0000-000026580000}"/>
    <cellStyle name="Note 2 4 9" xfId="22567" xr:uid="{00000000-0005-0000-0000-000027580000}"/>
    <cellStyle name="Note 2 40" xfId="22568" xr:uid="{00000000-0005-0000-0000-000028580000}"/>
    <cellStyle name="Note 2 41" xfId="22569" xr:uid="{00000000-0005-0000-0000-000029580000}"/>
    <cellStyle name="Note 2 42" xfId="22570" xr:uid="{00000000-0005-0000-0000-00002A580000}"/>
    <cellStyle name="Note 2 43" xfId="22571" xr:uid="{00000000-0005-0000-0000-00002B580000}"/>
    <cellStyle name="Note 2 44" xfId="22572" xr:uid="{00000000-0005-0000-0000-00002C580000}"/>
    <cellStyle name="Note 2 45" xfId="22573" xr:uid="{00000000-0005-0000-0000-00002D580000}"/>
    <cellStyle name="Note 2 46" xfId="22574" xr:uid="{00000000-0005-0000-0000-00002E580000}"/>
    <cellStyle name="Note 2 47" xfId="22575" xr:uid="{00000000-0005-0000-0000-00002F580000}"/>
    <cellStyle name="Note 2 48" xfId="22576" xr:uid="{00000000-0005-0000-0000-000030580000}"/>
    <cellStyle name="Note 2 49" xfId="22577" xr:uid="{00000000-0005-0000-0000-000031580000}"/>
    <cellStyle name="Note 2 5" xfId="22578" xr:uid="{00000000-0005-0000-0000-000032580000}"/>
    <cellStyle name="Note 2 5 10" xfId="22579" xr:uid="{00000000-0005-0000-0000-000033580000}"/>
    <cellStyle name="Note 2 5 11" xfId="22580" xr:uid="{00000000-0005-0000-0000-000034580000}"/>
    <cellStyle name="Note 2 5 12" xfId="22581" xr:uid="{00000000-0005-0000-0000-000035580000}"/>
    <cellStyle name="Note 2 5 13" xfId="22582" xr:uid="{00000000-0005-0000-0000-000036580000}"/>
    <cellStyle name="Note 2 5 14" xfId="22583" xr:uid="{00000000-0005-0000-0000-000037580000}"/>
    <cellStyle name="Note 2 5 15" xfId="22584" xr:uid="{00000000-0005-0000-0000-000038580000}"/>
    <cellStyle name="Note 2 5 16" xfId="22585" xr:uid="{00000000-0005-0000-0000-000039580000}"/>
    <cellStyle name="Note 2 5 17" xfId="22586" xr:uid="{00000000-0005-0000-0000-00003A580000}"/>
    <cellStyle name="Note 2 5 18" xfId="22587" xr:uid="{00000000-0005-0000-0000-00003B580000}"/>
    <cellStyle name="Note 2 5 19" xfId="22588" xr:uid="{00000000-0005-0000-0000-00003C580000}"/>
    <cellStyle name="Note 2 5 2" xfId="22589" xr:uid="{00000000-0005-0000-0000-00003D580000}"/>
    <cellStyle name="Note 2 5 20" xfId="22590" xr:uid="{00000000-0005-0000-0000-00003E580000}"/>
    <cellStyle name="Note 2 5 21" xfId="22591" xr:uid="{00000000-0005-0000-0000-00003F580000}"/>
    <cellStyle name="Note 2 5 22" xfId="22592" xr:uid="{00000000-0005-0000-0000-000040580000}"/>
    <cellStyle name="Note 2 5 23" xfId="22593" xr:uid="{00000000-0005-0000-0000-000041580000}"/>
    <cellStyle name="Note 2 5 24" xfId="22594" xr:uid="{00000000-0005-0000-0000-000042580000}"/>
    <cellStyle name="Note 2 5 25" xfId="22595" xr:uid="{00000000-0005-0000-0000-000043580000}"/>
    <cellStyle name="Note 2 5 26" xfId="22596" xr:uid="{00000000-0005-0000-0000-000044580000}"/>
    <cellStyle name="Note 2 5 27" xfId="22597" xr:uid="{00000000-0005-0000-0000-000045580000}"/>
    <cellStyle name="Note 2 5 28" xfId="22598" xr:uid="{00000000-0005-0000-0000-000046580000}"/>
    <cellStyle name="Note 2 5 29" xfId="22599" xr:uid="{00000000-0005-0000-0000-000047580000}"/>
    <cellStyle name="Note 2 5 3" xfId="22600" xr:uid="{00000000-0005-0000-0000-000048580000}"/>
    <cellStyle name="Note 2 5 30" xfId="22601" xr:uid="{00000000-0005-0000-0000-000049580000}"/>
    <cellStyle name="Note 2 5 31" xfId="22602" xr:uid="{00000000-0005-0000-0000-00004A580000}"/>
    <cellStyle name="Note 2 5 32" xfId="22603" xr:uid="{00000000-0005-0000-0000-00004B580000}"/>
    <cellStyle name="Note 2 5 33" xfId="22604" xr:uid="{00000000-0005-0000-0000-00004C580000}"/>
    <cellStyle name="Note 2 5 34" xfId="22605" xr:uid="{00000000-0005-0000-0000-00004D580000}"/>
    <cellStyle name="Note 2 5 35" xfId="22606" xr:uid="{00000000-0005-0000-0000-00004E580000}"/>
    <cellStyle name="Note 2 5 36" xfId="22607" xr:uid="{00000000-0005-0000-0000-00004F580000}"/>
    <cellStyle name="Note 2 5 37" xfId="22608" xr:uid="{00000000-0005-0000-0000-000050580000}"/>
    <cellStyle name="Note 2 5 38" xfId="22609" xr:uid="{00000000-0005-0000-0000-000051580000}"/>
    <cellStyle name="Note 2 5 39" xfId="22610" xr:uid="{00000000-0005-0000-0000-000052580000}"/>
    <cellStyle name="Note 2 5 4" xfId="22611" xr:uid="{00000000-0005-0000-0000-000053580000}"/>
    <cellStyle name="Note 2 5 40" xfId="22612" xr:uid="{00000000-0005-0000-0000-000054580000}"/>
    <cellStyle name="Note 2 5 41" xfId="22613" xr:uid="{00000000-0005-0000-0000-000055580000}"/>
    <cellStyle name="Note 2 5 42" xfId="22614" xr:uid="{00000000-0005-0000-0000-000056580000}"/>
    <cellStyle name="Note 2 5 43" xfId="22615" xr:uid="{00000000-0005-0000-0000-000057580000}"/>
    <cellStyle name="Note 2 5 44" xfId="22616" xr:uid="{00000000-0005-0000-0000-000058580000}"/>
    <cellStyle name="Note 2 5 45" xfId="22617" xr:uid="{00000000-0005-0000-0000-000059580000}"/>
    <cellStyle name="Note 2 5 46" xfId="22618" xr:uid="{00000000-0005-0000-0000-00005A580000}"/>
    <cellStyle name="Note 2 5 47" xfId="22619" xr:uid="{00000000-0005-0000-0000-00005B580000}"/>
    <cellStyle name="Note 2 5 48" xfId="22620" xr:uid="{00000000-0005-0000-0000-00005C580000}"/>
    <cellStyle name="Note 2 5 49" xfId="22621" xr:uid="{00000000-0005-0000-0000-00005D580000}"/>
    <cellStyle name="Note 2 5 5" xfId="22622" xr:uid="{00000000-0005-0000-0000-00005E580000}"/>
    <cellStyle name="Note 2 5 50" xfId="22623" xr:uid="{00000000-0005-0000-0000-00005F580000}"/>
    <cellStyle name="Note 2 5 51" xfId="22624" xr:uid="{00000000-0005-0000-0000-000060580000}"/>
    <cellStyle name="Note 2 5 52" xfId="22625" xr:uid="{00000000-0005-0000-0000-000061580000}"/>
    <cellStyle name="Note 2 5 53" xfId="22626" xr:uid="{00000000-0005-0000-0000-000062580000}"/>
    <cellStyle name="Note 2 5 54" xfId="22627" xr:uid="{00000000-0005-0000-0000-000063580000}"/>
    <cellStyle name="Note 2 5 55" xfId="22628" xr:uid="{00000000-0005-0000-0000-000064580000}"/>
    <cellStyle name="Note 2 5 56" xfId="22629" xr:uid="{00000000-0005-0000-0000-000065580000}"/>
    <cellStyle name="Note 2 5 57" xfId="22630" xr:uid="{00000000-0005-0000-0000-000066580000}"/>
    <cellStyle name="Note 2 5 58" xfId="22631" xr:uid="{00000000-0005-0000-0000-000067580000}"/>
    <cellStyle name="Note 2 5 59" xfId="22632" xr:uid="{00000000-0005-0000-0000-000068580000}"/>
    <cellStyle name="Note 2 5 6" xfId="22633" xr:uid="{00000000-0005-0000-0000-000069580000}"/>
    <cellStyle name="Note 2 5 60" xfId="22634" xr:uid="{00000000-0005-0000-0000-00006A580000}"/>
    <cellStyle name="Note 2 5 61" xfId="22635" xr:uid="{00000000-0005-0000-0000-00006B580000}"/>
    <cellStyle name="Note 2 5 62" xfId="22636" xr:uid="{00000000-0005-0000-0000-00006C580000}"/>
    <cellStyle name="Note 2 5 63" xfId="22637" xr:uid="{00000000-0005-0000-0000-00006D580000}"/>
    <cellStyle name="Note 2 5 64" xfId="22638" xr:uid="{00000000-0005-0000-0000-00006E580000}"/>
    <cellStyle name="Note 2 5 65" xfId="22639" xr:uid="{00000000-0005-0000-0000-00006F580000}"/>
    <cellStyle name="Note 2 5 7" xfId="22640" xr:uid="{00000000-0005-0000-0000-000070580000}"/>
    <cellStyle name="Note 2 5 8" xfId="22641" xr:uid="{00000000-0005-0000-0000-000071580000}"/>
    <cellStyle name="Note 2 5 9" xfId="22642" xr:uid="{00000000-0005-0000-0000-000072580000}"/>
    <cellStyle name="Note 2 50" xfId="22643" xr:uid="{00000000-0005-0000-0000-000073580000}"/>
    <cellStyle name="Note 2 51" xfId="22644" xr:uid="{00000000-0005-0000-0000-000074580000}"/>
    <cellStyle name="Note 2 52" xfId="22645" xr:uid="{00000000-0005-0000-0000-000075580000}"/>
    <cellStyle name="Note 2 53" xfId="22646" xr:uid="{00000000-0005-0000-0000-000076580000}"/>
    <cellStyle name="Note 2 54" xfId="22647" xr:uid="{00000000-0005-0000-0000-000077580000}"/>
    <cellStyle name="Note 2 55" xfId="22648" xr:uid="{00000000-0005-0000-0000-000078580000}"/>
    <cellStyle name="Note 2 56" xfId="22649" xr:uid="{00000000-0005-0000-0000-000079580000}"/>
    <cellStyle name="Note 2 57" xfId="22650" xr:uid="{00000000-0005-0000-0000-00007A580000}"/>
    <cellStyle name="Note 2 58" xfId="22651" xr:uid="{00000000-0005-0000-0000-00007B580000}"/>
    <cellStyle name="Note 2 59" xfId="22652" xr:uid="{00000000-0005-0000-0000-00007C580000}"/>
    <cellStyle name="Note 2 6" xfId="22653" xr:uid="{00000000-0005-0000-0000-00007D580000}"/>
    <cellStyle name="Note 2 60" xfId="22654" xr:uid="{00000000-0005-0000-0000-00007E580000}"/>
    <cellStyle name="Note 2 61" xfId="22655" xr:uid="{00000000-0005-0000-0000-00007F580000}"/>
    <cellStyle name="Note 2 62" xfId="22656" xr:uid="{00000000-0005-0000-0000-000080580000}"/>
    <cellStyle name="Note 2 63" xfId="22657" xr:uid="{00000000-0005-0000-0000-000081580000}"/>
    <cellStyle name="Note 2 64" xfId="22658" xr:uid="{00000000-0005-0000-0000-000082580000}"/>
    <cellStyle name="Note 2 65" xfId="22659" xr:uid="{00000000-0005-0000-0000-000083580000}"/>
    <cellStyle name="Note 2 66" xfId="22660" xr:uid="{00000000-0005-0000-0000-000084580000}"/>
    <cellStyle name="Note 2 67" xfId="22661" xr:uid="{00000000-0005-0000-0000-000085580000}"/>
    <cellStyle name="Note 2 68" xfId="22662" xr:uid="{00000000-0005-0000-0000-000086580000}"/>
    <cellStyle name="Note 2 69" xfId="22663" xr:uid="{00000000-0005-0000-0000-000087580000}"/>
    <cellStyle name="Note 2 7" xfId="22664" xr:uid="{00000000-0005-0000-0000-000088580000}"/>
    <cellStyle name="Note 2 8" xfId="22665" xr:uid="{00000000-0005-0000-0000-000089580000}"/>
    <cellStyle name="Note 2 9" xfId="22666" xr:uid="{00000000-0005-0000-0000-00008A580000}"/>
    <cellStyle name="Note 3" xfId="22667" xr:uid="{00000000-0005-0000-0000-00008B580000}"/>
    <cellStyle name="Note 3 10" xfId="22668" xr:uid="{00000000-0005-0000-0000-00008C580000}"/>
    <cellStyle name="Note 3 11" xfId="22669" xr:uid="{00000000-0005-0000-0000-00008D580000}"/>
    <cellStyle name="Note 3 12" xfId="22670" xr:uid="{00000000-0005-0000-0000-00008E580000}"/>
    <cellStyle name="Note 3 13" xfId="22671" xr:uid="{00000000-0005-0000-0000-00008F580000}"/>
    <cellStyle name="Note 3 14" xfId="22672" xr:uid="{00000000-0005-0000-0000-000090580000}"/>
    <cellStyle name="Note 3 15" xfId="22673" xr:uid="{00000000-0005-0000-0000-000091580000}"/>
    <cellStyle name="Note 3 16" xfId="22674" xr:uid="{00000000-0005-0000-0000-000092580000}"/>
    <cellStyle name="Note 3 17" xfId="22675" xr:uid="{00000000-0005-0000-0000-000093580000}"/>
    <cellStyle name="Note 3 18" xfId="22676" xr:uid="{00000000-0005-0000-0000-000094580000}"/>
    <cellStyle name="Note 3 19" xfId="22677" xr:uid="{00000000-0005-0000-0000-000095580000}"/>
    <cellStyle name="Note 3 2" xfId="22678" xr:uid="{00000000-0005-0000-0000-000096580000}"/>
    <cellStyle name="Note 3 2 10" xfId="22679" xr:uid="{00000000-0005-0000-0000-000097580000}"/>
    <cellStyle name="Note 3 2 11" xfId="22680" xr:uid="{00000000-0005-0000-0000-000098580000}"/>
    <cellStyle name="Note 3 2 12" xfId="22681" xr:uid="{00000000-0005-0000-0000-000099580000}"/>
    <cellStyle name="Note 3 2 13" xfId="22682" xr:uid="{00000000-0005-0000-0000-00009A580000}"/>
    <cellStyle name="Note 3 2 14" xfId="22683" xr:uid="{00000000-0005-0000-0000-00009B580000}"/>
    <cellStyle name="Note 3 2 15" xfId="22684" xr:uid="{00000000-0005-0000-0000-00009C580000}"/>
    <cellStyle name="Note 3 2 16" xfId="22685" xr:uid="{00000000-0005-0000-0000-00009D580000}"/>
    <cellStyle name="Note 3 2 17" xfId="22686" xr:uid="{00000000-0005-0000-0000-00009E580000}"/>
    <cellStyle name="Note 3 2 18" xfId="22687" xr:uid="{00000000-0005-0000-0000-00009F580000}"/>
    <cellStyle name="Note 3 2 19" xfId="22688" xr:uid="{00000000-0005-0000-0000-0000A0580000}"/>
    <cellStyle name="Note 3 2 2" xfId="22689" xr:uid="{00000000-0005-0000-0000-0000A1580000}"/>
    <cellStyle name="Note 3 2 2 10" xfId="22690" xr:uid="{00000000-0005-0000-0000-0000A2580000}"/>
    <cellStyle name="Note 3 2 2 11" xfId="22691" xr:uid="{00000000-0005-0000-0000-0000A3580000}"/>
    <cellStyle name="Note 3 2 2 12" xfId="22692" xr:uid="{00000000-0005-0000-0000-0000A4580000}"/>
    <cellStyle name="Note 3 2 2 13" xfId="22693" xr:uid="{00000000-0005-0000-0000-0000A5580000}"/>
    <cellStyle name="Note 3 2 2 14" xfId="22694" xr:uid="{00000000-0005-0000-0000-0000A6580000}"/>
    <cellStyle name="Note 3 2 2 15" xfId="22695" xr:uid="{00000000-0005-0000-0000-0000A7580000}"/>
    <cellStyle name="Note 3 2 2 16" xfId="22696" xr:uid="{00000000-0005-0000-0000-0000A8580000}"/>
    <cellStyle name="Note 3 2 2 17" xfId="22697" xr:uid="{00000000-0005-0000-0000-0000A9580000}"/>
    <cellStyle name="Note 3 2 2 18" xfId="22698" xr:uid="{00000000-0005-0000-0000-0000AA580000}"/>
    <cellStyle name="Note 3 2 2 19" xfId="22699" xr:uid="{00000000-0005-0000-0000-0000AB580000}"/>
    <cellStyle name="Note 3 2 2 2" xfId="22700" xr:uid="{00000000-0005-0000-0000-0000AC580000}"/>
    <cellStyle name="Note 3 2 2 20" xfId="22701" xr:uid="{00000000-0005-0000-0000-0000AD580000}"/>
    <cellStyle name="Note 3 2 2 21" xfId="22702" xr:uid="{00000000-0005-0000-0000-0000AE580000}"/>
    <cellStyle name="Note 3 2 2 22" xfId="22703" xr:uid="{00000000-0005-0000-0000-0000AF580000}"/>
    <cellStyle name="Note 3 2 2 23" xfId="22704" xr:uid="{00000000-0005-0000-0000-0000B0580000}"/>
    <cellStyle name="Note 3 2 2 24" xfId="22705" xr:uid="{00000000-0005-0000-0000-0000B1580000}"/>
    <cellStyle name="Note 3 2 2 25" xfId="22706" xr:uid="{00000000-0005-0000-0000-0000B2580000}"/>
    <cellStyle name="Note 3 2 2 26" xfId="22707" xr:uid="{00000000-0005-0000-0000-0000B3580000}"/>
    <cellStyle name="Note 3 2 2 27" xfId="22708" xr:uid="{00000000-0005-0000-0000-0000B4580000}"/>
    <cellStyle name="Note 3 2 2 28" xfId="22709" xr:uid="{00000000-0005-0000-0000-0000B5580000}"/>
    <cellStyle name="Note 3 2 2 29" xfId="22710" xr:uid="{00000000-0005-0000-0000-0000B6580000}"/>
    <cellStyle name="Note 3 2 2 3" xfId="22711" xr:uid="{00000000-0005-0000-0000-0000B7580000}"/>
    <cellStyle name="Note 3 2 2 30" xfId="22712" xr:uid="{00000000-0005-0000-0000-0000B8580000}"/>
    <cellStyle name="Note 3 2 2 31" xfId="22713" xr:uid="{00000000-0005-0000-0000-0000B9580000}"/>
    <cellStyle name="Note 3 2 2 32" xfId="22714" xr:uid="{00000000-0005-0000-0000-0000BA580000}"/>
    <cellStyle name="Note 3 2 2 33" xfId="22715" xr:uid="{00000000-0005-0000-0000-0000BB580000}"/>
    <cellStyle name="Note 3 2 2 34" xfId="22716" xr:uid="{00000000-0005-0000-0000-0000BC580000}"/>
    <cellStyle name="Note 3 2 2 35" xfId="22717" xr:uid="{00000000-0005-0000-0000-0000BD580000}"/>
    <cellStyle name="Note 3 2 2 36" xfId="22718" xr:uid="{00000000-0005-0000-0000-0000BE580000}"/>
    <cellStyle name="Note 3 2 2 37" xfId="22719" xr:uid="{00000000-0005-0000-0000-0000BF580000}"/>
    <cellStyle name="Note 3 2 2 38" xfId="22720" xr:uid="{00000000-0005-0000-0000-0000C0580000}"/>
    <cellStyle name="Note 3 2 2 39" xfId="22721" xr:uid="{00000000-0005-0000-0000-0000C1580000}"/>
    <cellStyle name="Note 3 2 2 4" xfId="22722" xr:uid="{00000000-0005-0000-0000-0000C2580000}"/>
    <cellStyle name="Note 3 2 2 40" xfId="22723" xr:uid="{00000000-0005-0000-0000-0000C3580000}"/>
    <cellStyle name="Note 3 2 2 41" xfId="22724" xr:uid="{00000000-0005-0000-0000-0000C4580000}"/>
    <cellStyle name="Note 3 2 2 42" xfId="22725" xr:uid="{00000000-0005-0000-0000-0000C5580000}"/>
    <cellStyle name="Note 3 2 2 43" xfId="22726" xr:uid="{00000000-0005-0000-0000-0000C6580000}"/>
    <cellStyle name="Note 3 2 2 44" xfId="22727" xr:uid="{00000000-0005-0000-0000-0000C7580000}"/>
    <cellStyle name="Note 3 2 2 45" xfId="22728" xr:uid="{00000000-0005-0000-0000-0000C8580000}"/>
    <cellStyle name="Note 3 2 2 46" xfId="22729" xr:uid="{00000000-0005-0000-0000-0000C9580000}"/>
    <cellStyle name="Note 3 2 2 47" xfId="22730" xr:uid="{00000000-0005-0000-0000-0000CA580000}"/>
    <cellStyle name="Note 3 2 2 48" xfId="22731" xr:uid="{00000000-0005-0000-0000-0000CB580000}"/>
    <cellStyle name="Note 3 2 2 49" xfId="22732" xr:uid="{00000000-0005-0000-0000-0000CC580000}"/>
    <cellStyle name="Note 3 2 2 5" xfId="22733" xr:uid="{00000000-0005-0000-0000-0000CD580000}"/>
    <cellStyle name="Note 3 2 2 50" xfId="22734" xr:uid="{00000000-0005-0000-0000-0000CE580000}"/>
    <cellStyle name="Note 3 2 2 51" xfId="22735" xr:uid="{00000000-0005-0000-0000-0000CF580000}"/>
    <cellStyle name="Note 3 2 2 52" xfId="22736" xr:uid="{00000000-0005-0000-0000-0000D0580000}"/>
    <cellStyle name="Note 3 2 2 53" xfId="22737" xr:uid="{00000000-0005-0000-0000-0000D1580000}"/>
    <cellStyle name="Note 3 2 2 54" xfId="22738" xr:uid="{00000000-0005-0000-0000-0000D2580000}"/>
    <cellStyle name="Note 3 2 2 55" xfId="22739" xr:uid="{00000000-0005-0000-0000-0000D3580000}"/>
    <cellStyle name="Note 3 2 2 56" xfId="22740" xr:uid="{00000000-0005-0000-0000-0000D4580000}"/>
    <cellStyle name="Note 3 2 2 57" xfId="22741" xr:uid="{00000000-0005-0000-0000-0000D5580000}"/>
    <cellStyle name="Note 3 2 2 58" xfId="22742" xr:uid="{00000000-0005-0000-0000-0000D6580000}"/>
    <cellStyle name="Note 3 2 2 59" xfId="22743" xr:uid="{00000000-0005-0000-0000-0000D7580000}"/>
    <cellStyle name="Note 3 2 2 6" xfId="22744" xr:uid="{00000000-0005-0000-0000-0000D8580000}"/>
    <cellStyle name="Note 3 2 2 60" xfId="22745" xr:uid="{00000000-0005-0000-0000-0000D9580000}"/>
    <cellStyle name="Note 3 2 2 61" xfId="22746" xr:uid="{00000000-0005-0000-0000-0000DA580000}"/>
    <cellStyle name="Note 3 2 2 62" xfId="22747" xr:uid="{00000000-0005-0000-0000-0000DB580000}"/>
    <cellStyle name="Note 3 2 2 63" xfId="22748" xr:uid="{00000000-0005-0000-0000-0000DC580000}"/>
    <cellStyle name="Note 3 2 2 64" xfId="22749" xr:uid="{00000000-0005-0000-0000-0000DD580000}"/>
    <cellStyle name="Note 3 2 2 65" xfId="22750" xr:uid="{00000000-0005-0000-0000-0000DE580000}"/>
    <cellStyle name="Note 3 2 2 7" xfId="22751" xr:uid="{00000000-0005-0000-0000-0000DF580000}"/>
    <cellStyle name="Note 3 2 2 8" xfId="22752" xr:uid="{00000000-0005-0000-0000-0000E0580000}"/>
    <cellStyle name="Note 3 2 2 9" xfId="22753" xr:uid="{00000000-0005-0000-0000-0000E1580000}"/>
    <cellStyle name="Note 3 2 20" xfId="22754" xr:uid="{00000000-0005-0000-0000-0000E2580000}"/>
    <cellStyle name="Note 3 2 21" xfId="22755" xr:uid="{00000000-0005-0000-0000-0000E3580000}"/>
    <cellStyle name="Note 3 2 22" xfId="22756" xr:uid="{00000000-0005-0000-0000-0000E4580000}"/>
    <cellStyle name="Note 3 2 23" xfId="22757" xr:uid="{00000000-0005-0000-0000-0000E5580000}"/>
    <cellStyle name="Note 3 2 24" xfId="22758" xr:uid="{00000000-0005-0000-0000-0000E6580000}"/>
    <cellStyle name="Note 3 2 25" xfId="22759" xr:uid="{00000000-0005-0000-0000-0000E7580000}"/>
    <cellStyle name="Note 3 2 26" xfId="22760" xr:uid="{00000000-0005-0000-0000-0000E8580000}"/>
    <cellStyle name="Note 3 2 27" xfId="22761" xr:uid="{00000000-0005-0000-0000-0000E9580000}"/>
    <cellStyle name="Note 3 2 28" xfId="22762" xr:uid="{00000000-0005-0000-0000-0000EA580000}"/>
    <cellStyle name="Note 3 2 29" xfId="22763" xr:uid="{00000000-0005-0000-0000-0000EB580000}"/>
    <cellStyle name="Note 3 2 3" xfId="22764" xr:uid="{00000000-0005-0000-0000-0000EC580000}"/>
    <cellStyle name="Note 3 2 30" xfId="22765" xr:uid="{00000000-0005-0000-0000-0000ED580000}"/>
    <cellStyle name="Note 3 2 31" xfId="22766" xr:uid="{00000000-0005-0000-0000-0000EE580000}"/>
    <cellStyle name="Note 3 2 32" xfId="22767" xr:uid="{00000000-0005-0000-0000-0000EF580000}"/>
    <cellStyle name="Note 3 2 33" xfId="22768" xr:uid="{00000000-0005-0000-0000-0000F0580000}"/>
    <cellStyle name="Note 3 2 34" xfId="22769" xr:uid="{00000000-0005-0000-0000-0000F1580000}"/>
    <cellStyle name="Note 3 2 35" xfId="22770" xr:uid="{00000000-0005-0000-0000-0000F2580000}"/>
    <cellStyle name="Note 3 2 36" xfId="22771" xr:uid="{00000000-0005-0000-0000-0000F3580000}"/>
    <cellStyle name="Note 3 2 37" xfId="22772" xr:uid="{00000000-0005-0000-0000-0000F4580000}"/>
    <cellStyle name="Note 3 2 38" xfId="22773" xr:uid="{00000000-0005-0000-0000-0000F5580000}"/>
    <cellStyle name="Note 3 2 39" xfId="22774" xr:uid="{00000000-0005-0000-0000-0000F6580000}"/>
    <cellStyle name="Note 3 2 4" xfId="22775" xr:uid="{00000000-0005-0000-0000-0000F7580000}"/>
    <cellStyle name="Note 3 2 40" xfId="22776" xr:uid="{00000000-0005-0000-0000-0000F8580000}"/>
    <cellStyle name="Note 3 2 41" xfId="22777" xr:uid="{00000000-0005-0000-0000-0000F9580000}"/>
    <cellStyle name="Note 3 2 42" xfId="22778" xr:uid="{00000000-0005-0000-0000-0000FA580000}"/>
    <cellStyle name="Note 3 2 43" xfId="22779" xr:uid="{00000000-0005-0000-0000-0000FB580000}"/>
    <cellStyle name="Note 3 2 44" xfId="22780" xr:uid="{00000000-0005-0000-0000-0000FC580000}"/>
    <cellStyle name="Note 3 2 45" xfId="22781" xr:uid="{00000000-0005-0000-0000-0000FD580000}"/>
    <cellStyle name="Note 3 2 46" xfId="22782" xr:uid="{00000000-0005-0000-0000-0000FE580000}"/>
    <cellStyle name="Note 3 2 47" xfId="22783" xr:uid="{00000000-0005-0000-0000-0000FF580000}"/>
    <cellStyle name="Note 3 2 48" xfId="22784" xr:uid="{00000000-0005-0000-0000-000000590000}"/>
    <cellStyle name="Note 3 2 49" xfId="22785" xr:uid="{00000000-0005-0000-0000-000001590000}"/>
    <cellStyle name="Note 3 2 5" xfId="22786" xr:uid="{00000000-0005-0000-0000-000002590000}"/>
    <cellStyle name="Note 3 2 50" xfId="22787" xr:uid="{00000000-0005-0000-0000-000003590000}"/>
    <cellStyle name="Note 3 2 51" xfId="22788" xr:uid="{00000000-0005-0000-0000-000004590000}"/>
    <cellStyle name="Note 3 2 52" xfId="22789" xr:uid="{00000000-0005-0000-0000-000005590000}"/>
    <cellStyle name="Note 3 2 53" xfId="22790" xr:uid="{00000000-0005-0000-0000-000006590000}"/>
    <cellStyle name="Note 3 2 54" xfId="22791" xr:uid="{00000000-0005-0000-0000-000007590000}"/>
    <cellStyle name="Note 3 2 55" xfId="22792" xr:uid="{00000000-0005-0000-0000-000008590000}"/>
    <cellStyle name="Note 3 2 56" xfId="22793" xr:uid="{00000000-0005-0000-0000-000009590000}"/>
    <cellStyle name="Note 3 2 57" xfId="22794" xr:uid="{00000000-0005-0000-0000-00000A590000}"/>
    <cellStyle name="Note 3 2 58" xfId="22795" xr:uid="{00000000-0005-0000-0000-00000B590000}"/>
    <cellStyle name="Note 3 2 59" xfId="22796" xr:uid="{00000000-0005-0000-0000-00000C590000}"/>
    <cellStyle name="Note 3 2 6" xfId="22797" xr:uid="{00000000-0005-0000-0000-00000D590000}"/>
    <cellStyle name="Note 3 2 60" xfId="22798" xr:uid="{00000000-0005-0000-0000-00000E590000}"/>
    <cellStyle name="Note 3 2 61" xfId="22799" xr:uid="{00000000-0005-0000-0000-00000F590000}"/>
    <cellStyle name="Note 3 2 62" xfId="22800" xr:uid="{00000000-0005-0000-0000-000010590000}"/>
    <cellStyle name="Note 3 2 63" xfId="22801" xr:uid="{00000000-0005-0000-0000-000011590000}"/>
    <cellStyle name="Note 3 2 64" xfId="22802" xr:uid="{00000000-0005-0000-0000-000012590000}"/>
    <cellStyle name="Note 3 2 65" xfId="22803" xr:uid="{00000000-0005-0000-0000-000013590000}"/>
    <cellStyle name="Note 3 2 66" xfId="22804" xr:uid="{00000000-0005-0000-0000-000014590000}"/>
    <cellStyle name="Note 3 2 7" xfId="22805" xr:uid="{00000000-0005-0000-0000-000015590000}"/>
    <cellStyle name="Note 3 2 8" xfId="22806" xr:uid="{00000000-0005-0000-0000-000016590000}"/>
    <cellStyle name="Note 3 2 9" xfId="22807" xr:uid="{00000000-0005-0000-0000-000017590000}"/>
    <cellStyle name="Note 3 20" xfId="22808" xr:uid="{00000000-0005-0000-0000-000018590000}"/>
    <cellStyle name="Note 3 21" xfId="22809" xr:uid="{00000000-0005-0000-0000-000019590000}"/>
    <cellStyle name="Note 3 22" xfId="22810" xr:uid="{00000000-0005-0000-0000-00001A590000}"/>
    <cellStyle name="Note 3 23" xfId="22811" xr:uid="{00000000-0005-0000-0000-00001B590000}"/>
    <cellStyle name="Note 3 24" xfId="22812" xr:uid="{00000000-0005-0000-0000-00001C590000}"/>
    <cellStyle name="Note 3 25" xfId="22813" xr:uid="{00000000-0005-0000-0000-00001D590000}"/>
    <cellStyle name="Note 3 26" xfId="22814" xr:uid="{00000000-0005-0000-0000-00001E590000}"/>
    <cellStyle name="Note 3 27" xfId="22815" xr:uid="{00000000-0005-0000-0000-00001F590000}"/>
    <cellStyle name="Note 3 28" xfId="22816" xr:uid="{00000000-0005-0000-0000-000020590000}"/>
    <cellStyle name="Note 3 29" xfId="22817" xr:uid="{00000000-0005-0000-0000-000021590000}"/>
    <cellStyle name="Note 3 3" xfId="22818" xr:uid="{00000000-0005-0000-0000-000022590000}"/>
    <cellStyle name="Note 3 3 10" xfId="22819" xr:uid="{00000000-0005-0000-0000-000023590000}"/>
    <cellStyle name="Note 3 3 11" xfId="22820" xr:uid="{00000000-0005-0000-0000-000024590000}"/>
    <cellStyle name="Note 3 3 12" xfId="22821" xr:uid="{00000000-0005-0000-0000-000025590000}"/>
    <cellStyle name="Note 3 3 13" xfId="22822" xr:uid="{00000000-0005-0000-0000-000026590000}"/>
    <cellStyle name="Note 3 3 14" xfId="22823" xr:uid="{00000000-0005-0000-0000-000027590000}"/>
    <cellStyle name="Note 3 3 15" xfId="22824" xr:uid="{00000000-0005-0000-0000-000028590000}"/>
    <cellStyle name="Note 3 3 16" xfId="22825" xr:uid="{00000000-0005-0000-0000-000029590000}"/>
    <cellStyle name="Note 3 3 17" xfId="22826" xr:uid="{00000000-0005-0000-0000-00002A590000}"/>
    <cellStyle name="Note 3 3 18" xfId="22827" xr:uid="{00000000-0005-0000-0000-00002B590000}"/>
    <cellStyle name="Note 3 3 19" xfId="22828" xr:uid="{00000000-0005-0000-0000-00002C590000}"/>
    <cellStyle name="Note 3 3 2" xfId="22829" xr:uid="{00000000-0005-0000-0000-00002D590000}"/>
    <cellStyle name="Note 3 3 2 10" xfId="22830" xr:uid="{00000000-0005-0000-0000-00002E590000}"/>
    <cellStyle name="Note 3 3 2 11" xfId="22831" xr:uid="{00000000-0005-0000-0000-00002F590000}"/>
    <cellStyle name="Note 3 3 2 12" xfId="22832" xr:uid="{00000000-0005-0000-0000-000030590000}"/>
    <cellStyle name="Note 3 3 2 13" xfId="22833" xr:uid="{00000000-0005-0000-0000-000031590000}"/>
    <cellStyle name="Note 3 3 2 14" xfId="22834" xr:uid="{00000000-0005-0000-0000-000032590000}"/>
    <cellStyle name="Note 3 3 2 15" xfId="22835" xr:uid="{00000000-0005-0000-0000-000033590000}"/>
    <cellStyle name="Note 3 3 2 16" xfId="22836" xr:uid="{00000000-0005-0000-0000-000034590000}"/>
    <cellStyle name="Note 3 3 2 17" xfId="22837" xr:uid="{00000000-0005-0000-0000-000035590000}"/>
    <cellStyle name="Note 3 3 2 18" xfId="22838" xr:uid="{00000000-0005-0000-0000-000036590000}"/>
    <cellStyle name="Note 3 3 2 19" xfId="22839" xr:uid="{00000000-0005-0000-0000-000037590000}"/>
    <cellStyle name="Note 3 3 2 2" xfId="22840" xr:uid="{00000000-0005-0000-0000-000038590000}"/>
    <cellStyle name="Note 3 3 2 20" xfId="22841" xr:uid="{00000000-0005-0000-0000-000039590000}"/>
    <cellStyle name="Note 3 3 2 21" xfId="22842" xr:uid="{00000000-0005-0000-0000-00003A590000}"/>
    <cellStyle name="Note 3 3 2 22" xfId="22843" xr:uid="{00000000-0005-0000-0000-00003B590000}"/>
    <cellStyle name="Note 3 3 2 23" xfId="22844" xr:uid="{00000000-0005-0000-0000-00003C590000}"/>
    <cellStyle name="Note 3 3 2 24" xfId="22845" xr:uid="{00000000-0005-0000-0000-00003D590000}"/>
    <cellStyle name="Note 3 3 2 25" xfId="22846" xr:uid="{00000000-0005-0000-0000-00003E590000}"/>
    <cellStyle name="Note 3 3 2 26" xfId="22847" xr:uid="{00000000-0005-0000-0000-00003F590000}"/>
    <cellStyle name="Note 3 3 2 27" xfId="22848" xr:uid="{00000000-0005-0000-0000-000040590000}"/>
    <cellStyle name="Note 3 3 2 28" xfId="22849" xr:uid="{00000000-0005-0000-0000-000041590000}"/>
    <cellStyle name="Note 3 3 2 29" xfId="22850" xr:uid="{00000000-0005-0000-0000-000042590000}"/>
    <cellStyle name="Note 3 3 2 3" xfId="22851" xr:uid="{00000000-0005-0000-0000-000043590000}"/>
    <cellStyle name="Note 3 3 2 30" xfId="22852" xr:uid="{00000000-0005-0000-0000-000044590000}"/>
    <cellStyle name="Note 3 3 2 31" xfId="22853" xr:uid="{00000000-0005-0000-0000-000045590000}"/>
    <cellStyle name="Note 3 3 2 32" xfId="22854" xr:uid="{00000000-0005-0000-0000-000046590000}"/>
    <cellStyle name="Note 3 3 2 33" xfId="22855" xr:uid="{00000000-0005-0000-0000-000047590000}"/>
    <cellStyle name="Note 3 3 2 34" xfId="22856" xr:uid="{00000000-0005-0000-0000-000048590000}"/>
    <cellStyle name="Note 3 3 2 35" xfId="22857" xr:uid="{00000000-0005-0000-0000-000049590000}"/>
    <cellStyle name="Note 3 3 2 36" xfId="22858" xr:uid="{00000000-0005-0000-0000-00004A590000}"/>
    <cellStyle name="Note 3 3 2 37" xfId="22859" xr:uid="{00000000-0005-0000-0000-00004B590000}"/>
    <cellStyle name="Note 3 3 2 38" xfId="22860" xr:uid="{00000000-0005-0000-0000-00004C590000}"/>
    <cellStyle name="Note 3 3 2 39" xfId="22861" xr:uid="{00000000-0005-0000-0000-00004D590000}"/>
    <cellStyle name="Note 3 3 2 4" xfId="22862" xr:uid="{00000000-0005-0000-0000-00004E590000}"/>
    <cellStyle name="Note 3 3 2 40" xfId="22863" xr:uid="{00000000-0005-0000-0000-00004F590000}"/>
    <cellStyle name="Note 3 3 2 41" xfId="22864" xr:uid="{00000000-0005-0000-0000-000050590000}"/>
    <cellStyle name="Note 3 3 2 42" xfId="22865" xr:uid="{00000000-0005-0000-0000-000051590000}"/>
    <cellStyle name="Note 3 3 2 43" xfId="22866" xr:uid="{00000000-0005-0000-0000-000052590000}"/>
    <cellStyle name="Note 3 3 2 44" xfId="22867" xr:uid="{00000000-0005-0000-0000-000053590000}"/>
    <cellStyle name="Note 3 3 2 45" xfId="22868" xr:uid="{00000000-0005-0000-0000-000054590000}"/>
    <cellStyle name="Note 3 3 2 46" xfId="22869" xr:uid="{00000000-0005-0000-0000-000055590000}"/>
    <cellStyle name="Note 3 3 2 47" xfId="22870" xr:uid="{00000000-0005-0000-0000-000056590000}"/>
    <cellStyle name="Note 3 3 2 48" xfId="22871" xr:uid="{00000000-0005-0000-0000-000057590000}"/>
    <cellStyle name="Note 3 3 2 49" xfId="22872" xr:uid="{00000000-0005-0000-0000-000058590000}"/>
    <cellStyle name="Note 3 3 2 5" xfId="22873" xr:uid="{00000000-0005-0000-0000-000059590000}"/>
    <cellStyle name="Note 3 3 2 50" xfId="22874" xr:uid="{00000000-0005-0000-0000-00005A590000}"/>
    <cellStyle name="Note 3 3 2 51" xfId="22875" xr:uid="{00000000-0005-0000-0000-00005B590000}"/>
    <cellStyle name="Note 3 3 2 52" xfId="22876" xr:uid="{00000000-0005-0000-0000-00005C590000}"/>
    <cellStyle name="Note 3 3 2 53" xfId="22877" xr:uid="{00000000-0005-0000-0000-00005D590000}"/>
    <cellStyle name="Note 3 3 2 54" xfId="22878" xr:uid="{00000000-0005-0000-0000-00005E590000}"/>
    <cellStyle name="Note 3 3 2 55" xfId="22879" xr:uid="{00000000-0005-0000-0000-00005F590000}"/>
    <cellStyle name="Note 3 3 2 56" xfId="22880" xr:uid="{00000000-0005-0000-0000-000060590000}"/>
    <cellStyle name="Note 3 3 2 57" xfId="22881" xr:uid="{00000000-0005-0000-0000-000061590000}"/>
    <cellStyle name="Note 3 3 2 58" xfId="22882" xr:uid="{00000000-0005-0000-0000-000062590000}"/>
    <cellStyle name="Note 3 3 2 59" xfId="22883" xr:uid="{00000000-0005-0000-0000-000063590000}"/>
    <cellStyle name="Note 3 3 2 6" xfId="22884" xr:uid="{00000000-0005-0000-0000-000064590000}"/>
    <cellStyle name="Note 3 3 2 60" xfId="22885" xr:uid="{00000000-0005-0000-0000-000065590000}"/>
    <cellStyle name="Note 3 3 2 61" xfId="22886" xr:uid="{00000000-0005-0000-0000-000066590000}"/>
    <cellStyle name="Note 3 3 2 62" xfId="22887" xr:uid="{00000000-0005-0000-0000-000067590000}"/>
    <cellStyle name="Note 3 3 2 63" xfId="22888" xr:uid="{00000000-0005-0000-0000-000068590000}"/>
    <cellStyle name="Note 3 3 2 64" xfId="22889" xr:uid="{00000000-0005-0000-0000-000069590000}"/>
    <cellStyle name="Note 3 3 2 65" xfId="22890" xr:uid="{00000000-0005-0000-0000-00006A590000}"/>
    <cellStyle name="Note 3 3 2 7" xfId="22891" xr:uid="{00000000-0005-0000-0000-00006B590000}"/>
    <cellStyle name="Note 3 3 2 8" xfId="22892" xr:uid="{00000000-0005-0000-0000-00006C590000}"/>
    <cellStyle name="Note 3 3 2 9" xfId="22893" xr:uid="{00000000-0005-0000-0000-00006D590000}"/>
    <cellStyle name="Note 3 3 20" xfId="22894" xr:uid="{00000000-0005-0000-0000-00006E590000}"/>
    <cellStyle name="Note 3 3 21" xfId="22895" xr:uid="{00000000-0005-0000-0000-00006F590000}"/>
    <cellStyle name="Note 3 3 22" xfId="22896" xr:uid="{00000000-0005-0000-0000-000070590000}"/>
    <cellStyle name="Note 3 3 23" xfId="22897" xr:uid="{00000000-0005-0000-0000-000071590000}"/>
    <cellStyle name="Note 3 3 24" xfId="22898" xr:uid="{00000000-0005-0000-0000-000072590000}"/>
    <cellStyle name="Note 3 3 25" xfId="22899" xr:uid="{00000000-0005-0000-0000-000073590000}"/>
    <cellStyle name="Note 3 3 26" xfId="22900" xr:uid="{00000000-0005-0000-0000-000074590000}"/>
    <cellStyle name="Note 3 3 27" xfId="22901" xr:uid="{00000000-0005-0000-0000-000075590000}"/>
    <cellStyle name="Note 3 3 28" xfId="22902" xr:uid="{00000000-0005-0000-0000-000076590000}"/>
    <cellStyle name="Note 3 3 29" xfId="22903" xr:uid="{00000000-0005-0000-0000-000077590000}"/>
    <cellStyle name="Note 3 3 3" xfId="22904" xr:uid="{00000000-0005-0000-0000-000078590000}"/>
    <cellStyle name="Note 3 3 30" xfId="22905" xr:uid="{00000000-0005-0000-0000-000079590000}"/>
    <cellStyle name="Note 3 3 31" xfId="22906" xr:uid="{00000000-0005-0000-0000-00007A590000}"/>
    <cellStyle name="Note 3 3 32" xfId="22907" xr:uid="{00000000-0005-0000-0000-00007B590000}"/>
    <cellStyle name="Note 3 3 33" xfId="22908" xr:uid="{00000000-0005-0000-0000-00007C590000}"/>
    <cellStyle name="Note 3 3 34" xfId="22909" xr:uid="{00000000-0005-0000-0000-00007D590000}"/>
    <cellStyle name="Note 3 3 35" xfId="22910" xr:uid="{00000000-0005-0000-0000-00007E590000}"/>
    <cellStyle name="Note 3 3 36" xfId="22911" xr:uid="{00000000-0005-0000-0000-00007F590000}"/>
    <cellStyle name="Note 3 3 37" xfId="22912" xr:uid="{00000000-0005-0000-0000-000080590000}"/>
    <cellStyle name="Note 3 3 38" xfId="22913" xr:uid="{00000000-0005-0000-0000-000081590000}"/>
    <cellStyle name="Note 3 3 39" xfId="22914" xr:uid="{00000000-0005-0000-0000-000082590000}"/>
    <cellStyle name="Note 3 3 4" xfId="22915" xr:uid="{00000000-0005-0000-0000-000083590000}"/>
    <cellStyle name="Note 3 3 40" xfId="22916" xr:uid="{00000000-0005-0000-0000-000084590000}"/>
    <cellStyle name="Note 3 3 41" xfId="22917" xr:uid="{00000000-0005-0000-0000-000085590000}"/>
    <cellStyle name="Note 3 3 42" xfId="22918" xr:uid="{00000000-0005-0000-0000-000086590000}"/>
    <cellStyle name="Note 3 3 43" xfId="22919" xr:uid="{00000000-0005-0000-0000-000087590000}"/>
    <cellStyle name="Note 3 3 44" xfId="22920" xr:uid="{00000000-0005-0000-0000-000088590000}"/>
    <cellStyle name="Note 3 3 45" xfId="22921" xr:uid="{00000000-0005-0000-0000-000089590000}"/>
    <cellStyle name="Note 3 3 46" xfId="22922" xr:uid="{00000000-0005-0000-0000-00008A590000}"/>
    <cellStyle name="Note 3 3 47" xfId="22923" xr:uid="{00000000-0005-0000-0000-00008B590000}"/>
    <cellStyle name="Note 3 3 48" xfId="22924" xr:uid="{00000000-0005-0000-0000-00008C590000}"/>
    <cellStyle name="Note 3 3 49" xfId="22925" xr:uid="{00000000-0005-0000-0000-00008D590000}"/>
    <cellStyle name="Note 3 3 5" xfId="22926" xr:uid="{00000000-0005-0000-0000-00008E590000}"/>
    <cellStyle name="Note 3 3 50" xfId="22927" xr:uid="{00000000-0005-0000-0000-00008F590000}"/>
    <cellStyle name="Note 3 3 51" xfId="22928" xr:uid="{00000000-0005-0000-0000-000090590000}"/>
    <cellStyle name="Note 3 3 52" xfId="22929" xr:uid="{00000000-0005-0000-0000-000091590000}"/>
    <cellStyle name="Note 3 3 53" xfId="22930" xr:uid="{00000000-0005-0000-0000-000092590000}"/>
    <cellStyle name="Note 3 3 54" xfId="22931" xr:uid="{00000000-0005-0000-0000-000093590000}"/>
    <cellStyle name="Note 3 3 55" xfId="22932" xr:uid="{00000000-0005-0000-0000-000094590000}"/>
    <cellStyle name="Note 3 3 56" xfId="22933" xr:uid="{00000000-0005-0000-0000-000095590000}"/>
    <cellStyle name="Note 3 3 57" xfId="22934" xr:uid="{00000000-0005-0000-0000-000096590000}"/>
    <cellStyle name="Note 3 3 58" xfId="22935" xr:uid="{00000000-0005-0000-0000-000097590000}"/>
    <cellStyle name="Note 3 3 59" xfId="22936" xr:uid="{00000000-0005-0000-0000-000098590000}"/>
    <cellStyle name="Note 3 3 6" xfId="22937" xr:uid="{00000000-0005-0000-0000-000099590000}"/>
    <cellStyle name="Note 3 3 60" xfId="22938" xr:uid="{00000000-0005-0000-0000-00009A590000}"/>
    <cellStyle name="Note 3 3 61" xfId="22939" xr:uid="{00000000-0005-0000-0000-00009B590000}"/>
    <cellStyle name="Note 3 3 62" xfId="22940" xr:uid="{00000000-0005-0000-0000-00009C590000}"/>
    <cellStyle name="Note 3 3 63" xfId="22941" xr:uid="{00000000-0005-0000-0000-00009D590000}"/>
    <cellStyle name="Note 3 3 64" xfId="22942" xr:uid="{00000000-0005-0000-0000-00009E590000}"/>
    <cellStyle name="Note 3 3 65" xfId="22943" xr:uid="{00000000-0005-0000-0000-00009F590000}"/>
    <cellStyle name="Note 3 3 66" xfId="22944" xr:uid="{00000000-0005-0000-0000-0000A0590000}"/>
    <cellStyle name="Note 3 3 7" xfId="22945" xr:uid="{00000000-0005-0000-0000-0000A1590000}"/>
    <cellStyle name="Note 3 3 8" xfId="22946" xr:uid="{00000000-0005-0000-0000-0000A2590000}"/>
    <cellStyle name="Note 3 3 9" xfId="22947" xr:uid="{00000000-0005-0000-0000-0000A3590000}"/>
    <cellStyle name="Note 3 30" xfId="22948" xr:uid="{00000000-0005-0000-0000-0000A4590000}"/>
    <cellStyle name="Note 3 31" xfId="22949" xr:uid="{00000000-0005-0000-0000-0000A5590000}"/>
    <cellStyle name="Note 3 32" xfId="22950" xr:uid="{00000000-0005-0000-0000-0000A6590000}"/>
    <cellStyle name="Note 3 33" xfId="22951" xr:uid="{00000000-0005-0000-0000-0000A7590000}"/>
    <cellStyle name="Note 3 34" xfId="22952" xr:uid="{00000000-0005-0000-0000-0000A8590000}"/>
    <cellStyle name="Note 3 35" xfId="22953" xr:uid="{00000000-0005-0000-0000-0000A9590000}"/>
    <cellStyle name="Note 3 36" xfId="22954" xr:uid="{00000000-0005-0000-0000-0000AA590000}"/>
    <cellStyle name="Note 3 37" xfId="22955" xr:uid="{00000000-0005-0000-0000-0000AB590000}"/>
    <cellStyle name="Note 3 38" xfId="22956" xr:uid="{00000000-0005-0000-0000-0000AC590000}"/>
    <cellStyle name="Note 3 39" xfId="22957" xr:uid="{00000000-0005-0000-0000-0000AD590000}"/>
    <cellStyle name="Note 3 4" xfId="22958" xr:uid="{00000000-0005-0000-0000-0000AE590000}"/>
    <cellStyle name="Note 3 4 10" xfId="22959" xr:uid="{00000000-0005-0000-0000-0000AF590000}"/>
    <cellStyle name="Note 3 4 11" xfId="22960" xr:uid="{00000000-0005-0000-0000-0000B0590000}"/>
    <cellStyle name="Note 3 4 12" xfId="22961" xr:uid="{00000000-0005-0000-0000-0000B1590000}"/>
    <cellStyle name="Note 3 4 13" xfId="22962" xr:uid="{00000000-0005-0000-0000-0000B2590000}"/>
    <cellStyle name="Note 3 4 14" xfId="22963" xr:uid="{00000000-0005-0000-0000-0000B3590000}"/>
    <cellStyle name="Note 3 4 15" xfId="22964" xr:uid="{00000000-0005-0000-0000-0000B4590000}"/>
    <cellStyle name="Note 3 4 16" xfId="22965" xr:uid="{00000000-0005-0000-0000-0000B5590000}"/>
    <cellStyle name="Note 3 4 17" xfId="22966" xr:uid="{00000000-0005-0000-0000-0000B6590000}"/>
    <cellStyle name="Note 3 4 18" xfId="22967" xr:uid="{00000000-0005-0000-0000-0000B7590000}"/>
    <cellStyle name="Note 3 4 19" xfId="22968" xr:uid="{00000000-0005-0000-0000-0000B8590000}"/>
    <cellStyle name="Note 3 4 2" xfId="22969" xr:uid="{00000000-0005-0000-0000-0000B9590000}"/>
    <cellStyle name="Note 3 4 2 10" xfId="22970" xr:uid="{00000000-0005-0000-0000-0000BA590000}"/>
    <cellStyle name="Note 3 4 2 11" xfId="22971" xr:uid="{00000000-0005-0000-0000-0000BB590000}"/>
    <cellStyle name="Note 3 4 2 12" xfId="22972" xr:uid="{00000000-0005-0000-0000-0000BC590000}"/>
    <cellStyle name="Note 3 4 2 13" xfId="22973" xr:uid="{00000000-0005-0000-0000-0000BD590000}"/>
    <cellStyle name="Note 3 4 2 14" xfId="22974" xr:uid="{00000000-0005-0000-0000-0000BE590000}"/>
    <cellStyle name="Note 3 4 2 15" xfId="22975" xr:uid="{00000000-0005-0000-0000-0000BF590000}"/>
    <cellStyle name="Note 3 4 2 16" xfId="22976" xr:uid="{00000000-0005-0000-0000-0000C0590000}"/>
    <cellStyle name="Note 3 4 2 17" xfId="22977" xr:uid="{00000000-0005-0000-0000-0000C1590000}"/>
    <cellStyle name="Note 3 4 2 18" xfId="22978" xr:uid="{00000000-0005-0000-0000-0000C2590000}"/>
    <cellStyle name="Note 3 4 2 19" xfId="22979" xr:uid="{00000000-0005-0000-0000-0000C3590000}"/>
    <cellStyle name="Note 3 4 2 2" xfId="22980" xr:uid="{00000000-0005-0000-0000-0000C4590000}"/>
    <cellStyle name="Note 3 4 2 20" xfId="22981" xr:uid="{00000000-0005-0000-0000-0000C5590000}"/>
    <cellStyle name="Note 3 4 2 21" xfId="22982" xr:uid="{00000000-0005-0000-0000-0000C6590000}"/>
    <cellStyle name="Note 3 4 2 22" xfId="22983" xr:uid="{00000000-0005-0000-0000-0000C7590000}"/>
    <cellStyle name="Note 3 4 2 23" xfId="22984" xr:uid="{00000000-0005-0000-0000-0000C8590000}"/>
    <cellStyle name="Note 3 4 2 24" xfId="22985" xr:uid="{00000000-0005-0000-0000-0000C9590000}"/>
    <cellStyle name="Note 3 4 2 25" xfId="22986" xr:uid="{00000000-0005-0000-0000-0000CA590000}"/>
    <cellStyle name="Note 3 4 2 26" xfId="22987" xr:uid="{00000000-0005-0000-0000-0000CB590000}"/>
    <cellStyle name="Note 3 4 2 27" xfId="22988" xr:uid="{00000000-0005-0000-0000-0000CC590000}"/>
    <cellStyle name="Note 3 4 2 28" xfId="22989" xr:uid="{00000000-0005-0000-0000-0000CD590000}"/>
    <cellStyle name="Note 3 4 2 29" xfId="22990" xr:uid="{00000000-0005-0000-0000-0000CE590000}"/>
    <cellStyle name="Note 3 4 2 3" xfId="22991" xr:uid="{00000000-0005-0000-0000-0000CF590000}"/>
    <cellStyle name="Note 3 4 2 30" xfId="22992" xr:uid="{00000000-0005-0000-0000-0000D0590000}"/>
    <cellStyle name="Note 3 4 2 31" xfId="22993" xr:uid="{00000000-0005-0000-0000-0000D1590000}"/>
    <cellStyle name="Note 3 4 2 32" xfId="22994" xr:uid="{00000000-0005-0000-0000-0000D2590000}"/>
    <cellStyle name="Note 3 4 2 33" xfId="22995" xr:uid="{00000000-0005-0000-0000-0000D3590000}"/>
    <cellStyle name="Note 3 4 2 34" xfId="22996" xr:uid="{00000000-0005-0000-0000-0000D4590000}"/>
    <cellStyle name="Note 3 4 2 35" xfId="22997" xr:uid="{00000000-0005-0000-0000-0000D5590000}"/>
    <cellStyle name="Note 3 4 2 36" xfId="22998" xr:uid="{00000000-0005-0000-0000-0000D6590000}"/>
    <cellStyle name="Note 3 4 2 37" xfId="22999" xr:uid="{00000000-0005-0000-0000-0000D7590000}"/>
    <cellStyle name="Note 3 4 2 38" xfId="23000" xr:uid="{00000000-0005-0000-0000-0000D8590000}"/>
    <cellStyle name="Note 3 4 2 39" xfId="23001" xr:uid="{00000000-0005-0000-0000-0000D9590000}"/>
    <cellStyle name="Note 3 4 2 4" xfId="23002" xr:uid="{00000000-0005-0000-0000-0000DA590000}"/>
    <cellStyle name="Note 3 4 2 40" xfId="23003" xr:uid="{00000000-0005-0000-0000-0000DB590000}"/>
    <cellStyle name="Note 3 4 2 41" xfId="23004" xr:uid="{00000000-0005-0000-0000-0000DC590000}"/>
    <cellStyle name="Note 3 4 2 42" xfId="23005" xr:uid="{00000000-0005-0000-0000-0000DD590000}"/>
    <cellStyle name="Note 3 4 2 43" xfId="23006" xr:uid="{00000000-0005-0000-0000-0000DE590000}"/>
    <cellStyle name="Note 3 4 2 44" xfId="23007" xr:uid="{00000000-0005-0000-0000-0000DF590000}"/>
    <cellStyle name="Note 3 4 2 45" xfId="23008" xr:uid="{00000000-0005-0000-0000-0000E0590000}"/>
    <cellStyle name="Note 3 4 2 46" xfId="23009" xr:uid="{00000000-0005-0000-0000-0000E1590000}"/>
    <cellStyle name="Note 3 4 2 47" xfId="23010" xr:uid="{00000000-0005-0000-0000-0000E2590000}"/>
    <cellStyle name="Note 3 4 2 48" xfId="23011" xr:uid="{00000000-0005-0000-0000-0000E3590000}"/>
    <cellStyle name="Note 3 4 2 49" xfId="23012" xr:uid="{00000000-0005-0000-0000-0000E4590000}"/>
    <cellStyle name="Note 3 4 2 5" xfId="23013" xr:uid="{00000000-0005-0000-0000-0000E5590000}"/>
    <cellStyle name="Note 3 4 2 50" xfId="23014" xr:uid="{00000000-0005-0000-0000-0000E6590000}"/>
    <cellStyle name="Note 3 4 2 51" xfId="23015" xr:uid="{00000000-0005-0000-0000-0000E7590000}"/>
    <cellStyle name="Note 3 4 2 52" xfId="23016" xr:uid="{00000000-0005-0000-0000-0000E8590000}"/>
    <cellStyle name="Note 3 4 2 53" xfId="23017" xr:uid="{00000000-0005-0000-0000-0000E9590000}"/>
    <cellStyle name="Note 3 4 2 54" xfId="23018" xr:uid="{00000000-0005-0000-0000-0000EA590000}"/>
    <cellStyle name="Note 3 4 2 55" xfId="23019" xr:uid="{00000000-0005-0000-0000-0000EB590000}"/>
    <cellStyle name="Note 3 4 2 56" xfId="23020" xr:uid="{00000000-0005-0000-0000-0000EC590000}"/>
    <cellStyle name="Note 3 4 2 57" xfId="23021" xr:uid="{00000000-0005-0000-0000-0000ED590000}"/>
    <cellStyle name="Note 3 4 2 58" xfId="23022" xr:uid="{00000000-0005-0000-0000-0000EE590000}"/>
    <cellStyle name="Note 3 4 2 59" xfId="23023" xr:uid="{00000000-0005-0000-0000-0000EF590000}"/>
    <cellStyle name="Note 3 4 2 6" xfId="23024" xr:uid="{00000000-0005-0000-0000-0000F0590000}"/>
    <cellStyle name="Note 3 4 2 60" xfId="23025" xr:uid="{00000000-0005-0000-0000-0000F1590000}"/>
    <cellStyle name="Note 3 4 2 61" xfId="23026" xr:uid="{00000000-0005-0000-0000-0000F2590000}"/>
    <cellStyle name="Note 3 4 2 62" xfId="23027" xr:uid="{00000000-0005-0000-0000-0000F3590000}"/>
    <cellStyle name="Note 3 4 2 63" xfId="23028" xr:uid="{00000000-0005-0000-0000-0000F4590000}"/>
    <cellStyle name="Note 3 4 2 64" xfId="23029" xr:uid="{00000000-0005-0000-0000-0000F5590000}"/>
    <cellStyle name="Note 3 4 2 65" xfId="23030" xr:uid="{00000000-0005-0000-0000-0000F6590000}"/>
    <cellStyle name="Note 3 4 2 7" xfId="23031" xr:uid="{00000000-0005-0000-0000-0000F7590000}"/>
    <cellStyle name="Note 3 4 2 8" xfId="23032" xr:uid="{00000000-0005-0000-0000-0000F8590000}"/>
    <cellStyle name="Note 3 4 2 9" xfId="23033" xr:uid="{00000000-0005-0000-0000-0000F9590000}"/>
    <cellStyle name="Note 3 4 20" xfId="23034" xr:uid="{00000000-0005-0000-0000-0000FA590000}"/>
    <cellStyle name="Note 3 4 21" xfId="23035" xr:uid="{00000000-0005-0000-0000-0000FB590000}"/>
    <cellStyle name="Note 3 4 22" xfId="23036" xr:uid="{00000000-0005-0000-0000-0000FC590000}"/>
    <cellStyle name="Note 3 4 23" xfId="23037" xr:uid="{00000000-0005-0000-0000-0000FD590000}"/>
    <cellStyle name="Note 3 4 24" xfId="23038" xr:uid="{00000000-0005-0000-0000-0000FE590000}"/>
    <cellStyle name="Note 3 4 25" xfId="23039" xr:uid="{00000000-0005-0000-0000-0000FF590000}"/>
    <cellStyle name="Note 3 4 26" xfId="23040" xr:uid="{00000000-0005-0000-0000-0000005A0000}"/>
    <cellStyle name="Note 3 4 27" xfId="23041" xr:uid="{00000000-0005-0000-0000-0000015A0000}"/>
    <cellStyle name="Note 3 4 28" xfId="23042" xr:uid="{00000000-0005-0000-0000-0000025A0000}"/>
    <cellStyle name="Note 3 4 29" xfId="23043" xr:uid="{00000000-0005-0000-0000-0000035A0000}"/>
    <cellStyle name="Note 3 4 3" xfId="23044" xr:uid="{00000000-0005-0000-0000-0000045A0000}"/>
    <cellStyle name="Note 3 4 30" xfId="23045" xr:uid="{00000000-0005-0000-0000-0000055A0000}"/>
    <cellStyle name="Note 3 4 31" xfId="23046" xr:uid="{00000000-0005-0000-0000-0000065A0000}"/>
    <cellStyle name="Note 3 4 32" xfId="23047" xr:uid="{00000000-0005-0000-0000-0000075A0000}"/>
    <cellStyle name="Note 3 4 33" xfId="23048" xr:uid="{00000000-0005-0000-0000-0000085A0000}"/>
    <cellStyle name="Note 3 4 34" xfId="23049" xr:uid="{00000000-0005-0000-0000-0000095A0000}"/>
    <cellStyle name="Note 3 4 35" xfId="23050" xr:uid="{00000000-0005-0000-0000-00000A5A0000}"/>
    <cellStyle name="Note 3 4 36" xfId="23051" xr:uid="{00000000-0005-0000-0000-00000B5A0000}"/>
    <cellStyle name="Note 3 4 37" xfId="23052" xr:uid="{00000000-0005-0000-0000-00000C5A0000}"/>
    <cellStyle name="Note 3 4 38" xfId="23053" xr:uid="{00000000-0005-0000-0000-00000D5A0000}"/>
    <cellStyle name="Note 3 4 39" xfId="23054" xr:uid="{00000000-0005-0000-0000-00000E5A0000}"/>
    <cellStyle name="Note 3 4 4" xfId="23055" xr:uid="{00000000-0005-0000-0000-00000F5A0000}"/>
    <cellStyle name="Note 3 4 40" xfId="23056" xr:uid="{00000000-0005-0000-0000-0000105A0000}"/>
    <cellStyle name="Note 3 4 41" xfId="23057" xr:uid="{00000000-0005-0000-0000-0000115A0000}"/>
    <cellStyle name="Note 3 4 42" xfId="23058" xr:uid="{00000000-0005-0000-0000-0000125A0000}"/>
    <cellStyle name="Note 3 4 43" xfId="23059" xr:uid="{00000000-0005-0000-0000-0000135A0000}"/>
    <cellStyle name="Note 3 4 44" xfId="23060" xr:uid="{00000000-0005-0000-0000-0000145A0000}"/>
    <cellStyle name="Note 3 4 45" xfId="23061" xr:uid="{00000000-0005-0000-0000-0000155A0000}"/>
    <cellStyle name="Note 3 4 46" xfId="23062" xr:uid="{00000000-0005-0000-0000-0000165A0000}"/>
    <cellStyle name="Note 3 4 47" xfId="23063" xr:uid="{00000000-0005-0000-0000-0000175A0000}"/>
    <cellStyle name="Note 3 4 48" xfId="23064" xr:uid="{00000000-0005-0000-0000-0000185A0000}"/>
    <cellStyle name="Note 3 4 49" xfId="23065" xr:uid="{00000000-0005-0000-0000-0000195A0000}"/>
    <cellStyle name="Note 3 4 5" xfId="23066" xr:uid="{00000000-0005-0000-0000-00001A5A0000}"/>
    <cellStyle name="Note 3 4 50" xfId="23067" xr:uid="{00000000-0005-0000-0000-00001B5A0000}"/>
    <cellStyle name="Note 3 4 51" xfId="23068" xr:uid="{00000000-0005-0000-0000-00001C5A0000}"/>
    <cellStyle name="Note 3 4 52" xfId="23069" xr:uid="{00000000-0005-0000-0000-00001D5A0000}"/>
    <cellStyle name="Note 3 4 53" xfId="23070" xr:uid="{00000000-0005-0000-0000-00001E5A0000}"/>
    <cellStyle name="Note 3 4 54" xfId="23071" xr:uid="{00000000-0005-0000-0000-00001F5A0000}"/>
    <cellStyle name="Note 3 4 55" xfId="23072" xr:uid="{00000000-0005-0000-0000-0000205A0000}"/>
    <cellStyle name="Note 3 4 56" xfId="23073" xr:uid="{00000000-0005-0000-0000-0000215A0000}"/>
    <cellStyle name="Note 3 4 57" xfId="23074" xr:uid="{00000000-0005-0000-0000-0000225A0000}"/>
    <cellStyle name="Note 3 4 58" xfId="23075" xr:uid="{00000000-0005-0000-0000-0000235A0000}"/>
    <cellStyle name="Note 3 4 59" xfId="23076" xr:uid="{00000000-0005-0000-0000-0000245A0000}"/>
    <cellStyle name="Note 3 4 6" xfId="23077" xr:uid="{00000000-0005-0000-0000-0000255A0000}"/>
    <cellStyle name="Note 3 4 60" xfId="23078" xr:uid="{00000000-0005-0000-0000-0000265A0000}"/>
    <cellStyle name="Note 3 4 61" xfId="23079" xr:uid="{00000000-0005-0000-0000-0000275A0000}"/>
    <cellStyle name="Note 3 4 62" xfId="23080" xr:uid="{00000000-0005-0000-0000-0000285A0000}"/>
    <cellStyle name="Note 3 4 63" xfId="23081" xr:uid="{00000000-0005-0000-0000-0000295A0000}"/>
    <cellStyle name="Note 3 4 64" xfId="23082" xr:uid="{00000000-0005-0000-0000-00002A5A0000}"/>
    <cellStyle name="Note 3 4 65" xfId="23083" xr:uid="{00000000-0005-0000-0000-00002B5A0000}"/>
    <cellStyle name="Note 3 4 66" xfId="23084" xr:uid="{00000000-0005-0000-0000-00002C5A0000}"/>
    <cellStyle name="Note 3 4 7" xfId="23085" xr:uid="{00000000-0005-0000-0000-00002D5A0000}"/>
    <cellStyle name="Note 3 4 8" xfId="23086" xr:uid="{00000000-0005-0000-0000-00002E5A0000}"/>
    <cellStyle name="Note 3 4 9" xfId="23087" xr:uid="{00000000-0005-0000-0000-00002F5A0000}"/>
    <cellStyle name="Note 3 40" xfId="23088" xr:uid="{00000000-0005-0000-0000-0000305A0000}"/>
    <cellStyle name="Note 3 41" xfId="23089" xr:uid="{00000000-0005-0000-0000-0000315A0000}"/>
    <cellStyle name="Note 3 42" xfId="23090" xr:uid="{00000000-0005-0000-0000-0000325A0000}"/>
    <cellStyle name="Note 3 43" xfId="23091" xr:uid="{00000000-0005-0000-0000-0000335A0000}"/>
    <cellStyle name="Note 3 44" xfId="23092" xr:uid="{00000000-0005-0000-0000-0000345A0000}"/>
    <cellStyle name="Note 3 45" xfId="23093" xr:uid="{00000000-0005-0000-0000-0000355A0000}"/>
    <cellStyle name="Note 3 46" xfId="23094" xr:uid="{00000000-0005-0000-0000-0000365A0000}"/>
    <cellStyle name="Note 3 47" xfId="23095" xr:uid="{00000000-0005-0000-0000-0000375A0000}"/>
    <cellStyle name="Note 3 48" xfId="23096" xr:uid="{00000000-0005-0000-0000-0000385A0000}"/>
    <cellStyle name="Note 3 49" xfId="23097" xr:uid="{00000000-0005-0000-0000-0000395A0000}"/>
    <cellStyle name="Note 3 5" xfId="23098" xr:uid="{00000000-0005-0000-0000-00003A5A0000}"/>
    <cellStyle name="Note 3 5 10" xfId="23099" xr:uid="{00000000-0005-0000-0000-00003B5A0000}"/>
    <cellStyle name="Note 3 5 11" xfId="23100" xr:uid="{00000000-0005-0000-0000-00003C5A0000}"/>
    <cellStyle name="Note 3 5 12" xfId="23101" xr:uid="{00000000-0005-0000-0000-00003D5A0000}"/>
    <cellStyle name="Note 3 5 13" xfId="23102" xr:uid="{00000000-0005-0000-0000-00003E5A0000}"/>
    <cellStyle name="Note 3 5 14" xfId="23103" xr:uid="{00000000-0005-0000-0000-00003F5A0000}"/>
    <cellStyle name="Note 3 5 15" xfId="23104" xr:uid="{00000000-0005-0000-0000-0000405A0000}"/>
    <cellStyle name="Note 3 5 16" xfId="23105" xr:uid="{00000000-0005-0000-0000-0000415A0000}"/>
    <cellStyle name="Note 3 5 17" xfId="23106" xr:uid="{00000000-0005-0000-0000-0000425A0000}"/>
    <cellStyle name="Note 3 5 18" xfId="23107" xr:uid="{00000000-0005-0000-0000-0000435A0000}"/>
    <cellStyle name="Note 3 5 19" xfId="23108" xr:uid="{00000000-0005-0000-0000-0000445A0000}"/>
    <cellStyle name="Note 3 5 2" xfId="23109" xr:uid="{00000000-0005-0000-0000-0000455A0000}"/>
    <cellStyle name="Note 3 5 20" xfId="23110" xr:uid="{00000000-0005-0000-0000-0000465A0000}"/>
    <cellStyle name="Note 3 5 21" xfId="23111" xr:uid="{00000000-0005-0000-0000-0000475A0000}"/>
    <cellStyle name="Note 3 5 22" xfId="23112" xr:uid="{00000000-0005-0000-0000-0000485A0000}"/>
    <cellStyle name="Note 3 5 23" xfId="23113" xr:uid="{00000000-0005-0000-0000-0000495A0000}"/>
    <cellStyle name="Note 3 5 24" xfId="23114" xr:uid="{00000000-0005-0000-0000-00004A5A0000}"/>
    <cellStyle name="Note 3 5 25" xfId="23115" xr:uid="{00000000-0005-0000-0000-00004B5A0000}"/>
    <cellStyle name="Note 3 5 26" xfId="23116" xr:uid="{00000000-0005-0000-0000-00004C5A0000}"/>
    <cellStyle name="Note 3 5 27" xfId="23117" xr:uid="{00000000-0005-0000-0000-00004D5A0000}"/>
    <cellStyle name="Note 3 5 28" xfId="23118" xr:uid="{00000000-0005-0000-0000-00004E5A0000}"/>
    <cellStyle name="Note 3 5 29" xfId="23119" xr:uid="{00000000-0005-0000-0000-00004F5A0000}"/>
    <cellStyle name="Note 3 5 3" xfId="23120" xr:uid="{00000000-0005-0000-0000-0000505A0000}"/>
    <cellStyle name="Note 3 5 30" xfId="23121" xr:uid="{00000000-0005-0000-0000-0000515A0000}"/>
    <cellStyle name="Note 3 5 31" xfId="23122" xr:uid="{00000000-0005-0000-0000-0000525A0000}"/>
    <cellStyle name="Note 3 5 32" xfId="23123" xr:uid="{00000000-0005-0000-0000-0000535A0000}"/>
    <cellStyle name="Note 3 5 33" xfId="23124" xr:uid="{00000000-0005-0000-0000-0000545A0000}"/>
    <cellStyle name="Note 3 5 34" xfId="23125" xr:uid="{00000000-0005-0000-0000-0000555A0000}"/>
    <cellStyle name="Note 3 5 35" xfId="23126" xr:uid="{00000000-0005-0000-0000-0000565A0000}"/>
    <cellStyle name="Note 3 5 36" xfId="23127" xr:uid="{00000000-0005-0000-0000-0000575A0000}"/>
    <cellStyle name="Note 3 5 37" xfId="23128" xr:uid="{00000000-0005-0000-0000-0000585A0000}"/>
    <cellStyle name="Note 3 5 38" xfId="23129" xr:uid="{00000000-0005-0000-0000-0000595A0000}"/>
    <cellStyle name="Note 3 5 39" xfId="23130" xr:uid="{00000000-0005-0000-0000-00005A5A0000}"/>
    <cellStyle name="Note 3 5 4" xfId="23131" xr:uid="{00000000-0005-0000-0000-00005B5A0000}"/>
    <cellStyle name="Note 3 5 40" xfId="23132" xr:uid="{00000000-0005-0000-0000-00005C5A0000}"/>
    <cellStyle name="Note 3 5 41" xfId="23133" xr:uid="{00000000-0005-0000-0000-00005D5A0000}"/>
    <cellStyle name="Note 3 5 42" xfId="23134" xr:uid="{00000000-0005-0000-0000-00005E5A0000}"/>
    <cellStyle name="Note 3 5 43" xfId="23135" xr:uid="{00000000-0005-0000-0000-00005F5A0000}"/>
    <cellStyle name="Note 3 5 44" xfId="23136" xr:uid="{00000000-0005-0000-0000-0000605A0000}"/>
    <cellStyle name="Note 3 5 45" xfId="23137" xr:uid="{00000000-0005-0000-0000-0000615A0000}"/>
    <cellStyle name="Note 3 5 46" xfId="23138" xr:uid="{00000000-0005-0000-0000-0000625A0000}"/>
    <cellStyle name="Note 3 5 47" xfId="23139" xr:uid="{00000000-0005-0000-0000-0000635A0000}"/>
    <cellStyle name="Note 3 5 48" xfId="23140" xr:uid="{00000000-0005-0000-0000-0000645A0000}"/>
    <cellStyle name="Note 3 5 49" xfId="23141" xr:uid="{00000000-0005-0000-0000-0000655A0000}"/>
    <cellStyle name="Note 3 5 5" xfId="23142" xr:uid="{00000000-0005-0000-0000-0000665A0000}"/>
    <cellStyle name="Note 3 5 50" xfId="23143" xr:uid="{00000000-0005-0000-0000-0000675A0000}"/>
    <cellStyle name="Note 3 5 51" xfId="23144" xr:uid="{00000000-0005-0000-0000-0000685A0000}"/>
    <cellStyle name="Note 3 5 52" xfId="23145" xr:uid="{00000000-0005-0000-0000-0000695A0000}"/>
    <cellStyle name="Note 3 5 53" xfId="23146" xr:uid="{00000000-0005-0000-0000-00006A5A0000}"/>
    <cellStyle name="Note 3 5 54" xfId="23147" xr:uid="{00000000-0005-0000-0000-00006B5A0000}"/>
    <cellStyle name="Note 3 5 55" xfId="23148" xr:uid="{00000000-0005-0000-0000-00006C5A0000}"/>
    <cellStyle name="Note 3 5 56" xfId="23149" xr:uid="{00000000-0005-0000-0000-00006D5A0000}"/>
    <cellStyle name="Note 3 5 57" xfId="23150" xr:uid="{00000000-0005-0000-0000-00006E5A0000}"/>
    <cellStyle name="Note 3 5 58" xfId="23151" xr:uid="{00000000-0005-0000-0000-00006F5A0000}"/>
    <cellStyle name="Note 3 5 59" xfId="23152" xr:uid="{00000000-0005-0000-0000-0000705A0000}"/>
    <cellStyle name="Note 3 5 6" xfId="23153" xr:uid="{00000000-0005-0000-0000-0000715A0000}"/>
    <cellStyle name="Note 3 5 60" xfId="23154" xr:uid="{00000000-0005-0000-0000-0000725A0000}"/>
    <cellStyle name="Note 3 5 61" xfId="23155" xr:uid="{00000000-0005-0000-0000-0000735A0000}"/>
    <cellStyle name="Note 3 5 62" xfId="23156" xr:uid="{00000000-0005-0000-0000-0000745A0000}"/>
    <cellStyle name="Note 3 5 63" xfId="23157" xr:uid="{00000000-0005-0000-0000-0000755A0000}"/>
    <cellStyle name="Note 3 5 64" xfId="23158" xr:uid="{00000000-0005-0000-0000-0000765A0000}"/>
    <cellStyle name="Note 3 5 65" xfId="23159" xr:uid="{00000000-0005-0000-0000-0000775A0000}"/>
    <cellStyle name="Note 3 5 7" xfId="23160" xr:uid="{00000000-0005-0000-0000-0000785A0000}"/>
    <cellStyle name="Note 3 5 8" xfId="23161" xr:uid="{00000000-0005-0000-0000-0000795A0000}"/>
    <cellStyle name="Note 3 5 9" xfId="23162" xr:uid="{00000000-0005-0000-0000-00007A5A0000}"/>
    <cellStyle name="Note 3 50" xfId="23163" xr:uid="{00000000-0005-0000-0000-00007B5A0000}"/>
    <cellStyle name="Note 3 51" xfId="23164" xr:uid="{00000000-0005-0000-0000-00007C5A0000}"/>
    <cellStyle name="Note 3 52" xfId="23165" xr:uid="{00000000-0005-0000-0000-00007D5A0000}"/>
    <cellStyle name="Note 3 53" xfId="23166" xr:uid="{00000000-0005-0000-0000-00007E5A0000}"/>
    <cellStyle name="Note 3 54" xfId="23167" xr:uid="{00000000-0005-0000-0000-00007F5A0000}"/>
    <cellStyle name="Note 3 55" xfId="23168" xr:uid="{00000000-0005-0000-0000-0000805A0000}"/>
    <cellStyle name="Note 3 56" xfId="23169" xr:uid="{00000000-0005-0000-0000-0000815A0000}"/>
    <cellStyle name="Note 3 57" xfId="23170" xr:uid="{00000000-0005-0000-0000-0000825A0000}"/>
    <cellStyle name="Note 3 58" xfId="23171" xr:uid="{00000000-0005-0000-0000-0000835A0000}"/>
    <cellStyle name="Note 3 59" xfId="23172" xr:uid="{00000000-0005-0000-0000-0000845A0000}"/>
    <cellStyle name="Note 3 6" xfId="23173" xr:uid="{00000000-0005-0000-0000-0000855A0000}"/>
    <cellStyle name="Note 3 60" xfId="23174" xr:uid="{00000000-0005-0000-0000-0000865A0000}"/>
    <cellStyle name="Note 3 61" xfId="23175" xr:uid="{00000000-0005-0000-0000-0000875A0000}"/>
    <cellStyle name="Note 3 62" xfId="23176" xr:uid="{00000000-0005-0000-0000-0000885A0000}"/>
    <cellStyle name="Note 3 63" xfId="23177" xr:uid="{00000000-0005-0000-0000-0000895A0000}"/>
    <cellStyle name="Note 3 64" xfId="23178" xr:uid="{00000000-0005-0000-0000-00008A5A0000}"/>
    <cellStyle name="Note 3 65" xfId="23179" xr:uid="{00000000-0005-0000-0000-00008B5A0000}"/>
    <cellStyle name="Note 3 66" xfId="23180" xr:uid="{00000000-0005-0000-0000-00008C5A0000}"/>
    <cellStyle name="Note 3 67" xfId="23181" xr:uid="{00000000-0005-0000-0000-00008D5A0000}"/>
    <cellStyle name="Note 3 68" xfId="23182" xr:uid="{00000000-0005-0000-0000-00008E5A0000}"/>
    <cellStyle name="Note 3 69" xfId="23183" xr:uid="{00000000-0005-0000-0000-00008F5A0000}"/>
    <cellStyle name="Note 3 7" xfId="23184" xr:uid="{00000000-0005-0000-0000-0000905A0000}"/>
    <cellStyle name="Note 3 8" xfId="23185" xr:uid="{00000000-0005-0000-0000-0000915A0000}"/>
    <cellStyle name="Note 3 9" xfId="23186" xr:uid="{00000000-0005-0000-0000-0000925A0000}"/>
    <cellStyle name="Notiz" xfId="23187" xr:uid="{00000000-0005-0000-0000-0000935A0000}"/>
    <cellStyle name="Notiz 10" xfId="23188" xr:uid="{00000000-0005-0000-0000-0000945A0000}"/>
    <cellStyle name="Notiz 11" xfId="23189" xr:uid="{00000000-0005-0000-0000-0000955A0000}"/>
    <cellStyle name="Notiz 12" xfId="23190" xr:uid="{00000000-0005-0000-0000-0000965A0000}"/>
    <cellStyle name="Notiz 13" xfId="23191" xr:uid="{00000000-0005-0000-0000-0000975A0000}"/>
    <cellStyle name="Notiz 14" xfId="23192" xr:uid="{00000000-0005-0000-0000-0000985A0000}"/>
    <cellStyle name="Notiz 15" xfId="23193" xr:uid="{00000000-0005-0000-0000-0000995A0000}"/>
    <cellStyle name="Notiz 16" xfId="23194" xr:uid="{00000000-0005-0000-0000-00009A5A0000}"/>
    <cellStyle name="Notiz 17" xfId="23195" xr:uid="{00000000-0005-0000-0000-00009B5A0000}"/>
    <cellStyle name="Notiz 18" xfId="23196" xr:uid="{00000000-0005-0000-0000-00009C5A0000}"/>
    <cellStyle name="Notiz 19" xfId="23197" xr:uid="{00000000-0005-0000-0000-00009D5A0000}"/>
    <cellStyle name="Notiz 2" xfId="23198" xr:uid="{00000000-0005-0000-0000-00009E5A0000}"/>
    <cellStyle name="Notiz 2 10" xfId="23199" xr:uid="{00000000-0005-0000-0000-00009F5A0000}"/>
    <cellStyle name="Notiz 2 11" xfId="23200" xr:uid="{00000000-0005-0000-0000-0000A05A0000}"/>
    <cellStyle name="Notiz 2 12" xfId="23201" xr:uid="{00000000-0005-0000-0000-0000A15A0000}"/>
    <cellStyle name="Notiz 2 13" xfId="23202" xr:uid="{00000000-0005-0000-0000-0000A25A0000}"/>
    <cellStyle name="Notiz 2 14" xfId="23203" xr:uid="{00000000-0005-0000-0000-0000A35A0000}"/>
    <cellStyle name="Notiz 2 15" xfId="23204" xr:uid="{00000000-0005-0000-0000-0000A45A0000}"/>
    <cellStyle name="Notiz 2 16" xfId="23205" xr:uid="{00000000-0005-0000-0000-0000A55A0000}"/>
    <cellStyle name="Notiz 2 17" xfId="23206" xr:uid="{00000000-0005-0000-0000-0000A65A0000}"/>
    <cellStyle name="Notiz 2 18" xfId="23207" xr:uid="{00000000-0005-0000-0000-0000A75A0000}"/>
    <cellStyle name="Notiz 2 19" xfId="23208" xr:uid="{00000000-0005-0000-0000-0000A85A0000}"/>
    <cellStyle name="Notiz 2 2" xfId="23209" xr:uid="{00000000-0005-0000-0000-0000A95A0000}"/>
    <cellStyle name="Notiz 2 2 10" xfId="23210" xr:uid="{00000000-0005-0000-0000-0000AA5A0000}"/>
    <cellStyle name="Notiz 2 2 11" xfId="23211" xr:uid="{00000000-0005-0000-0000-0000AB5A0000}"/>
    <cellStyle name="Notiz 2 2 12" xfId="23212" xr:uid="{00000000-0005-0000-0000-0000AC5A0000}"/>
    <cellStyle name="Notiz 2 2 13" xfId="23213" xr:uid="{00000000-0005-0000-0000-0000AD5A0000}"/>
    <cellStyle name="Notiz 2 2 14" xfId="23214" xr:uid="{00000000-0005-0000-0000-0000AE5A0000}"/>
    <cellStyle name="Notiz 2 2 15" xfId="23215" xr:uid="{00000000-0005-0000-0000-0000AF5A0000}"/>
    <cellStyle name="Notiz 2 2 16" xfId="23216" xr:uid="{00000000-0005-0000-0000-0000B05A0000}"/>
    <cellStyle name="Notiz 2 2 17" xfId="23217" xr:uid="{00000000-0005-0000-0000-0000B15A0000}"/>
    <cellStyle name="Notiz 2 2 18" xfId="23218" xr:uid="{00000000-0005-0000-0000-0000B25A0000}"/>
    <cellStyle name="Notiz 2 2 19" xfId="23219" xr:uid="{00000000-0005-0000-0000-0000B35A0000}"/>
    <cellStyle name="Notiz 2 2 2" xfId="23220" xr:uid="{00000000-0005-0000-0000-0000B45A0000}"/>
    <cellStyle name="Notiz 2 2 20" xfId="23221" xr:uid="{00000000-0005-0000-0000-0000B55A0000}"/>
    <cellStyle name="Notiz 2 2 21" xfId="23222" xr:uid="{00000000-0005-0000-0000-0000B65A0000}"/>
    <cellStyle name="Notiz 2 2 22" xfId="23223" xr:uid="{00000000-0005-0000-0000-0000B75A0000}"/>
    <cellStyle name="Notiz 2 2 23" xfId="23224" xr:uid="{00000000-0005-0000-0000-0000B85A0000}"/>
    <cellStyle name="Notiz 2 2 24" xfId="23225" xr:uid="{00000000-0005-0000-0000-0000B95A0000}"/>
    <cellStyle name="Notiz 2 2 25" xfId="23226" xr:uid="{00000000-0005-0000-0000-0000BA5A0000}"/>
    <cellStyle name="Notiz 2 2 26" xfId="23227" xr:uid="{00000000-0005-0000-0000-0000BB5A0000}"/>
    <cellStyle name="Notiz 2 2 27" xfId="23228" xr:uid="{00000000-0005-0000-0000-0000BC5A0000}"/>
    <cellStyle name="Notiz 2 2 28" xfId="23229" xr:uid="{00000000-0005-0000-0000-0000BD5A0000}"/>
    <cellStyle name="Notiz 2 2 29" xfId="23230" xr:uid="{00000000-0005-0000-0000-0000BE5A0000}"/>
    <cellStyle name="Notiz 2 2 3" xfId="23231" xr:uid="{00000000-0005-0000-0000-0000BF5A0000}"/>
    <cellStyle name="Notiz 2 2 30" xfId="23232" xr:uid="{00000000-0005-0000-0000-0000C05A0000}"/>
    <cellStyle name="Notiz 2 2 31" xfId="23233" xr:uid="{00000000-0005-0000-0000-0000C15A0000}"/>
    <cellStyle name="Notiz 2 2 32" xfId="23234" xr:uid="{00000000-0005-0000-0000-0000C25A0000}"/>
    <cellStyle name="Notiz 2 2 33" xfId="23235" xr:uid="{00000000-0005-0000-0000-0000C35A0000}"/>
    <cellStyle name="Notiz 2 2 34" xfId="23236" xr:uid="{00000000-0005-0000-0000-0000C45A0000}"/>
    <cellStyle name="Notiz 2 2 35" xfId="23237" xr:uid="{00000000-0005-0000-0000-0000C55A0000}"/>
    <cellStyle name="Notiz 2 2 36" xfId="23238" xr:uid="{00000000-0005-0000-0000-0000C65A0000}"/>
    <cellStyle name="Notiz 2 2 37" xfId="23239" xr:uid="{00000000-0005-0000-0000-0000C75A0000}"/>
    <cellStyle name="Notiz 2 2 38" xfId="23240" xr:uid="{00000000-0005-0000-0000-0000C85A0000}"/>
    <cellStyle name="Notiz 2 2 39" xfId="23241" xr:uid="{00000000-0005-0000-0000-0000C95A0000}"/>
    <cellStyle name="Notiz 2 2 4" xfId="23242" xr:uid="{00000000-0005-0000-0000-0000CA5A0000}"/>
    <cellStyle name="Notiz 2 2 40" xfId="23243" xr:uid="{00000000-0005-0000-0000-0000CB5A0000}"/>
    <cellStyle name="Notiz 2 2 41" xfId="23244" xr:uid="{00000000-0005-0000-0000-0000CC5A0000}"/>
    <cellStyle name="Notiz 2 2 42" xfId="23245" xr:uid="{00000000-0005-0000-0000-0000CD5A0000}"/>
    <cellStyle name="Notiz 2 2 43" xfId="23246" xr:uid="{00000000-0005-0000-0000-0000CE5A0000}"/>
    <cellStyle name="Notiz 2 2 44" xfId="23247" xr:uid="{00000000-0005-0000-0000-0000CF5A0000}"/>
    <cellStyle name="Notiz 2 2 45" xfId="23248" xr:uid="{00000000-0005-0000-0000-0000D05A0000}"/>
    <cellStyle name="Notiz 2 2 46" xfId="23249" xr:uid="{00000000-0005-0000-0000-0000D15A0000}"/>
    <cellStyle name="Notiz 2 2 47" xfId="23250" xr:uid="{00000000-0005-0000-0000-0000D25A0000}"/>
    <cellStyle name="Notiz 2 2 48" xfId="23251" xr:uid="{00000000-0005-0000-0000-0000D35A0000}"/>
    <cellStyle name="Notiz 2 2 49" xfId="23252" xr:uid="{00000000-0005-0000-0000-0000D45A0000}"/>
    <cellStyle name="Notiz 2 2 5" xfId="23253" xr:uid="{00000000-0005-0000-0000-0000D55A0000}"/>
    <cellStyle name="Notiz 2 2 50" xfId="23254" xr:uid="{00000000-0005-0000-0000-0000D65A0000}"/>
    <cellStyle name="Notiz 2 2 51" xfId="23255" xr:uid="{00000000-0005-0000-0000-0000D75A0000}"/>
    <cellStyle name="Notiz 2 2 52" xfId="23256" xr:uid="{00000000-0005-0000-0000-0000D85A0000}"/>
    <cellStyle name="Notiz 2 2 53" xfId="23257" xr:uid="{00000000-0005-0000-0000-0000D95A0000}"/>
    <cellStyle name="Notiz 2 2 54" xfId="23258" xr:uid="{00000000-0005-0000-0000-0000DA5A0000}"/>
    <cellStyle name="Notiz 2 2 55" xfId="23259" xr:uid="{00000000-0005-0000-0000-0000DB5A0000}"/>
    <cellStyle name="Notiz 2 2 56" xfId="23260" xr:uid="{00000000-0005-0000-0000-0000DC5A0000}"/>
    <cellStyle name="Notiz 2 2 57" xfId="23261" xr:uid="{00000000-0005-0000-0000-0000DD5A0000}"/>
    <cellStyle name="Notiz 2 2 58" xfId="23262" xr:uid="{00000000-0005-0000-0000-0000DE5A0000}"/>
    <cellStyle name="Notiz 2 2 59" xfId="23263" xr:uid="{00000000-0005-0000-0000-0000DF5A0000}"/>
    <cellStyle name="Notiz 2 2 6" xfId="23264" xr:uid="{00000000-0005-0000-0000-0000E05A0000}"/>
    <cellStyle name="Notiz 2 2 60" xfId="23265" xr:uid="{00000000-0005-0000-0000-0000E15A0000}"/>
    <cellStyle name="Notiz 2 2 61" xfId="23266" xr:uid="{00000000-0005-0000-0000-0000E25A0000}"/>
    <cellStyle name="Notiz 2 2 62" xfId="23267" xr:uid="{00000000-0005-0000-0000-0000E35A0000}"/>
    <cellStyle name="Notiz 2 2 63" xfId="23268" xr:uid="{00000000-0005-0000-0000-0000E45A0000}"/>
    <cellStyle name="Notiz 2 2 64" xfId="23269" xr:uid="{00000000-0005-0000-0000-0000E55A0000}"/>
    <cellStyle name="Notiz 2 2 65" xfId="23270" xr:uid="{00000000-0005-0000-0000-0000E65A0000}"/>
    <cellStyle name="Notiz 2 2 7" xfId="23271" xr:uid="{00000000-0005-0000-0000-0000E75A0000}"/>
    <cellStyle name="Notiz 2 2 8" xfId="23272" xr:uid="{00000000-0005-0000-0000-0000E85A0000}"/>
    <cellStyle name="Notiz 2 2 9" xfId="23273" xr:uid="{00000000-0005-0000-0000-0000E95A0000}"/>
    <cellStyle name="Notiz 2 20" xfId="23274" xr:uid="{00000000-0005-0000-0000-0000EA5A0000}"/>
    <cellStyle name="Notiz 2 21" xfId="23275" xr:uid="{00000000-0005-0000-0000-0000EB5A0000}"/>
    <cellStyle name="Notiz 2 22" xfId="23276" xr:uid="{00000000-0005-0000-0000-0000EC5A0000}"/>
    <cellStyle name="Notiz 2 23" xfId="23277" xr:uid="{00000000-0005-0000-0000-0000ED5A0000}"/>
    <cellStyle name="Notiz 2 24" xfId="23278" xr:uid="{00000000-0005-0000-0000-0000EE5A0000}"/>
    <cellStyle name="Notiz 2 25" xfId="23279" xr:uid="{00000000-0005-0000-0000-0000EF5A0000}"/>
    <cellStyle name="Notiz 2 26" xfId="23280" xr:uid="{00000000-0005-0000-0000-0000F05A0000}"/>
    <cellStyle name="Notiz 2 27" xfId="23281" xr:uid="{00000000-0005-0000-0000-0000F15A0000}"/>
    <cellStyle name="Notiz 2 28" xfId="23282" xr:uid="{00000000-0005-0000-0000-0000F25A0000}"/>
    <cellStyle name="Notiz 2 29" xfId="23283" xr:uid="{00000000-0005-0000-0000-0000F35A0000}"/>
    <cellStyle name="Notiz 2 3" xfId="23284" xr:uid="{00000000-0005-0000-0000-0000F45A0000}"/>
    <cellStyle name="Notiz 2 30" xfId="23285" xr:uid="{00000000-0005-0000-0000-0000F55A0000}"/>
    <cellStyle name="Notiz 2 31" xfId="23286" xr:uid="{00000000-0005-0000-0000-0000F65A0000}"/>
    <cellStyle name="Notiz 2 32" xfId="23287" xr:uid="{00000000-0005-0000-0000-0000F75A0000}"/>
    <cellStyle name="Notiz 2 33" xfId="23288" xr:uid="{00000000-0005-0000-0000-0000F85A0000}"/>
    <cellStyle name="Notiz 2 34" xfId="23289" xr:uid="{00000000-0005-0000-0000-0000F95A0000}"/>
    <cellStyle name="Notiz 2 35" xfId="23290" xr:uid="{00000000-0005-0000-0000-0000FA5A0000}"/>
    <cellStyle name="Notiz 2 36" xfId="23291" xr:uid="{00000000-0005-0000-0000-0000FB5A0000}"/>
    <cellStyle name="Notiz 2 37" xfId="23292" xr:uid="{00000000-0005-0000-0000-0000FC5A0000}"/>
    <cellStyle name="Notiz 2 38" xfId="23293" xr:uid="{00000000-0005-0000-0000-0000FD5A0000}"/>
    <cellStyle name="Notiz 2 39" xfId="23294" xr:uid="{00000000-0005-0000-0000-0000FE5A0000}"/>
    <cellStyle name="Notiz 2 4" xfId="23295" xr:uid="{00000000-0005-0000-0000-0000FF5A0000}"/>
    <cellStyle name="Notiz 2 40" xfId="23296" xr:uid="{00000000-0005-0000-0000-0000005B0000}"/>
    <cellStyle name="Notiz 2 41" xfId="23297" xr:uid="{00000000-0005-0000-0000-0000015B0000}"/>
    <cellStyle name="Notiz 2 42" xfId="23298" xr:uid="{00000000-0005-0000-0000-0000025B0000}"/>
    <cellStyle name="Notiz 2 43" xfId="23299" xr:uid="{00000000-0005-0000-0000-0000035B0000}"/>
    <cellStyle name="Notiz 2 44" xfId="23300" xr:uid="{00000000-0005-0000-0000-0000045B0000}"/>
    <cellStyle name="Notiz 2 45" xfId="23301" xr:uid="{00000000-0005-0000-0000-0000055B0000}"/>
    <cellStyle name="Notiz 2 46" xfId="23302" xr:uid="{00000000-0005-0000-0000-0000065B0000}"/>
    <cellStyle name="Notiz 2 47" xfId="23303" xr:uid="{00000000-0005-0000-0000-0000075B0000}"/>
    <cellStyle name="Notiz 2 48" xfId="23304" xr:uid="{00000000-0005-0000-0000-0000085B0000}"/>
    <cellStyle name="Notiz 2 49" xfId="23305" xr:uid="{00000000-0005-0000-0000-0000095B0000}"/>
    <cellStyle name="Notiz 2 5" xfId="23306" xr:uid="{00000000-0005-0000-0000-00000A5B0000}"/>
    <cellStyle name="Notiz 2 50" xfId="23307" xr:uid="{00000000-0005-0000-0000-00000B5B0000}"/>
    <cellStyle name="Notiz 2 51" xfId="23308" xr:uid="{00000000-0005-0000-0000-00000C5B0000}"/>
    <cellStyle name="Notiz 2 52" xfId="23309" xr:uid="{00000000-0005-0000-0000-00000D5B0000}"/>
    <cellStyle name="Notiz 2 53" xfId="23310" xr:uid="{00000000-0005-0000-0000-00000E5B0000}"/>
    <cellStyle name="Notiz 2 54" xfId="23311" xr:uid="{00000000-0005-0000-0000-00000F5B0000}"/>
    <cellStyle name="Notiz 2 55" xfId="23312" xr:uid="{00000000-0005-0000-0000-0000105B0000}"/>
    <cellStyle name="Notiz 2 56" xfId="23313" xr:uid="{00000000-0005-0000-0000-0000115B0000}"/>
    <cellStyle name="Notiz 2 57" xfId="23314" xr:uid="{00000000-0005-0000-0000-0000125B0000}"/>
    <cellStyle name="Notiz 2 58" xfId="23315" xr:uid="{00000000-0005-0000-0000-0000135B0000}"/>
    <cellStyle name="Notiz 2 59" xfId="23316" xr:uid="{00000000-0005-0000-0000-0000145B0000}"/>
    <cellStyle name="Notiz 2 6" xfId="23317" xr:uid="{00000000-0005-0000-0000-0000155B0000}"/>
    <cellStyle name="Notiz 2 60" xfId="23318" xr:uid="{00000000-0005-0000-0000-0000165B0000}"/>
    <cellStyle name="Notiz 2 61" xfId="23319" xr:uid="{00000000-0005-0000-0000-0000175B0000}"/>
    <cellStyle name="Notiz 2 62" xfId="23320" xr:uid="{00000000-0005-0000-0000-0000185B0000}"/>
    <cellStyle name="Notiz 2 63" xfId="23321" xr:uid="{00000000-0005-0000-0000-0000195B0000}"/>
    <cellStyle name="Notiz 2 64" xfId="23322" xr:uid="{00000000-0005-0000-0000-00001A5B0000}"/>
    <cellStyle name="Notiz 2 65" xfId="23323" xr:uid="{00000000-0005-0000-0000-00001B5B0000}"/>
    <cellStyle name="Notiz 2 66" xfId="23324" xr:uid="{00000000-0005-0000-0000-00001C5B0000}"/>
    <cellStyle name="Notiz 2 7" xfId="23325" xr:uid="{00000000-0005-0000-0000-00001D5B0000}"/>
    <cellStyle name="Notiz 2 8" xfId="23326" xr:uid="{00000000-0005-0000-0000-00001E5B0000}"/>
    <cellStyle name="Notiz 2 9" xfId="23327" xr:uid="{00000000-0005-0000-0000-00001F5B0000}"/>
    <cellStyle name="Notiz 20" xfId="23328" xr:uid="{00000000-0005-0000-0000-0000205B0000}"/>
    <cellStyle name="Notiz 21" xfId="23329" xr:uid="{00000000-0005-0000-0000-0000215B0000}"/>
    <cellStyle name="Notiz 22" xfId="23330" xr:uid="{00000000-0005-0000-0000-0000225B0000}"/>
    <cellStyle name="Notiz 23" xfId="23331" xr:uid="{00000000-0005-0000-0000-0000235B0000}"/>
    <cellStyle name="Notiz 24" xfId="23332" xr:uid="{00000000-0005-0000-0000-0000245B0000}"/>
    <cellStyle name="Notiz 25" xfId="23333" xr:uid="{00000000-0005-0000-0000-0000255B0000}"/>
    <cellStyle name="Notiz 26" xfId="23334" xr:uid="{00000000-0005-0000-0000-0000265B0000}"/>
    <cellStyle name="Notiz 27" xfId="23335" xr:uid="{00000000-0005-0000-0000-0000275B0000}"/>
    <cellStyle name="Notiz 28" xfId="23336" xr:uid="{00000000-0005-0000-0000-0000285B0000}"/>
    <cellStyle name="Notiz 29" xfId="23337" xr:uid="{00000000-0005-0000-0000-0000295B0000}"/>
    <cellStyle name="Notiz 3" xfId="23338" xr:uid="{00000000-0005-0000-0000-00002A5B0000}"/>
    <cellStyle name="Notiz 3 10" xfId="23339" xr:uid="{00000000-0005-0000-0000-00002B5B0000}"/>
    <cellStyle name="Notiz 3 11" xfId="23340" xr:uid="{00000000-0005-0000-0000-00002C5B0000}"/>
    <cellStyle name="Notiz 3 12" xfId="23341" xr:uid="{00000000-0005-0000-0000-00002D5B0000}"/>
    <cellStyle name="Notiz 3 13" xfId="23342" xr:uid="{00000000-0005-0000-0000-00002E5B0000}"/>
    <cellStyle name="Notiz 3 14" xfId="23343" xr:uid="{00000000-0005-0000-0000-00002F5B0000}"/>
    <cellStyle name="Notiz 3 15" xfId="23344" xr:uid="{00000000-0005-0000-0000-0000305B0000}"/>
    <cellStyle name="Notiz 3 16" xfId="23345" xr:uid="{00000000-0005-0000-0000-0000315B0000}"/>
    <cellStyle name="Notiz 3 17" xfId="23346" xr:uid="{00000000-0005-0000-0000-0000325B0000}"/>
    <cellStyle name="Notiz 3 18" xfId="23347" xr:uid="{00000000-0005-0000-0000-0000335B0000}"/>
    <cellStyle name="Notiz 3 19" xfId="23348" xr:uid="{00000000-0005-0000-0000-0000345B0000}"/>
    <cellStyle name="Notiz 3 2" xfId="23349" xr:uid="{00000000-0005-0000-0000-0000355B0000}"/>
    <cellStyle name="Notiz 3 2 10" xfId="23350" xr:uid="{00000000-0005-0000-0000-0000365B0000}"/>
    <cellStyle name="Notiz 3 2 11" xfId="23351" xr:uid="{00000000-0005-0000-0000-0000375B0000}"/>
    <cellStyle name="Notiz 3 2 12" xfId="23352" xr:uid="{00000000-0005-0000-0000-0000385B0000}"/>
    <cellStyle name="Notiz 3 2 13" xfId="23353" xr:uid="{00000000-0005-0000-0000-0000395B0000}"/>
    <cellStyle name="Notiz 3 2 14" xfId="23354" xr:uid="{00000000-0005-0000-0000-00003A5B0000}"/>
    <cellStyle name="Notiz 3 2 15" xfId="23355" xr:uid="{00000000-0005-0000-0000-00003B5B0000}"/>
    <cellStyle name="Notiz 3 2 16" xfId="23356" xr:uid="{00000000-0005-0000-0000-00003C5B0000}"/>
    <cellStyle name="Notiz 3 2 17" xfId="23357" xr:uid="{00000000-0005-0000-0000-00003D5B0000}"/>
    <cellStyle name="Notiz 3 2 18" xfId="23358" xr:uid="{00000000-0005-0000-0000-00003E5B0000}"/>
    <cellStyle name="Notiz 3 2 19" xfId="23359" xr:uid="{00000000-0005-0000-0000-00003F5B0000}"/>
    <cellStyle name="Notiz 3 2 2" xfId="23360" xr:uid="{00000000-0005-0000-0000-0000405B0000}"/>
    <cellStyle name="Notiz 3 2 20" xfId="23361" xr:uid="{00000000-0005-0000-0000-0000415B0000}"/>
    <cellStyle name="Notiz 3 2 21" xfId="23362" xr:uid="{00000000-0005-0000-0000-0000425B0000}"/>
    <cellStyle name="Notiz 3 2 22" xfId="23363" xr:uid="{00000000-0005-0000-0000-0000435B0000}"/>
    <cellStyle name="Notiz 3 2 23" xfId="23364" xr:uid="{00000000-0005-0000-0000-0000445B0000}"/>
    <cellStyle name="Notiz 3 2 24" xfId="23365" xr:uid="{00000000-0005-0000-0000-0000455B0000}"/>
    <cellStyle name="Notiz 3 2 25" xfId="23366" xr:uid="{00000000-0005-0000-0000-0000465B0000}"/>
    <cellStyle name="Notiz 3 2 26" xfId="23367" xr:uid="{00000000-0005-0000-0000-0000475B0000}"/>
    <cellStyle name="Notiz 3 2 27" xfId="23368" xr:uid="{00000000-0005-0000-0000-0000485B0000}"/>
    <cellStyle name="Notiz 3 2 28" xfId="23369" xr:uid="{00000000-0005-0000-0000-0000495B0000}"/>
    <cellStyle name="Notiz 3 2 29" xfId="23370" xr:uid="{00000000-0005-0000-0000-00004A5B0000}"/>
    <cellStyle name="Notiz 3 2 3" xfId="23371" xr:uid="{00000000-0005-0000-0000-00004B5B0000}"/>
    <cellStyle name="Notiz 3 2 30" xfId="23372" xr:uid="{00000000-0005-0000-0000-00004C5B0000}"/>
    <cellStyle name="Notiz 3 2 31" xfId="23373" xr:uid="{00000000-0005-0000-0000-00004D5B0000}"/>
    <cellStyle name="Notiz 3 2 32" xfId="23374" xr:uid="{00000000-0005-0000-0000-00004E5B0000}"/>
    <cellStyle name="Notiz 3 2 33" xfId="23375" xr:uid="{00000000-0005-0000-0000-00004F5B0000}"/>
    <cellStyle name="Notiz 3 2 34" xfId="23376" xr:uid="{00000000-0005-0000-0000-0000505B0000}"/>
    <cellStyle name="Notiz 3 2 35" xfId="23377" xr:uid="{00000000-0005-0000-0000-0000515B0000}"/>
    <cellStyle name="Notiz 3 2 36" xfId="23378" xr:uid="{00000000-0005-0000-0000-0000525B0000}"/>
    <cellStyle name="Notiz 3 2 37" xfId="23379" xr:uid="{00000000-0005-0000-0000-0000535B0000}"/>
    <cellStyle name="Notiz 3 2 38" xfId="23380" xr:uid="{00000000-0005-0000-0000-0000545B0000}"/>
    <cellStyle name="Notiz 3 2 39" xfId="23381" xr:uid="{00000000-0005-0000-0000-0000555B0000}"/>
    <cellStyle name="Notiz 3 2 4" xfId="23382" xr:uid="{00000000-0005-0000-0000-0000565B0000}"/>
    <cellStyle name="Notiz 3 2 40" xfId="23383" xr:uid="{00000000-0005-0000-0000-0000575B0000}"/>
    <cellStyle name="Notiz 3 2 41" xfId="23384" xr:uid="{00000000-0005-0000-0000-0000585B0000}"/>
    <cellStyle name="Notiz 3 2 42" xfId="23385" xr:uid="{00000000-0005-0000-0000-0000595B0000}"/>
    <cellStyle name="Notiz 3 2 43" xfId="23386" xr:uid="{00000000-0005-0000-0000-00005A5B0000}"/>
    <cellStyle name="Notiz 3 2 44" xfId="23387" xr:uid="{00000000-0005-0000-0000-00005B5B0000}"/>
    <cellStyle name="Notiz 3 2 45" xfId="23388" xr:uid="{00000000-0005-0000-0000-00005C5B0000}"/>
    <cellStyle name="Notiz 3 2 46" xfId="23389" xr:uid="{00000000-0005-0000-0000-00005D5B0000}"/>
    <cellStyle name="Notiz 3 2 47" xfId="23390" xr:uid="{00000000-0005-0000-0000-00005E5B0000}"/>
    <cellStyle name="Notiz 3 2 48" xfId="23391" xr:uid="{00000000-0005-0000-0000-00005F5B0000}"/>
    <cellStyle name="Notiz 3 2 49" xfId="23392" xr:uid="{00000000-0005-0000-0000-0000605B0000}"/>
    <cellStyle name="Notiz 3 2 5" xfId="23393" xr:uid="{00000000-0005-0000-0000-0000615B0000}"/>
    <cellStyle name="Notiz 3 2 50" xfId="23394" xr:uid="{00000000-0005-0000-0000-0000625B0000}"/>
    <cellStyle name="Notiz 3 2 51" xfId="23395" xr:uid="{00000000-0005-0000-0000-0000635B0000}"/>
    <cellStyle name="Notiz 3 2 52" xfId="23396" xr:uid="{00000000-0005-0000-0000-0000645B0000}"/>
    <cellStyle name="Notiz 3 2 53" xfId="23397" xr:uid="{00000000-0005-0000-0000-0000655B0000}"/>
    <cellStyle name="Notiz 3 2 54" xfId="23398" xr:uid="{00000000-0005-0000-0000-0000665B0000}"/>
    <cellStyle name="Notiz 3 2 55" xfId="23399" xr:uid="{00000000-0005-0000-0000-0000675B0000}"/>
    <cellStyle name="Notiz 3 2 56" xfId="23400" xr:uid="{00000000-0005-0000-0000-0000685B0000}"/>
    <cellStyle name="Notiz 3 2 57" xfId="23401" xr:uid="{00000000-0005-0000-0000-0000695B0000}"/>
    <cellStyle name="Notiz 3 2 58" xfId="23402" xr:uid="{00000000-0005-0000-0000-00006A5B0000}"/>
    <cellStyle name="Notiz 3 2 59" xfId="23403" xr:uid="{00000000-0005-0000-0000-00006B5B0000}"/>
    <cellStyle name="Notiz 3 2 6" xfId="23404" xr:uid="{00000000-0005-0000-0000-00006C5B0000}"/>
    <cellStyle name="Notiz 3 2 60" xfId="23405" xr:uid="{00000000-0005-0000-0000-00006D5B0000}"/>
    <cellStyle name="Notiz 3 2 61" xfId="23406" xr:uid="{00000000-0005-0000-0000-00006E5B0000}"/>
    <cellStyle name="Notiz 3 2 62" xfId="23407" xr:uid="{00000000-0005-0000-0000-00006F5B0000}"/>
    <cellStyle name="Notiz 3 2 63" xfId="23408" xr:uid="{00000000-0005-0000-0000-0000705B0000}"/>
    <cellStyle name="Notiz 3 2 64" xfId="23409" xr:uid="{00000000-0005-0000-0000-0000715B0000}"/>
    <cellStyle name="Notiz 3 2 65" xfId="23410" xr:uid="{00000000-0005-0000-0000-0000725B0000}"/>
    <cellStyle name="Notiz 3 2 7" xfId="23411" xr:uid="{00000000-0005-0000-0000-0000735B0000}"/>
    <cellStyle name="Notiz 3 2 8" xfId="23412" xr:uid="{00000000-0005-0000-0000-0000745B0000}"/>
    <cellStyle name="Notiz 3 2 9" xfId="23413" xr:uid="{00000000-0005-0000-0000-0000755B0000}"/>
    <cellStyle name="Notiz 3 20" xfId="23414" xr:uid="{00000000-0005-0000-0000-0000765B0000}"/>
    <cellStyle name="Notiz 3 21" xfId="23415" xr:uid="{00000000-0005-0000-0000-0000775B0000}"/>
    <cellStyle name="Notiz 3 22" xfId="23416" xr:uid="{00000000-0005-0000-0000-0000785B0000}"/>
    <cellStyle name="Notiz 3 23" xfId="23417" xr:uid="{00000000-0005-0000-0000-0000795B0000}"/>
    <cellStyle name="Notiz 3 24" xfId="23418" xr:uid="{00000000-0005-0000-0000-00007A5B0000}"/>
    <cellStyle name="Notiz 3 25" xfId="23419" xr:uid="{00000000-0005-0000-0000-00007B5B0000}"/>
    <cellStyle name="Notiz 3 26" xfId="23420" xr:uid="{00000000-0005-0000-0000-00007C5B0000}"/>
    <cellStyle name="Notiz 3 27" xfId="23421" xr:uid="{00000000-0005-0000-0000-00007D5B0000}"/>
    <cellStyle name="Notiz 3 28" xfId="23422" xr:uid="{00000000-0005-0000-0000-00007E5B0000}"/>
    <cellStyle name="Notiz 3 29" xfId="23423" xr:uid="{00000000-0005-0000-0000-00007F5B0000}"/>
    <cellStyle name="Notiz 3 3" xfId="23424" xr:uid="{00000000-0005-0000-0000-0000805B0000}"/>
    <cellStyle name="Notiz 3 30" xfId="23425" xr:uid="{00000000-0005-0000-0000-0000815B0000}"/>
    <cellStyle name="Notiz 3 31" xfId="23426" xr:uid="{00000000-0005-0000-0000-0000825B0000}"/>
    <cellStyle name="Notiz 3 32" xfId="23427" xr:uid="{00000000-0005-0000-0000-0000835B0000}"/>
    <cellStyle name="Notiz 3 33" xfId="23428" xr:uid="{00000000-0005-0000-0000-0000845B0000}"/>
    <cellStyle name="Notiz 3 34" xfId="23429" xr:uid="{00000000-0005-0000-0000-0000855B0000}"/>
    <cellStyle name="Notiz 3 35" xfId="23430" xr:uid="{00000000-0005-0000-0000-0000865B0000}"/>
    <cellStyle name="Notiz 3 36" xfId="23431" xr:uid="{00000000-0005-0000-0000-0000875B0000}"/>
    <cellStyle name="Notiz 3 37" xfId="23432" xr:uid="{00000000-0005-0000-0000-0000885B0000}"/>
    <cellStyle name="Notiz 3 38" xfId="23433" xr:uid="{00000000-0005-0000-0000-0000895B0000}"/>
    <cellStyle name="Notiz 3 39" xfId="23434" xr:uid="{00000000-0005-0000-0000-00008A5B0000}"/>
    <cellStyle name="Notiz 3 4" xfId="23435" xr:uid="{00000000-0005-0000-0000-00008B5B0000}"/>
    <cellStyle name="Notiz 3 40" xfId="23436" xr:uid="{00000000-0005-0000-0000-00008C5B0000}"/>
    <cellStyle name="Notiz 3 41" xfId="23437" xr:uid="{00000000-0005-0000-0000-00008D5B0000}"/>
    <cellStyle name="Notiz 3 42" xfId="23438" xr:uid="{00000000-0005-0000-0000-00008E5B0000}"/>
    <cellStyle name="Notiz 3 43" xfId="23439" xr:uid="{00000000-0005-0000-0000-00008F5B0000}"/>
    <cellStyle name="Notiz 3 44" xfId="23440" xr:uid="{00000000-0005-0000-0000-0000905B0000}"/>
    <cellStyle name="Notiz 3 45" xfId="23441" xr:uid="{00000000-0005-0000-0000-0000915B0000}"/>
    <cellStyle name="Notiz 3 46" xfId="23442" xr:uid="{00000000-0005-0000-0000-0000925B0000}"/>
    <cellStyle name="Notiz 3 47" xfId="23443" xr:uid="{00000000-0005-0000-0000-0000935B0000}"/>
    <cellStyle name="Notiz 3 48" xfId="23444" xr:uid="{00000000-0005-0000-0000-0000945B0000}"/>
    <cellStyle name="Notiz 3 49" xfId="23445" xr:uid="{00000000-0005-0000-0000-0000955B0000}"/>
    <cellStyle name="Notiz 3 5" xfId="23446" xr:uid="{00000000-0005-0000-0000-0000965B0000}"/>
    <cellStyle name="Notiz 3 50" xfId="23447" xr:uid="{00000000-0005-0000-0000-0000975B0000}"/>
    <cellStyle name="Notiz 3 51" xfId="23448" xr:uid="{00000000-0005-0000-0000-0000985B0000}"/>
    <cellStyle name="Notiz 3 52" xfId="23449" xr:uid="{00000000-0005-0000-0000-0000995B0000}"/>
    <cellStyle name="Notiz 3 53" xfId="23450" xr:uid="{00000000-0005-0000-0000-00009A5B0000}"/>
    <cellStyle name="Notiz 3 54" xfId="23451" xr:uid="{00000000-0005-0000-0000-00009B5B0000}"/>
    <cellStyle name="Notiz 3 55" xfId="23452" xr:uid="{00000000-0005-0000-0000-00009C5B0000}"/>
    <cellStyle name="Notiz 3 56" xfId="23453" xr:uid="{00000000-0005-0000-0000-00009D5B0000}"/>
    <cellStyle name="Notiz 3 57" xfId="23454" xr:uid="{00000000-0005-0000-0000-00009E5B0000}"/>
    <cellStyle name="Notiz 3 58" xfId="23455" xr:uid="{00000000-0005-0000-0000-00009F5B0000}"/>
    <cellStyle name="Notiz 3 59" xfId="23456" xr:uid="{00000000-0005-0000-0000-0000A05B0000}"/>
    <cellStyle name="Notiz 3 6" xfId="23457" xr:uid="{00000000-0005-0000-0000-0000A15B0000}"/>
    <cellStyle name="Notiz 3 60" xfId="23458" xr:uid="{00000000-0005-0000-0000-0000A25B0000}"/>
    <cellStyle name="Notiz 3 61" xfId="23459" xr:uid="{00000000-0005-0000-0000-0000A35B0000}"/>
    <cellStyle name="Notiz 3 62" xfId="23460" xr:uid="{00000000-0005-0000-0000-0000A45B0000}"/>
    <cellStyle name="Notiz 3 63" xfId="23461" xr:uid="{00000000-0005-0000-0000-0000A55B0000}"/>
    <cellStyle name="Notiz 3 64" xfId="23462" xr:uid="{00000000-0005-0000-0000-0000A65B0000}"/>
    <cellStyle name="Notiz 3 65" xfId="23463" xr:uid="{00000000-0005-0000-0000-0000A75B0000}"/>
    <cellStyle name="Notiz 3 66" xfId="23464" xr:uid="{00000000-0005-0000-0000-0000A85B0000}"/>
    <cellStyle name="Notiz 3 7" xfId="23465" xr:uid="{00000000-0005-0000-0000-0000A95B0000}"/>
    <cellStyle name="Notiz 3 8" xfId="23466" xr:uid="{00000000-0005-0000-0000-0000AA5B0000}"/>
    <cellStyle name="Notiz 3 9" xfId="23467" xr:uid="{00000000-0005-0000-0000-0000AB5B0000}"/>
    <cellStyle name="Notiz 30" xfId="23468" xr:uid="{00000000-0005-0000-0000-0000AC5B0000}"/>
    <cellStyle name="Notiz 31" xfId="23469" xr:uid="{00000000-0005-0000-0000-0000AD5B0000}"/>
    <cellStyle name="Notiz 32" xfId="23470" xr:uid="{00000000-0005-0000-0000-0000AE5B0000}"/>
    <cellStyle name="Notiz 33" xfId="23471" xr:uid="{00000000-0005-0000-0000-0000AF5B0000}"/>
    <cellStyle name="Notiz 34" xfId="23472" xr:uid="{00000000-0005-0000-0000-0000B05B0000}"/>
    <cellStyle name="Notiz 35" xfId="23473" xr:uid="{00000000-0005-0000-0000-0000B15B0000}"/>
    <cellStyle name="Notiz 36" xfId="23474" xr:uid="{00000000-0005-0000-0000-0000B25B0000}"/>
    <cellStyle name="Notiz 37" xfId="23475" xr:uid="{00000000-0005-0000-0000-0000B35B0000}"/>
    <cellStyle name="Notiz 38" xfId="23476" xr:uid="{00000000-0005-0000-0000-0000B45B0000}"/>
    <cellStyle name="Notiz 39" xfId="23477" xr:uid="{00000000-0005-0000-0000-0000B55B0000}"/>
    <cellStyle name="Notiz 4" xfId="23478" xr:uid="{00000000-0005-0000-0000-0000B65B0000}"/>
    <cellStyle name="Notiz 4 10" xfId="23479" xr:uid="{00000000-0005-0000-0000-0000B75B0000}"/>
    <cellStyle name="Notiz 4 11" xfId="23480" xr:uid="{00000000-0005-0000-0000-0000B85B0000}"/>
    <cellStyle name="Notiz 4 12" xfId="23481" xr:uid="{00000000-0005-0000-0000-0000B95B0000}"/>
    <cellStyle name="Notiz 4 13" xfId="23482" xr:uid="{00000000-0005-0000-0000-0000BA5B0000}"/>
    <cellStyle name="Notiz 4 14" xfId="23483" xr:uid="{00000000-0005-0000-0000-0000BB5B0000}"/>
    <cellStyle name="Notiz 4 15" xfId="23484" xr:uid="{00000000-0005-0000-0000-0000BC5B0000}"/>
    <cellStyle name="Notiz 4 16" xfId="23485" xr:uid="{00000000-0005-0000-0000-0000BD5B0000}"/>
    <cellStyle name="Notiz 4 17" xfId="23486" xr:uid="{00000000-0005-0000-0000-0000BE5B0000}"/>
    <cellStyle name="Notiz 4 18" xfId="23487" xr:uid="{00000000-0005-0000-0000-0000BF5B0000}"/>
    <cellStyle name="Notiz 4 19" xfId="23488" xr:uid="{00000000-0005-0000-0000-0000C05B0000}"/>
    <cellStyle name="Notiz 4 2" xfId="23489" xr:uid="{00000000-0005-0000-0000-0000C15B0000}"/>
    <cellStyle name="Notiz 4 2 10" xfId="23490" xr:uid="{00000000-0005-0000-0000-0000C25B0000}"/>
    <cellStyle name="Notiz 4 2 11" xfId="23491" xr:uid="{00000000-0005-0000-0000-0000C35B0000}"/>
    <cellStyle name="Notiz 4 2 12" xfId="23492" xr:uid="{00000000-0005-0000-0000-0000C45B0000}"/>
    <cellStyle name="Notiz 4 2 13" xfId="23493" xr:uid="{00000000-0005-0000-0000-0000C55B0000}"/>
    <cellStyle name="Notiz 4 2 14" xfId="23494" xr:uid="{00000000-0005-0000-0000-0000C65B0000}"/>
    <cellStyle name="Notiz 4 2 15" xfId="23495" xr:uid="{00000000-0005-0000-0000-0000C75B0000}"/>
    <cellStyle name="Notiz 4 2 16" xfId="23496" xr:uid="{00000000-0005-0000-0000-0000C85B0000}"/>
    <cellStyle name="Notiz 4 2 17" xfId="23497" xr:uid="{00000000-0005-0000-0000-0000C95B0000}"/>
    <cellStyle name="Notiz 4 2 18" xfId="23498" xr:uid="{00000000-0005-0000-0000-0000CA5B0000}"/>
    <cellStyle name="Notiz 4 2 19" xfId="23499" xr:uid="{00000000-0005-0000-0000-0000CB5B0000}"/>
    <cellStyle name="Notiz 4 2 2" xfId="23500" xr:uid="{00000000-0005-0000-0000-0000CC5B0000}"/>
    <cellStyle name="Notiz 4 2 20" xfId="23501" xr:uid="{00000000-0005-0000-0000-0000CD5B0000}"/>
    <cellStyle name="Notiz 4 2 21" xfId="23502" xr:uid="{00000000-0005-0000-0000-0000CE5B0000}"/>
    <cellStyle name="Notiz 4 2 22" xfId="23503" xr:uid="{00000000-0005-0000-0000-0000CF5B0000}"/>
    <cellStyle name="Notiz 4 2 23" xfId="23504" xr:uid="{00000000-0005-0000-0000-0000D05B0000}"/>
    <cellStyle name="Notiz 4 2 24" xfId="23505" xr:uid="{00000000-0005-0000-0000-0000D15B0000}"/>
    <cellStyle name="Notiz 4 2 25" xfId="23506" xr:uid="{00000000-0005-0000-0000-0000D25B0000}"/>
    <cellStyle name="Notiz 4 2 26" xfId="23507" xr:uid="{00000000-0005-0000-0000-0000D35B0000}"/>
    <cellStyle name="Notiz 4 2 27" xfId="23508" xr:uid="{00000000-0005-0000-0000-0000D45B0000}"/>
    <cellStyle name="Notiz 4 2 28" xfId="23509" xr:uid="{00000000-0005-0000-0000-0000D55B0000}"/>
    <cellStyle name="Notiz 4 2 29" xfId="23510" xr:uid="{00000000-0005-0000-0000-0000D65B0000}"/>
    <cellStyle name="Notiz 4 2 3" xfId="23511" xr:uid="{00000000-0005-0000-0000-0000D75B0000}"/>
    <cellStyle name="Notiz 4 2 30" xfId="23512" xr:uid="{00000000-0005-0000-0000-0000D85B0000}"/>
    <cellStyle name="Notiz 4 2 31" xfId="23513" xr:uid="{00000000-0005-0000-0000-0000D95B0000}"/>
    <cellStyle name="Notiz 4 2 32" xfId="23514" xr:uid="{00000000-0005-0000-0000-0000DA5B0000}"/>
    <cellStyle name="Notiz 4 2 33" xfId="23515" xr:uid="{00000000-0005-0000-0000-0000DB5B0000}"/>
    <cellStyle name="Notiz 4 2 34" xfId="23516" xr:uid="{00000000-0005-0000-0000-0000DC5B0000}"/>
    <cellStyle name="Notiz 4 2 35" xfId="23517" xr:uid="{00000000-0005-0000-0000-0000DD5B0000}"/>
    <cellStyle name="Notiz 4 2 36" xfId="23518" xr:uid="{00000000-0005-0000-0000-0000DE5B0000}"/>
    <cellStyle name="Notiz 4 2 37" xfId="23519" xr:uid="{00000000-0005-0000-0000-0000DF5B0000}"/>
    <cellStyle name="Notiz 4 2 38" xfId="23520" xr:uid="{00000000-0005-0000-0000-0000E05B0000}"/>
    <cellStyle name="Notiz 4 2 39" xfId="23521" xr:uid="{00000000-0005-0000-0000-0000E15B0000}"/>
    <cellStyle name="Notiz 4 2 4" xfId="23522" xr:uid="{00000000-0005-0000-0000-0000E25B0000}"/>
    <cellStyle name="Notiz 4 2 40" xfId="23523" xr:uid="{00000000-0005-0000-0000-0000E35B0000}"/>
    <cellStyle name="Notiz 4 2 41" xfId="23524" xr:uid="{00000000-0005-0000-0000-0000E45B0000}"/>
    <cellStyle name="Notiz 4 2 42" xfId="23525" xr:uid="{00000000-0005-0000-0000-0000E55B0000}"/>
    <cellStyle name="Notiz 4 2 43" xfId="23526" xr:uid="{00000000-0005-0000-0000-0000E65B0000}"/>
    <cellStyle name="Notiz 4 2 44" xfId="23527" xr:uid="{00000000-0005-0000-0000-0000E75B0000}"/>
    <cellStyle name="Notiz 4 2 45" xfId="23528" xr:uid="{00000000-0005-0000-0000-0000E85B0000}"/>
    <cellStyle name="Notiz 4 2 46" xfId="23529" xr:uid="{00000000-0005-0000-0000-0000E95B0000}"/>
    <cellStyle name="Notiz 4 2 47" xfId="23530" xr:uid="{00000000-0005-0000-0000-0000EA5B0000}"/>
    <cellStyle name="Notiz 4 2 48" xfId="23531" xr:uid="{00000000-0005-0000-0000-0000EB5B0000}"/>
    <cellStyle name="Notiz 4 2 49" xfId="23532" xr:uid="{00000000-0005-0000-0000-0000EC5B0000}"/>
    <cellStyle name="Notiz 4 2 5" xfId="23533" xr:uid="{00000000-0005-0000-0000-0000ED5B0000}"/>
    <cellStyle name="Notiz 4 2 50" xfId="23534" xr:uid="{00000000-0005-0000-0000-0000EE5B0000}"/>
    <cellStyle name="Notiz 4 2 51" xfId="23535" xr:uid="{00000000-0005-0000-0000-0000EF5B0000}"/>
    <cellStyle name="Notiz 4 2 52" xfId="23536" xr:uid="{00000000-0005-0000-0000-0000F05B0000}"/>
    <cellStyle name="Notiz 4 2 53" xfId="23537" xr:uid="{00000000-0005-0000-0000-0000F15B0000}"/>
    <cellStyle name="Notiz 4 2 54" xfId="23538" xr:uid="{00000000-0005-0000-0000-0000F25B0000}"/>
    <cellStyle name="Notiz 4 2 55" xfId="23539" xr:uid="{00000000-0005-0000-0000-0000F35B0000}"/>
    <cellStyle name="Notiz 4 2 56" xfId="23540" xr:uid="{00000000-0005-0000-0000-0000F45B0000}"/>
    <cellStyle name="Notiz 4 2 57" xfId="23541" xr:uid="{00000000-0005-0000-0000-0000F55B0000}"/>
    <cellStyle name="Notiz 4 2 58" xfId="23542" xr:uid="{00000000-0005-0000-0000-0000F65B0000}"/>
    <cellStyle name="Notiz 4 2 59" xfId="23543" xr:uid="{00000000-0005-0000-0000-0000F75B0000}"/>
    <cellStyle name="Notiz 4 2 6" xfId="23544" xr:uid="{00000000-0005-0000-0000-0000F85B0000}"/>
    <cellStyle name="Notiz 4 2 60" xfId="23545" xr:uid="{00000000-0005-0000-0000-0000F95B0000}"/>
    <cellStyle name="Notiz 4 2 61" xfId="23546" xr:uid="{00000000-0005-0000-0000-0000FA5B0000}"/>
    <cellStyle name="Notiz 4 2 62" xfId="23547" xr:uid="{00000000-0005-0000-0000-0000FB5B0000}"/>
    <cellStyle name="Notiz 4 2 63" xfId="23548" xr:uid="{00000000-0005-0000-0000-0000FC5B0000}"/>
    <cellStyle name="Notiz 4 2 64" xfId="23549" xr:uid="{00000000-0005-0000-0000-0000FD5B0000}"/>
    <cellStyle name="Notiz 4 2 65" xfId="23550" xr:uid="{00000000-0005-0000-0000-0000FE5B0000}"/>
    <cellStyle name="Notiz 4 2 7" xfId="23551" xr:uid="{00000000-0005-0000-0000-0000FF5B0000}"/>
    <cellStyle name="Notiz 4 2 8" xfId="23552" xr:uid="{00000000-0005-0000-0000-0000005C0000}"/>
    <cellStyle name="Notiz 4 2 9" xfId="23553" xr:uid="{00000000-0005-0000-0000-0000015C0000}"/>
    <cellStyle name="Notiz 4 20" xfId="23554" xr:uid="{00000000-0005-0000-0000-0000025C0000}"/>
    <cellStyle name="Notiz 4 21" xfId="23555" xr:uid="{00000000-0005-0000-0000-0000035C0000}"/>
    <cellStyle name="Notiz 4 22" xfId="23556" xr:uid="{00000000-0005-0000-0000-0000045C0000}"/>
    <cellStyle name="Notiz 4 23" xfId="23557" xr:uid="{00000000-0005-0000-0000-0000055C0000}"/>
    <cellStyle name="Notiz 4 24" xfId="23558" xr:uid="{00000000-0005-0000-0000-0000065C0000}"/>
    <cellStyle name="Notiz 4 25" xfId="23559" xr:uid="{00000000-0005-0000-0000-0000075C0000}"/>
    <cellStyle name="Notiz 4 26" xfId="23560" xr:uid="{00000000-0005-0000-0000-0000085C0000}"/>
    <cellStyle name="Notiz 4 27" xfId="23561" xr:uid="{00000000-0005-0000-0000-0000095C0000}"/>
    <cellStyle name="Notiz 4 28" xfId="23562" xr:uid="{00000000-0005-0000-0000-00000A5C0000}"/>
    <cellStyle name="Notiz 4 29" xfId="23563" xr:uid="{00000000-0005-0000-0000-00000B5C0000}"/>
    <cellStyle name="Notiz 4 3" xfId="23564" xr:uid="{00000000-0005-0000-0000-00000C5C0000}"/>
    <cellStyle name="Notiz 4 30" xfId="23565" xr:uid="{00000000-0005-0000-0000-00000D5C0000}"/>
    <cellStyle name="Notiz 4 31" xfId="23566" xr:uid="{00000000-0005-0000-0000-00000E5C0000}"/>
    <cellStyle name="Notiz 4 32" xfId="23567" xr:uid="{00000000-0005-0000-0000-00000F5C0000}"/>
    <cellStyle name="Notiz 4 33" xfId="23568" xr:uid="{00000000-0005-0000-0000-0000105C0000}"/>
    <cellStyle name="Notiz 4 34" xfId="23569" xr:uid="{00000000-0005-0000-0000-0000115C0000}"/>
    <cellStyle name="Notiz 4 35" xfId="23570" xr:uid="{00000000-0005-0000-0000-0000125C0000}"/>
    <cellStyle name="Notiz 4 36" xfId="23571" xr:uid="{00000000-0005-0000-0000-0000135C0000}"/>
    <cellStyle name="Notiz 4 37" xfId="23572" xr:uid="{00000000-0005-0000-0000-0000145C0000}"/>
    <cellStyle name="Notiz 4 38" xfId="23573" xr:uid="{00000000-0005-0000-0000-0000155C0000}"/>
    <cellStyle name="Notiz 4 39" xfId="23574" xr:uid="{00000000-0005-0000-0000-0000165C0000}"/>
    <cellStyle name="Notiz 4 4" xfId="23575" xr:uid="{00000000-0005-0000-0000-0000175C0000}"/>
    <cellStyle name="Notiz 4 40" xfId="23576" xr:uid="{00000000-0005-0000-0000-0000185C0000}"/>
    <cellStyle name="Notiz 4 41" xfId="23577" xr:uid="{00000000-0005-0000-0000-0000195C0000}"/>
    <cellStyle name="Notiz 4 42" xfId="23578" xr:uid="{00000000-0005-0000-0000-00001A5C0000}"/>
    <cellStyle name="Notiz 4 43" xfId="23579" xr:uid="{00000000-0005-0000-0000-00001B5C0000}"/>
    <cellStyle name="Notiz 4 44" xfId="23580" xr:uid="{00000000-0005-0000-0000-00001C5C0000}"/>
    <cellStyle name="Notiz 4 45" xfId="23581" xr:uid="{00000000-0005-0000-0000-00001D5C0000}"/>
    <cellStyle name="Notiz 4 46" xfId="23582" xr:uid="{00000000-0005-0000-0000-00001E5C0000}"/>
    <cellStyle name="Notiz 4 47" xfId="23583" xr:uid="{00000000-0005-0000-0000-00001F5C0000}"/>
    <cellStyle name="Notiz 4 48" xfId="23584" xr:uid="{00000000-0005-0000-0000-0000205C0000}"/>
    <cellStyle name="Notiz 4 49" xfId="23585" xr:uid="{00000000-0005-0000-0000-0000215C0000}"/>
    <cellStyle name="Notiz 4 5" xfId="23586" xr:uid="{00000000-0005-0000-0000-0000225C0000}"/>
    <cellStyle name="Notiz 4 50" xfId="23587" xr:uid="{00000000-0005-0000-0000-0000235C0000}"/>
    <cellStyle name="Notiz 4 51" xfId="23588" xr:uid="{00000000-0005-0000-0000-0000245C0000}"/>
    <cellStyle name="Notiz 4 52" xfId="23589" xr:uid="{00000000-0005-0000-0000-0000255C0000}"/>
    <cellStyle name="Notiz 4 53" xfId="23590" xr:uid="{00000000-0005-0000-0000-0000265C0000}"/>
    <cellStyle name="Notiz 4 54" xfId="23591" xr:uid="{00000000-0005-0000-0000-0000275C0000}"/>
    <cellStyle name="Notiz 4 55" xfId="23592" xr:uid="{00000000-0005-0000-0000-0000285C0000}"/>
    <cellStyle name="Notiz 4 56" xfId="23593" xr:uid="{00000000-0005-0000-0000-0000295C0000}"/>
    <cellStyle name="Notiz 4 57" xfId="23594" xr:uid="{00000000-0005-0000-0000-00002A5C0000}"/>
    <cellStyle name="Notiz 4 58" xfId="23595" xr:uid="{00000000-0005-0000-0000-00002B5C0000}"/>
    <cellStyle name="Notiz 4 59" xfId="23596" xr:uid="{00000000-0005-0000-0000-00002C5C0000}"/>
    <cellStyle name="Notiz 4 6" xfId="23597" xr:uid="{00000000-0005-0000-0000-00002D5C0000}"/>
    <cellStyle name="Notiz 4 60" xfId="23598" xr:uid="{00000000-0005-0000-0000-00002E5C0000}"/>
    <cellStyle name="Notiz 4 61" xfId="23599" xr:uid="{00000000-0005-0000-0000-00002F5C0000}"/>
    <cellStyle name="Notiz 4 62" xfId="23600" xr:uid="{00000000-0005-0000-0000-0000305C0000}"/>
    <cellStyle name="Notiz 4 63" xfId="23601" xr:uid="{00000000-0005-0000-0000-0000315C0000}"/>
    <cellStyle name="Notiz 4 64" xfId="23602" xr:uid="{00000000-0005-0000-0000-0000325C0000}"/>
    <cellStyle name="Notiz 4 65" xfId="23603" xr:uid="{00000000-0005-0000-0000-0000335C0000}"/>
    <cellStyle name="Notiz 4 66" xfId="23604" xr:uid="{00000000-0005-0000-0000-0000345C0000}"/>
    <cellStyle name="Notiz 4 7" xfId="23605" xr:uid="{00000000-0005-0000-0000-0000355C0000}"/>
    <cellStyle name="Notiz 4 8" xfId="23606" xr:uid="{00000000-0005-0000-0000-0000365C0000}"/>
    <cellStyle name="Notiz 4 9" xfId="23607" xr:uid="{00000000-0005-0000-0000-0000375C0000}"/>
    <cellStyle name="Notiz 40" xfId="23608" xr:uid="{00000000-0005-0000-0000-0000385C0000}"/>
    <cellStyle name="Notiz 41" xfId="23609" xr:uid="{00000000-0005-0000-0000-0000395C0000}"/>
    <cellStyle name="Notiz 42" xfId="23610" xr:uid="{00000000-0005-0000-0000-00003A5C0000}"/>
    <cellStyle name="Notiz 43" xfId="23611" xr:uid="{00000000-0005-0000-0000-00003B5C0000}"/>
    <cellStyle name="Notiz 44" xfId="23612" xr:uid="{00000000-0005-0000-0000-00003C5C0000}"/>
    <cellStyle name="Notiz 45" xfId="23613" xr:uid="{00000000-0005-0000-0000-00003D5C0000}"/>
    <cellStyle name="Notiz 46" xfId="23614" xr:uid="{00000000-0005-0000-0000-00003E5C0000}"/>
    <cellStyle name="Notiz 47" xfId="23615" xr:uid="{00000000-0005-0000-0000-00003F5C0000}"/>
    <cellStyle name="Notiz 48" xfId="23616" xr:uid="{00000000-0005-0000-0000-0000405C0000}"/>
    <cellStyle name="Notiz 49" xfId="23617" xr:uid="{00000000-0005-0000-0000-0000415C0000}"/>
    <cellStyle name="Notiz 5" xfId="23618" xr:uid="{00000000-0005-0000-0000-0000425C0000}"/>
    <cellStyle name="Notiz 5 10" xfId="23619" xr:uid="{00000000-0005-0000-0000-0000435C0000}"/>
    <cellStyle name="Notiz 5 11" xfId="23620" xr:uid="{00000000-0005-0000-0000-0000445C0000}"/>
    <cellStyle name="Notiz 5 12" xfId="23621" xr:uid="{00000000-0005-0000-0000-0000455C0000}"/>
    <cellStyle name="Notiz 5 13" xfId="23622" xr:uid="{00000000-0005-0000-0000-0000465C0000}"/>
    <cellStyle name="Notiz 5 14" xfId="23623" xr:uid="{00000000-0005-0000-0000-0000475C0000}"/>
    <cellStyle name="Notiz 5 15" xfId="23624" xr:uid="{00000000-0005-0000-0000-0000485C0000}"/>
    <cellStyle name="Notiz 5 16" xfId="23625" xr:uid="{00000000-0005-0000-0000-0000495C0000}"/>
    <cellStyle name="Notiz 5 17" xfId="23626" xr:uid="{00000000-0005-0000-0000-00004A5C0000}"/>
    <cellStyle name="Notiz 5 18" xfId="23627" xr:uid="{00000000-0005-0000-0000-00004B5C0000}"/>
    <cellStyle name="Notiz 5 19" xfId="23628" xr:uid="{00000000-0005-0000-0000-00004C5C0000}"/>
    <cellStyle name="Notiz 5 2" xfId="23629" xr:uid="{00000000-0005-0000-0000-00004D5C0000}"/>
    <cellStyle name="Notiz 5 20" xfId="23630" xr:uid="{00000000-0005-0000-0000-00004E5C0000}"/>
    <cellStyle name="Notiz 5 21" xfId="23631" xr:uid="{00000000-0005-0000-0000-00004F5C0000}"/>
    <cellStyle name="Notiz 5 22" xfId="23632" xr:uid="{00000000-0005-0000-0000-0000505C0000}"/>
    <cellStyle name="Notiz 5 23" xfId="23633" xr:uid="{00000000-0005-0000-0000-0000515C0000}"/>
    <cellStyle name="Notiz 5 24" xfId="23634" xr:uid="{00000000-0005-0000-0000-0000525C0000}"/>
    <cellStyle name="Notiz 5 25" xfId="23635" xr:uid="{00000000-0005-0000-0000-0000535C0000}"/>
    <cellStyle name="Notiz 5 26" xfId="23636" xr:uid="{00000000-0005-0000-0000-0000545C0000}"/>
    <cellStyle name="Notiz 5 27" xfId="23637" xr:uid="{00000000-0005-0000-0000-0000555C0000}"/>
    <cellStyle name="Notiz 5 28" xfId="23638" xr:uid="{00000000-0005-0000-0000-0000565C0000}"/>
    <cellStyle name="Notiz 5 29" xfId="23639" xr:uid="{00000000-0005-0000-0000-0000575C0000}"/>
    <cellStyle name="Notiz 5 3" xfId="23640" xr:uid="{00000000-0005-0000-0000-0000585C0000}"/>
    <cellStyle name="Notiz 5 30" xfId="23641" xr:uid="{00000000-0005-0000-0000-0000595C0000}"/>
    <cellStyle name="Notiz 5 31" xfId="23642" xr:uid="{00000000-0005-0000-0000-00005A5C0000}"/>
    <cellStyle name="Notiz 5 32" xfId="23643" xr:uid="{00000000-0005-0000-0000-00005B5C0000}"/>
    <cellStyle name="Notiz 5 33" xfId="23644" xr:uid="{00000000-0005-0000-0000-00005C5C0000}"/>
    <cellStyle name="Notiz 5 34" xfId="23645" xr:uid="{00000000-0005-0000-0000-00005D5C0000}"/>
    <cellStyle name="Notiz 5 35" xfId="23646" xr:uid="{00000000-0005-0000-0000-00005E5C0000}"/>
    <cellStyle name="Notiz 5 36" xfId="23647" xr:uid="{00000000-0005-0000-0000-00005F5C0000}"/>
    <cellStyle name="Notiz 5 37" xfId="23648" xr:uid="{00000000-0005-0000-0000-0000605C0000}"/>
    <cellStyle name="Notiz 5 38" xfId="23649" xr:uid="{00000000-0005-0000-0000-0000615C0000}"/>
    <cellStyle name="Notiz 5 39" xfId="23650" xr:uid="{00000000-0005-0000-0000-0000625C0000}"/>
    <cellStyle name="Notiz 5 4" xfId="23651" xr:uid="{00000000-0005-0000-0000-0000635C0000}"/>
    <cellStyle name="Notiz 5 40" xfId="23652" xr:uid="{00000000-0005-0000-0000-0000645C0000}"/>
    <cellStyle name="Notiz 5 41" xfId="23653" xr:uid="{00000000-0005-0000-0000-0000655C0000}"/>
    <cellStyle name="Notiz 5 42" xfId="23654" xr:uid="{00000000-0005-0000-0000-0000665C0000}"/>
    <cellStyle name="Notiz 5 43" xfId="23655" xr:uid="{00000000-0005-0000-0000-0000675C0000}"/>
    <cellStyle name="Notiz 5 44" xfId="23656" xr:uid="{00000000-0005-0000-0000-0000685C0000}"/>
    <cellStyle name="Notiz 5 45" xfId="23657" xr:uid="{00000000-0005-0000-0000-0000695C0000}"/>
    <cellStyle name="Notiz 5 46" xfId="23658" xr:uid="{00000000-0005-0000-0000-00006A5C0000}"/>
    <cellStyle name="Notiz 5 47" xfId="23659" xr:uid="{00000000-0005-0000-0000-00006B5C0000}"/>
    <cellStyle name="Notiz 5 48" xfId="23660" xr:uid="{00000000-0005-0000-0000-00006C5C0000}"/>
    <cellStyle name="Notiz 5 49" xfId="23661" xr:uid="{00000000-0005-0000-0000-00006D5C0000}"/>
    <cellStyle name="Notiz 5 5" xfId="23662" xr:uid="{00000000-0005-0000-0000-00006E5C0000}"/>
    <cellStyle name="Notiz 5 50" xfId="23663" xr:uid="{00000000-0005-0000-0000-00006F5C0000}"/>
    <cellStyle name="Notiz 5 51" xfId="23664" xr:uid="{00000000-0005-0000-0000-0000705C0000}"/>
    <cellStyle name="Notiz 5 52" xfId="23665" xr:uid="{00000000-0005-0000-0000-0000715C0000}"/>
    <cellStyle name="Notiz 5 53" xfId="23666" xr:uid="{00000000-0005-0000-0000-0000725C0000}"/>
    <cellStyle name="Notiz 5 54" xfId="23667" xr:uid="{00000000-0005-0000-0000-0000735C0000}"/>
    <cellStyle name="Notiz 5 55" xfId="23668" xr:uid="{00000000-0005-0000-0000-0000745C0000}"/>
    <cellStyle name="Notiz 5 56" xfId="23669" xr:uid="{00000000-0005-0000-0000-0000755C0000}"/>
    <cellStyle name="Notiz 5 57" xfId="23670" xr:uid="{00000000-0005-0000-0000-0000765C0000}"/>
    <cellStyle name="Notiz 5 58" xfId="23671" xr:uid="{00000000-0005-0000-0000-0000775C0000}"/>
    <cellStyle name="Notiz 5 59" xfId="23672" xr:uid="{00000000-0005-0000-0000-0000785C0000}"/>
    <cellStyle name="Notiz 5 6" xfId="23673" xr:uid="{00000000-0005-0000-0000-0000795C0000}"/>
    <cellStyle name="Notiz 5 60" xfId="23674" xr:uid="{00000000-0005-0000-0000-00007A5C0000}"/>
    <cellStyle name="Notiz 5 61" xfId="23675" xr:uid="{00000000-0005-0000-0000-00007B5C0000}"/>
    <cellStyle name="Notiz 5 62" xfId="23676" xr:uid="{00000000-0005-0000-0000-00007C5C0000}"/>
    <cellStyle name="Notiz 5 63" xfId="23677" xr:uid="{00000000-0005-0000-0000-00007D5C0000}"/>
    <cellStyle name="Notiz 5 64" xfId="23678" xr:uid="{00000000-0005-0000-0000-00007E5C0000}"/>
    <cellStyle name="Notiz 5 65" xfId="23679" xr:uid="{00000000-0005-0000-0000-00007F5C0000}"/>
    <cellStyle name="Notiz 5 7" xfId="23680" xr:uid="{00000000-0005-0000-0000-0000805C0000}"/>
    <cellStyle name="Notiz 5 8" xfId="23681" xr:uid="{00000000-0005-0000-0000-0000815C0000}"/>
    <cellStyle name="Notiz 5 9" xfId="23682" xr:uid="{00000000-0005-0000-0000-0000825C0000}"/>
    <cellStyle name="Notiz 50" xfId="23683" xr:uid="{00000000-0005-0000-0000-0000835C0000}"/>
    <cellStyle name="Notiz 51" xfId="23684" xr:uid="{00000000-0005-0000-0000-0000845C0000}"/>
    <cellStyle name="Notiz 52" xfId="23685" xr:uid="{00000000-0005-0000-0000-0000855C0000}"/>
    <cellStyle name="Notiz 53" xfId="23686" xr:uid="{00000000-0005-0000-0000-0000865C0000}"/>
    <cellStyle name="Notiz 54" xfId="23687" xr:uid="{00000000-0005-0000-0000-0000875C0000}"/>
    <cellStyle name="Notiz 55" xfId="23688" xr:uid="{00000000-0005-0000-0000-0000885C0000}"/>
    <cellStyle name="Notiz 56" xfId="23689" xr:uid="{00000000-0005-0000-0000-0000895C0000}"/>
    <cellStyle name="Notiz 57" xfId="23690" xr:uid="{00000000-0005-0000-0000-00008A5C0000}"/>
    <cellStyle name="Notiz 58" xfId="23691" xr:uid="{00000000-0005-0000-0000-00008B5C0000}"/>
    <cellStyle name="Notiz 59" xfId="23692" xr:uid="{00000000-0005-0000-0000-00008C5C0000}"/>
    <cellStyle name="Notiz 6" xfId="23693" xr:uid="{00000000-0005-0000-0000-00008D5C0000}"/>
    <cellStyle name="Notiz 60" xfId="23694" xr:uid="{00000000-0005-0000-0000-00008E5C0000}"/>
    <cellStyle name="Notiz 61" xfId="23695" xr:uid="{00000000-0005-0000-0000-00008F5C0000}"/>
    <cellStyle name="Notiz 62" xfId="23696" xr:uid="{00000000-0005-0000-0000-0000905C0000}"/>
    <cellStyle name="Notiz 63" xfId="23697" xr:uid="{00000000-0005-0000-0000-0000915C0000}"/>
    <cellStyle name="Notiz 64" xfId="23698" xr:uid="{00000000-0005-0000-0000-0000925C0000}"/>
    <cellStyle name="Notiz 65" xfId="23699" xr:uid="{00000000-0005-0000-0000-0000935C0000}"/>
    <cellStyle name="Notiz 66" xfId="23700" xr:uid="{00000000-0005-0000-0000-0000945C0000}"/>
    <cellStyle name="Notiz 67" xfId="23701" xr:uid="{00000000-0005-0000-0000-0000955C0000}"/>
    <cellStyle name="Notiz 68" xfId="23702" xr:uid="{00000000-0005-0000-0000-0000965C0000}"/>
    <cellStyle name="Notiz 69" xfId="23703" xr:uid="{00000000-0005-0000-0000-0000975C0000}"/>
    <cellStyle name="Notiz 7" xfId="23704" xr:uid="{00000000-0005-0000-0000-0000985C0000}"/>
    <cellStyle name="Notiz 8" xfId="23705" xr:uid="{00000000-0005-0000-0000-0000995C0000}"/>
    <cellStyle name="Notiz 9" xfId="23706" xr:uid="{00000000-0005-0000-0000-00009A5C0000}"/>
    <cellStyle name="Output 2" xfId="23707" xr:uid="{00000000-0005-0000-0000-00009B5C0000}"/>
    <cellStyle name="Output 2 10" xfId="23708" xr:uid="{00000000-0005-0000-0000-00009C5C0000}"/>
    <cellStyle name="Output 2 11" xfId="23709" xr:uid="{00000000-0005-0000-0000-00009D5C0000}"/>
    <cellStyle name="Output 2 12" xfId="23710" xr:uid="{00000000-0005-0000-0000-00009E5C0000}"/>
    <cellStyle name="Output 2 13" xfId="23711" xr:uid="{00000000-0005-0000-0000-00009F5C0000}"/>
    <cellStyle name="Output 2 14" xfId="23712" xr:uid="{00000000-0005-0000-0000-0000A05C0000}"/>
    <cellStyle name="Output 2 15" xfId="23713" xr:uid="{00000000-0005-0000-0000-0000A15C0000}"/>
    <cellStyle name="Output 2 16" xfId="23714" xr:uid="{00000000-0005-0000-0000-0000A25C0000}"/>
    <cellStyle name="Output 2 17" xfId="23715" xr:uid="{00000000-0005-0000-0000-0000A35C0000}"/>
    <cellStyle name="Output 2 18" xfId="23716" xr:uid="{00000000-0005-0000-0000-0000A45C0000}"/>
    <cellStyle name="Output 2 19" xfId="23717" xr:uid="{00000000-0005-0000-0000-0000A55C0000}"/>
    <cellStyle name="Output 2 2" xfId="23718" xr:uid="{00000000-0005-0000-0000-0000A65C0000}"/>
    <cellStyle name="Output 2 2 10" xfId="23719" xr:uid="{00000000-0005-0000-0000-0000A75C0000}"/>
    <cellStyle name="Output 2 2 11" xfId="23720" xr:uid="{00000000-0005-0000-0000-0000A85C0000}"/>
    <cellStyle name="Output 2 2 12" xfId="23721" xr:uid="{00000000-0005-0000-0000-0000A95C0000}"/>
    <cellStyle name="Output 2 2 13" xfId="23722" xr:uid="{00000000-0005-0000-0000-0000AA5C0000}"/>
    <cellStyle name="Output 2 2 14" xfId="23723" xr:uid="{00000000-0005-0000-0000-0000AB5C0000}"/>
    <cellStyle name="Output 2 2 15" xfId="23724" xr:uid="{00000000-0005-0000-0000-0000AC5C0000}"/>
    <cellStyle name="Output 2 2 16" xfId="23725" xr:uid="{00000000-0005-0000-0000-0000AD5C0000}"/>
    <cellStyle name="Output 2 2 17" xfId="23726" xr:uid="{00000000-0005-0000-0000-0000AE5C0000}"/>
    <cellStyle name="Output 2 2 18" xfId="23727" xr:uid="{00000000-0005-0000-0000-0000AF5C0000}"/>
    <cellStyle name="Output 2 2 19" xfId="23728" xr:uid="{00000000-0005-0000-0000-0000B05C0000}"/>
    <cellStyle name="Output 2 2 2" xfId="23729" xr:uid="{00000000-0005-0000-0000-0000B15C0000}"/>
    <cellStyle name="Output 2 2 2 10" xfId="23730" xr:uid="{00000000-0005-0000-0000-0000B25C0000}"/>
    <cellStyle name="Output 2 2 2 11" xfId="23731" xr:uid="{00000000-0005-0000-0000-0000B35C0000}"/>
    <cellStyle name="Output 2 2 2 12" xfId="23732" xr:uid="{00000000-0005-0000-0000-0000B45C0000}"/>
    <cellStyle name="Output 2 2 2 13" xfId="23733" xr:uid="{00000000-0005-0000-0000-0000B55C0000}"/>
    <cellStyle name="Output 2 2 2 14" xfId="23734" xr:uid="{00000000-0005-0000-0000-0000B65C0000}"/>
    <cellStyle name="Output 2 2 2 15" xfId="23735" xr:uid="{00000000-0005-0000-0000-0000B75C0000}"/>
    <cellStyle name="Output 2 2 2 16" xfId="23736" xr:uid="{00000000-0005-0000-0000-0000B85C0000}"/>
    <cellStyle name="Output 2 2 2 17" xfId="23737" xr:uid="{00000000-0005-0000-0000-0000B95C0000}"/>
    <cellStyle name="Output 2 2 2 18" xfId="23738" xr:uid="{00000000-0005-0000-0000-0000BA5C0000}"/>
    <cellStyle name="Output 2 2 2 19" xfId="23739" xr:uid="{00000000-0005-0000-0000-0000BB5C0000}"/>
    <cellStyle name="Output 2 2 2 2" xfId="23740" xr:uid="{00000000-0005-0000-0000-0000BC5C0000}"/>
    <cellStyle name="Output 2 2 2 20" xfId="23741" xr:uid="{00000000-0005-0000-0000-0000BD5C0000}"/>
    <cellStyle name="Output 2 2 2 21" xfId="23742" xr:uid="{00000000-0005-0000-0000-0000BE5C0000}"/>
    <cellStyle name="Output 2 2 2 22" xfId="23743" xr:uid="{00000000-0005-0000-0000-0000BF5C0000}"/>
    <cellStyle name="Output 2 2 2 23" xfId="23744" xr:uid="{00000000-0005-0000-0000-0000C05C0000}"/>
    <cellStyle name="Output 2 2 2 24" xfId="23745" xr:uid="{00000000-0005-0000-0000-0000C15C0000}"/>
    <cellStyle name="Output 2 2 2 25" xfId="23746" xr:uid="{00000000-0005-0000-0000-0000C25C0000}"/>
    <cellStyle name="Output 2 2 2 26" xfId="23747" xr:uid="{00000000-0005-0000-0000-0000C35C0000}"/>
    <cellStyle name="Output 2 2 2 27" xfId="23748" xr:uid="{00000000-0005-0000-0000-0000C45C0000}"/>
    <cellStyle name="Output 2 2 2 28" xfId="23749" xr:uid="{00000000-0005-0000-0000-0000C55C0000}"/>
    <cellStyle name="Output 2 2 2 29" xfId="23750" xr:uid="{00000000-0005-0000-0000-0000C65C0000}"/>
    <cellStyle name="Output 2 2 2 3" xfId="23751" xr:uid="{00000000-0005-0000-0000-0000C75C0000}"/>
    <cellStyle name="Output 2 2 2 30" xfId="23752" xr:uid="{00000000-0005-0000-0000-0000C85C0000}"/>
    <cellStyle name="Output 2 2 2 31" xfId="23753" xr:uid="{00000000-0005-0000-0000-0000C95C0000}"/>
    <cellStyle name="Output 2 2 2 32" xfId="23754" xr:uid="{00000000-0005-0000-0000-0000CA5C0000}"/>
    <cellStyle name="Output 2 2 2 33" xfId="23755" xr:uid="{00000000-0005-0000-0000-0000CB5C0000}"/>
    <cellStyle name="Output 2 2 2 34" xfId="23756" xr:uid="{00000000-0005-0000-0000-0000CC5C0000}"/>
    <cellStyle name="Output 2 2 2 35" xfId="23757" xr:uid="{00000000-0005-0000-0000-0000CD5C0000}"/>
    <cellStyle name="Output 2 2 2 36" xfId="23758" xr:uid="{00000000-0005-0000-0000-0000CE5C0000}"/>
    <cellStyle name="Output 2 2 2 37" xfId="23759" xr:uid="{00000000-0005-0000-0000-0000CF5C0000}"/>
    <cellStyle name="Output 2 2 2 38" xfId="23760" xr:uid="{00000000-0005-0000-0000-0000D05C0000}"/>
    <cellStyle name="Output 2 2 2 39" xfId="23761" xr:uid="{00000000-0005-0000-0000-0000D15C0000}"/>
    <cellStyle name="Output 2 2 2 4" xfId="23762" xr:uid="{00000000-0005-0000-0000-0000D25C0000}"/>
    <cellStyle name="Output 2 2 2 40" xfId="23763" xr:uid="{00000000-0005-0000-0000-0000D35C0000}"/>
    <cellStyle name="Output 2 2 2 41" xfId="23764" xr:uid="{00000000-0005-0000-0000-0000D45C0000}"/>
    <cellStyle name="Output 2 2 2 42" xfId="23765" xr:uid="{00000000-0005-0000-0000-0000D55C0000}"/>
    <cellStyle name="Output 2 2 2 43" xfId="23766" xr:uid="{00000000-0005-0000-0000-0000D65C0000}"/>
    <cellStyle name="Output 2 2 2 44" xfId="23767" xr:uid="{00000000-0005-0000-0000-0000D75C0000}"/>
    <cellStyle name="Output 2 2 2 45" xfId="23768" xr:uid="{00000000-0005-0000-0000-0000D85C0000}"/>
    <cellStyle name="Output 2 2 2 46" xfId="23769" xr:uid="{00000000-0005-0000-0000-0000D95C0000}"/>
    <cellStyle name="Output 2 2 2 47" xfId="23770" xr:uid="{00000000-0005-0000-0000-0000DA5C0000}"/>
    <cellStyle name="Output 2 2 2 48" xfId="23771" xr:uid="{00000000-0005-0000-0000-0000DB5C0000}"/>
    <cellStyle name="Output 2 2 2 49" xfId="23772" xr:uid="{00000000-0005-0000-0000-0000DC5C0000}"/>
    <cellStyle name="Output 2 2 2 5" xfId="23773" xr:uid="{00000000-0005-0000-0000-0000DD5C0000}"/>
    <cellStyle name="Output 2 2 2 50" xfId="23774" xr:uid="{00000000-0005-0000-0000-0000DE5C0000}"/>
    <cellStyle name="Output 2 2 2 51" xfId="23775" xr:uid="{00000000-0005-0000-0000-0000DF5C0000}"/>
    <cellStyle name="Output 2 2 2 52" xfId="23776" xr:uid="{00000000-0005-0000-0000-0000E05C0000}"/>
    <cellStyle name="Output 2 2 2 53" xfId="23777" xr:uid="{00000000-0005-0000-0000-0000E15C0000}"/>
    <cellStyle name="Output 2 2 2 54" xfId="23778" xr:uid="{00000000-0005-0000-0000-0000E25C0000}"/>
    <cellStyle name="Output 2 2 2 55" xfId="23779" xr:uid="{00000000-0005-0000-0000-0000E35C0000}"/>
    <cellStyle name="Output 2 2 2 56" xfId="23780" xr:uid="{00000000-0005-0000-0000-0000E45C0000}"/>
    <cellStyle name="Output 2 2 2 57" xfId="23781" xr:uid="{00000000-0005-0000-0000-0000E55C0000}"/>
    <cellStyle name="Output 2 2 2 58" xfId="23782" xr:uid="{00000000-0005-0000-0000-0000E65C0000}"/>
    <cellStyle name="Output 2 2 2 59" xfId="23783" xr:uid="{00000000-0005-0000-0000-0000E75C0000}"/>
    <cellStyle name="Output 2 2 2 6" xfId="23784" xr:uid="{00000000-0005-0000-0000-0000E85C0000}"/>
    <cellStyle name="Output 2 2 2 60" xfId="23785" xr:uid="{00000000-0005-0000-0000-0000E95C0000}"/>
    <cellStyle name="Output 2 2 2 61" xfId="23786" xr:uid="{00000000-0005-0000-0000-0000EA5C0000}"/>
    <cellStyle name="Output 2 2 2 62" xfId="23787" xr:uid="{00000000-0005-0000-0000-0000EB5C0000}"/>
    <cellStyle name="Output 2 2 2 63" xfId="23788" xr:uid="{00000000-0005-0000-0000-0000EC5C0000}"/>
    <cellStyle name="Output 2 2 2 64" xfId="23789" xr:uid="{00000000-0005-0000-0000-0000ED5C0000}"/>
    <cellStyle name="Output 2 2 2 65" xfId="23790" xr:uid="{00000000-0005-0000-0000-0000EE5C0000}"/>
    <cellStyle name="Output 2 2 2 7" xfId="23791" xr:uid="{00000000-0005-0000-0000-0000EF5C0000}"/>
    <cellStyle name="Output 2 2 2 8" xfId="23792" xr:uid="{00000000-0005-0000-0000-0000F05C0000}"/>
    <cellStyle name="Output 2 2 2 9" xfId="23793" xr:uid="{00000000-0005-0000-0000-0000F15C0000}"/>
    <cellStyle name="Output 2 2 20" xfId="23794" xr:uid="{00000000-0005-0000-0000-0000F25C0000}"/>
    <cellStyle name="Output 2 2 21" xfId="23795" xr:uid="{00000000-0005-0000-0000-0000F35C0000}"/>
    <cellStyle name="Output 2 2 22" xfId="23796" xr:uid="{00000000-0005-0000-0000-0000F45C0000}"/>
    <cellStyle name="Output 2 2 23" xfId="23797" xr:uid="{00000000-0005-0000-0000-0000F55C0000}"/>
    <cellStyle name="Output 2 2 24" xfId="23798" xr:uid="{00000000-0005-0000-0000-0000F65C0000}"/>
    <cellStyle name="Output 2 2 25" xfId="23799" xr:uid="{00000000-0005-0000-0000-0000F75C0000}"/>
    <cellStyle name="Output 2 2 26" xfId="23800" xr:uid="{00000000-0005-0000-0000-0000F85C0000}"/>
    <cellStyle name="Output 2 2 27" xfId="23801" xr:uid="{00000000-0005-0000-0000-0000F95C0000}"/>
    <cellStyle name="Output 2 2 28" xfId="23802" xr:uid="{00000000-0005-0000-0000-0000FA5C0000}"/>
    <cellStyle name="Output 2 2 29" xfId="23803" xr:uid="{00000000-0005-0000-0000-0000FB5C0000}"/>
    <cellStyle name="Output 2 2 3" xfId="23804" xr:uid="{00000000-0005-0000-0000-0000FC5C0000}"/>
    <cellStyle name="Output 2 2 30" xfId="23805" xr:uid="{00000000-0005-0000-0000-0000FD5C0000}"/>
    <cellStyle name="Output 2 2 31" xfId="23806" xr:uid="{00000000-0005-0000-0000-0000FE5C0000}"/>
    <cellStyle name="Output 2 2 32" xfId="23807" xr:uid="{00000000-0005-0000-0000-0000FF5C0000}"/>
    <cellStyle name="Output 2 2 33" xfId="23808" xr:uid="{00000000-0005-0000-0000-0000005D0000}"/>
    <cellStyle name="Output 2 2 34" xfId="23809" xr:uid="{00000000-0005-0000-0000-0000015D0000}"/>
    <cellStyle name="Output 2 2 35" xfId="23810" xr:uid="{00000000-0005-0000-0000-0000025D0000}"/>
    <cellStyle name="Output 2 2 36" xfId="23811" xr:uid="{00000000-0005-0000-0000-0000035D0000}"/>
    <cellStyle name="Output 2 2 37" xfId="23812" xr:uid="{00000000-0005-0000-0000-0000045D0000}"/>
    <cellStyle name="Output 2 2 38" xfId="23813" xr:uid="{00000000-0005-0000-0000-0000055D0000}"/>
    <cellStyle name="Output 2 2 39" xfId="23814" xr:uid="{00000000-0005-0000-0000-0000065D0000}"/>
    <cellStyle name="Output 2 2 4" xfId="23815" xr:uid="{00000000-0005-0000-0000-0000075D0000}"/>
    <cellStyle name="Output 2 2 40" xfId="23816" xr:uid="{00000000-0005-0000-0000-0000085D0000}"/>
    <cellStyle name="Output 2 2 41" xfId="23817" xr:uid="{00000000-0005-0000-0000-0000095D0000}"/>
    <cellStyle name="Output 2 2 42" xfId="23818" xr:uid="{00000000-0005-0000-0000-00000A5D0000}"/>
    <cellStyle name="Output 2 2 43" xfId="23819" xr:uid="{00000000-0005-0000-0000-00000B5D0000}"/>
    <cellStyle name="Output 2 2 44" xfId="23820" xr:uid="{00000000-0005-0000-0000-00000C5D0000}"/>
    <cellStyle name="Output 2 2 45" xfId="23821" xr:uid="{00000000-0005-0000-0000-00000D5D0000}"/>
    <cellStyle name="Output 2 2 46" xfId="23822" xr:uid="{00000000-0005-0000-0000-00000E5D0000}"/>
    <cellStyle name="Output 2 2 47" xfId="23823" xr:uid="{00000000-0005-0000-0000-00000F5D0000}"/>
    <cellStyle name="Output 2 2 48" xfId="23824" xr:uid="{00000000-0005-0000-0000-0000105D0000}"/>
    <cellStyle name="Output 2 2 49" xfId="23825" xr:uid="{00000000-0005-0000-0000-0000115D0000}"/>
    <cellStyle name="Output 2 2 5" xfId="23826" xr:uid="{00000000-0005-0000-0000-0000125D0000}"/>
    <cellStyle name="Output 2 2 50" xfId="23827" xr:uid="{00000000-0005-0000-0000-0000135D0000}"/>
    <cellStyle name="Output 2 2 51" xfId="23828" xr:uid="{00000000-0005-0000-0000-0000145D0000}"/>
    <cellStyle name="Output 2 2 52" xfId="23829" xr:uid="{00000000-0005-0000-0000-0000155D0000}"/>
    <cellStyle name="Output 2 2 53" xfId="23830" xr:uid="{00000000-0005-0000-0000-0000165D0000}"/>
    <cellStyle name="Output 2 2 54" xfId="23831" xr:uid="{00000000-0005-0000-0000-0000175D0000}"/>
    <cellStyle name="Output 2 2 55" xfId="23832" xr:uid="{00000000-0005-0000-0000-0000185D0000}"/>
    <cellStyle name="Output 2 2 56" xfId="23833" xr:uid="{00000000-0005-0000-0000-0000195D0000}"/>
    <cellStyle name="Output 2 2 57" xfId="23834" xr:uid="{00000000-0005-0000-0000-00001A5D0000}"/>
    <cellStyle name="Output 2 2 58" xfId="23835" xr:uid="{00000000-0005-0000-0000-00001B5D0000}"/>
    <cellStyle name="Output 2 2 59" xfId="23836" xr:uid="{00000000-0005-0000-0000-00001C5D0000}"/>
    <cellStyle name="Output 2 2 6" xfId="23837" xr:uid="{00000000-0005-0000-0000-00001D5D0000}"/>
    <cellStyle name="Output 2 2 60" xfId="23838" xr:uid="{00000000-0005-0000-0000-00001E5D0000}"/>
    <cellStyle name="Output 2 2 61" xfId="23839" xr:uid="{00000000-0005-0000-0000-00001F5D0000}"/>
    <cellStyle name="Output 2 2 62" xfId="23840" xr:uid="{00000000-0005-0000-0000-0000205D0000}"/>
    <cellStyle name="Output 2 2 63" xfId="23841" xr:uid="{00000000-0005-0000-0000-0000215D0000}"/>
    <cellStyle name="Output 2 2 64" xfId="23842" xr:uid="{00000000-0005-0000-0000-0000225D0000}"/>
    <cellStyle name="Output 2 2 65" xfId="23843" xr:uid="{00000000-0005-0000-0000-0000235D0000}"/>
    <cellStyle name="Output 2 2 66" xfId="23844" xr:uid="{00000000-0005-0000-0000-0000245D0000}"/>
    <cellStyle name="Output 2 2 7" xfId="23845" xr:uid="{00000000-0005-0000-0000-0000255D0000}"/>
    <cellStyle name="Output 2 2 8" xfId="23846" xr:uid="{00000000-0005-0000-0000-0000265D0000}"/>
    <cellStyle name="Output 2 2 9" xfId="23847" xr:uid="{00000000-0005-0000-0000-0000275D0000}"/>
    <cellStyle name="Output 2 20" xfId="23848" xr:uid="{00000000-0005-0000-0000-0000285D0000}"/>
    <cellStyle name="Output 2 21" xfId="23849" xr:uid="{00000000-0005-0000-0000-0000295D0000}"/>
    <cellStyle name="Output 2 22" xfId="23850" xr:uid="{00000000-0005-0000-0000-00002A5D0000}"/>
    <cellStyle name="Output 2 23" xfId="23851" xr:uid="{00000000-0005-0000-0000-00002B5D0000}"/>
    <cellStyle name="Output 2 24" xfId="23852" xr:uid="{00000000-0005-0000-0000-00002C5D0000}"/>
    <cellStyle name="Output 2 25" xfId="23853" xr:uid="{00000000-0005-0000-0000-00002D5D0000}"/>
    <cellStyle name="Output 2 26" xfId="23854" xr:uid="{00000000-0005-0000-0000-00002E5D0000}"/>
    <cellStyle name="Output 2 27" xfId="23855" xr:uid="{00000000-0005-0000-0000-00002F5D0000}"/>
    <cellStyle name="Output 2 28" xfId="23856" xr:uid="{00000000-0005-0000-0000-0000305D0000}"/>
    <cellStyle name="Output 2 29" xfId="23857" xr:uid="{00000000-0005-0000-0000-0000315D0000}"/>
    <cellStyle name="Output 2 3" xfId="23858" xr:uid="{00000000-0005-0000-0000-0000325D0000}"/>
    <cellStyle name="Output 2 3 10" xfId="23859" xr:uid="{00000000-0005-0000-0000-0000335D0000}"/>
    <cellStyle name="Output 2 3 11" xfId="23860" xr:uid="{00000000-0005-0000-0000-0000345D0000}"/>
    <cellStyle name="Output 2 3 12" xfId="23861" xr:uid="{00000000-0005-0000-0000-0000355D0000}"/>
    <cellStyle name="Output 2 3 13" xfId="23862" xr:uid="{00000000-0005-0000-0000-0000365D0000}"/>
    <cellStyle name="Output 2 3 14" xfId="23863" xr:uid="{00000000-0005-0000-0000-0000375D0000}"/>
    <cellStyle name="Output 2 3 15" xfId="23864" xr:uid="{00000000-0005-0000-0000-0000385D0000}"/>
    <cellStyle name="Output 2 3 16" xfId="23865" xr:uid="{00000000-0005-0000-0000-0000395D0000}"/>
    <cellStyle name="Output 2 3 17" xfId="23866" xr:uid="{00000000-0005-0000-0000-00003A5D0000}"/>
    <cellStyle name="Output 2 3 18" xfId="23867" xr:uid="{00000000-0005-0000-0000-00003B5D0000}"/>
    <cellStyle name="Output 2 3 19" xfId="23868" xr:uid="{00000000-0005-0000-0000-00003C5D0000}"/>
    <cellStyle name="Output 2 3 2" xfId="23869" xr:uid="{00000000-0005-0000-0000-00003D5D0000}"/>
    <cellStyle name="Output 2 3 2 10" xfId="23870" xr:uid="{00000000-0005-0000-0000-00003E5D0000}"/>
    <cellStyle name="Output 2 3 2 11" xfId="23871" xr:uid="{00000000-0005-0000-0000-00003F5D0000}"/>
    <cellStyle name="Output 2 3 2 12" xfId="23872" xr:uid="{00000000-0005-0000-0000-0000405D0000}"/>
    <cellStyle name="Output 2 3 2 13" xfId="23873" xr:uid="{00000000-0005-0000-0000-0000415D0000}"/>
    <cellStyle name="Output 2 3 2 14" xfId="23874" xr:uid="{00000000-0005-0000-0000-0000425D0000}"/>
    <cellStyle name="Output 2 3 2 15" xfId="23875" xr:uid="{00000000-0005-0000-0000-0000435D0000}"/>
    <cellStyle name="Output 2 3 2 16" xfId="23876" xr:uid="{00000000-0005-0000-0000-0000445D0000}"/>
    <cellStyle name="Output 2 3 2 17" xfId="23877" xr:uid="{00000000-0005-0000-0000-0000455D0000}"/>
    <cellStyle name="Output 2 3 2 18" xfId="23878" xr:uid="{00000000-0005-0000-0000-0000465D0000}"/>
    <cellStyle name="Output 2 3 2 19" xfId="23879" xr:uid="{00000000-0005-0000-0000-0000475D0000}"/>
    <cellStyle name="Output 2 3 2 2" xfId="23880" xr:uid="{00000000-0005-0000-0000-0000485D0000}"/>
    <cellStyle name="Output 2 3 2 20" xfId="23881" xr:uid="{00000000-0005-0000-0000-0000495D0000}"/>
    <cellStyle name="Output 2 3 2 21" xfId="23882" xr:uid="{00000000-0005-0000-0000-00004A5D0000}"/>
    <cellStyle name="Output 2 3 2 22" xfId="23883" xr:uid="{00000000-0005-0000-0000-00004B5D0000}"/>
    <cellStyle name="Output 2 3 2 23" xfId="23884" xr:uid="{00000000-0005-0000-0000-00004C5D0000}"/>
    <cellStyle name="Output 2 3 2 24" xfId="23885" xr:uid="{00000000-0005-0000-0000-00004D5D0000}"/>
    <cellStyle name="Output 2 3 2 25" xfId="23886" xr:uid="{00000000-0005-0000-0000-00004E5D0000}"/>
    <cellStyle name="Output 2 3 2 26" xfId="23887" xr:uid="{00000000-0005-0000-0000-00004F5D0000}"/>
    <cellStyle name="Output 2 3 2 27" xfId="23888" xr:uid="{00000000-0005-0000-0000-0000505D0000}"/>
    <cellStyle name="Output 2 3 2 28" xfId="23889" xr:uid="{00000000-0005-0000-0000-0000515D0000}"/>
    <cellStyle name="Output 2 3 2 29" xfId="23890" xr:uid="{00000000-0005-0000-0000-0000525D0000}"/>
    <cellStyle name="Output 2 3 2 3" xfId="23891" xr:uid="{00000000-0005-0000-0000-0000535D0000}"/>
    <cellStyle name="Output 2 3 2 30" xfId="23892" xr:uid="{00000000-0005-0000-0000-0000545D0000}"/>
    <cellStyle name="Output 2 3 2 31" xfId="23893" xr:uid="{00000000-0005-0000-0000-0000555D0000}"/>
    <cellStyle name="Output 2 3 2 32" xfId="23894" xr:uid="{00000000-0005-0000-0000-0000565D0000}"/>
    <cellStyle name="Output 2 3 2 33" xfId="23895" xr:uid="{00000000-0005-0000-0000-0000575D0000}"/>
    <cellStyle name="Output 2 3 2 34" xfId="23896" xr:uid="{00000000-0005-0000-0000-0000585D0000}"/>
    <cellStyle name="Output 2 3 2 35" xfId="23897" xr:uid="{00000000-0005-0000-0000-0000595D0000}"/>
    <cellStyle name="Output 2 3 2 36" xfId="23898" xr:uid="{00000000-0005-0000-0000-00005A5D0000}"/>
    <cellStyle name="Output 2 3 2 37" xfId="23899" xr:uid="{00000000-0005-0000-0000-00005B5D0000}"/>
    <cellStyle name="Output 2 3 2 38" xfId="23900" xr:uid="{00000000-0005-0000-0000-00005C5D0000}"/>
    <cellStyle name="Output 2 3 2 39" xfId="23901" xr:uid="{00000000-0005-0000-0000-00005D5D0000}"/>
    <cellStyle name="Output 2 3 2 4" xfId="23902" xr:uid="{00000000-0005-0000-0000-00005E5D0000}"/>
    <cellStyle name="Output 2 3 2 40" xfId="23903" xr:uid="{00000000-0005-0000-0000-00005F5D0000}"/>
    <cellStyle name="Output 2 3 2 41" xfId="23904" xr:uid="{00000000-0005-0000-0000-0000605D0000}"/>
    <cellStyle name="Output 2 3 2 42" xfId="23905" xr:uid="{00000000-0005-0000-0000-0000615D0000}"/>
    <cellStyle name="Output 2 3 2 43" xfId="23906" xr:uid="{00000000-0005-0000-0000-0000625D0000}"/>
    <cellStyle name="Output 2 3 2 44" xfId="23907" xr:uid="{00000000-0005-0000-0000-0000635D0000}"/>
    <cellStyle name="Output 2 3 2 45" xfId="23908" xr:uid="{00000000-0005-0000-0000-0000645D0000}"/>
    <cellStyle name="Output 2 3 2 46" xfId="23909" xr:uid="{00000000-0005-0000-0000-0000655D0000}"/>
    <cellStyle name="Output 2 3 2 47" xfId="23910" xr:uid="{00000000-0005-0000-0000-0000665D0000}"/>
    <cellStyle name="Output 2 3 2 48" xfId="23911" xr:uid="{00000000-0005-0000-0000-0000675D0000}"/>
    <cellStyle name="Output 2 3 2 49" xfId="23912" xr:uid="{00000000-0005-0000-0000-0000685D0000}"/>
    <cellStyle name="Output 2 3 2 5" xfId="23913" xr:uid="{00000000-0005-0000-0000-0000695D0000}"/>
    <cellStyle name="Output 2 3 2 50" xfId="23914" xr:uid="{00000000-0005-0000-0000-00006A5D0000}"/>
    <cellStyle name="Output 2 3 2 51" xfId="23915" xr:uid="{00000000-0005-0000-0000-00006B5D0000}"/>
    <cellStyle name="Output 2 3 2 52" xfId="23916" xr:uid="{00000000-0005-0000-0000-00006C5D0000}"/>
    <cellStyle name="Output 2 3 2 53" xfId="23917" xr:uid="{00000000-0005-0000-0000-00006D5D0000}"/>
    <cellStyle name="Output 2 3 2 54" xfId="23918" xr:uid="{00000000-0005-0000-0000-00006E5D0000}"/>
    <cellStyle name="Output 2 3 2 55" xfId="23919" xr:uid="{00000000-0005-0000-0000-00006F5D0000}"/>
    <cellStyle name="Output 2 3 2 56" xfId="23920" xr:uid="{00000000-0005-0000-0000-0000705D0000}"/>
    <cellStyle name="Output 2 3 2 57" xfId="23921" xr:uid="{00000000-0005-0000-0000-0000715D0000}"/>
    <cellStyle name="Output 2 3 2 58" xfId="23922" xr:uid="{00000000-0005-0000-0000-0000725D0000}"/>
    <cellStyle name="Output 2 3 2 59" xfId="23923" xr:uid="{00000000-0005-0000-0000-0000735D0000}"/>
    <cellStyle name="Output 2 3 2 6" xfId="23924" xr:uid="{00000000-0005-0000-0000-0000745D0000}"/>
    <cellStyle name="Output 2 3 2 60" xfId="23925" xr:uid="{00000000-0005-0000-0000-0000755D0000}"/>
    <cellStyle name="Output 2 3 2 61" xfId="23926" xr:uid="{00000000-0005-0000-0000-0000765D0000}"/>
    <cellStyle name="Output 2 3 2 62" xfId="23927" xr:uid="{00000000-0005-0000-0000-0000775D0000}"/>
    <cellStyle name="Output 2 3 2 63" xfId="23928" xr:uid="{00000000-0005-0000-0000-0000785D0000}"/>
    <cellStyle name="Output 2 3 2 64" xfId="23929" xr:uid="{00000000-0005-0000-0000-0000795D0000}"/>
    <cellStyle name="Output 2 3 2 65" xfId="23930" xr:uid="{00000000-0005-0000-0000-00007A5D0000}"/>
    <cellStyle name="Output 2 3 2 7" xfId="23931" xr:uid="{00000000-0005-0000-0000-00007B5D0000}"/>
    <cellStyle name="Output 2 3 2 8" xfId="23932" xr:uid="{00000000-0005-0000-0000-00007C5D0000}"/>
    <cellStyle name="Output 2 3 2 9" xfId="23933" xr:uid="{00000000-0005-0000-0000-00007D5D0000}"/>
    <cellStyle name="Output 2 3 20" xfId="23934" xr:uid="{00000000-0005-0000-0000-00007E5D0000}"/>
    <cellStyle name="Output 2 3 21" xfId="23935" xr:uid="{00000000-0005-0000-0000-00007F5D0000}"/>
    <cellStyle name="Output 2 3 22" xfId="23936" xr:uid="{00000000-0005-0000-0000-0000805D0000}"/>
    <cellStyle name="Output 2 3 23" xfId="23937" xr:uid="{00000000-0005-0000-0000-0000815D0000}"/>
    <cellStyle name="Output 2 3 24" xfId="23938" xr:uid="{00000000-0005-0000-0000-0000825D0000}"/>
    <cellStyle name="Output 2 3 25" xfId="23939" xr:uid="{00000000-0005-0000-0000-0000835D0000}"/>
    <cellStyle name="Output 2 3 26" xfId="23940" xr:uid="{00000000-0005-0000-0000-0000845D0000}"/>
    <cellStyle name="Output 2 3 27" xfId="23941" xr:uid="{00000000-0005-0000-0000-0000855D0000}"/>
    <cellStyle name="Output 2 3 28" xfId="23942" xr:uid="{00000000-0005-0000-0000-0000865D0000}"/>
    <cellStyle name="Output 2 3 29" xfId="23943" xr:uid="{00000000-0005-0000-0000-0000875D0000}"/>
    <cellStyle name="Output 2 3 3" xfId="23944" xr:uid="{00000000-0005-0000-0000-0000885D0000}"/>
    <cellStyle name="Output 2 3 30" xfId="23945" xr:uid="{00000000-0005-0000-0000-0000895D0000}"/>
    <cellStyle name="Output 2 3 31" xfId="23946" xr:uid="{00000000-0005-0000-0000-00008A5D0000}"/>
    <cellStyle name="Output 2 3 32" xfId="23947" xr:uid="{00000000-0005-0000-0000-00008B5D0000}"/>
    <cellStyle name="Output 2 3 33" xfId="23948" xr:uid="{00000000-0005-0000-0000-00008C5D0000}"/>
    <cellStyle name="Output 2 3 34" xfId="23949" xr:uid="{00000000-0005-0000-0000-00008D5D0000}"/>
    <cellStyle name="Output 2 3 35" xfId="23950" xr:uid="{00000000-0005-0000-0000-00008E5D0000}"/>
    <cellStyle name="Output 2 3 36" xfId="23951" xr:uid="{00000000-0005-0000-0000-00008F5D0000}"/>
    <cellStyle name="Output 2 3 37" xfId="23952" xr:uid="{00000000-0005-0000-0000-0000905D0000}"/>
    <cellStyle name="Output 2 3 38" xfId="23953" xr:uid="{00000000-0005-0000-0000-0000915D0000}"/>
    <cellStyle name="Output 2 3 39" xfId="23954" xr:uid="{00000000-0005-0000-0000-0000925D0000}"/>
    <cellStyle name="Output 2 3 4" xfId="23955" xr:uid="{00000000-0005-0000-0000-0000935D0000}"/>
    <cellStyle name="Output 2 3 40" xfId="23956" xr:uid="{00000000-0005-0000-0000-0000945D0000}"/>
    <cellStyle name="Output 2 3 41" xfId="23957" xr:uid="{00000000-0005-0000-0000-0000955D0000}"/>
    <cellStyle name="Output 2 3 42" xfId="23958" xr:uid="{00000000-0005-0000-0000-0000965D0000}"/>
    <cellStyle name="Output 2 3 43" xfId="23959" xr:uid="{00000000-0005-0000-0000-0000975D0000}"/>
    <cellStyle name="Output 2 3 44" xfId="23960" xr:uid="{00000000-0005-0000-0000-0000985D0000}"/>
    <cellStyle name="Output 2 3 45" xfId="23961" xr:uid="{00000000-0005-0000-0000-0000995D0000}"/>
    <cellStyle name="Output 2 3 46" xfId="23962" xr:uid="{00000000-0005-0000-0000-00009A5D0000}"/>
    <cellStyle name="Output 2 3 47" xfId="23963" xr:uid="{00000000-0005-0000-0000-00009B5D0000}"/>
    <cellStyle name="Output 2 3 48" xfId="23964" xr:uid="{00000000-0005-0000-0000-00009C5D0000}"/>
    <cellStyle name="Output 2 3 49" xfId="23965" xr:uid="{00000000-0005-0000-0000-00009D5D0000}"/>
    <cellStyle name="Output 2 3 5" xfId="23966" xr:uid="{00000000-0005-0000-0000-00009E5D0000}"/>
    <cellStyle name="Output 2 3 50" xfId="23967" xr:uid="{00000000-0005-0000-0000-00009F5D0000}"/>
    <cellStyle name="Output 2 3 51" xfId="23968" xr:uid="{00000000-0005-0000-0000-0000A05D0000}"/>
    <cellStyle name="Output 2 3 52" xfId="23969" xr:uid="{00000000-0005-0000-0000-0000A15D0000}"/>
    <cellStyle name="Output 2 3 53" xfId="23970" xr:uid="{00000000-0005-0000-0000-0000A25D0000}"/>
    <cellStyle name="Output 2 3 54" xfId="23971" xr:uid="{00000000-0005-0000-0000-0000A35D0000}"/>
    <cellStyle name="Output 2 3 55" xfId="23972" xr:uid="{00000000-0005-0000-0000-0000A45D0000}"/>
    <cellStyle name="Output 2 3 56" xfId="23973" xr:uid="{00000000-0005-0000-0000-0000A55D0000}"/>
    <cellStyle name="Output 2 3 57" xfId="23974" xr:uid="{00000000-0005-0000-0000-0000A65D0000}"/>
    <cellStyle name="Output 2 3 58" xfId="23975" xr:uid="{00000000-0005-0000-0000-0000A75D0000}"/>
    <cellStyle name="Output 2 3 59" xfId="23976" xr:uid="{00000000-0005-0000-0000-0000A85D0000}"/>
    <cellStyle name="Output 2 3 6" xfId="23977" xr:uid="{00000000-0005-0000-0000-0000A95D0000}"/>
    <cellStyle name="Output 2 3 60" xfId="23978" xr:uid="{00000000-0005-0000-0000-0000AA5D0000}"/>
    <cellStyle name="Output 2 3 61" xfId="23979" xr:uid="{00000000-0005-0000-0000-0000AB5D0000}"/>
    <cellStyle name="Output 2 3 62" xfId="23980" xr:uid="{00000000-0005-0000-0000-0000AC5D0000}"/>
    <cellStyle name="Output 2 3 63" xfId="23981" xr:uid="{00000000-0005-0000-0000-0000AD5D0000}"/>
    <cellStyle name="Output 2 3 64" xfId="23982" xr:uid="{00000000-0005-0000-0000-0000AE5D0000}"/>
    <cellStyle name="Output 2 3 65" xfId="23983" xr:uid="{00000000-0005-0000-0000-0000AF5D0000}"/>
    <cellStyle name="Output 2 3 66" xfId="23984" xr:uid="{00000000-0005-0000-0000-0000B05D0000}"/>
    <cellStyle name="Output 2 3 7" xfId="23985" xr:uid="{00000000-0005-0000-0000-0000B15D0000}"/>
    <cellStyle name="Output 2 3 8" xfId="23986" xr:uid="{00000000-0005-0000-0000-0000B25D0000}"/>
    <cellStyle name="Output 2 3 9" xfId="23987" xr:uid="{00000000-0005-0000-0000-0000B35D0000}"/>
    <cellStyle name="Output 2 30" xfId="23988" xr:uid="{00000000-0005-0000-0000-0000B45D0000}"/>
    <cellStyle name="Output 2 31" xfId="23989" xr:uid="{00000000-0005-0000-0000-0000B55D0000}"/>
    <cellStyle name="Output 2 32" xfId="23990" xr:uid="{00000000-0005-0000-0000-0000B65D0000}"/>
    <cellStyle name="Output 2 33" xfId="23991" xr:uid="{00000000-0005-0000-0000-0000B75D0000}"/>
    <cellStyle name="Output 2 4" xfId="23992" xr:uid="{00000000-0005-0000-0000-0000B85D0000}"/>
    <cellStyle name="Output 2 4 10" xfId="23993" xr:uid="{00000000-0005-0000-0000-0000B95D0000}"/>
    <cellStyle name="Output 2 4 11" xfId="23994" xr:uid="{00000000-0005-0000-0000-0000BA5D0000}"/>
    <cellStyle name="Output 2 4 12" xfId="23995" xr:uid="{00000000-0005-0000-0000-0000BB5D0000}"/>
    <cellStyle name="Output 2 4 13" xfId="23996" xr:uid="{00000000-0005-0000-0000-0000BC5D0000}"/>
    <cellStyle name="Output 2 4 14" xfId="23997" xr:uid="{00000000-0005-0000-0000-0000BD5D0000}"/>
    <cellStyle name="Output 2 4 15" xfId="23998" xr:uid="{00000000-0005-0000-0000-0000BE5D0000}"/>
    <cellStyle name="Output 2 4 16" xfId="23999" xr:uid="{00000000-0005-0000-0000-0000BF5D0000}"/>
    <cellStyle name="Output 2 4 17" xfId="24000" xr:uid="{00000000-0005-0000-0000-0000C05D0000}"/>
    <cellStyle name="Output 2 4 18" xfId="24001" xr:uid="{00000000-0005-0000-0000-0000C15D0000}"/>
    <cellStyle name="Output 2 4 19" xfId="24002" xr:uid="{00000000-0005-0000-0000-0000C25D0000}"/>
    <cellStyle name="Output 2 4 2" xfId="24003" xr:uid="{00000000-0005-0000-0000-0000C35D0000}"/>
    <cellStyle name="Output 2 4 20" xfId="24004" xr:uid="{00000000-0005-0000-0000-0000C45D0000}"/>
    <cellStyle name="Output 2 4 21" xfId="24005" xr:uid="{00000000-0005-0000-0000-0000C55D0000}"/>
    <cellStyle name="Output 2 4 22" xfId="24006" xr:uid="{00000000-0005-0000-0000-0000C65D0000}"/>
    <cellStyle name="Output 2 4 23" xfId="24007" xr:uid="{00000000-0005-0000-0000-0000C75D0000}"/>
    <cellStyle name="Output 2 4 24" xfId="24008" xr:uid="{00000000-0005-0000-0000-0000C85D0000}"/>
    <cellStyle name="Output 2 4 25" xfId="24009" xr:uid="{00000000-0005-0000-0000-0000C95D0000}"/>
    <cellStyle name="Output 2 4 26" xfId="24010" xr:uid="{00000000-0005-0000-0000-0000CA5D0000}"/>
    <cellStyle name="Output 2 4 27" xfId="24011" xr:uid="{00000000-0005-0000-0000-0000CB5D0000}"/>
    <cellStyle name="Output 2 4 28" xfId="24012" xr:uid="{00000000-0005-0000-0000-0000CC5D0000}"/>
    <cellStyle name="Output 2 4 29" xfId="24013" xr:uid="{00000000-0005-0000-0000-0000CD5D0000}"/>
    <cellStyle name="Output 2 4 3" xfId="24014" xr:uid="{00000000-0005-0000-0000-0000CE5D0000}"/>
    <cellStyle name="Output 2 4 30" xfId="24015" xr:uid="{00000000-0005-0000-0000-0000CF5D0000}"/>
    <cellStyle name="Output 2 4 31" xfId="24016" xr:uid="{00000000-0005-0000-0000-0000D05D0000}"/>
    <cellStyle name="Output 2 4 32" xfId="24017" xr:uid="{00000000-0005-0000-0000-0000D15D0000}"/>
    <cellStyle name="Output 2 4 33" xfId="24018" xr:uid="{00000000-0005-0000-0000-0000D25D0000}"/>
    <cellStyle name="Output 2 4 34" xfId="24019" xr:uid="{00000000-0005-0000-0000-0000D35D0000}"/>
    <cellStyle name="Output 2 4 35" xfId="24020" xr:uid="{00000000-0005-0000-0000-0000D45D0000}"/>
    <cellStyle name="Output 2 4 36" xfId="24021" xr:uid="{00000000-0005-0000-0000-0000D55D0000}"/>
    <cellStyle name="Output 2 4 37" xfId="24022" xr:uid="{00000000-0005-0000-0000-0000D65D0000}"/>
    <cellStyle name="Output 2 4 38" xfId="24023" xr:uid="{00000000-0005-0000-0000-0000D75D0000}"/>
    <cellStyle name="Output 2 4 39" xfId="24024" xr:uid="{00000000-0005-0000-0000-0000D85D0000}"/>
    <cellStyle name="Output 2 4 4" xfId="24025" xr:uid="{00000000-0005-0000-0000-0000D95D0000}"/>
    <cellStyle name="Output 2 4 40" xfId="24026" xr:uid="{00000000-0005-0000-0000-0000DA5D0000}"/>
    <cellStyle name="Output 2 4 41" xfId="24027" xr:uid="{00000000-0005-0000-0000-0000DB5D0000}"/>
    <cellStyle name="Output 2 4 42" xfId="24028" xr:uid="{00000000-0005-0000-0000-0000DC5D0000}"/>
    <cellStyle name="Output 2 4 43" xfId="24029" xr:uid="{00000000-0005-0000-0000-0000DD5D0000}"/>
    <cellStyle name="Output 2 4 44" xfId="24030" xr:uid="{00000000-0005-0000-0000-0000DE5D0000}"/>
    <cellStyle name="Output 2 4 45" xfId="24031" xr:uid="{00000000-0005-0000-0000-0000DF5D0000}"/>
    <cellStyle name="Output 2 4 46" xfId="24032" xr:uid="{00000000-0005-0000-0000-0000E05D0000}"/>
    <cellStyle name="Output 2 4 47" xfId="24033" xr:uid="{00000000-0005-0000-0000-0000E15D0000}"/>
    <cellStyle name="Output 2 4 48" xfId="24034" xr:uid="{00000000-0005-0000-0000-0000E25D0000}"/>
    <cellStyle name="Output 2 4 49" xfId="24035" xr:uid="{00000000-0005-0000-0000-0000E35D0000}"/>
    <cellStyle name="Output 2 4 5" xfId="24036" xr:uid="{00000000-0005-0000-0000-0000E45D0000}"/>
    <cellStyle name="Output 2 4 50" xfId="24037" xr:uid="{00000000-0005-0000-0000-0000E55D0000}"/>
    <cellStyle name="Output 2 4 51" xfId="24038" xr:uid="{00000000-0005-0000-0000-0000E65D0000}"/>
    <cellStyle name="Output 2 4 52" xfId="24039" xr:uid="{00000000-0005-0000-0000-0000E75D0000}"/>
    <cellStyle name="Output 2 4 53" xfId="24040" xr:uid="{00000000-0005-0000-0000-0000E85D0000}"/>
    <cellStyle name="Output 2 4 54" xfId="24041" xr:uid="{00000000-0005-0000-0000-0000E95D0000}"/>
    <cellStyle name="Output 2 4 55" xfId="24042" xr:uid="{00000000-0005-0000-0000-0000EA5D0000}"/>
    <cellStyle name="Output 2 4 56" xfId="24043" xr:uid="{00000000-0005-0000-0000-0000EB5D0000}"/>
    <cellStyle name="Output 2 4 57" xfId="24044" xr:uid="{00000000-0005-0000-0000-0000EC5D0000}"/>
    <cellStyle name="Output 2 4 58" xfId="24045" xr:uid="{00000000-0005-0000-0000-0000ED5D0000}"/>
    <cellStyle name="Output 2 4 59" xfId="24046" xr:uid="{00000000-0005-0000-0000-0000EE5D0000}"/>
    <cellStyle name="Output 2 4 6" xfId="24047" xr:uid="{00000000-0005-0000-0000-0000EF5D0000}"/>
    <cellStyle name="Output 2 4 60" xfId="24048" xr:uid="{00000000-0005-0000-0000-0000F05D0000}"/>
    <cellStyle name="Output 2 4 61" xfId="24049" xr:uid="{00000000-0005-0000-0000-0000F15D0000}"/>
    <cellStyle name="Output 2 4 62" xfId="24050" xr:uid="{00000000-0005-0000-0000-0000F25D0000}"/>
    <cellStyle name="Output 2 4 63" xfId="24051" xr:uid="{00000000-0005-0000-0000-0000F35D0000}"/>
    <cellStyle name="Output 2 4 64" xfId="24052" xr:uid="{00000000-0005-0000-0000-0000F45D0000}"/>
    <cellStyle name="Output 2 4 65" xfId="24053" xr:uid="{00000000-0005-0000-0000-0000F55D0000}"/>
    <cellStyle name="Output 2 4 7" xfId="24054" xr:uid="{00000000-0005-0000-0000-0000F65D0000}"/>
    <cellStyle name="Output 2 4 8" xfId="24055" xr:uid="{00000000-0005-0000-0000-0000F75D0000}"/>
    <cellStyle name="Output 2 4 9" xfId="24056" xr:uid="{00000000-0005-0000-0000-0000F85D0000}"/>
    <cellStyle name="Output 2 5" xfId="24057" xr:uid="{00000000-0005-0000-0000-0000F95D0000}"/>
    <cellStyle name="Output 2 6" xfId="24058" xr:uid="{00000000-0005-0000-0000-0000FA5D0000}"/>
    <cellStyle name="Output 2 7" xfId="24059" xr:uid="{00000000-0005-0000-0000-0000FB5D0000}"/>
    <cellStyle name="Output 2 8" xfId="24060" xr:uid="{00000000-0005-0000-0000-0000FC5D0000}"/>
    <cellStyle name="Output 2 9" xfId="24061" xr:uid="{00000000-0005-0000-0000-0000FD5D0000}"/>
    <cellStyle name="Output 3" xfId="24062" xr:uid="{00000000-0005-0000-0000-0000FE5D0000}"/>
    <cellStyle name="Output 3 10" xfId="24063" xr:uid="{00000000-0005-0000-0000-0000FF5D0000}"/>
    <cellStyle name="Output 3 11" xfId="24064" xr:uid="{00000000-0005-0000-0000-0000005E0000}"/>
    <cellStyle name="Output 3 12" xfId="24065" xr:uid="{00000000-0005-0000-0000-0000015E0000}"/>
    <cellStyle name="Output 3 13" xfId="24066" xr:uid="{00000000-0005-0000-0000-0000025E0000}"/>
    <cellStyle name="Output 3 14" xfId="24067" xr:uid="{00000000-0005-0000-0000-0000035E0000}"/>
    <cellStyle name="Output 3 15" xfId="24068" xr:uid="{00000000-0005-0000-0000-0000045E0000}"/>
    <cellStyle name="Output 3 16" xfId="24069" xr:uid="{00000000-0005-0000-0000-0000055E0000}"/>
    <cellStyle name="Output 3 17" xfId="24070" xr:uid="{00000000-0005-0000-0000-0000065E0000}"/>
    <cellStyle name="Output 3 18" xfId="24071" xr:uid="{00000000-0005-0000-0000-0000075E0000}"/>
    <cellStyle name="Output 3 19" xfId="24072" xr:uid="{00000000-0005-0000-0000-0000085E0000}"/>
    <cellStyle name="Output 3 2" xfId="24073" xr:uid="{00000000-0005-0000-0000-0000095E0000}"/>
    <cellStyle name="Output 3 2 10" xfId="24074" xr:uid="{00000000-0005-0000-0000-00000A5E0000}"/>
    <cellStyle name="Output 3 2 11" xfId="24075" xr:uid="{00000000-0005-0000-0000-00000B5E0000}"/>
    <cellStyle name="Output 3 2 12" xfId="24076" xr:uid="{00000000-0005-0000-0000-00000C5E0000}"/>
    <cellStyle name="Output 3 2 13" xfId="24077" xr:uid="{00000000-0005-0000-0000-00000D5E0000}"/>
    <cellStyle name="Output 3 2 14" xfId="24078" xr:uid="{00000000-0005-0000-0000-00000E5E0000}"/>
    <cellStyle name="Output 3 2 15" xfId="24079" xr:uid="{00000000-0005-0000-0000-00000F5E0000}"/>
    <cellStyle name="Output 3 2 16" xfId="24080" xr:uid="{00000000-0005-0000-0000-0000105E0000}"/>
    <cellStyle name="Output 3 2 17" xfId="24081" xr:uid="{00000000-0005-0000-0000-0000115E0000}"/>
    <cellStyle name="Output 3 2 18" xfId="24082" xr:uid="{00000000-0005-0000-0000-0000125E0000}"/>
    <cellStyle name="Output 3 2 19" xfId="24083" xr:uid="{00000000-0005-0000-0000-0000135E0000}"/>
    <cellStyle name="Output 3 2 2" xfId="24084" xr:uid="{00000000-0005-0000-0000-0000145E0000}"/>
    <cellStyle name="Output 3 2 2 10" xfId="24085" xr:uid="{00000000-0005-0000-0000-0000155E0000}"/>
    <cellStyle name="Output 3 2 2 11" xfId="24086" xr:uid="{00000000-0005-0000-0000-0000165E0000}"/>
    <cellStyle name="Output 3 2 2 12" xfId="24087" xr:uid="{00000000-0005-0000-0000-0000175E0000}"/>
    <cellStyle name="Output 3 2 2 13" xfId="24088" xr:uid="{00000000-0005-0000-0000-0000185E0000}"/>
    <cellStyle name="Output 3 2 2 14" xfId="24089" xr:uid="{00000000-0005-0000-0000-0000195E0000}"/>
    <cellStyle name="Output 3 2 2 15" xfId="24090" xr:uid="{00000000-0005-0000-0000-00001A5E0000}"/>
    <cellStyle name="Output 3 2 2 16" xfId="24091" xr:uid="{00000000-0005-0000-0000-00001B5E0000}"/>
    <cellStyle name="Output 3 2 2 17" xfId="24092" xr:uid="{00000000-0005-0000-0000-00001C5E0000}"/>
    <cellStyle name="Output 3 2 2 18" xfId="24093" xr:uid="{00000000-0005-0000-0000-00001D5E0000}"/>
    <cellStyle name="Output 3 2 2 19" xfId="24094" xr:uid="{00000000-0005-0000-0000-00001E5E0000}"/>
    <cellStyle name="Output 3 2 2 2" xfId="24095" xr:uid="{00000000-0005-0000-0000-00001F5E0000}"/>
    <cellStyle name="Output 3 2 2 20" xfId="24096" xr:uid="{00000000-0005-0000-0000-0000205E0000}"/>
    <cellStyle name="Output 3 2 2 21" xfId="24097" xr:uid="{00000000-0005-0000-0000-0000215E0000}"/>
    <cellStyle name="Output 3 2 2 22" xfId="24098" xr:uid="{00000000-0005-0000-0000-0000225E0000}"/>
    <cellStyle name="Output 3 2 2 23" xfId="24099" xr:uid="{00000000-0005-0000-0000-0000235E0000}"/>
    <cellStyle name="Output 3 2 2 24" xfId="24100" xr:uid="{00000000-0005-0000-0000-0000245E0000}"/>
    <cellStyle name="Output 3 2 2 25" xfId="24101" xr:uid="{00000000-0005-0000-0000-0000255E0000}"/>
    <cellStyle name="Output 3 2 2 26" xfId="24102" xr:uid="{00000000-0005-0000-0000-0000265E0000}"/>
    <cellStyle name="Output 3 2 2 27" xfId="24103" xr:uid="{00000000-0005-0000-0000-0000275E0000}"/>
    <cellStyle name="Output 3 2 2 28" xfId="24104" xr:uid="{00000000-0005-0000-0000-0000285E0000}"/>
    <cellStyle name="Output 3 2 2 29" xfId="24105" xr:uid="{00000000-0005-0000-0000-0000295E0000}"/>
    <cellStyle name="Output 3 2 2 3" xfId="24106" xr:uid="{00000000-0005-0000-0000-00002A5E0000}"/>
    <cellStyle name="Output 3 2 2 30" xfId="24107" xr:uid="{00000000-0005-0000-0000-00002B5E0000}"/>
    <cellStyle name="Output 3 2 2 31" xfId="24108" xr:uid="{00000000-0005-0000-0000-00002C5E0000}"/>
    <cellStyle name="Output 3 2 2 32" xfId="24109" xr:uid="{00000000-0005-0000-0000-00002D5E0000}"/>
    <cellStyle name="Output 3 2 2 33" xfId="24110" xr:uid="{00000000-0005-0000-0000-00002E5E0000}"/>
    <cellStyle name="Output 3 2 2 34" xfId="24111" xr:uid="{00000000-0005-0000-0000-00002F5E0000}"/>
    <cellStyle name="Output 3 2 2 35" xfId="24112" xr:uid="{00000000-0005-0000-0000-0000305E0000}"/>
    <cellStyle name="Output 3 2 2 36" xfId="24113" xr:uid="{00000000-0005-0000-0000-0000315E0000}"/>
    <cellStyle name="Output 3 2 2 37" xfId="24114" xr:uid="{00000000-0005-0000-0000-0000325E0000}"/>
    <cellStyle name="Output 3 2 2 38" xfId="24115" xr:uid="{00000000-0005-0000-0000-0000335E0000}"/>
    <cellStyle name="Output 3 2 2 39" xfId="24116" xr:uid="{00000000-0005-0000-0000-0000345E0000}"/>
    <cellStyle name="Output 3 2 2 4" xfId="24117" xr:uid="{00000000-0005-0000-0000-0000355E0000}"/>
    <cellStyle name="Output 3 2 2 40" xfId="24118" xr:uid="{00000000-0005-0000-0000-0000365E0000}"/>
    <cellStyle name="Output 3 2 2 41" xfId="24119" xr:uid="{00000000-0005-0000-0000-0000375E0000}"/>
    <cellStyle name="Output 3 2 2 42" xfId="24120" xr:uid="{00000000-0005-0000-0000-0000385E0000}"/>
    <cellStyle name="Output 3 2 2 43" xfId="24121" xr:uid="{00000000-0005-0000-0000-0000395E0000}"/>
    <cellStyle name="Output 3 2 2 44" xfId="24122" xr:uid="{00000000-0005-0000-0000-00003A5E0000}"/>
    <cellStyle name="Output 3 2 2 45" xfId="24123" xr:uid="{00000000-0005-0000-0000-00003B5E0000}"/>
    <cellStyle name="Output 3 2 2 46" xfId="24124" xr:uid="{00000000-0005-0000-0000-00003C5E0000}"/>
    <cellStyle name="Output 3 2 2 47" xfId="24125" xr:uid="{00000000-0005-0000-0000-00003D5E0000}"/>
    <cellStyle name="Output 3 2 2 48" xfId="24126" xr:uid="{00000000-0005-0000-0000-00003E5E0000}"/>
    <cellStyle name="Output 3 2 2 49" xfId="24127" xr:uid="{00000000-0005-0000-0000-00003F5E0000}"/>
    <cellStyle name="Output 3 2 2 5" xfId="24128" xr:uid="{00000000-0005-0000-0000-0000405E0000}"/>
    <cellStyle name="Output 3 2 2 50" xfId="24129" xr:uid="{00000000-0005-0000-0000-0000415E0000}"/>
    <cellStyle name="Output 3 2 2 51" xfId="24130" xr:uid="{00000000-0005-0000-0000-0000425E0000}"/>
    <cellStyle name="Output 3 2 2 52" xfId="24131" xr:uid="{00000000-0005-0000-0000-0000435E0000}"/>
    <cellStyle name="Output 3 2 2 53" xfId="24132" xr:uid="{00000000-0005-0000-0000-0000445E0000}"/>
    <cellStyle name="Output 3 2 2 54" xfId="24133" xr:uid="{00000000-0005-0000-0000-0000455E0000}"/>
    <cellStyle name="Output 3 2 2 55" xfId="24134" xr:uid="{00000000-0005-0000-0000-0000465E0000}"/>
    <cellStyle name="Output 3 2 2 56" xfId="24135" xr:uid="{00000000-0005-0000-0000-0000475E0000}"/>
    <cellStyle name="Output 3 2 2 57" xfId="24136" xr:uid="{00000000-0005-0000-0000-0000485E0000}"/>
    <cellStyle name="Output 3 2 2 58" xfId="24137" xr:uid="{00000000-0005-0000-0000-0000495E0000}"/>
    <cellStyle name="Output 3 2 2 59" xfId="24138" xr:uid="{00000000-0005-0000-0000-00004A5E0000}"/>
    <cellStyle name="Output 3 2 2 6" xfId="24139" xr:uid="{00000000-0005-0000-0000-00004B5E0000}"/>
    <cellStyle name="Output 3 2 2 60" xfId="24140" xr:uid="{00000000-0005-0000-0000-00004C5E0000}"/>
    <cellStyle name="Output 3 2 2 61" xfId="24141" xr:uid="{00000000-0005-0000-0000-00004D5E0000}"/>
    <cellStyle name="Output 3 2 2 62" xfId="24142" xr:uid="{00000000-0005-0000-0000-00004E5E0000}"/>
    <cellStyle name="Output 3 2 2 63" xfId="24143" xr:uid="{00000000-0005-0000-0000-00004F5E0000}"/>
    <cellStyle name="Output 3 2 2 64" xfId="24144" xr:uid="{00000000-0005-0000-0000-0000505E0000}"/>
    <cellStyle name="Output 3 2 2 65" xfId="24145" xr:uid="{00000000-0005-0000-0000-0000515E0000}"/>
    <cellStyle name="Output 3 2 2 7" xfId="24146" xr:uid="{00000000-0005-0000-0000-0000525E0000}"/>
    <cellStyle name="Output 3 2 2 8" xfId="24147" xr:uid="{00000000-0005-0000-0000-0000535E0000}"/>
    <cellStyle name="Output 3 2 2 9" xfId="24148" xr:uid="{00000000-0005-0000-0000-0000545E0000}"/>
    <cellStyle name="Output 3 2 20" xfId="24149" xr:uid="{00000000-0005-0000-0000-0000555E0000}"/>
    <cellStyle name="Output 3 2 21" xfId="24150" xr:uid="{00000000-0005-0000-0000-0000565E0000}"/>
    <cellStyle name="Output 3 2 22" xfId="24151" xr:uid="{00000000-0005-0000-0000-0000575E0000}"/>
    <cellStyle name="Output 3 2 23" xfId="24152" xr:uid="{00000000-0005-0000-0000-0000585E0000}"/>
    <cellStyle name="Output 3 2 24" xfId="24153" xr:uid="{00000000-0005-0000-0000-0000595E0000}"/>
    <cellStyle name="Output 3 2 25" xfId="24154" xr:uid="{00000000-0005-0000-0000-00005A5E0000}"/>
    <cellStyle name="Output 3 2 26" xfId="24155" xr:uid="{00000000-0005-0000-0000-00005B5E0000}"/>
    <cellStyle name="Output 3 2 27" xfId="24156" xr:uid="{00000000-0005-0000-0000-00005C5E0000}"/>
    <cellStyle name="Output 3 2 28" xfId="24157" xr:uid="{00000000-0005-0000-0000-00005D5E0000}"/>
    <cellStyle name="Output 3 2 29" xfId="24158" xr:uid="{00000000-0005-0000-0000-00005E5E0000}"/>
    <cellStyle name="Output 3 2 3" xfId="24159" xr:uid="{00000000-0005-0000-0000-00005F5E0000}"/>
    <cellStyle name="Output 3 2 30" xfId="24160" xr:uid="{00000000-0005-0000-0000-0000605E0000}"/>
    <cellStyle name="Output 3 2 31" xfId="24161" xr:uid="{00000000-0005-0000-0000-0000615E0000}"/>
    <cellStyle name="Output 3 2 32" xfId="24162" xr:uid="{00000000-0005-0000-0000-0000625E0000}"/>
    <cellStyle name="Output 3 2 33" xfId="24163" xr:uid="{00000000-0005-0000-0000-0000635E0000}"/>
    <cellStyle name="Output 3 2 34" xfId="24164" xr:uid="{00000000-0005-0000-0000-0000645E0000}"/>
    <cellStyle name="Output 3 2 35" xfId="24165" xr:uid="{00000000-0005-0000-0000-0000655E0000}"/>
    <cellStyle name="Output 3 2 36" xfId="24166" xr:uid="{00000000-0005-0000-0000-0000665E0000}"/>
    <cellStyle name="Output 3 2 37" xfId="24167" xr:uid="{00000000-0005-0000-0000-0000675E0000}"/>
    <cellStyle name="Output 3 2 38" xfId="24168" xr:uid="{00000000-0005-0000-0000-0000685E0000}"/>
    <cellStyle name="Output 3 2 39" xfId="24169" xr:uid="{00000000-0005-0000-0000-0000695E0000}"/>
    <cellStyle name="Output 3 2 4" xfId="24170" xr:uid="{00000000-0005-0000-0000-00006A5E0000}"/>
    <cellStyle name="Output 3 2 40" xfId="24171" xr:uid="{00000000-0005-0000-0000-00006B5E0000}"/>
    <cellStyle name="Output 3 2 41" xfId="24172" xr:uid="{00000000-0005-0000-0000-00006C5E0000}"/>
    <cellStyle name="Output 3 2 42" xfId="24173" xr:uid="{00000000-0005-0000-0000-00006D5E0000}"/>
    <cellStyle name="Output 3 2 43" xfId="24174" xr:uid="{00000000-0005-0000-0000-00006E5E0000}"/>
    <cellStyle name="Output 3 2 44" xfId="24175" xr:uid="{00000000-0005-0000-0000-00006F5E0000}"/>
    <cellStyle name="Output 3 2 45" xfId="24176" xr:uid="{00000000-0005-0000-0000-0000705E0000}"/>
    <cellStyle name="Output 3 2 46" xfId="24177" xr:uid="{00000000-0005-0000-0000-0000715E0000}"/>
    <cellStyle name="Output 3 2 47" xfId="24178" xr:uid="{00000000-0005-0000-0000-0000725E0000}"/>
    <cellStyle name="Output 3 2 48" xfId="24179" xr:uid="{00000000-0005-0000-0000-0000735E0000}"/>
    <cellStyle name="Output 3 2 49" xfId="24180" xr:uid="{00000000-0005-0000-0000-0000745E0000}"/>
    <cellStyle name="Output 3 2 5" xfId="24181" xr:uid="{00000000-0005-0000-0000-0000755E0000}"/>
    <cellStyle name="Output 3 2 50" xfId="24182" xr:uid="{00000000-0005-0000-0000-0000765E0000}"/>
    <cellStyle name="Output 3 2 51" xfId="24183" xr:uid="{00000000-0005-0000-0000-0000775E0000}"/>
    <cellStyle name="Output 3 2 52" xfId="24184" xr:uid="{00000000-0005-0000-0000-0000785E0000}"/>
    <cellStyle name="Output 3 2 53" xfId="24185" xr:uid="{00000000-0005-0000-0000-0000795E0000}"/>
    <cellStyle name="Output 3 2 54" xfId="24186" xr:uid="{00000000-0005-0000-0000-00007A5E0000}"/>
    <cellStyle name="Output 3 2 55" xfId="24187" xr:uid="{00000000-0005-0000-0000-00007B5E0000}"/>
    <cellStyle name="Output 3 2 56" xfId="24188" xr:uid="{00000000-0005-0000-0000-00007C5E0000}"/>
    <cellStyle name="Output 3 2 57" xfId="24189" xr:uid="{00000000-0005-0000-0000-00007D5E0000}"/>
    <cellStyle name="Output 3 2 58" xfId="24190" xr:uid="{00000000-0005-0000-0000-00007E5E0000}"/>
    <cellStyle name="Output 3 2 59" xfId="24191" xr:uid="{00000000-0005-0000-0000-00007F5E0000}"/>
    <cellStyle name="Output 3 2 6" xfId="24192" xr:uid="{00000000-0005-0000-0000-0000805E0000}"/>
    <cellStyle name="Output 3 2 60" xfId="24193" xr:uid="{00000000-0005-0000-0000-0000815E0000}"/>
    <cellStyle name="Output 3 2 61" xfId="24194" xr:uid="{00000000-0005-0000-0000-0000825E0000}"/>
    <cellStyle name="Output 3 2 62" xfId="24195" xr:uid="{00000000-0005-0000-0000-0000835E0000}"/>
    <cellStyle name="Output 3 2 63" xfId="24196" xr:uid="{00000000-0005-0000-0000-0000845E0000}"/>
    <cellStyle name="Output 3 2 64" xfId="24197" xr:uid="{00000000-0005-0000-0000-0000855E0000}"/>
    <cellStyle name="Output 3 2 65" xfId="24198" xr:uid="{00000000-0005-0000-0000-0000865E0000}"/>
    <cellStyle name="Output 3 2 66" xfId="24199" xr:uid="{00000000-0005-0000-0000-0000875E0000}"/>
    <cellStyle name="Output 3 2 7" xfId="24200" xr:uid="{00000000-0005-0000-0000-0000885E0000}"/>
    <cellStyle name="Output 3 2 8" xfId="24201" xr:uid="{00000000-0005-0000-0000-0000895E0000}"/>
    <cellStyle name="Output 3 2 9" xfId="24202" xr:uid="{00000000-0005-0000-0000-00008A5E0000}"/>
    <cellStyle name="Output 3 20" xfId="24203" xr:uid="{00000000-0005-0000-0000-00008B5E0000}"/>
    <cellStyle name="Output 3 21" xfId="24204" xr:uid="{00000000-0005-0000-0000-00008C5E0000}"/>
    <cellStyle name="Output 3 22" xfId="24205" xr:uid="{00000000-0005-0000-0000-00008D5E0000}"/>
    <cellStyle name="Output 3 23" xfId="24206" xr:uid="{00000000-0005-0000-0000-00008E5E0000}"/>
    <cellStyle name="Output 3 24" xfId="24207" xr:uid="{00000000-0005-0000-0000-00008F5E0000}"/>
    <cellStyle name="Output 3 25" xfId="24208" xr:uid="{00000000-0005-0000-0000-0000905E0000}"/>
    <cellStyle name="Output 3 26" xfId="24209" xr:uid="{00000000-0005-0000-0000-0000915E0000}"/>
    <cellStyle name="Output 3 27" xfId="24210" xr:uid="{00000000-0005-0000-0000-0000925E0000}"/>
    <cellStyle name="Output 3 28" xfId="24211" xr:uid="{00000000-0005-0000-0000-0000935E0000}"/>
    <cellStyle name="Output 3 29" xfId="24212" xr:uid="{00000000-0005-0000-0000-0000945E0000}"/>
    <cellStyle name="Output 3 3" xfId="24213" xr:uid="{00000000-0005-0000-0000-0000955E0000}"/>
    <cellStyle name="Output 3 3 10" xfId="24214" xr:uid="{00000000-0005-0000-0000-0000965E0000}"/>
    <cellStyle name="Output 3 3 11" xfId="24215" xr:uid="{00000000-0005-0000-0000-0000975E0000}"/>
    <cellStyle name="Output 3 3 12" xfId="24216" xr:uid="{00000000-0005-0000-0000-0000985E0000}"/>
    <cellStyle name="Output 3 3 13" xfId="24217" xr:uid="{00000000-0005-0000-0000-0000995E0000}"/>
    <cellStyle name="Output 3 3 14" xfId="24218" xr:uid="{00000000-0005-0000-0000-00009A5E0000}"/>
    <cellStyle name="Output 3 3 15" xfId="24219" xr:uid="{00000000-0005-0000-0000-00009B5E0000}"/>
    <cellStyle name="Output 3 3 16" xfId="24220" xr:uid="{00000000-0005-0000-0000-00009C5E0000}"/>
    <cellStyle name="Output 3 3 17" xfId="24221" xr:uid="{00000000-0005-0000-0000-00009D5E0000}"/>
    <cellStyle name="Output 3 3 18" xfId="24222" xr:uid="{00000000-0005-0000-0000-00009E5E0000}"/>
    <cellStyle name="Output 3 3 19" xfId="24223" xr:uid="{00000000-0005-0000-0000-00009F5E0000}"/>
    <cellStyle name="Output 3 3 2" xfId="24224" xr:uid="{00000000-0005-0000-0000-0000A05E0000}"/>
    <cellStyle name="Output 3 3 2 10" xfId="24225" xr:uid="{00000000-0005-0000-0000-0000A15E0000}"/>
    <cellStyle name="Output 3 3 2 11" xfId="24226" xr:uid="{00000000-0005-0000-0000-0000A25E0000}"/>
    <cellStyle name="Output 3 3 2 12" xfId="24227" xr:uid="{00000000-0005-0000-0000-0000A35E0000}"/>
    <cellStyle name="Output 3 3 2 13" xfId="24228" xr:uid="{00000000-0005-0000-0000-0000A45E0000}"/>
    <cellStyle name="Output 3 3 2 14" xfId="24229" xr:uid="{00000000-0005-0000-0000-0000A55E0000}"/>
    <cellStyle name="Output 3 3 2 15" xfId="24230" xr:uid="{00000000-0005-0000-0000-0000A65E0000}"/>
    <cellStyle name="Output 3 3 2 16" xfId="24231" xr:uid="{00000000-0005-0000-0000-0000A75E0000}"/>
    <cellStyle name="Output 3 3 2 17" xfId="24232" xr:uid="{00000000-0005-0000-0000-0000A85E0000}"/>
    <cellStyle name="Output 3 3 2 18" xfId="24233" xr:uid="{00000000-0005-0000-0000-0000A95E0000}"/>
    <cellStyle name="Output 3 3 2 19" xfId="24234" xr:uid="{00000000-0005-0000-0000-0000AA5E0000}"/>
    <cellStyle name="Output 3 3 2 2" xfId="24235" xr:uid="{00000000-0005-0000-0000-0000AB5E0000}"/>
    <cellStyle name="Output 3 3 2 20" xfId="24236" xr:uid="{00000000-0005-0000-0000-0000AC5E0000}"/>
    <cellStyle name="Output 3 3 2 21" xfId="24237" xr:uid="{00000000-0005-0000-0000-0000AD5E0000}"/>
    <cellStyle name="Output 3 3 2 22" xfId="24238" xr:uid="{00000000-0005-0000-0000-0000AE5E0000}"/>
    <cellStyle name="Output 3 3 2 23" xfId="24239" xr:uid="{00000000-0005-0000-0000-0000AF5E0000}"/>
    <cellStyle name="Output 3 3 2 24" xfId="24240" xr:uid="{00000000-0005-0000-0000-0000B05E0000}"/>
    <cellStyle name="Output 3 3 2 25" xfId="24241" xr:uid="{00000000-0005-0000-0000-0000B15E0000}"/>
    <cellStyle name="Output 3 3 2 26" xfId="24242" xr:uid="{00000000-0005-0000-0000-0000B25E0000}"/>
    <cellStyle name="Output 3 3 2 27" xfId="24243" xr:uid="{00000000-0005-0000-0000-0000B35E0000}"/>
    <cellStyle name="Output 3 3 2 28" xfId="24244" xr:uid="{00000000-0005-0000-0000-0000B45E0000}"/>
    <cellStyle name="Output 3 3 2 29" xfId="24245" xr:uid="{00000000-0005-0000-0000-0000B55E0000}"/>
    <cellStyle name="Output 3 3 2 3" xfId="24246" xr:uid="{00000000-0005-0000-0000-0000B65E0000}"/>
    <cellStyle name="Output 3 3 2 30" xfId="24247" xr:uid="{00000000-0005-0000-0000-0000B75E0000}"/>
    <cellStyle name="Output 3 3 2 31" xfId="24248" xr:uid="{00000000-0005-0000-0000-0000B85E0000}"/>
    <cellStyle name="Output 3 3 2 32" xfId="24249" xr:uid="{00000000-0005-0000-0000-0000B95E0000}"/>
    <cellStyle name="Output 3 3 2 33" xfId="24250" xr:uid="{00000000-0005-0000-0000-0000BA5E0000}"/>
    <cellStyle name="Output 3 3 2 34" xfId="24251" xr:uid="{00000000-0005-0000-0000-0000BB5E0000}"/>
    <cellStyle name="Output 3 3 2 35" xfId="24252" xr:uid="{00000000-0005-0000-0000-0000BC5E0000}"/>
    <cellStyle name="Output 3 3 2 36" xfId="24253" xr:uid="{00000000-0005-0000-0000-0000BD5E0000}"/>
    <cellStyle name="Output 3 3 2 37" xfId="24254" xr:uid="{00000000-0005-0000-0000-0000BE5E0000}"/>
    <cellStyle name="Output 3 3 2 38" xfId="24255" xr:uid="{00000000-0005-0000-0000-0000BF5E0000}"/>
    <cellStyle name="Output 3 3 2 39" xfId="24256" xr:uid="{00000000-0005-0000-0000-0000C05E0000}"/>
    <cellStyle name="Output 3 3 2 4" xfId="24257" xr:uid="{00000000-0005-0000-0000-0000C15E0000}"/>
    <cellStyle name="Output 3 3 2 40" xfId="24258" xr:uid="{00000000-0005-0000-0000-0000C25E0000}"/>
    <cellStyle name="Output 3 3 2 41" xfId="24259" xr:uid="{00000000-0005-0000-0000-0000C35E0000}"/>
    <cellStyle name="Output 3 3 2 42" xfId="24260" xr:uid="{00000000-0005-0000-0000-0000C45E0000}"/>
    <cellStyle name="Output 3 3 2 43" xfId="24261" xr:uid="{00000000-0005-0000-0000-0000C55E0000}"/>
    <cellStyle name="Output 3 3 2 44" xfId="24262" xr:uid="{00000000-0005-0000-0000-0000C65E0000}"/>
    <cellStyle name="Output 3 3 2 45" xfId="24263" xr:uid="{00000000-0005-0000-0000-0000C75E0000}"/>
    <cellStyle name="Output 3 3 2 46" xfId="24264" xr:uid="{00000000-0005-0000-0000-0000C85E0000}"/>
    <cellStyle name="Output 3 3 2 47" xfId="24265" xr:uid="{00000000-0005-0000-0000-0000C95E0000}"/>
    <cellStyle name="Output 3 3 2 48" xfId="24266" xr:uid="{00000000-0005-0000-0000-0000CA5E0000}"/>
    <cellStyle name="Output 3 3 2 49" xfId="24267" xr:uid="{00000000-0005-0000-0000-0000CB5E0000}"/>
    <cellStyle name="Output 3 3 2 5" xfId="24268" xr:uid="{00000000-0005-0000-0000-0000CC5E0000}"/>
    <cellStyle name="Output 3 3 2 50" xfId="24269" xr:uid="{00000000-0005-0000-0000-0000CD5E0000}"/>
    <cellStyle name="Output 3 3 2 51" xfId="24270" xr:uid="{00000000-0005-0000-0000-0000CE5E0000}"/>
    <cellStyle name="Output 3 3 2 52" xfId="24271" xr:uid="{00000000-0005-0000-0000-0000CF5E0000}"/>
    <cellStyle name="Output 3 3 2 53" xfId="24272" xr:uid="{00000000-0005-0000-0000-0000D05E0000}"/>
    <cellStyle name="Output 3 3 2 54" xfId="24273" xr:uid="{00000000-0005-0000-0000-0000D15E0000}"/>
    <cellStyle name="Output 3 3 2 55" xfId="24274" xr:uid="{00000000-0005-0000-0000-0000D25E0000}"/>
    <cellStyle name="Output 3 3 2 56" xfId="24275" xr:uid="{00000000-0005-0000-0000-0000D35E0000}"/>
    <cellStyle name="Output 3 3 2 57" xfId="24276" xr:uid="{00000000-0005-0000-0000-0000D45E0000}"/>
    <cellStyle name="Output 3 3 2 58" xfId="24277" xr:uid="{00000000-0005-0000-0000-0000D55E0000}"/>
    <cellStyle name="Output 3 3 2 59" xfId="24278" xr:uid="{00000000-0005-0000-0000-0000D65E0000}"/>
    <cellStyle name="Output 3 3 2 6" xfId="24279" xr:uid="{00000000-0005-0000-0000-0000D75E0000}"/>
    <cellStyle name="Output 3 3 2 60" xfId="24280" xr:uid="{00000000-0005-0000-0000-0000D85E0000}"/>
    <cellStyle name="Output 3 3 2 61" xfId="24281" xr:uid="{00000000-0005-0000-0000-0000D95E0000}"/>
    <cellStyle name="Output 3 3 2 62" xfId="24282" xr:uid="{00000000-0005-0000-0000-0000DA5E0000}"/>
    <cellStyle name="Output 3 3 2 63" xfId="24283" xr:uid="{00000000-0005-0000-0000-0000DB5E0000}"/>
    <cellStyle name="Output 3 3 2 64" xfId="24284" xr:uid="{00000000-0005-0000-0000-0000DC5E0000}"/>
    <cellStyle name="Output 3 3 2 65" xfId="24285" xr:uid="{00000000-0005-0000-0000-0000DD5E0000}"/>
    <cellStyle name="Output 3 3 2 7" xfId="24286" xr:uid="{00000000-0005-0000-0000-0000DE5E0000}"/>
    <cellStyle name="Output 3 3 2 8" xfId="24287" xr:uid="{00000000-0005-0000-0000-0000DF5E0000}"/>
    <cellStyle name="Output 3 3 2 9" xfId="24288" xr:uid="{00000000-0005-0000-0000-0000E05E0000}"/>
    <cellStyle name="Output 3 3 20" xfId="24289" xr:uid="{00000000-0005-0000-0000-0000E15E0000}"/>
    <cellStyle name="Output 3 3 21" xfId="24290" xr:uid="{00000000-0005-0000-0000-0000E25E0000}"/>
    <cellStyle name="Output 3 3 22" xfId="24291" xr:uid="{00000000-0005-0000-0000-0000E35E0000}"/>
    <cellStyle name="Output 3 3 23" xfId="24292" xr:uid="{00000000-0005-0000-0000-0000E45E0000}"/>
    <cellStyle name="Output 3 3 24" xfId="24293" xr:uid="{00000000-0005-0000-0000-0000E55E0000}"/>
    <cellStyle name="Output 3 3 25" xfId="24294" xr:uid="{00000000-0005-0000-0000-0000E65E0000}"/>
    <cellStyle name="Output 3 3 26" xfId="24295" xr:uid="{00000000-0005-0000-0000-0000E75E0000}"/>
    <cellStyle name="Output 3 3 27" xfId="24296" xr:uid="{00000000-0005-0000-0000-0000E85E0000}"/>
    <cellStyle name="Output 3 3 28" xfId="24297" xr:uid="{00000000-0005-0000-0000-0000E95E0000}"/>
    <cellStyle name="Output 3 3 29" xfId="24298" xr:uid="{00000000-0005-0000-0000-0000EA5E0000}"/>
    <cellStyle name="Output 3 3 3" xfId="24299" xr:uid="{00000000-0005-0000-0000-0000EB5E0000}"/>
    <cellStyle name="Output 3 3 30" xfId="24300" xr:uid="{00000000-0005-0000-0000-0000EC5E0000}"/>
    <cellStyle name="Output 3 3 31" xfId="24301" xr:uid="{00000000-0005-0000-0000-0000ED5E0000}"/>
    <cellStyle name="Output 3 3 32" xfId="24302" xr:uid="{00000000-0005-0000-0000-0000EE5E0000}"/>
    <cellStyle name="Output 3 3 33" xfId="24303" xr:uid="{00000000-0005-0000-0000-0000EF5E0000}"/>
    <cellStyle name="Output 3 3 34" xfId="24304" xr:uid="{00000000-0005-0000-0000-0000F05E0000}"/>
    <cellStyle name="Output 3 3 35" xfId="24305" xr:uid="{00000000-0005-0000-0000-0000F15E0000}"/>
    <cellStyle name="Output 3 3 36" xfId="24306" xr:uid="{00000000-0005-0000-0000-0000F25E0000}"/>
    <cellStyle name="Output 3 3 37" xfId="24307" xr:uid="{00000000-0005-0000-0000-0000F35E0000}"/>
    <cellStyle name="Output 3 3 38" xfId="24308" xr:uid="{00000000-0005-0000-0000-0000F45E0000}"/>
    <cellStyle name="Output 3 3 39" xfId="24309" xr:uid="{00000000-0005-0000-0000-0000F55E0000}"/>
    <cellStyle name="Output 3 3 4" xfId="24310" xr:uid="{00000000-0005-0000-0000-0000F65E0000}"/>
    <cellStyle name="Output 3 3 40" xfId="24311" xr:uid="{00000000-0005-0000-0000-0000F75E0000}"/>
    <cellStyle name="Output 3 3 41" xfId="24312" xr:uid="{00000000-0005-0000-0000-0000F85E0000}"/>
    <cellStyle name="Output 3 3 42" xfId="24313" xr:uid="{00000000-0005-0000-0000-0000F95E0000}"/>
    <cellStyle name="Output 3 3 43" xfId="24314" xr:uid="{00000000-0005-0000-0000-0000FA5E0000}"/>
    <cellStyle name="Output 3 3 44" xfId="24315" xr:uid="{00000000-0005-0000-0000-0000FB5E0000}"/>
    <cellStyle name="Output 3 3 45" xfId="24316" xr:uid="{00000000-0005-0000-0000-0000FC5E0000}"/>
    <cellStyle name="Output 3 3 46" xfId="24317" xr:uid="{00000000-0005-0000-0000-0000FD5E0000}"/>
    <cellStyle name="Output 3 3 47" xfId="24318" xr:uid="{00000000-0005-0000-0000-0000FE5E0000}"/>
    <cellStyle name="Output 3 3 48" xfId="24319" xr:uid="{00000000-0005-0000-0000-0000FF5E0000}"/>
    <cellStyle name="Output 3 3 49" xfId="24320" xr:uid="{00000000-0005-0000-0000-0000005F0000}"/>
    <cellStyle name="Output 3 3 5" xfId="24321" xr:uid="{00000000-0005-0000-0000-0000015F0000}"/>
    <cellStyle name="Output 3 3 50" xfId="24322" xr:uid="{00000000-0005-0000-0000-0000025F0000}"/>
    <cellStyle name="Output 3 3 51" xfId="24323" xr:uid="{00000000-0005-0000-0000-0000035F0000}"/>
    <cellStyle name="Output 3 3 52" xfId="24324" xr:uid="{00000000-0005-0000-0000-0000045F0000}"/>
    <cellStyle name="Output 3 3 53" xfId="24325" xr:uid="{00000000-0005-0000-0000-0000055F0000}"/>
    <cellStyle name="Output 3 3 54" xfId="24326" xr:uid="{00000000-0005-0000-0000-0000065F0000}"/>
    <cellStyle name="Output 3 3 55" xfId="24327" xr:uid="{00000000-0005-0000-0000-0000075F0000}"/>
    <cellStyle name="Output 3 3 56" xfId="24328" xr:uid="{00000000-0005-0000-0000-0000085F0000}"/>
    <cellStyle name="Output 3 3 57" xfId="24329" xr:uid="{00000000-0005-0000-0000-0000095F0000}"/>
    <cellStyle name="Output 3 3 58" xfId="24330" xr:uid="{00000000-0005-0000-0000-00000A5F0000}"/>
    <cellStyle name="Output 3 3 59" xfId="24331" xr:uid="{00000000-0005-0000-0000-00000B5F0000}"/>
    <cellStyle name="Output 3 3 6" xfId="24332" xr:uid="{00000000-0005-0000-0000-00000C5F0000}"/>
    <cellStyle name="Output 3 3 60" xfId="24333" xr:uid="{00000000-0005-0000-0000-00000D5F0000}"/>
    <cellStyle name="Output 3 3 61" xfId="24334" xr:uid="{00000000-0005-0000-0000-00000E5F0000}"/>
    <cellStyle name="Output 3 3 62" xfId="24335" xr:uid="{00000000-0005-0000-0000-00000F5F0000}"/>
    <cellStyle name="Output 3 3 63" xfId="24336" xr:uid="{00000000-0005-0000-0000-0000105F0000}"/>
    <cellStyle name="Output 3 3 64" xfId="24337" xr:uid="{00000000-0005-0000-0000-0000115F0000}"/>
    <cellStyle name="Output 3 3 65" xfId="24338" xr:uid="{00000000-0005-0000-0000-0000125F0000}"/>
    <cellStyle name="Output 3 3 66" xfId="24339" xr:uid="{00000000-0005-0000-0000-0000135F0000}"/>
    <cellStyle name="Output 3 3 7" xfId="24340" xr:uid="{00000000-0005-0000-0000-0000145F0000}"/>
    <cellStyle name="Output 3 3 8" xfId="24341" xr:uid="{00000000-0005-0000-0000-0000155F0000}"/>
    <cellStyle name="Output 3 3 9" xfId="24342" xr:uid="{00000000-0005-0000-0000-0000165F0000}"/>
    <cellStyle name="Output 3 30" xfId="24343" xr:uid="{00000000-0005-0000-0000-0000175F0000}"/>
    <cellStyle name="Output 3 31" xfId="24344" xr:uid="{00000000-0005-0000-0000-0000185F0000}"/>
    <cellStyle name="Output 3 32" xfId="24345" xr:uid="{00000000-0005-0000-0000-0000195F0000}"/>
    <cellStyle name="Output 3 33" xfId="24346" xr:uid="{00000000-0005-0000-0000-00001A5F0000}"/>
    <cellStyle name="Output 3 4" xfId="24347" xr:uid="{00000000-0005-0000-0000-00001B5F0000}"/>
    <cellStyle name="Output 3 4 10" xfId="24348" xr:uid="{00000000-0005-0000-0000-00001C5F0000}"/>
    <cellStyle name="Output 3 4 11" xfId="24349" xr:uid="{00000000-0005-0000-0000-00001D5F0000}"/>
    <cellStyle name="Output 3 4 12" xfId="24350" xr:uid="{00000000-0005-0000-0000-00001E5F0000}"/>
    <cellStyle name="Output 3 4 13" xfId="24351" xr:uid="{00000000-0005-0000-0000-00001F5F0000}"/>
    <cellStyle name="Output 3 4 14" xfId="24352" xr:uid="{00000000-0005-0000-0000-0000205F0000}"/>
    <cellStyle name="Output 3 4 15" xfId="24353" xr:uid="{00000000-0005-0000-0000-0000215F0000}"/>
    <cellStyle name="Output 3 4 16" xfId="24354" xr:uid="{00000000-0005-0000-0000-0000225F0000}"/>
    <cellStyle name="Output 3 4 17" xfId="24355" xr:uid="{00000000-0005-0000-0000-0000235F0000}"/>
    <cellStyle name="Output 3 4 18" xfId="24356" xr:uid="{00000000-0005-0000-0000-0000245F0000}"/>
    <cellStyle name="Output 3 4 19" xfId="24357" xr:uid="{00000000-0005-0000-0000-0000255F0000}"/>
    <cellStyle name="Output 3 4 2" xfId="24358" xr:uid="{00000000-0005-0000-0000-0000265F0000}"/>
    <cellStyle name="Output 3 4 20" xfId="24359" xr:uid="{00000000-0005-0000-0000-0000275F0000}"/>
    <cellStyle name="Output 3 4 21" xfId="24360" xr:uid="{00000000-0005-0000-0000-0000285F0000}"/>
    <cellStyle name="Output 3 4 22" xfId="24361" xr:uid="{00000000-0005-0000-0000-0000295F0000}"/>
    <cellStyle name="Output 3 4 23" xfId="24362" xr:uid="{00000000-0005-0000-0000-00002A5F0000}"/>
    <cellStyle name="Output 3 4 24" xfId="24363" xr:uid="{00000000-0005-0000-0000-00002B5F0000}"/>
    <cellStyle name="Output 3 4 25" xfId="24364" xr:uid="{00000000-0005-0000-0000-00002C5F0000}"/>
    <cellStyle name="Output 3 4 26" xfId="24365" xr:uid="{00000000-0005-0000-0000-00002D5F0000}"/>
    <cellStyle name="Output 3 4 27" xfId="24366" xr:uid="{00000000-0005-0000-0000-00002E5F0000}"/>
    <cellStyle name="Output 3 4 28" xfId="24367" xr:uid="{00000000-0005-0000-0000-00002F5F0000}"/>
    <cellStyle name="Output 3 4 29" xfId="24368" xr:uid="{00000000-0005-0000-0000-0000305F0000}"/>
    <cellStyle name="Output 3 4 3" xfId="24369" xr:uid="{00000000-0005-0000-0000-0000315F0000}"/>
    <cellStyle name="Output 3 4 30" xfId="24370" xr:uid="{00000000-0005-0000-0000-0000325F0000}"/>
    <cellStyle name="Output 3 4 31" xfId="24371" xr:uid="{00000000-0005-0000-0000-0000335F0000}"/>
    <cellStyle name="Output 3 4 32" xfId="24372" xr:uid="{00000000-0005-0000-0000-0000345F0000}"/>
    <cellStyle name="Output 3 4 33" xfId="24373" xr:uid="{00000000-0005-0000-0000-0000355F0000}"/>
    <cellStyle name="Output 3 4 34" xfId="24374" xr:uid="{00000000-0005-0000-0000-0000365F0000}"/>
    <cellStyle name="Output 3 4 35" xfId="24375" xr:uid="{00000000-0005-0000-0000-0000375F0000}"/>
    <cellStyle name="Output 3 4 36" xfId="24376" xr:uid="{00000000-0005-0000-0000-0000385F0000}"/>
    <cellStyle name="Output 3 4 37" xfId="24377" xr:uid="{00000000-0005-0000-0000-0000395F0000}"/>
    <cellStyle name="Output 3 4 38" xfId="24378" xr:uid="{00000000-0005-0000-0000-00003A5F0000}"/>
    <cellStyle name="Output 3 4 39" xfId="24379" xr:uid="{00000000-0005-0000-0000-00003B5F0000}"/>
    <cellStyle name="Output 3 4 4" xfId="24380" xr:uid="{00000000-0005-0000-0000-00003C5F0000}"/>
    <cellStyle name="Output 3 4 40" xfId="24381" xr:uid="{00000000-0005-0000-0000-00003D5F0000}"/>
    <cellStyle name="Output 3 4 41" xfId="24382" xr:uid="{00000000-0005-0000-0000-00003E5F0000}"/>
    <cellStyle name="Output 3 4 42" xfId="24383" xr:uid="{00000000-0005-0000-0000-00003F5F0000}"/>
    <cellStyle name="Output 3 4 43" xfId="24384" xr:uid="{00000000-0005-0000-0000-0000405F0000}"/>
    <cellStyle name="Output 3 4 44" xfId="24385" xr:uid="{00000000-0005-0000-0000-0000415F0000}"/>
    <cellStyle name="Output 3 4 45" xfId="24386" xr:uid="{00000000-0005-0000-0000-0000425F0000}"/>
    <cellStyle name="Output 3 4 46" xfId="24387" xr:uid="{00000000-0005-0000-0000-0000435F0000}"/>
    <cellStyle name="Output 3 4 47" xfId="24388" xr:uid="{00000000-0005-0000-0000-0000445F0000}"/>
    <cellStyle name="Output 3 4 48" xfId="24389" xr:uid="{00000000-0005-0000-0000-0000455F0000}"/>
    <cellStyle name="Output 3 4 49" xfId="24390" xr:uid="{00000000-0005-0000-0000-0000465F0000}"/>
    <cellStyle name="Output 3 4 5" xfId="24391" xr:uid="{00000000-0005-0000-0000-0000475F0000}"/>
    <cellStyle name="Output 3 4 50" xfId="24392" xr:uid="{00000000-0005-0000-0000-0000485F0000}"/>
    <cellStyle name="Output 3 4 51" xfId="24393" xr:uid="{00000000-0005-0000-0000-0000495F0000}"/>
    <cellStyle name="Output 3 4 52" xfId="24394" xr:uid="{00000000-0005-0000-0000-00004A5F0000}"/>
    <cellStyle name="Output 3 4 53" xfId="24395" xr:uid="{00000000-0005-0000-0000-00004B5F0000}"/>
    <cellStyle name="Output 3 4 54" xfId="24396" xr:uid="{00000000-0005-0000-0000-00004C5F0000}"/>
    <cellStyle name="Output 3 4 55" xfId="24397" xr:uid="{00000000-0005-0000-0000-00004D5F0000}"/>
    <cellStyle name="Output 3 4 56" xfId="24398" xr:uid="{00000000-0005-0000-0000-00004E5F0000}"/>
    <cellStyle name="Output 3 4 57" xfId="24399" xr:uid="{00000000-0005-0000-0000-00004F5F0000}"/>
    <cellStyle name="Output 3 4 58" xfId="24400" xr:uid="{00000000-0005-0000-0000-0000505F0000}"/>
    <cellStyle name="Output 3 4 59" xfId="24401" xr:uid="{00000000-0005-0000-0000-0000515F0000}"/>
    <cellStyle name="Output 3 4 6" xfId="24402" xr:uid="{00000000-0005-0000-0000-0000525F0000}"/>
    <cellStyle name="Output 3 4 60" xfId="24403" xr:uid="{00000000-0005-0000-0000-0000535F0000}"/>
    <cellStyle name="Output 3 4 61" xfId="24404" xr:uid="{00000000-0005-0000-0000-0000545F0000}"/>
    <cellStyle name="Output 3 4 62" xfId="24405" xr:uid="{00000000-0005-0000-0000-0000555F0000}"/>
    <cellStyle name="Output 3 4 63" xfId="24406" xr:uid="{00000000-0005-0000-0000-0000565F0000}"/>
    <cellStyle name="Output 3 4 64" xfId="24407" xr:uid="{00000000-0005-0000-0000-0000575F0000}"/>
    <cellStyle name="Output 3 4 65" xfId="24408" xr:uid="{00000000-0005-0000-0000-0000585F0000}"/>
    <cellStyle name="Output 3 4 7" xfId="24409" xr:uid="{00000000-0005-0000-0000-0000595F0000}"/>
    <cellStyle name="Output 3 4 8" xfId="24410" xr:uid="{00000000-0005-0000-0000-00005A5F0000}"/>
    <cellStyle name="Output 3 4 9" xfId="24411" xr:uid="{00000000-0005-0000-0000-00005B5F0000}"/>
    <cellStyle name="Output 3 5" xfId="24412" xr:uid="{00000000-0005-0000-0000-00005C5F0000}"/>
    <cellStyle name="Output 3 6" xfId="24413" xr:uid="{00000000-0005-0000-0000-00005D5F0000}"/>
    <cellStyle name="Output 3 7" xfId="24414" xr:uid="{00000000-0005-0000-0000-00005E5F0000}"/>
    <cellStyle name="Output 3 8" xfId="24415" xr:uid="{00000000-0005-0000-0000-00005F5F0000}"/>
    <cellStyle name="Output 3 9" xfId="24416" xr:uid="{00000000-0005-0000-0000-0000605F0000}"/>
    <cellStyle name="Pattern" xfId="24417" xr:uid="{00000000-0005-0000-0000-0000615F0000}"/>
    <cellStyle name="Pattern 2" xfId="24418" xr:uid="{00000000-0005-0000-0000-0000625F0000}"/>
    <cellStyle name="Pattern 2 2" xfId="24419" xr:uid="{00000000-0005-0000-0000-0000635F0000}"/>
    <cellStyle name="Pattern 2 2 10" xfId="24420" xr:uid="{00000000-0005-0000-0000-0000645F0000}"/>
    <cellStyle name="Pattern 2 2 11" xfId="24421" xr:uid="{00000000-0005-0000-0000-0000655F0000}"/>
    <cellStyle name="Pattern 2 2 12" xfId="24422" xr:uid="{00000000-0005-0000-0000-0000665F0000}"/>
    <cellStyle name="Pattern 2 2 13" xfId="24423" xr:uid="{00000000-0005-0000-0000-0000675F0000}"/>
    <cellStyle name="Pattern 2 2 14" xfId="24424" xr:uid="{00000000-0005-0000-0000-0000685F0000}"/>
    <cellStyle name="Pattern 2 2 15" xfId="24425" xr:uid="{00000000-0005-0000-0000-0000695F0000}"/>
    <cellStyle name="Pattern 2 2 16" xfId="24426" xr:uid="{00000000-0005-0000-0000-00006A5F0000}"/>
    <cellStyle name="Pattern 2 2 17" xfId="24427" xr:uid="{00000000-0005-0000-0000-00006B5F0000}"/>
    <cellStyle name="Pattern 2 2 18" xfId="24428" xr:uid="{00000000-0005-0000-0000-00006C5F0000}"/>
    <cellStyle name="Pattern 2 2 19" xfId="24429" xr:uid="{00000000-0005-0000-0000-00006D5F0000}"/>
    <cellStyle name="Pattern 2 2 2" xfId="24430" xr:uid="{00000000-0005-0000-0000-00006E5F0000}"/>
    <cellStyle name="Pattern 2 2 2 10" xfId="24431" xr:uid="{00000000-0005-0000-0000-00006F5F0000}"/>
    <cellStyle name="Pattern 2 2 2 11" xfId="24432" xr:uid="{00000000-0005-0000-0000-0000705F0000}"/>
    <cellStyle name="Pattern 2 2 2 12" xfId="24433" xr:uid="{00000000-0005-0000-0000-0000715F0000}"/>
    <cellStyle name="Pattern 2 2 2 13" xfId="24434" xr:uid="{00000000-0005-0000-0000-0000725F0000}"/>
    <cellStyle name="Pattern 2 2 2 14" xfId="24435" xr:uid="{00000000-0005-0000-0000-0000735F0000}"/>
    <cellStyle name="Pattern 2 2 2 15" xfId="24436" xr:uid="{00000000-0005-0000-0000-0000745F0000}"/>
    <cellStyle name="Pattern 2 2 2 16" xfId="24437" xr:uid="{00000000-0005-0000-0000-0000755F0000}"/>
    <cellStyle name="Pattern 2 2 2 17" xfId="24438" xr:uid="{00000000-0005-0000-0000-0000765F0000}"/>
    <cellStyle name="Pattern 2 2 2 18" xfId="24439" xr:uid="{00000000-0005-0000-0000-0000775F0000}"/>
    <cellStyle name="Pattern 2 2 2 19" xfId="24440" xr:uid="{00000000-0005-0000-0000-0000785F0000}"/>
    <cellStyle name="Pattern 2 2 2 2" xfId="24441" xr:uid="{00000000-0005-0000-0000-0000795F0000}"/>
    <cellStyle name="Pattern 2 2 2 20" xfId="24442" xr:uid="{00000000-0005-0000-0000-00007A5F0000}"/>
    <cellStyle name="Pattern 2 2 2 21" xfId="24443" xr:uid="{00000000-0005-0000-0000-00007B5F0000}"/>
    <cellStyle name="Pattern 2 2 2 22" xfId="24444" xr:uid="{00000000-0005-0000-0000-00007C5F0000}"/>
    <cellStyle name="Pattern 2 2 2 23" xfId="24445" xr:uid="{00000000-0005-0000-0000-00007D5F0000}"/>
    <cellStyle name="Pattern 2 2 2 24" xfId="24446" xr:uid="{00000000-0005-0000-0000-00007E5F0000}"/>
    <cellStyle name="Pattern 2 2 2 25" xfId="24447" xr:uid="{00000000-0005-0000-0000-00007F5F0000}"/>
    <cellStyle name="Pattern 2 2 2 26" xfId="24448" xr:uid="{00000000-0005-0000-0000-0000805F0000}"/>
    <cellStyle name="Pattern 2 2 2 27" xfId="24449" xr:uid="{00000000-0005-0000-0000-0000815F0000}"/>
    <cellStyle name="Pattern 2 2 2 28" xfId="24450" xr:uid="{00000000-0005-0000-0000-0000825F0000}"/>
    <cellStyle name="Pattern 2 2 2 29" xfId="24451" xr:uid="{00000000-0005-0000-0000-0000835F0000}"/>
    <cellStyle name="Pattern 2 2 2 3" xfId="24452" xr:uid="{00000000-0005-0000-0000-0000845F0000}"/>
    <cellStyle name="Pattern 2 2 2 30" xfId="24453" xr:uid="{00000000-0005-0000-0000-0000855F0000}"/>
    <cellStyle name="Pattern 2 2 2 31" xfId="24454" xr:uid="{00000000-0005-0000-0000-0000865F0000}"/>
    <cellStyle name="Pattern 2 2 2 32" xfId="24455" xr:uid="{00000000-0005-0000-0000-0000875F0000}"/>
    <cellStyle name="Pattern 2 2 2 33" xfId="24456" xr:uid="{00000000-0005-0000-0000-0000885F0000}"/>
    <cellStyle name="Pattern 2 2 2 34" xfId="24457" xr:uid="{00000000-0005-0000-0000-0000895F0000}"/>
    <cellStyle name="Pattern 2 2 2 35" xfId="24458" xr:uid="{00000000-0005-0000-0000-00008A5F0000}"/>
    <cellStyle name="Pattern 2 2 2 36" xfId="24459" xr:uid="{00000000-0005-0000-0000-00008B5F0000}"/>
    <cellStyle name="Pattern 2 2 2 37" xfId="24460" xr:uid="{00000000-0005-0000-0000-00008C5F0000}"/>
    <cellStyle name="Pattern 2 2 2 38" xfId="24461" xr:uid="{00000000-0005-0000-0000-00008D5F0000}"/>
    <cellStyle name="Pattern 2 2 2 39" xfId="24462" xr:uid="{00000000-0005-0000-0000-00008E5F0000}"/>
    <cellStyle name="Pattern 2 2 2 4" xfId="24463" xr:uid="{00000000-0005-0000-0000-00008F5F0000}"/>
    <cellStyle name="Pattern 2 2 2 40" xfId="24464" xr:uid="{00000000-0005-0000-0000-0000905F0000}"/>
    <cellStyle name="Pattern 2 2 2 41" xfId="24465" xr:uid="{00000000-0005-0000-0000-0000915F0000}"/>
    <cellStyle name="Pattern 2 2 2 42" xfId="24466" xr:uid="{00000000-0005-0000-0000-0000925F0000}"/>
    <cellStyle name="Pattern 2 2 2 43" xfId="24467" xr:uid="{00000000-0005-0000-0000-0000935F0000}"/>
    <cellStyle name="Pattern 2 2 2 44" xfId="24468" xr:uid="{00000000-0005-0000-0000-0000945F0000}"/>
    <cellStyle name="Pattern 2 2 2 45" xfId="24469" xr:uid="{00000000-0005-0000-0000-0000955F0000}"/>
    <cellStyle name="Pattern 2 2 2 46" xfId="24470" xr:uid="{00000000-0005-0000-0000-0000965F0000}"/>
    <cellStyle name="Pattern 2 2 2 47" xfId="24471" xr:uid="{00000000-0005-0000-0000-0000975F0000}"/>
    <cellStyle name="Pattern 2 2 2 48" xfId="24472" xr:uid="{00000000-0005-0000-0000-0000985F0000}"/>
    <cellStyle name="Pattern 2 2 2 49" xfId="24473" xr:uid="{00000000-0005-0000-0000-0000995F0000}"/>
    <cellStyle name="Pattern 2 2 2 5" xfId="24474" xr:uid="{00000000-0005-0000-0000-00009A5F0000}"/>
    <cellStyle name="Pattern 2 2 2 50" xfId="24475" xr:uid="{00000000-0005-0000-0000-00009B5F0000}"/>
    <cellStyle name="Pattern 2 2 2 51" xfId="24476" xr:uid="{00000000-0005-0000-0000-00009C5F0000}"/>
    <cellStyle name="Pattern 2 2 2 52" xfId="24477" xr:uid="{00000000-0005-0000-0000-00009D5F0000}"/>
    <cellStyle name="Pattern 2 2 2 53" xfId="24478" xr:uid="{00000000-0005-0000-0000-00009E5F0000}"/>
    <cellStyle name="Pattern 2 2 2 54" xfId="24479" xr:uid="{00000000-0005-0000-0000-00009F5F0000}"/>
    <cellStyle name="Pattern 2 2 2 55" xfId="24480" xr:uid="{00000000-0005-0000-0000-0000A05F0000}"/>
    <cellStyle name="Pattern 2 2 2 56" xfId="24481" xr:uid="{00000000-0005-0000-0000-0000A15F0000}"/>
    <cellStyle name="Pattern 2 2 2 57" xfId="24482" xr:uid="{00000000-0005-0000-0000-0000A25F0000}"/>
    <cellStyle name="Pattern 2 2 2 58" xfId="24483" xr:uid="{00000000-0005-0000-0000-0000A35F0000}"/>
    <cellStyle name="Pattern 2 2 2 59" xfId="24484" xr:uid="{00000000-0005-0000-0000-0000A45F0000}"/>
    <cellStyle name="Pattern 2 2 2 6" xfId="24485" xr:uid="{00000000-0005-0000-0000-0000A55F0000}"/>
    <cellStyle name="Pattern 2 2 2 60" xfId="24486" xr:uid="{00000000-0005-0000-0000-0000A65F0000}"/>
    <cellStyle name="Pattern 2 2 2 61" xfId="24487" xr:uid="{00000000-0005-0000-0000-0000A75F0000}"/>
    <cellStyle name="Pattern 2 2 2 62" xfId="24488" xr:uid="{00000000-0005-0000-0000-0000A85F0000}"/>
    <cellStyle name="Pattern 2 2 2 63" xfId="24489" xr:uid="{00000000-0005-0000-0000-0000A95F0000}"/>
    <cellStyle name="Pattern 2 2 2 64" xfId="24490" xr:uid="{00000000-0005-0000-0000-0000AA5F0000}"/>
    <cellStyle name="Pattern 2 2 2 65" xfId="24491" xr:uid="{00000000-0005-0000-0000-0000AB5F0000}"/>
    <cellStyle name="Pattern 2 2 2 7" xfId="24492" xr:uid="{00000000-0005-0000-0000-0000AC5F0000}"/>
    <cellStyle name="Pattern 2 2 2 8" xfId="24493" xr:uid="{00000000-0005-0000-0000-0000AD5F0000}"/>
    <cellStyle name="Pattern 2 2 2 9" xfId="24494" xr:uid="{00000000-0005-0000-0000-0000AE5F0000}"/>
    <cellStyle name="Pattern 2 2 20" xfId="24495" xr:uid="{00000000-0005-0000-0000-0000AF5F0000}"/>
    <cellStyle name="Pattern 2 2 21" xfId="24496" xr:uid="{00000000-0005-0000-0000-0000B05F0000}"/>
    <cellStyle name="Pattern 2 2 22" xfId="24497" xr:uid="{00000000-0005-0000-0000-0000B15F0000}"/>
    <cellStyle name="Pattern 2 2 23" xfId="24498" xr:uid="{00000000-0005-0000-0000-0000B25F0000}"/>
    <cellStyle name="Pattern 2 2 24" xfId="24499" xr:uid="{00000000-0005-0000-0000-0000B35F0000}"/>
    <cellStyle name="Pattern 2 2 25" xfId="24500" xr:uid="{00000000-0005-0000-0000-0000B45F0000}"/>
    <cellStyle name="Pattern 2 2 26" xfId="24501" xr:uid="{00000000-0005-0000-0000-0000B55F0000}"/>
    <cellStyle name="Pattern 2 2 27" xfId="24502" xr:uid="{00000000-0005-0000-0000-0000B65F0000}"/>
    <cellStyle name="Pattern 2 2 28" xfId="24503" xr:uid="{00000000-0005-0000-0000-0000B75F0000}"/>
    <cellStyle name="Pattern 2 2 29" xfId="24504" xr:uid="{00000000-0005-0000-0000-0000B85F0000}"/>
    <cellStyle name="Pattern 2 2 3" xfId="24505" xr:uid="{00000000-0005-0000-0000-0000B95F0000}"/>
    <cellStyle name="Pattern 2 2 30" xfId="24506" xr:uid="{00000000-0005-0000-0000-0000BA5F0000}"/>
    <cellStyle name="Pattern 2 2 31" xfId="24507" xr:uid="{00000000-0005-0000-0000-0000BB5F0000}"/>
    <cellStyle name="Pattern 2 2 32" xfId="24508" xr:uid="{00000000-0005-0000-0000-0000BC5F0000}"/>
    <cellStyle name="Pattern 2 2 33" xfId="24509" xr:uid="{00000000-0005-0000-0000-0000BD5F0000}"/>
    <cellStyle name="Pattern 2 2 34" xfId="24510" xr:uid="{00000000-0005-0000-0000-0000BE5F0000}"/>
    <cellStyle name="Pattern 2 2 35" xfId="24511" xr:uid="{00000000-0005-0000-0000-0000BF5F0000}"/>
    <cellStyle name="Pattern 2 2 36" xfId="24512" xr:uid="{00000000-0005-0000-0000-0000C05F0000}"/>
    <cellStyle name="Pattern 2 2 37" xfId="24513" xr:uid="{00000000-0005-0000-0000-0000C15F0000}"/>
    <cellStyle name="Pattern 2 2 38" xfId="24514" xr:uid="{00000000-0005-0000-0000-0000C25F0000}"/>
    <cellStyle name="Pattern 2 2 39" xfId="24515" xr:uid="{00000000-0005-0000-0000-0000C35F0000}"/>
    <cellStyle name="Pattern 2 2 4" xfId="24516" xr:uid="{00000000-0005-0000-0000-0000C45F0000}"/>
    <cellStyle name="Pattern 2 2 40" xfId="24517" xr:uid="{00000000-0005-0000-0000-0000C55F0000}"/>
    <cellStyle name="Pattern 2 2 41" xfId="24518" xr:uid="{00000000-0005-0000-0000-0000C65F0000}"/>
    <cellStyle name="Pattern 2 2 42" xfId="24519" xr:uid="{00000000-0005-0000-0000-0000C75F0000}"/>
    <cellStyle name="Pattern 2 2 43" xfId="24520" xr:uid="{00000000-0005-0000-0000-0000C85F0000}"/>
    <cellStyle name="Pattern 2 2 44" xfId="24521" xr:uid="{00000000-0005-0000-0000-0000C95F0000}"/>
    <cellStyle name="Pattern 2 2 45" xfId="24522" xr:uid="{00000000-0005-0000-0000-0000CA5F0000}"/>
    <cellStyle name="Pattern 2 2 46" xfId="24523" xr:uid="{00000000-0005-0000-0000-0000CB5F0000}"/>
    <cellStyle name="Pattern 2 2 47" xfId="24524" xr:uid="{00000000-0005-0000-0000-0000CC5F0000}"/>
    <cellStyle name="Pattern 2 2 48" xfId="24525" xr:uid="{00000000-0005-0000-0000-0000CD5F0000}"/>
    <cellStyle name="Pattern 2 2 49" xfId="24526" xr:uid="{00000000-0005-0000-0000-0000CE5F0000}"/>
    <cellStyle name="Pattern 2 2 5" xfId="24527" xr:uid="{00000000-0005-0000-0000-0000CF5F0000}"/>
    <cellStyle name="Pattern 2 2 50" xfId="24528" xr:uid="{00000000-0005-0000-0000-0000D05F0000}"/>
    <cellStyle name="Pattern 2 2 51" xfId="24529" xr:uid="{00000000-0005-0000-0000-0000D15F0000}"/>
    <cellStyle name="Pattern 2 2 52" xfId="24530" xr:uid="{00000000-0005-0000-0000-0000D25F0000}"/>
    <cellStyle name="Pattern 2 2 53" xfId="24531" xr:uid="{00000000-0005-0000-0000-0000D35F0000}"/>
    <cellStyle name="Pattern 2 2 54" xfId="24532" xr:uid="{00000000-0005-0000-0000-0000D45F0000}"/>
    <cellStyle name="Pattern 2 2 55" xfId="24533" xr:uid="{00000000-0005-0000-0000-0000D55F0000}"/>
    <cellStyle name="Pattern 2 2 56" xfId="24534" xr:uid="{00000000-0005-0000-0000-0000D65F0000}"/>
    <cellStyle name="Pattern 2 2 57" xfId="24535" xr:uid="{00000000-0005-0000-0000-0000D75F0000}"/>
    <cellStyle name="Pattern 2 2 58" xfId="24536" xr:uid="{00000000-0005-0000-0000-0000D85F0000}"/>
    <cellStyle name="Pattern 2 2 59" xfId="24537" xr:uid="{00000000-0005-0000-0000-0000D95F0000}"/>
    <cellStyle name="Pattern 2 2 6" xfId="24538" xr:uid="{00000000-0005-0000-0000-0000DA5F0000}"/>
    <cellStyle name="Pattern 2 2 60" xfId="24539" xr:uid="{00000000-0005-0000-0000-0000DB5F0000}"/>
    <cellStyle name="Pattern 2 2 61" xfId="24540" xr:uid="{00000000-0005-0000-0000-0000DC5F0000}"/>
    <cellStyle name="Pattern 2 2 62" xfId="24541" xr:uid="{00000000-0005-0000-0000-0000DD5F0000}"/>
    <cellStyle name="Pattern 2 2 63" xfId="24542" xr:uid="{00000000-0005-0000-0000-0000DE5F0000}"/>
    <cellStyle name="Pattern 2 2 64" xfId="24543" xr:uid="{00000000-0005-0000-0000-0000DF5F0000}"/>
    <cellStyle name="Pattern 2 2 65" xfId="24544" xr:uid="{00000000-0005-0000-0000-0000E05F0000}"/>
    <cellStyle name="Pattern 2 2 66" xfId="24545" xr:uid="{00000000-0005-0000-0000-0000E15F0000}"/>
    <cellStyle name="Pattern 2 2 7" xfId="24546" xr:uid="{00000000-0005-0000-0000-0000E25F0000}"/>
    <cellStyle name="Pattern 2 2 8" xfId="24547" xr:uid="{00000000-0005-0000-0000-0000E35F0000}"/>
    <cellStyle name="Pattern 2 2 9" xfId="24548" xr:uid="{00000000-0005-0000-0000-0000E45F0000}"/>
    <cellStyle name="Pattern 2 3" xfId="24549" xr:uid="{00000000-0005-0000-0000-0000E55F0000}"/>
    <cellStyle name="Pattern 2 3 10" xfId="24550" xr:uid="{00000000-0005-0000-0000-0000E65F0000}"/>
    <cellStyle name="Pattern 2 3 11" xfId="24551" xr:uid="{00000000-0005-0000-0000-0000E75F0000}"/>
    <cellStyle name="Pattern 2 3 12" xfId="24552" xr:uid="{00000000-0005-0000-0000-0000E85F0000}"/>
    <cellStyle name="Pattern 2 3 13" xfId="24553" xr:uid="{00000000-0005-0000-0000-0000E95F0000}"/>
    <cellStyle name="Pattern 2 3 14" xfId="24554" xr:uid="{00000000-0005-0000-0000-0000EA5F0000}"/>
    <cellStyle name="Pattern 2 3 15" xfId="24555" xr:uid="{00000000-0005-0000-0000-0000EB5F0000}"/>
    <cellStyle name="Pattern 2 3 16" xfId="24556" xr:uid="{00000000-0005-0000-0000-0000EC5F0000}"/>
    <cellStyle name="Pattern 2 3 17" xfId="24557" xr:uid="{00000000-0005-0000-0000-0000ED5F0000}"/>
    <cellStyle name="Pattern 2 3 18" xfId="24558" xr:uid="{00000000-0005-0000-0000-0000EE5F0000}"/>
    <cellStyle name="Pattern 2 3 19" xfId="24559" xr:uid="{00000000-0005-0000-0000-0000EF5F0000}"/>
    <cellStyle name="Pattern 2 3 2" xfId="24560" xr:uid="{00000000-0005-0000-0000-0000F05F0000}"/>
    <cellStyle name="Pattern 2 3 20" xfId="24561" xr:uid="{00000000-0005-0000-0000-0000F15F0000}"/>
    <cellStyle name="Pattern 2 3 21" xfId="24562" xr:uid="{00000000-0005-0000-0000-0000F25F0000}"/>
    <cellStyle name="Pattern 2 3 22" xfId="24563" xr:uid="{00000000-0005-0000-0000-0000F35F0000}"/>
    <cellStyle name="Pattern 2 3 23" xfId="24564" xr:uid="{00000000-0005-0000-0000-0000F45F0000}"/>
    <cellStyle name="Pattern 2 3 24" xfId="24565" xr:uid="{00000000-0005-0000-0000-0000F55F0000}"/>
    <cellStyle name="Pattern 2 3 25" xfId="24566" xr:uid="{00000000-0005-0000-0000-0000F65F0000}"/>
    <cellStyle name="Pattern 2 3 26" xfId="24567" xr:uid="{00000000-0005-0000-0000-0000F75F0000}"/>
    <cellStyle name="Pattern 2 3 27" xfId="24568" xr:uid="{00000000-0005-0000-0000-0000F85F0000}"/>
    <cellStyle name="Pattern 2 3 28" xfId="24569" xr:uid="{00000000-0005-0000-0000-0000F95F0000}"/>
    <cellStyle name="Pattern 2 3 29" xfId="24570" xr:uid="{00000000-0005-0000-0000-0000FA5F0000}"/>
    <cellStyle name="Pattern 2 3 3" xfId="24571" xr:uid="{00000000-0005-0000-0000-0000FB5F0000}"/>
    <cellStyle name="Pattern 2 3 30" xfId="24572" xr:uid="{00000000-0005-0000-0000-0000FC5F0000}"/>
    <cellStyle name="Pattern 2 3 31" xfId="24573" xr:uid="{00000000-0005-0000-0000-0000FD5F0000}"/>
    <cellStyle name="Pattern 2 3 32" xfId="24574" xr:uid="{00000000-0005-0000-0000-0000FE5F0000}"/>
    <cellStyle name="Pattern 2 3 33" xfId="24575" xr:uid="{00000000-0005-0000-0000-0000FF5F0000}"/>
    <cellStyle name="Pattern 2 3 34" xfId="24576" xr:uid="{00000000-0005-0000-0000-000000600000}"/>
    <cellStyle name="Pattern 2 3 35" xfId="24577" xr:uid="{00000000-0005-0000-0000-000001600000}"/>
    <cellStyle name="Pattern 2 3 36" xfId="24578" xr:uid="{00000000-0005-0000-0000-000002600000}"/>
    <cellStyle name="Pattern 2 3 37" xfId="24579" xr:uid="{00000000-0005-0000-0000-000003600000}"/>
    <cellStyle name="Pattern 2 3 38" xfId="24580" xr:uid="{00000000-0005-0000-0000-000004600000}"/>
    <cellStyle name="Pattern 2 3 39" xfId="24581" xr:uid="{00000000-0005-0000-0000-000005600000}"/>
    <cellStyle name="Pattern 2 3 4" xfId="24582" xr:uid="{00000000-0005-0000-0000-000006600000}"/>
    <cellStyle name="Pattern 2 3 40" xfId="24583" xr:uid="{00000000-0005-0000-0000-000007600000}"/>
    <cellStyle name="Pattern 2 3 41" xfId="24584" xr:uid="{00000000-0005-0000-0000-000008600000}"/>
    <cellStyle name="Pattern 2 3 42" xfId="24585" xr:uid="{00000000-0005-0000-0000-000009600000}"/>
    <cellStyle name="Pattern 2 3 43" xfId="24586" xr:uid="{00000000-0005-0000-0000-00000A600000}"/>
    <cellStyle name="Pattern 2 3 44" xfId="24587" xr:uid="{00000000-0005-0000-0000-00000B600000}"/>
    <cellStyle name="Pattern 2 3 45" xfId="24588" xr:uid="{00000000-0005-0000-0000-00000C600000}"/>
    <cellStyle name="Pattern 2 3 46" xfId="24589" xr:uid="{00000000-0005-0000-0000-00000D600000}"/>
    <cellStyle name="Pattern 2 3 47" xfId="24590" xr:uid="{00000000-0005-0000-0000-00000E600000}"/>
    <cellStyle name="Pattern 2 3 48" xfId="24591" xr:uid="{00000000-0005-0000-0000-00000F600000}"/>
    <cellStyle name="Pattern 2 3 49" xfId="24592" xr:uid="{00000000-0005-0000-0000-000010600000}"/>
    <cellStyle name="Pattern 2 3 5" xfId="24593" xr:uid="{00000000-0005-0000-0000-000011600000}"/>
    <cellStyle name="Pattern 2 3 50" xfId="24594" xr:uid="{00000000-0005-0000-0000-000012600000}"/>
    <cellStyle name="Pattern 2 3 51" xfId="24595" xr:uid="{00000000-0005-0000-0000-000013600000}"/>
    <cellStyle name="Pattern 2 3 52" xfId="24596" xr:uid="{00000000-0005-0000-0000-000014600000}"/>
    <cellStyle name="Pattern 2 3 53" xfId="24597" xr:uid="{00000000-0005-0000-0000-000015600000}"/>
    <cellStyle name="Pattern 2 3 54" xfId="24598" xr:uid="{00000000-0005-0000-0000-000016600000}"/>
    <cellStyle name="Pattern 2 3 55" xfId="24599" xr:uid="{00000000-0005-0000-0000-000017600000}"/>
    <cellStyle name="Pattern 2 3 56" xfId="24600" xr:uid="{00000000-0005-0000-0000-000018600000}"/>
    <cellStyle name="Pattern 2 3 57" xfId="24601" xr:uid="{00000000-0005-0000-0000-000019600000}"/>
    <cellStyle name="Pattern 2 3 58" xfId="24602" xr:uid="{00000000-0005-0000-0000-00001A600000}"/>
    <cellStyle name="Pattern 2 3 59" xfId="24603" xr:uid="{00000000-0005-0000-0000-00001B600000}"/>
    <cellStyle name="Pattern 2 3 6" xfId="24604" xr:uid="{00000000-0005-0000-0000-00001C600000}"/>
    <cellStyle name="Pattern 2 3 60" xfId="24605" xr:uid="{00000000-0005-0000-0000-00001D600000}"/>
    <cellStyle name="Pattern 2 3 61" xfId="24606" xr:uid="{00000000-0005-0000-0000-00001E600000}"/>
    <cellStyle name="Pattern 2 3 62" xfId="24607" xr:uid="{00000000-0005-0000-0000-00001F600000}"/>
    <cellStyle name="Pattern 2 3 63" xfId="24608" xr:uid="{00000000-0005-0000-0000-000020600000}"/>
    <cellStyle name="Pattern 2 3 64" xfId="24609" xr:uid="{00000000-0005-0000-0000-000021600000}"/>
    <cellStyle name="Pattern 2 3 65" xfId="24610" xr:uid="{00000000-0005-0000-0000-000022600000}"/>
    <cellStyle name="Pattern 2 3 7" xfId="24611" xr:uid="{00000000-0005-0000-0000-000023600000}"/>
    <cellStyle name="Pattern 2 3 8" xfId="24612" xr:uid="{00000000-0005-0000-0000-000024600000}"/>
    <cellStyle name="Pattern 2 3 9" xfId="24613" xr:uid="{00000000-0005-0000-0000-000025600000}"/>
    <cellStyle name="Pattern 3" xfId="24614" xr:uid="{00000000-0005-0000-0000-000026600000}"/>
    <cellStyle name="Pattern 3 10" xfId="24615" xr:uid="{00000000-0005-0000-0000-000027600000}"/>
    <cellStyle name="Pattern 3 11" xfId="24616" xr:uid="{00000000-0005-0000-0000-000028600000}"/>
    <cellStyle name="Pattern 3 12" xfId="24617" xr:uid="{00000000-0005-0000-0000-000029600000}"/>
    <cellStyle name="Pattern 3 13" xfId="24618" xr:uid="{00000000-0005-0000-0000-00002A600000}"/>
    <cellStyle name="Pattern 3 14" xfId="24619" xr:uid="{00000000-0005-0000-0000-00002B600000}"/>
    <cellStyle name="Pattern 3 15" xfId="24620" xr:uid="{00000000-0005-0000-0000-00002C600000}"/>
    <cellStyle name="Pattern 3 16" xfId="24621" xr:uid="{00000000-0005-0000-0000-00002D600000}"/>
    <cellStyle name="Pattern 3 17" xfId="24622" xr:uid="{00000000-0005-0000-0000-00002E600000}"/>
    <cellStyle name="Pattern 3 18" xfId="24623" xr:uid="{00000000-0005-0000-0000-00002F600000}"/>
    <cellStyle name="Pattern 3 19" xfId="24624" xr:uid="{00000000-0005-0000-0000-000030600000}"/>
    <cellStyle name="Pattern 3 2" xfId="24625" xr:uid="{00000000-0005-0000-0000-000031600000}"/>
    <cellStyle name="Pattern 3 2 10" xfId="24626" xr:uid="{00000000-0005-0000-0000-000032600000}"/>
    <cellStyle name="Pattern 3 2 11" xfId="24627" xr:uid="{00000000-0005-0000-0000-000033600000}"/>
    <cellStyle name="Pattern 3 2 12" xfId="24628" xr:uid="{00000000-0005-0000-0000-000034600000}"/>
    <cellStyle name="Pattern 3 2 13" xfId="24629" xr:uid="{00000000-0005-0000-0000-000035600000}"/>
    <cellStyle name="Pattern 3 2 14" xfId="24630" xr:uid="{00000000-0005-0000-0000-000036600000}"/>
    <cellStyle name="Pattern 3 2 15" xfId="24631" xr:uid="{00000000-0005-0000-0000-000037600000}"/>
    <cellStyle name="Pattern 3 2 16" xfId="24632" xr:uid="{00000000-0005-0000-0000-000038600000}"/>
    <cellStyle name="Pattern 3 2 17" xfId="24633" xr:uid="{00000000-0005-0000-0000-000039600000}"/>
    <cellStyle name="Pattern 3 2 18" xfId="24634" xr:uid="{00000000-0005-0000-0000-00003A600000}"/>
    <cellStyle name="Pattern 3 2 19" xfId="24635" xr:uid="{00000000-0005-0000-0000-00003B600000}"/>
    <cellStyle name="Pattern 3 2 2" xfId="24636" xr:uid="{00000000-0005-0000-0000-00003C600000}"/>
    <cellStyle name="Pattern 3 2 2 10" xfId="24637" xr:uid="{00000000-0005-0000-0000-00003D600000}"/>
    <cellStyle name="Pattern 3 2 2 11" xfId="24638" xr:uid="{00000000-0005-0000-0000-00003E600000}"/>
    <cellStyle name="Pattern 3 2 2 12" xfId="24639" xr:uid="{00000000-0005-0000-0000-00003F600000}"/>
    <cellStyle name="Pattern 3 2 2 13" xfId="24640" xr:uid="{00000000-0005-0000-0000-000040600000}"/>
    <cellStyle name="Pattern 3 2 2 14" xfId="24641" xr:uid="{00000000-0005-0000-0000-000041600000}"/>
    <cellStyle name="Pattern 3 2 2 15" xfId="24642" xr:uid="{00000000-0005-0000-0000-000042600000}"/>
    <cellStyle name="Pattern 3 2 2 16" xfId="24643" xr:uid="{00000000-0005-0000-0000-000043600000}"/>
    <cellStyle name="Pattern 3 2 2 17" xfId="24644" xr:uid="{00000000-0005-0000-0000-000044600000}"/>
    <cellStyle name="Pattern 3 2 2 18" xfId="24645" xr:uid="{00000000-0005-0000-0000-000045600000}"/>
    <cellStyle name="Pattern 3 2 2 19" xfId="24646" xr:uid="{00000000-0005-0000-0000-000046600000}"/>
    <cellStyle name="Pattern 3 2 2 2" xfId="24647" xr:uid="{00000000-0005-0000-0000-000047600000}"/>
    <cellStyle name="Pattern 3 2 2 20" xfId="24648" xr:uid="{00000000-0005-0000-0000-000048600000}"/>
    <cellStyle name="Pattern 3 2 2 21" xfId="24649" xr:uid="{00000000-0005-0000-0000-000049600000}"/>
    <cellStyle name="Pattern 3 2 2 22" xfId="24650" xr:uid="{00000000-0005-0000-0000-00004A600000}"/>
    <cellStyle name="Pattern 3 2 2 23" xfId="24651" xr:uid="{00000000-0005-0000-0000-00004B600000}"/>
    <cellStyle name="Pattern 3 2 2 24" xfId="24652" xr:uid="{00000000-0005-0000-0000-00004C600000}"/>
    <cellStyle name="Pattern 3 2 2 25" xfId="24653" xr:uid="{00000000-0005-0000-0000-00004D600000}"/>
    <cellStyle name="Pattern 3 2 2 26" xfId="24654" xr:uid="{00000000-0005-0000-0000-00004E600000}"/>
    <cellStyle name="Pattern 3 2 2 27" xfId="24655" xr:uid="{00000000-0005-0000-0000-00004F600000}"/>
    <cellStyle name="Pattern 3 2 2 28" xfId="24656" xr:uid="{00000000-0005-0000-0000-000050600000}"/>
    <cellStyle name="Pattern 3 2 2 29" xfId="24657" xr:uid="{00000000-0005-0000-0000-000051600000}"/>
    <cellStyle name="Pattern 3 2 2 3" xfId="24658" xr:uid="{00000000-0005-0000-0000-000052600000}"/>
    <cellStyle name="Pattern 3 2 2 30" xfId="24659" xr:uid="{00000000-0005-0000-0000-000053600000}"/>
    <cellStyle name="Pattern 3 2 2 31" xfId="24660" xr:uid="{00000000-0005-0000-0000-000054600000}"/>
    <cellStyle name="Pattern 3 2 2 32" xfId="24661" xr:uid="{00000000-0005-0000-0000-000055600000}"/>
    <cellStyle name="Pattern 3 2 2 33" xfId="24662" xr:uid="{00000000-0005-0000-0000-000056600000}"/>
    <cellStyle name="Pattern 3 2 2 34" xfId="24663" xr:uid="{00000000-0005-0000-0000-000057600000}"/>
    <cellStyle name="Pattern 3 2 2 35" xfId="24664" xr:uid="{00000000-0005-0000-0000-000058600000}"/>
    <cellStyle name="Pattern 3 2 2 36" xfId="24665" xr:uid="{00000000-0005-0000-0000-000059600000}"/>
    <cellStyle name="Pattern 3 2 2 37" xfId="24666" xr:uid="{00000000-0005-0000-0000-00005A600000}"/>
    <cellStyle name="Pattern 3 2 2 38" xfId="24667" xr:uid="{00000000-0005-0000-0000-00005B600000}"/>
    <cellStyle name="Pattern 3 2 2 39" xfId="24668" xr:uid="{00000000-0005-0000-0000-00005C600000}"/>
    <cellStyle name="Pattern 3 2 2 4" xfId="24669" xr:uid="{00000000-0005-0000-0000-00005D600000}"/>
    <cellStyle name="Pattern 3 2 2 40" xfId="24670" xr:uid="{00000000-0005-0000-0000-00005E600000}"/>
    <cellStyle name="Pattern 3 2 2 41" xfId="24671" xr:uid="{00000000-0005-0000-0000-00005F600000}"/>
    <cellStyle name="Pattern 3 2 2 42" xfId="24672" xr:uid="{00000000-0005-0000-0000-000060600000}"/>
    <cellStyle name="Pattern 3 2 2 43" xfId="24673" xr:uid="{00000000-0005-0000-0000-000061600000}"/>
    <cellStyle name="Pattern 3 2 2 44" xfId="24674" xr:uid="{00000000-0005-0000-0000-000062600000}"/>
    <cellStyle name="Pattern 3 2 2 45" xfId="24675" xr:uid="{00000000-0005-0000-0000-000063600000}"/>
    <cellStyle name="Pattern 3 2 2 46" xfId="24676" xr:uid="{00000000-0005-0000-0000-000064600000}"/>
    <cellStyle name="Pattern 3 2 2 47" xfId="24677" xr:uid="{00000000-0005-0000-0000-000065600000}"/>
    <cellStyle name="Pattern 3 2 2 48" xfId="24678" xr:uid="{00000000-0005-0000-0000-000066600000}"/>
    <cellStyle name="Pattern 3 2 2 49" xfId="24679" xr:uid="{00000000-0005-0000-0000-000067600000}"/>
    <cellStyle name="Pattern 3 2 2 5" xfId="24680" xr:uid="{00000000-0005-0000-0000-000068600000}"/>
    <cellStyle name="Pattern 3 2 2 50" xfId="24681" xr:uid="{00000000-0005-0000-0000-000069600000}"/>
    <cellStyle name="Pattern 3 2 2 51" xfId="24682" xr:uid="{00000000-0005-0000-0000-00006A600000}"/>
    <cellStyle name="Pattern 3 2 2 52" xfId="24683" xr:uid="{00000000-0005-0000-0000-00006B600000}"/>
    <cellStyle name="Pattern 3 2 2 53" xfId="24684" xr:uid="{00000000-0005-0000-0000-00006C600000}"/>
    <cellStyle name="Pattern 3 2 2 54" xfId="24685" xr:uid="{00000000-0005-0000-0000-00006D600000}"/>
    <cellStyle name="Pattern 3 2 2 55" xfId="24686" xr:uid="{00000000-0005-0000-0000-00006E600000}"/>
    <cellStyle name="Pattern 3 2 2 56" xfId="24687" xr:uid="{00000000-0005-0000-0000-00006F600000}"/>
    <cellStyle name="Pattern 3 2 2 57" xfId="24688" xr:uid="{00000000-0005-0000-0000-000070600000}"/>
    <cellStyle name="Pattern 3 2 2 58" xfId="24689" xr:uid="{00000000-0005-0000-0000-000071600000}"/>
    <cellStyle name="Pattern 3 2 2 59" xfId="24690" xr:uid="{00000000-0005-0000-0000-000072600000}"/>
    <cellStyle name="Pattern 3 2 2 6" xfId="24691" xr:uid="{00000000-0005-0000-0000-000073600000}"/>
    <cellStyle name="Pattern 3 2 2 60" xfId="24692" xr:uid="{00000000-0005-0000-0000-000074600000}"/>
    <cellStyle name="Pattern 3 2 2 61" xfId="24693" xr:uid="{00000000-0005-0000-0000-000075600000}"/>
    <cellStyle name="Pattern 3 2 2 62" xfId="24694" xr:uid="{00000000-0005-0000-0000-000076600000}"/>
    <cellStyle name="Pattern 3 2 2 63" xfId="24695" xr:uid="{00000000-0005-0000-0000-000077600000}"/>
    <cellStyle name="Pattern 3 2 2 64" xfId="24696" xr:uid="{00000000-0005-0000-0000-000078600000}"/>
    <cellStyle name="Pattern 3 2 2 65" xfId="24697" xr:uid="{00000000-0005-0000-0000-000079600000}"/>
    <cellStyle name="Pattern 3 2 2 7" xfId="24698" xr:uid="{00000000-0005-0000-0000-00007A600000}"/>
    <cellStyle name="Pattern 3 2 2 8" xfId="24699" xr:uid="{00000000-0005-0000-0000-00007B600000}"/>
    <cellStyle name="Pattern 3 2 2 9" xfId="24700" xr:uid="{00000000-0005-0000-0000-00007C600000}"/>
    <cellStyle name="Pattern 3 2 20" xfId="24701" xr:uid="{00000000-0005-0000-0000-00007D600000}"/>
    <cellStyle name="Pattern 3 2 21" xfId="24702" xr:uid="{00000000-0005-0000-0000-00007E600000}"/>
    <cellStyle name="Pattern 3 2 22" xfId="24703" xr:uid="{00000000-0005-0000-0000-00007F600000}"/>
    <cellStyle name="Pattern 3 2 23" xfId="24704" xr:uid="{00000000-0005-0000-0000-000080600000}"/>
    <cellStyle name="Pattern 3 2 24" xfId="24705" xr:uid="{00000000-0005-0000-0000-000081600000}"/>
    <cellStyle name="Pattern 3 2 25" xfId="24706" xr:uid="{00000000-0005-0000-0000-000082600000}"/>
    <cellStyle name="Pattern 3 2 26" xfId="24707" xr:uid="{00000000-0005-0000-0000-000083600000}"/>
    <cellStyle name="Pattern 3 2 27" xfId="24708" xr:uid="{00000000-0005-0000-0000-000084600000}"/>
    <cellStyle name="Pattern 3 2 28" xfId="24709" xr:uid="{00000000-0005-0000-0000-000085600000}"/>
    <cellStyle name="Pattern 3 2 29" xfId="24710" xr:uid="{00000000-0005-0000-0000-000086600000}"/>
    <cellStyle name="Pattern 3 2 3" xfId="24711" xr:uid="{00000000-0005-0000-0000-000087600000}"/>
    <cellStyle name="Pattern 3 2 30" xfId="24712" xr:uid="{00000000-0005-0000-0000-000088600000}"/>
    <cellStyle name="Pattern 3 2 31" xfId="24713" xr:uid="{00000000-0005-0000-0000-000089600000}"/>
    <cellStyle name="Pattern 3 2 32" xfId="24714" xr:uid="{00000000-0005-0000-0000-00008A600000}"/>
    <cellStyle name="Pattern 3 2 33" xfId="24715" xr:uid="{00000000-0005-0000-0000-00008B600000}"/>
    <cellStyle name="Pattern 3 2 34" xfId="24716" xr:uid="{00000000-0005-0000-0000-00008C600000}"/>
    <cellStyle name="Pattern 3 2 35" xfId="24717" xr:uid="{00000000-0005-0000-0000-00008D600000}"/>
    <cellStyle name="Pattern 3 2 36" xfId="24718" xr:uid="{00000000-0005-0000-0000-00008E600000}"/>
    <cellStyle name="Pattern 3 2 37" xfId="24719" xr:uid="{00000000-0005-0000-0000-00008F600000}"/>
    <cellStyle name="Pattern 3 2 38" xfId="24720" xr:uid="{00000000-0005-0000-0000-000090600000}"/>
    <cellStyle name="Pattern 3 2 39" xfId="24721" xr:uid="{00000000-0005-0000-0000-000091600000}"/>
    <cellStyle name="Pattern 3 2 4" xfId="24722" xr:uid="{00000000-0005-0000-0000-000092600000}"/>
    <cellStyle name="Pattern 3 2 40" xfId="24723" xr:uid="{00000000-0005-0000-0000-000093600000}"/>
    <cellStyle name="Pattern 3 2 41" xfId="24724" xr:uid="{00000000-0005-0000-0000-000094600000}"/>
    <cellStyle name="Pattern 3 2 42" xfId="24725" xr:uid="{00000000-0005-0000-0000-000095600000}"/>
    <cellStyle name="Pattern 3 2 43" xfId="24726" xr:uid="{00000000-0005-0000-0000-000096600000}"/>
    <cellStyle name="Pattern 3 2 44" xfId="24727" xr:uid="{00000000-0005-0000-0000-000097600000}"/>
    <cellStyle name="Pattern 3 2 45" xfId="24728" xr:uid="{00000000-0005-0000-0000-000098600000}"/>
    <cellStyle name="Pattern 3 2 46" xfId="24729" xr:uid="{00000000-0005-0000-0000-000099600000}"/>
    <cellStyle name="Pattern 3 2 47" xfId="24730" xr:uid="{00000000-0005-0000-0000-00009A600000}"/>
    <cellStyle name="Pattern 3 2 48" xfId="24731" xr:uid="{00000000-0005-0000-0000-00009B600000}"/>
    <cellStyle name="Pattern 3 2 49" xfId="24732" xr:uid="{00000000-0005-0000-0000-00009C600000}"/>
    <cellStyle name="Pattern 3 2 5" xfId="24733" xr:uid="{00000000-0005-0000-0000-00009D600000}"/>
    <cellStyle name="Pattern 3 2 50" xfId="24734" xr:uid="{00000000-0005-0000-0000-00009E600000}"/>
    <cellStyle name="Pattern 3 2 51" xfId="24735" xr:uid="{00000000-0005-0000-0000-00009F600000}"/>
    <cellStyle name="Pattern 3 2 52" xfId="24736" xr:uid="{00000000-0005-0000-0000-0000A0600000}"/>
    <cellStyle name="Pattern 3 2 53" xfId="24737" xr:uid="{00000000-0005-0000-0000-0000A1600000}"/>
    <cellStyle name="Pattern 3 2 54" xfId="24738" xr:uid="{00000000-0005-0000-0000-0000A2600000}"/>
    <cellStyle name="Pattern 3 2 55" xfId="24739" xr:uid="{00000000-0005-0000-0000-0000A3600000}"/>
    <cellStyle name="Pattern 3 2 56" xfId="24740" xr:uid="{00000000-0005-0000-0000-0000A4600000}"/>
    <cellStyle name="Pattern 3 2 57" xfId="24741" xr:uid="{00000000-0005-0000-0000-0000A5600000}"/>
    <cellStyle name="Pattern 3 2 58" xfId="24742" xr:uid="{00000000-0005-0000-0000-0000A6600000}"/>
    <cellStyle name="Pattern 3 2 59" xfId="24743" xr:uid="{00000000-0005-0000-0000-0000A7600000}"/>
    <cellStyle name="Pattern 3 2 6" xfId="24744" xr:uid="{00000000-0005-0000-0000-0000A8600000}"/>
    <cellStyle name="Pattern 3 2 60" xfId="24745" xr:uid="{00000000-0005-0000-0000-0000A9600000}"/>
    <cellStyle name="Pattern 3 2 61" xfId="24746" xr:uid="{00000000-0005-0000-0000-0000AA600000}"/>
    <cellStyle name="Pattern 3 2 62" xfId="24747" xr:uid="{00000000-0005-0000-0000-0000AB600000}"/>
    <cellStyle name="Pattern 3 2 63" xfId="24748" xr:uid="{00000000-0005-0000-0000-0000AC600000}"/>
    <cellStyle name="Pattern 3 2 64" xfId="24749" xr:uid="{00000000-0005-0000-0000-0000AD600000}"/>
    <cellStyle name="Pattern 3 2 65" xfId="24750" xr:uid="{00000000-0005-0000-0000-0000AE600000}"/>
    <cellStyle name="Pattern 3 2 66" xfId="24751" xr:uid="{00000000-0005-0000-0000-0000AF600000}"/>
    <cellStyle name="Pattern 3 2 7" xfId="24752" xr:uid="{00000000-0005-0000-0000-0000B0600000}"/>
    <cellStyle name="Pattern 3 2 8" xfId="24753" xr:uid="{00000000-0005-0000-0000-0000B1600000}"/>
    <cellStyle name="Pattern 3 2 9" xfId="24754" xr:uid="{00000000-0005-0000-0000-0000B2600000}"/>
    <cellStyle name="Pattern 3 20" xfId="24755" xr:uid="{00000000-0005-0000-0000-0000B3600000}"/>
    <cellStyle name="Pattern 3 21" xfId="24756" xr:uid="{00000000-0005-0000-0000-0000B4600000}"/>
    <cellStyle name="Pattern 3 22" xfId="24757" xr:uid="{00000000-0005-0000-0000-0000B5600000}"/>
    <cellStyle name="Pattern 3 23" xfId="24758" xr:uid="{00000000-0005-0000-0000-0000B6600000}"/>
    <cellStyle name="Pattern 3 24" xfId="24759" xr:uid="{00000000-0005-0000-0000-0000B7600000}"/>
    <cellStyle name="Pattern 3 25" xfId="24760" xr:uid="{00000000-0005-0000-0000-0000B8600000}"/>
    <cellStyle name="Pattern 3 26" xfId="24761" xr:uid="{00000000-0005-0000-0000-0000B9600000}"/>
    <cellStyle name="Pattern 3 27" xfId="24762" xr:uid="{00000000-0005-0000-0000-0000BA600000}"/>
    <cellStyle name="Pattern 3 28" xfId="24763" xr:uid="{00000000-0005-0000-0000-0000BB600000}"/>
    <cellStyle name="Pattern 3 29" xfId="24764" xr:uid="{00000000-0005-0000-0000-0000BC600000}"/>
    <cellStyle name="Pattern 3 3" xfId="24765" xr:uid="{00000000-0005-0000-0000-0000BD600000}"/>
    <cellStyle name="Pattern 3 3 10" xfId="24766" xr:uid="{00000000-0005-0000-0000-0000BE600000}"/>
    <cellStyle name="Pattern 3 3 11" xfId="24767" xr:uid="{00000000-0005-0000-0000-0000BF600000}"/>
    <cellStyle name="Pattern 3 3 12" xfId="24768" xr:uid="{00000000-0005-0000-0000-0000C0600000}"/>
    <cellStyle name="Pattern 3 3 13" xfId="24769" xr:uid="{00000000-0005-0000-0000-0000C1600000}"/>
    <cellStyle name="Pattern 3 3 14" xfId="24770" xr:uid="{00000000-0005-0000-0000-0000C2600000}"/>
    <cellStyle name="Pattern 3 3 15" xfId="24771" xr:uid="{00000000-0005-0000-0000-0000C3600000}"/>
    <cellStyle name="Pattern 3 3 16" xfId="24772" xr:uid="{00000000-0005-0000-0000-0000C4600000}"/>
    <cellStyle name="Pattern 3 3 17" xfId="24773" xr:uid="{00000000-0005-0000-0000-0000C5600000}"/>
    <cellStyle name="Pattern 3 3 18" xfId="24774" xr:uid="{00000000-0005-0000-0000-0000C6600000}"/>
    <cellStyle name="Pattern 3 3 19" xfId="24775" xr:uid="{00000000-0005-0000-0000-0000C7600000}"/>
    <cellStyle name="Pattern 3 3 2" xfId="24776" xr:uid="{00000000-0005-0000-0000-0000C8600000}"/>
    <cellStyle name="Pattern 3 3 2 10" xfId="24777" xr:uid="{00000000-0005-0000-0000-0000C9600000}"/>
    <cellStyle name="Pattern 3 3 2 11" xfId="24778" xr:uid="{00000000-0005-0000-0000-0000CA600000}"/>
    <cellStyle name="Pattern 3 3 2 12" xfId="24779" xr:uid="{00000000-0005-0000-0000-0000CB600000}"/>
    <cellStyle name="Pattern 3 3 2 13" xfId="24780" xr:uid="{00000000-0005-0000-0000-0000CC600000}"/>
    <cellStyle name="Pattern 3 3 2 14" xfId="24781" xr:uid="{00000000-0005-0000-0000-0000CD600000}"/>
    <cellStyle name="Pattern 3 3 2 15" xfId="24782" xr:uid="{00000000-0005-0000-0000-0000CE600000}"/>
    <cellStyle name="Pattern 3 3 2 16" xfId="24783" xr:uid="{00000000-0005-0000-0000-0000CF600000}"/>
    <cellStyle name="Pattern 3 3 2 17" xfId="24784" xr:uid="{00000000-0005-0000-0000-0000D0600000}"/>
    <cellStyle name="Pattern 3 3 2 18" xfId="24785" xr:uid="{00000000-0005-0000-0000-0000D1600000}"/>
    <cellStyle name="Pattern 3 3 2 19" xfId="24786" xr:uid="{00000000-0005-0000-0000-0000D2600000}"/>
    <cellStyle name="Pattern 3 3 2 2" xfId="24787" xr:uid="{00000000-0005-0000-0000-0000D3600000}"/>
    <cellStyle name="Pattern 3 3 2 20" xfId="24788" xr:uid="{00000000-0005-0000-0000-0000D4600000}"/>
    <cellStyle name="Pattern 3 3 2 21" xfId="24789" xr:uid="{00000000-0005-0000-0000-0000D5600000}"/>
    <cellStyle name="Pattern 3 3 2 22" xfId="24790" xr:uid="{00000000-0005-0000-0000-0000D6600000}"/>
    <cellStyle name="Pattern 3 3 2 23" xfId="24791" xr:uid="{00000000-0005-0000-0000-0000D7600000}"/>
    <cellStyle name="Pattern 3 3 2 24" xfId="24792" xr:uid="{00000000-0005-0000-0000-0000D8600000}"/>
    <cellStyle name="Pattern 3 3 2 25" xfId="24793" xr:uid="{00000000-0005-0000-0000-0000D9600000}"/>
    <cellStyle name="Pattern 3 3 2 26" xfId="24794" xr:uid="{00000000-0005-0000-0000-0000DA600000}"/>
    <cellStyle name="Pattern 3 3 2 27" xfId="24795" xr:uid="{00000000-0005-0000-0000-0000DB600000}"/>
    <cellStyle name="Pattern 3 3 2 28" xfId="24796" xr:uid="{00000000-0005-0000-0000-0000DC600000}"/>
    <cellStyle name="Pattern 3 3 2 29" xfId="24797" xr:uid="{00000000-0005-0000-0000-0000DD600000}"/>
    <cellStyle name="Pattern 3 3 2 3" xfId="24798" xr:uid="{00000000-0005-0000-0000-0000DE600000}"/>
    <cellStyle name="Pattern 3 3 2 30" xfId="24799" xr:uid="{00000000-0005-0000-0000-0000DF600000}"/>
    <cellStyle name="Pattern 3 3 2 31" xfId="24800" xr:uid="{00000000-0005-0000-0000-0000E0600000}"/>
    <cellStyle name="Pattern 3 3 2 32" xfId="24801" xr:uid="{00000000-0005-0000-0000-0000E1600000}"/>
    <cellStyle name="Pattern 3 3 2 33" xfId="24802" xr:uid="{00000000-0005-0000-0000-0000E2600000}"/>
    <cellStyle name="Pattern 3 3 2 34" xfId="24803" xr:uid="{00000000-0005-0000-0000-0000E3600000}"/>
    <cellStyle name="Pattern 3 3 2 35" xfId="24804" xr:uid="{00000000-0005-0000-0000-0000E4600000}"/>
    <cellStyle name="Pattern 3 3 2 36" xfId="24805" xr:uid="{00000000-0005-0000-0000-0000E5600000}"/>
    <cellStyle name="Pattern 3 3 2 37" xfId="24806" xr:uid="{00000000-0005-0000-0000-0000E6600000}"/>
    <cellStyle name="Pattern 3 3 2 38" xfId="24807" xr:uid="{00000000-0005-0000-0000-0000E7600000}"/>
    <cellStyle name="Pattern 3 3 2 39" xfId="24808" xr:uid="{00000000-0005-0000-0000-0000E8600000}"/>
    <cellStyle name="Pattern 3 3 2 4" xfId="24809" xr:uid="{00000000-0005-0000-0000-0000E9600000}"/>
    <cellStyle name="Pattern 3 3 2 40" xfId="24810" xr:uid="{00000000-0005-0000-0000-0000EA600000}"/>
    <cellStyle name="Pattern 3 3 2 41" xfId="24811" xr:uid="{00000000-0005-0000-0000-0000EB600000}"/>
    <cellStyle name="Pattern 3 3 2 42" xfId="24812" xr:uid="{00000000-0005-0000-0000-0000EC600000}"/>
    <cellStyle name="Pattern 3 3 2 43" xfId="24813" xr:uid="{00000000-0005-0000-0000-0000ED600000}"/>
    <cellStyle name="Pattern 3 3 2 44" xfId="24814" xr:uid="{00000000-0005-0000-0000-0000EE600000}"/>
    <cellStyle name="Pattern 3 3 2 45" xfId="24815" xr:uid="{00000000-0005-0000-0000-0000EF600000}"/>
    <cellStyle name="Pattern 3 3 2 46" xfId="24816" xr:uid="{00000000-0005-0000-0000-0000F0600000}"/>
    <cellStyle name="Pattern 3 3 2 47" xfId="24817" xr:uid="{00000000-0005-0000-0000-0000F1600000}"/>
    <cellStyle name="Pattern 3 3 2 48" xfId="24818" xr:uid="{00000000-0005-0000-0000-0000F2600000}"/>
    <cellStyle name="Pattern 3 3 2 49" xfId="24819" xr:uid="{00000000-0005-0000-0000-0000F3600000}"/>
    <cellStyle name="Pattern 3 3 2 5" xfId="24820" xr:uid="{00000000-0005-0000-0000-0000F4600000}"/>
    <cellStyle name="Pattern 3 3 2 50" xfId="24821" xr:uid="{00000000-0005-0000-0000-0000F5600000}"/>
    <cellStyle name="Pattern 3 3 2 51" xfId="24822" xr:uid="{00000000-0005-0000-0000-0000F6600000}"/>
    <cellStyle name="Pattern 3 3 2 52" xfId="24823" xr:uid="{00000000-0005-0000-0000-0000F7600000}"/>
    <cellStyle name="Pattern 3 3 2 53" xfId="24824" xr:uid="{00000000-0005-0000-0000-0000F8600000}"/>
    <cellStyle name="Pattern 3 3 2 54" xfId="24825" xr:uid="{00000000-0005-0000-0000-0000F9600000}"/>
    <cellStyle name="Pattern 3 3 2 55" xfId="24826" xr:uid="{00000000-0005-0000-0000-0000FA600000}"/>
    <cellStyle name="Pattern 3 3 2 56" xfId="24827" xr:uid="{00000000-0005-0000-0000-0000FB600000}"/>
    <cellStyle name="Pattern 3 3 2 57" xfId="24828" xr:uid="{00000000-0005-0000-0000-0000FC600000}"/>
    <cellStyle name="Pattern 3 3 2 58" xfId="24829" xr:uid="{00000000-0005-0000-0000-0000FD600000}"/>
    <cellStyle name="Pattern 3 3 2 59" xfId="24830" xr:uid="{00000000-0005-0000-0000-0000FE600000}"/>
    <cellStyle name="Pattern 3 3 2 6" xfId="24831" xr:uid="{00000000-0005-0000-0000-0000FF600000}"/>
    <cellStyle name="Pattern 3 3 2 60" xfId="24832" xr:uid="{00000000-0005-0000-0000-000000610000}"/>
    <cellStyle name="Pattern 3 3 2 61" xfId="24833" xr:uid="{00000000-0005-0000-0000-000001610000}"/>
    <cellStyle name="Pattern 3 3 2 62" xfId="24834" xr:uid="{00000000-0005-0000-0000-000002610000}"/>
    <cellStyle name="Pattern 3 3 2 63" xfId="24835" xr:uid="{00000000-0005-0000-0000-000003610000}"/>
    <cellStyle name="Pattern 3 3 2 64" xfId="24836" xr:uid="{00000000-0005-0000-0000-000004610000}"/>
    <cellStyle name="Pattern 3 3 2 65" xfId="24837" xr:uid="{00000000-0005-0000-0000-000005610000}"/>
    <cellStyle name="Pattern 3 3 2 7" xfId="24838" xr:uid="{00000000-0005-0000-0000-000006610000}"/>
    <cellStyle name="Pattern 3 3 2 8" xfId="24839" xr:uid="{00000000-0005-0000-0000-000007610000}"/>
    <cellStyle name="Pattern 3 3 2 9" xfId="24840" xr:uid="{00000000-0005-0000-0000-000008610000}"/>
    <cellStyle name="Pattern 3 3 20" xfId="24841" xr:uid="{00000000-0005-0000-0000-000009610000}"/>
    <cellStyle name="Pattern 3 3 21" xfId="24842" xr:uid="{00000000-0005-0000-0000-00000A610000}"/>
    <cellStyle name="Pattern 3 3 22" xfId="24843" xr:uid="{00000000-0005-0000-0000-00000B610000}"/>
    <cellStyle name="Pattern 3 3 23" xfId="24844" xr:uid="{00000000-0005-0000-0000-00000C610000}"/>
    <cellStyle name="Pattern 3 3 24" xfId="24845" xr:uid="{00000000-0005-0000-0000-00000D610000}"/>
    <cellStyle name="Pattern 3 3 25" xfId="24846" xr:uid="{00000000-0005-0000-0000-00000E610000}"/>
    <cellStyle name="Pattern 3 3 26" xfId="24847" xr:uid="{00000000-0005-0000-0000-00000F610000}"/>
    <cellStyle name="Pattern 3 3 27" xfId="24848" xr:uid="{00000000-0005-0000-0000-000010610000}"/>
    <cellStyle name="Pattern 3 3 28" xfId="24849" xr:uid="{00000000-0005-0000-0000-000011610000}"/>
    <cellStyle name="Pattern 3 3 29" xfId="24850" xr:uid="{00000000-0005-0000-0000-000012610000}"/>
    <cellStyle name="Pattern 3 3 3" xfId="24851" xr:uid="{00000000-0005-0000-0000-000013610000}"/>
    <cellStyle name="Pattern 3 3 30" xfId="24852" xr:uid="{00000000-0005-0000-0000-000014610000}"/>
    <cellStyle name="Pattern 3 3 31" xfId="24853" xr:uid="{00000000-0005-0000-0000-000015610000}"/>
    <cellStyle name="Pattern 3 3 32" xfId="24854" xr:uid="{00000000-0005-0000-0000-000016610000}"/>
    <cellStyle name="Pattern 3 3 33" xfId="24855" xr:uid="{00000000-0005-0000-0000-000017610000}"/>
    <cellStyle name="Pattern 3 3 34" xfId="24856" xr:uid="{00000000-0005-0000-0000-000018610000}"/>
    <cellStyle name="Pattern 3 3 35" xfId="24857" xr:uid="{00000000-0005-0000-0000-000019610000}"/>
    <cellStyle name="Pattern 3 3 36" xfId="24858" xr:uid="{00000000-0005-0000-0000-00001A610000}"/>
    <cellStyle name="Pattern 3 3 37" xfId="24859" xr:uid="{00000000-0005-0000-0000-00001B610000}"/>
    <cellStyle name="Pattern 3 3 38" xfId="24860" xr:uid="{00000000-0005-0000-0000-00001C610000}"/>
    <cellStyle name="Pattern 3 3 39" xfId="24861" xr:uid="{00000000-0005-0000-0000-00001D610000}"/>
    <cellStyle name="Pattern 3 3 4" xfId="24862" xr:uid="{00000000-0005-0000-0000-00001E610000}"/>
    <cellStyle name="Pattern 3 3 40" xfId="24863" xr:uid="{00000000-0005-0000-0000-00001F610000}"/>
    <cellStyle name="Pattern 3 3 41" xfId="24864" xr:uid="{00000000-0005-0000-0000-000020610000}"/>
    <cellStyle name="Pattern 3 3 42" xfId="24865" xr:uid="{00000000-0005-0000-0000-000021610000}"/>
    <cellStyle name="Pattern 3 3 43" xfId="24866" xr:uid="{00000000-0005-0000-0000-000022610000}"/>
    <cellStyle name="Pattern 3 3 44" xfId="24867" xr:uid="{00000000-0005-0000-0000-000023610000}"/>
    <cellStyle name="Pattern 3 3 45" xfId="24868" xr:uid="{00000000-0005-0000-0000-000024610000}"/>
    <cellStyle name="Pattern 3 3 46" xfId="24869" xr:uid="{00000000-0005-0000-0000-000025610000}"/>
    <cellStyle name="Pattern 3 3 47" xfId="24870" xr:uid="{00000000-0005-0000-0000-000026610000}"/>
    <cellStyle name="Pattern 3 3 48" xfId="24871" xr:uid="{00000000-0005-0000-0000-000027610000}"/>
    <cellStyle name="Pattern 3 3 49" xfId="24872" xr:uid="{00000000-0005-0000-0000-000028610000}"/>
    <cellStyle name="Pattern 3 3 5" xfId="24873" xr:uid="{00000000-0005-0000-0000-000029610000}"/>
    <cellStyle name="Pattern 3 3 50" xfId="24874" xr:uid="{00000000-0005-0000-0000-00002A610000}"/>
    <cellStyle name="Pattern 3 3 51" xfId="24875" xr:uid="{00000000-0005-0000-0000-00002B610000}"/>
    <cellStyle name="Pattern 3 3 52" xfId="24876" xr:uid="{00000000-0005-0000-0000-00002C610000}"/>
    <cellStyle name="Pattern 3 3 53" xfId="24877" xr:uid="{00000000-0005-0000-0000-00002D610000}"/>
    <cellStyle name="Pattern 3 3 54" xfId="24878" xr:uid="{00000000-0005-0000-0000-00002E610000}"/>
    <cellStyle name="Pattern 3 3 55" xfId="24879" xr:uid="{00000000-0005-0000-0000-00002F610000}"/>
    <cellStyle name="Pattern 3 3 56" xfId="24880" xr:uid="{00000000-0005-0000-0000-000030610000}"/>
    <cellStyle name="Pattern 3 3 57" xfId="24881" xr:uid="{00000000-0005-0000-0000-000031610000}"/>
    <cellStyle name="Pattern 3 3 58" xfId="24882" xr:uid="{00000000-0005-0000-0000-000032610000}"/>
    <cellStyle name="Pattern 3 3 59" xfId="24883" xr:uid="{00000000-0005-0000-0000-000033610000}"/>
    <cellStyle name="Pattern 3 3 6" xfId="24884" xr:uid="{00000000-0005-0000-0000-000034610000}"/>
    <cellStyle name="Pattern 3 3 60" xfId="24885" xr:uid="{00000000-0005-0000-0000-000035610000}"/>
    <cellStyle name="Pattern 3 3 61" xfId="24886" xr:uid="{00000000-0005-0000-0000-000036610000}"/>
    <cellStyle name="Pattern 3 3 62" xfId="24887" xr:uid="{00000000-0005-0000-0000-000037610000}"/>
    <cellStyle name="Pattern 3 3 63" xfId="24888" xr:uid="{00000000-0005-0000-0000-000038610000}"/>
    <cellStyle name="Pattern 3 3 64" xfId="24889" xr:uid="{00000000-0005-0000-0000-000039610000}"/>
    <cellStyle name="Pattern 3 3 65" xfId="24890" xr:uid="{00000000-0005-0000-0000-00003A610000}"/>
    <cellStyle name="Pattern 3 3 66" xfId="24891" xr:uid="{00000000-0005-0000-0000-00003B610000}"/>
    <cellStyle name="Pattern 3 3 7" xfId="24892" xr:uid="{00000000-0005-0000-0000-00003C610000}"/>
    <cellStyle name="Pattern 3 3 8" xfId="24893" xr:uid="{00000000-0005-0000-0000-00003D610000}"/>
    <cellStyle name="Pattern 3 3 9" xfId="24894" xr:uid="{00000000-0005-0000-0000-00003E610000}"/>
    <cellStyle name="Pattern 3 30" xfId="24895" xr:uid="{00000000-0005-0000-0000-00003F610000}"/>
    <cellStyle name="Pattern 3 31" xfId="24896" xr:uid="{00000000-0005-0000-0000-000040610000}"/>
    <cellStyle name="Pattern 3 32" xfId="24897" xr:uid="{00000000-0005-0000-0000-000041610000}"/>
    <cellStyle name="Pattern 3 33" xfId="24898" xr:uid="{00000000-0005-0000-0000-000042610000}"/>
    <cellStyle name="Pattern 3 34" xfId="24899" xr:uid="{00000000-0005-0000-0000-000043610000}"/>
    <cellStyle name="Pattern 3 35" xfId="24900" xr:uid="{00000000-0005-0000-0000-000044610000}"/>
    <cellStyle name="Pattern 3 36" xfId="24901" xr:uid="{00000000-0005-0000-0000-000045610000}"/>
    <cellStyle name="Pattern 3 37" xfId="24902" xr:uid="{00000000-0005-0000-0000-000046610000}"/>
    <cellStyle name="Pattern 3 38" xfId="24903" xr:uid="{00000000-0005-0000-0000-000047610000}"/>
    <cellStyle name="Pattern 3 39" xfId="24904" xr:uid="{00000000-0005-0000-0000-000048610000}"/>
    <cellStyle name="Pattern 3 4" xfId="24905" xr:uid="{00000000-0005-0000-0000-000049610000}"/>
    <cellStyle name="Pattern 3 4 10" xfId="24906" xr:uid="{00000000-0005-0000-0000-00004A610000}"/>
    <cellStyle name="Pattern 3 4 11" xfId="24907" xr:uid="{00000000-0005-0000-0000-00004B610000}"/>
    <cellStyle name="Pattern 3 4 12" xfId="24908" xr:uid="{00000000-0005-0000-0000-00004C610000}"/>
    <cellStyle name="Pattern 3 4 13" xfId="24909" xr:uid="{00000000-0005-0000-0000-00004D610000}"/>
    <cellStyle name="Pattern 3 4 14" xfId="24910" xr:uid="{00000000-0005-0000-0000-00004E610000}"/>
    <cellStyle name="Pattern 3 4 15" xfId="24911" xr:uid="{00000000-0005-0000-0000-00004F610000}"/>
    <cellStyle name="Pattern 3 4 16" xfId="24912" xr:uid="{00000000-0005-0000-0000-000050610000}"/>
    <cellStyle name="Pattern 3 4 17" xfId="24913" xr:uid="{00000000-0005-0000-0000-000051610000}"/>
    <cellStyle name="Pattern 3 4 18" xfId="24914" xr:uid="{00000000-0005-0000-0000-000052610000}"/>
    <cellStyle name="Pattern 3 4 19" xfId="24915" xr:uid="{00000000-0005-0000-0000-000053610000}"/>
    <cellStyle name="Pattern 3 4 2" xfId="24916" xr:uid="{00000000-0005-0000-0000-000054610000}"/>
    <cellStyle name="Pattern 3 4 2 10" xfId="24917" xr:uid="{00000000-0005-0000-0000-000055610000}"/>
    <cellStyle name="Pattern 3 4 2 11" xfId="24918" xr:uid="{00000000-0005-0000-0000-000056610000}"/>
    <cellStyle name="Pattern 3 4 2 12" xfId="24919" xr:uid="{00000000-0005-0000-0000-000057610000}"/>
    <cellStyle name="Pattern 3 4 2 13" xfId="24920" xr:uid="{00000000-0005-0000-0000-000058610000}"/>
    <cellStyle name="Pattern 3 4 2 14" xfId="24921" xr:uid="{00000000-0005-0000-0000-000059610000}"/>
    <cellStyle name="Pattern 3 4 2 15" xfId="24922" xr:uid="{00000000-0005-0000-0000-00005A610000}"/>
    <cellStyle name="Pattern 3 4 2 16" xfId="24923" xr:uid="{00000000-0005-0000-0000-00005B610000}"/>
    <cellStyle name="Pattern 3 4 2 17" xfId="24924" xr:uid="{00000000-0005-0000-0000-00005C610000}"/>
    <cellStyle name="Pattern 3 4 2 18" xfId="24925" xr:uid="{00000000-0005-0000-0000-00005D610000}"/>
    <cellStyle name="Pattern 3 4 2 19" xfId="24926" xr:uid="{00000000-0005-0000-0000-00005E610000}"/>
    <cellStyle name="Pattern 3 4 2 2" xfId="24927" xr:uid="{00000000-0005-0000-0000-00005F610000}"/>
    <cellStyle name="Pattern 3 4 2 20" xfId="24928" xr:uid="{00000000-0005-0000-0000-000060610000}"/>
    <cellStyle name="Pattern 3 4 2 21" xfId="24929" xr:uid="{00000000-0005-0000-0000-000061610000}"/>
    <cellStyle name="Pattern 3 4 2 22" xfId="24930" xr:uid="{00000000-0005-0000-0000-000062610000}"/>
    <cellStyle name="Pattern 3 4 2 23" xfId="24931" xr:uid="{00000000-0005-0000-0000-000063610000}"/>
    <cellStyle name="Pattern 3 4 2 24" xfId="24932" xr:uid="{00000000-0005-0000-0000-000064610000}"/>
    <cellStyle name="Pattern 3 4 2 25" xfId="24933" xr:uid="{00000000-0005-0000-0000-000065610000}"/>
    <cellStyle name="Pattern 3 4 2 26" xfId="24934" xr:uid="{00000000-0005-0000-0000-000066610000}"/>
    <cellStyle name="Pattern 3 4 2 27" xfId="24935" xr:uid="{00000000-0005-0000-0000-000067610000}"/>
    <cellStyle name="Pattern 3 4 2 28" xfId="24936" xr:uid="{00000000-0005-0000-0000-000068610000}"/>
    <cellStyle name="Pattern 3 4 2 29" xfId="24937" xr:uid="{00000000-0005-0000-0000-000069610000}"/>
    <cellStyle name="Pattern 3 4 2 3" xfId="24938" xr:uid="{00000000-0005-0000-0000-00006A610000}"/>
    <cellStyle name="Pattern 3 4 2 30" xfId="24939" xr:uid="{00000000-0005-0000-0000-00006B610000}"/>
    <cellStyle name="Pattern 3 4 2 31" xfId="24940" xr:uid="{00000000-0005-0000-0000-00006C610000}"/>
    <cellStyle name="Pattern 3 4 2 32" xfId="24941" xr:uid="{00000000-0005-0000-0000-00006D610000}"/>
    <cellStyle name="Pattern 3 4 2 33" xfId="24942" xr:uid="{00000000-0005-0000-0000-00006E610000}"/>
    <cellStyle name="Pattern 3 4 2 34" xfId="24943" xr:uid="{00000000-0005-0000-0000-00006F610000}"/>
    <cellStyle name="Pattern 3 4 2 35" xfId="24944" xr:uid="{00000000-0005-0000-0000-000070610000}"/>
    <cellStyle name="Pattern 3 4 2 36" xfId="24945" xr:uid="{00000000-0005-0000-0000-000071610000}"/>
    <cellStyle name="Pattern 3 4 2 37" xfId="24946" xr:uid="{00000000-0005-0000-0000-000072610000}"/>
    <cellStyle name="Pattern 3 4 2 38" xfId="24947" xr:uid="{00000000-0005-0000-0000-000073610000}"/>
    <cellStyle name="Pattern 3 4 2 39" xfId="24948" xr:uid="{00000000-0005-0000-0000-000074610000}"/>
    <cellStyle name="Pattern 3 4 2 4" xfId="24949" xr:uid="{00000000-0005-0000-0000-000075610000}"/>
    <cellStyle name="Pattern 3 4 2 40" xfId="24950" xr:uid="{00000000-0005-0000-0000-000076610000}"/>
    <cellStyle name="Pattern 3 4 2 41" xfId="24951" xr:uid="{00000000-0005-0000-0000-000077610000}"/>
    <cellStyle name="Pattern 3 4 2 42" xfId="24952" xr:uid="{00000000-0005-0000-0000-000078610000}"/>
    <cellStyle name="Pattern 3 4 2 43" xfId="24953" xr:uid="{00000000-0005-0000-0000-000079610000}"/>
    <cellStyle name="Pattern 3 4 2 44" xfId="24954" xr:uid="{00000000-0005-0000-0000-00007A610000}"/>
    <cellStyle name="Pattern 3 4 2 45" xfId="24955" xr:uid="{00000000-0005-0000-0000-00007B610000}"/>
    <cellStyle name="Pattern 3 4 2 46" xfId="24956" xr:uid="{00000000-0005-0000-0000-00007C610000}"/>
    <cellStyle name="Pattern 3 4 2 47" xfId="24957" xr:uid="{00000000-0005-0000-0000-00007D610000}"/>
    <cellStyle name="Pattern 3 4 2 48" xfId="24958" xr:uid="{00000000-0005-0000-0000-00007E610000}"/>
    <cellStyle name="Pattern 3 4 2 49" xfId="24959" xr:uid="{00000000-0005-0000-0000-00007F610000}"/>
    <cellStyle name="Pattern 3 4 2 5" xfId="24960" xr:uid="{00000000-0005-0000-0000-000080610000}"/>
    <cellStyle name="Pattern 3 4 2 50" xfId="24961" xr:uid="{00000000-0005-0000-0000-000081610000}"/>
    <cellStyle name="Pattern 3 4 2 51" xfId="24962" xr:uid="{00000000-0005-0000-0000-000082610000}"/>
    <cellStyle name="Pattern 3 4 2 52" xfId="24963" xr:uid="{00000000-0005-0000-0000-000083610000}"/>
    <cellStyle name="Pattern 3 4 2 53" xfId="24964" xr:uid="{00000000-0005-0000-0000-000084610000}"/>
    <cellStyle name="Pattern 3 4 2 54" xfId="24965" xr:uid="{00000000-0005-0000-0000-000085610000}"/>
    <cellStyle name="Pattern 3 4 2 55" xfId="24966" xr:uid="{00000000-0005-0000-0000-000086610000}"/>
    <cellStyle name="Pattern 3 4 2 56" xfId="24967" xr:uid="{00000000-0005-0000-0000-000087610000}"/>
    <cellStyle name="Pattern 3 4 2 57" xfId="24968" xr:uid="{00000000-0005-0000-0000-000088610000}"/>
    <cellStyle name="Pattern 3 4 2 58" xfId="24969" xr:uid="{00000000-0005-0000-0000-000089610000}"/>
    <cellStyle name="Pattern 3 4 2 59" xfId="24970" xr:uid="{00000000-0005-0000-0000-00008A610000}"/>
    <cellStyle name="Pattern 3 4 2 6" xfId="24971" xr:uid="{00000000-0005-0000-0000-00008B610000}"/>
    <cellStyle name="Pattern 3 4 2 60" xfId="24972" xr:uid="{00000000-0005-0000-0000-00008C610000}"/>
    <cellStyle name="Pattern 3 4 2 61" xfId="24973" xr:uid="{00000000-0005-0000-0000-00008D610000}"/>
    <cellStyle name="Pattern 3 4 2 62" xfId="24974" xr:uid="{00000000-0005-0000-0000-00008E610000}"/>
    <cellStyle name="Pattern 3 4 2 63" xfId="24975" xr:uid="{00000000-0005-0000-0000-00008F610000}"/>
    <cellStyle name="Pattern 3 4 2 64" xfId="24976" xr:uid="{00000000-0005-0000-0000-000090610000}"/>
    <cellStyle name="Pattern 3 4 2 65" xfId="24977" xr:uid="{00000000-0005-0000-0000-000091610000}"/>
    <cellStyle name="Pattern 3 4 2 7" xfId="24978" xr:uid="{00000000-0005-0000-0000-000092610000}"/>
    <cellStyle name="Pattern 3 4 2 8" xfId="24979" xr:uid="{00000000-0005-0000-0000-000093610000}"/>
    <cellStyle name="Pattern 3 4 2 9" xfId="24980" xr:uid="{00000000-0005-0000-0000-000094610000}"/>
    <cellStyle name="Pattern 3 4 20" xfId="24981" xr:uid="{00000000-0005-0000-0000-000095610000}"/>
    <cellStyle name="Pattern 3 4 21" xfId="24982" xr:uid="{00000000-0005-0000-0000-000096610000}"/>
    <cellStyle name="Pattern 3 4 22" xfId="24983" xr:uid="{00000000-0005-0000-0000-000097610000}"/>
    <cellStyle name="Pattern 3 4 23" xfId="24984" xr:uid="{00000000-0005-0000-0000-000098610000}"/>
    <cellStyle name="Pattern 3 4 24" xfId="24985" xr:uid="{00000000-0005-0000-0000-000099610000}"/>
    <cellStyle name="Pattern 3 4 25" xfId="24986" xr:uid="{00000000-0005-0000-0000-00009A610000}"/>
    <cellStyle name="Pattern 3 4 26" xfId="24987" xr:uid="{00000000-0005-0000-0000-00009B610000}"/>
    <cellStyle name="Pattern 3 4 27" xfId="24988" xr:uid="{00000000-0005-0000-0000-00009C610000}"/>
    <cellStyle name="Pattern 3 4 28" xfId="24989" xr:uid="{00000000-0005-0000-0000-00009D610000}"/>
    <cellStyle name="Pattern 3 4 29" xfId="24990" xr:uid="{00000000-0005-0000-0000-00009E610000}"/>
    <cellStyle name="Pattern 3 4 3" xfId="24991" xr:uid="{00000000-0005-0000-0000-00009F610000}"/>
    <cellStyle name="Pattern 3 4 30" xfId="24992" xr:uid="{00000000-0005-0000-0000-0000A0610000}"/>
    <cellStyle name="Pattern 3 4 31" xfId="24993" xr:uid="{00000000-0005-0000-0000-0000A1610000}"/>
    <cellStyle name="Pattern 3 4 32" xfId="24994" xr:uid="{00000000-0005-0000-0000-0000A2610000}"/>
    <cellStyle name="Pattern 3 4 33" xfId="24995" xr:uid="{00000000-0005-0000-0000-0000A3610000}"/>
    <cellStyle name="Pattern 3 4 34" xfId="24996" xr:uid="{00000000-0005-0000-0000-0000A4610000}"/>
    <cellStyle name="Pattern 3 4 35" xfId="24997" xr:uid="{00000000-0005-0000-0000-0000A5610000}"/>
    <cellStyle name="Pattern 3 4 36" xfId="24998" xr:uid="{00000000-0005-0000-0000-0000A6610000}"/>
    <cellStyle name="Pattern 3 4 37" xfId="24999" xr:uid="{00000000-0005-0000-0000-0000A7610000}"/>
    <cellStyle name="Pattern 3 4 38" xfId="25000" xr:uid="{00000000-0005-0000-0000-0000A8610000}"/>
    <cellStyle name="Pattern 3 4 39" xfId="25001" xr:uid="{00000000-0005-0000-0000-0000A9610000}"/>
    <cellStyle name="Pattern 3 4 4" xfId="25002" xr:uid="{00000000-0005-0000-0000-0000AA610000}"/>
    <cellStyle name="Pattern 3 4 40" xfId="25003" xr:uid="{00000000-0005-0000-0000-0000AB610000}"/>
    <cellStyle name="Pattern 3 4 41" xfId="25004" xr:uid="{00000000-0005-0000-0000-0000AC610000}"/>
    <cellStyle name="Pattern 3 4 42" xfId="25005" xr:uid="{00000000-0005-0000-0000-0000AD610000}"/>
    <cellStyle name="Pattern 3 4 43" xfId="25006" xr:uid="{00000000-0005-0000-0000-0000AE610000}"/>
    <cellStyle name="Pattern 3 4 44" xfId="25007" xr:uid="{00000000-0005-0000-0000-0000AF610000}"/>
    <cellStyle name="Pattern 3 4 45" xfId="25008" xr:uid="{00000000-0005-0000-0000-0000B0610000}"/>
    <cellStyle name="Pattern 3 4 46" xfId="25009" xr:uid="{00000000-0005-0000-0000-0000B1610000}"/>
    <cellStyle name="Pattern 3 4 47" xfId="25010" xr:uid="{00000000-0005-0000-0000-0000B2610000}"/>
    <cellStyle name="Pattern 3 4 48" xfId="25011" xr:uid="{00000000-0005-0000-0000-0000B3610000}"/>
    <cellStyle name="Pattern 3 4 49" xfId="25012" xr:uid="{00000000-0005-0000-0000-0000B4610000}"/>
    <cellStyle name="Pattern 3 4 5" xfId="25013" xr:uid="{00000000-0005-0000-0000-0000B5610000}"/>
    <cellStyle name="Pattern 3 4 50" xfId="25014" xr:uid="{00000000-0005-0000-0000-0000B6610000}"/>
    <cellStyle name="Pattern 3 4 51" xfId="25015" xr:uid="{00000000-0005-0000-0000-0000B7610000}"/>
    <cellStyle name="Pattern 3 4 52" xfId="25016" xr:uid="{00000000-0005-0000-0000-0000B8610000}"/>
    <cellStyle name="Pattern 3 4 53" xfId="25017" xr:uid="{00000000-0005-0000-0000-0000B9610000}"/>
    <cellStyle name="Pattern 3 4 54" xfId="25018" xr:uid="{00000000-0005-0000-0000-0000BA610000}"/>
    <cellStyle name="Pattern 3 4 55" xfId="25019" xr:uid="{00000000-0005-0000-0000-0000BB610000}"/>
    <cellStyle name="Pattern 3 4 56" xfId="25020" xr:uid="{00000000-0005-0000-0000-0000BC610000}"/>
    <cellStyle name="Pattern 3 4 57" xfId="25021" xr:uid="{00000000-0005-0000-0000-0000BD610000}"/>
    <cellStyle name="Pattern 3 4 58" xfId="25022" xr:uid="{00000000-0005-0000-0000-0000BE610000}"/>
    <cellStyle name="Pattern 3 4 59" xfId="25023" xr:uid="{00000000-0005-0000-0000-0000BF610000}"/>
    <cellStyle name="Pattern 3 4 6" xfId="25024" xr:uid="{00000000-0005-0000-0000-0000C0610000}"/>
    <cellStyle name="Pattern 3 4 60" xfId="25025" xr:uid="{00000000-0005-0000-0000-0000C1610000}"/>
    <cellStyle name="Pattern 3 4 61" xfId="25026" xr:uid="{00000000-0005-0000-0000-0000C2610000}"/>
    <cellStyle name="Pattern 3 4 62" xfId="25027" xr:uid="{00000000-0005-0000-0000-0000C3610000}"/>
    <cellStyle name="Pattern 3 4 63" xfId="25028" xr:uid="{00000000-0005-0000-0000-0000C4610000}"/>
    <cellStyle name="Pattern 3 4 64" xfId="25029" xr:uid="{00000000-0005-0000-0000-0000C5610000}"/>
    <cellStyle name="Pattern 3 4 65" xfId="25030" xr:uid="{00000000-0005-0000-0000-0000C6610000}"/>
    <cellStyle name="Pattern 3 4 66" xfId="25031" xr:uid="{00000000-0005-0000-0000-0000C7610000}"/>
    <cellStyle name="Pattern 3 4 7" xfId="25032" xr:uid="{00000000-0005-0000-0000-0000C8610000}"/>
    <cellStyle name="Pattern 3 4 8" xfId="25033" xr:uid="{00000000-0005-0000-0000-0000C9610000}"/>
    <cellStyle name="Pattern 3 4 9" xfId="25034" xr:uid="{00000000-0005-0000-0000-0000CA610000}"/>
    <cellStyle name="Pattern 3 40" xfId="25035" xr:uid="{00000000-0005-0000-0000-0000CB610000}"/>
    <cellStyle name="Pattern 3 41" xfId="25036" xr:uid="{00000000-0005-0000-0000-0000CC610000}"/>
    <cellStyle name="Pattern 3 42" xfId="25037" xr:uid="{00000000-0005-0000-0000-0000CD610000}"/>
    <cellStyle name="Pattern 3 43" xfId="25038" xr:uid="{00000000-0005-0000-0000-0000CE610000}"/>
    <cellStyle name="Pattern 3 44" xfId="25039" xr:uid="{00000000-0005-0000-0000-0000CF610000}"/>
    <cellStyle name="Pattern 3 45" xfId="25040" xr:uid="{00000000-0005-0000-0000-0000D0610000}"/>
    <cellStyle name="Pattern 3 46" xfId="25041" xr:uid="{00000000-0005-0000-0000-0000D1610000}"/>
    <cellStyle name="Pattern 3 47" xfId="25042" xr:uid="{00000000-0005-0000-0000-0000D2610000}"/>
    <cellStyle name="Pattern 3 48" xfId="25043" xr:uid="{00000000-0005-0000-0000-0000D3610000}"/>
    <cellStyle name="Pattern 3 49" xfId="25044" xr:uid="{00000000-0005-0000-0000-0000D4610000}"/>
    <cellStyle name="Pattern 3 5" xfId="25045" xr:uid="{00000000-0005-0000-0000-0000D5610000}"/>
    <cellStyle name="Pattern 3 50" xfId="25046" xr:uid="{00000000-0005-0000-0000-0000D6610000}"/>
    <cellStyle name="Pattern 3 51" xfId="25047" xr:uid="{00000000-0005-0000-0000-0000D7610000}"/>
    <cellStyle name="Pattern 3 52" xfId="25048" xr:uid="{00000000-0005-0000-0000-0000D8610000}"/>
    <cellStyle name="Pattern 3 53" xfId="25049" xr:uid="{00000000-0005-0000-0000-0000D9610000}"/>
    <cellStyle name="Pattern 3 54" xfId="25050" xr:uid="{00000000-0005-0000-0000-0000DA610000}"/>
    <cellStyle name="Pattern 3 55" xfId="25051" xr:uid="{00000000-0005-0000-0000-0000DB610000}"/>
    <cellStyle name="Pattern 3 56" xfId="25052" xr:uid="{00000000-0005-0000-0000-0000DC610000}"/>
    <cellStyle name="Pattern 3 57" xfId="25053" xr:uid="{00000000-0005-0000-0000-0000DD610000}"/>
    <cellStyle name="Pattern 3 58" xfId="25054" xr:uid="{00000000-0005-0000-0000-0000DE610000}"/>
    <cellStyle name="Pattern 3 59" xfId="25055" xr:uid="{00000000-0005-0000-0000-0000DF610000}"/>
    <cellStyle name="Pattern 3 6" xfId="25056" xr:uid="{00000000-0005-0000-0000-0000E0610000}"/>
    <cellStyle name="Pattern 3 60" xfId="25057" xr:uid="{00000000-0005-0000-0000-0000E1610000}"/>
    <cellStyle name="Pattern 3 61" xfId="25058" xr:uid="{00000000-0005-0000-0000-0000E2610000}"/>
    <cellStyle name="Pattern 3 62" xfId="25059" xr:uid="{00000000-0005-0000-0000-0000E3610000}"/>
    <cellStyle name="Pattern 3 63" xfId="25060" xr:uid="{00000000-0005-0000-0000-0000E4610000}"/>
    <cellStyle name="Pattern 3 64" xfId="25061" xr:uid="{00000000-0005-0000-0000-0000E5610000}"/>
    <cellStyle name="Pattern 3 65" xfId="25062" xr:uid="{00000000-0005-0000-0000-0000E6610000}"/>
    <cellStyle name="Pattern 3 66" xfId="25063" xr:uid="{00000000-0005-0000-0000-0000E7610000}"/>
    <cellStyle name="Pattern 3 67" xfId="25064" xr:uid="{00000000-0005-0000-0000-0000E8610000}"/>
    <cellStyle name="Pattern 3 68" xfId="25065" xr:uid="{00000000-0005-0000-0000-0000E9610000}"/>
    <cellStyle name="Pattern 3 7" xfId="25066" xr:uid="{00000000-0005-0000-0000-0000EA610000}"/>
    <cellStyle name="Pattern 3 8" xfId="25067" xr:uid="{00000000-0005-0000-0000-0000EB610000}"/>
    <cellStyle name="Pattern 3 9" xfId="25068" xr:uid="{00000000-0005-0000-0000-0000EC610000}"/>
    <cellStyle name="Percent 2" xfId="25069" xr:uid="{00000000-0005-0000-0000-0000ED610000}"/>
    <cellStyle name="Percent 2 2" xfId="25070" xr:uid="{00000000-0005-0000-0000-0000EE610000}"/>
    <cellStyle name="Percent 2 2 2" xfId="25071" xr:uid="{00000000-0005-0000-0000-0000EF610000}"/>
    <cellStyle name="Percent 2 3" xfId="25072" xr:uid="{00000000-0005-0000-0000-0000F0610000}"/>
    <cellStyle name="RowLevel_1 2" xfId="25073" xr:uid="{00000000-0005-0000-0000-0000F1610000}"/>
    <cellStyle name="Schlecht" xfId="25074" xr:uid="{00000000-0005-0000-0000-0000F2610000}"/>
    <cellStyle name="Shade" xfId="25075" xr:uid="{00000000-0005-0000-0000-0000F3610000}"/>
    <cellStyle name="Shade 2" xfId="25076" xr:uid="{00000000-0005-0000-0000-0000F4610000}"/>
    <cellStyle name="Shade 2 2" xfId="25077" xr:uid="{00000000-0005-0000-0000-0000F5610000}"/>
    <cellStyle name="Shade 2 2 2" xfId="25078" xr:uid="{00000000-0005-0000-0000-0000F6610000}"/>
    <cellStyle name="Shade 2 2 2 10" xfId="25079" xr:uid="{00000000-0005-0000-0000-0000F7610000}"/>
    <cellStyle name="Shade 2 2 2 11" xfId="25080" xr:uid="{00000000-0005-0000-0000-0000F8610000}"/>
    <cellStyle name="Shade 2 2 2 12" xfId="25081" xr:uid="{00000000-0005-0000-0000-0000F9610000}"/>
    <cellStyle name="Shade 2 2 2 13" xfId="25082" xr:uid="{00000000-0005-0000-0000-0000FA610000}"/>
    <cellStyle name="Shade 2 2 2 14" xfId="25083" xr:uid="{00000000-0005-0000-0000-0000FB610000}"/>
    <cellStyle name="Shade 2 2 2 15" xfId="25084" xr:uid="{00000000-0005-0000-0000-0000FC610000}"/>
    <cellStyle name="Shade 2 2 2 16" xfId="25085" xr:uid="{00000000-0005-0000-0000-0000FD610000}"/>
    <cellStyle name="Shade 2 2 2 17" xfId="25086" xr:uid="{00000000-0005-0000-0000-0000FE610000}"/>
    <cellStyle name="Shade 2 2 2 18" xfId="25087" xr:uid="{00000000-0005-0000-0000-0000FF610000}"/>
    <cellStyle name="Shade 2 2 2 19" xfId="25088" xr:uid="{00000000-0005-0000-0000-000000620000}"/>
    <cellStyle name="Shade 2 2 2 2" xfId="25089" xr:uid="{00000000-0005-0000-0000-000001620000}"/>
    <cellStyle name="Shade 2 2 2 2 10" xfId="25090" xr:uid="{00000000-0005-0000-0000-000002620000}"/>
    <cellStyle name="Shade 2 2 2 2 11" xfId="25091" xr:uid="{00000000-0005-0000-0000-000003620000}"/>
    <cellStyle name="Shade 2 2 2 2 12" xfId="25092" xr:uid="{00000000-0005-0000-0000-000004620000}"/>
    <cellStyle name="Shade 2 2 2 2 13" xfId="25093" xr:uid="{00000000-0005-0000-0000-000005620000}"/>
    <cellStyle name="Shade 2 2 2 2 14" xfId="25094" xr:uid="{00000000-0005-0000-0000-000006620000}"/>
    <cellStyle name="Shade 2 2 2 2 15" xfId="25095" xr:uid="{00000000-0005-0000-0000-000007620000}"/>
    <cellStyle name="Shade 2 2 2 2 16" xfId="25096" xr:uid="{00000000-0005-0000-0000-000008620000}"/>
    <cellStyle name="Shade 2 2 2 2 17" xfId="25097" xr:uid="{00000000-0005-0000-0000-000009620000}"/>
    <cellStyle name="Shade 2 2 2 2 18" xfId="25098" xr:uid="{00000000-0005-0000-0000-00000A620000}"/>
    <cellStyle name="Shade 2 2 2 2 19" xfId="25099" xr:uid="{00000000-0005-0000-0000-00000B620000}"/>
    <cellStyle name="Shade 2 2 2 2 2" xfId="25100" xr:uid="{00000000-0005-0000-0000-00000C620000}"/>
    <cellStyle name="Shade 2 2 2 2 20" xfId="25101" xr:uid="{00000000-0005-0000-0000-00000D620000}"/>
    <cellStyle name="Shade 2 2 2 2 21" xfId="25102" xr:uid="{00000000-0005-0000-0000-00000E620000}"/>
    <cellStyle name="Shade 2 2 2 2 22" xfId="25103" xr:uid="{00000000-0005-0000-0000-00000F620000}"/>
    <cellStyle name="Shade 2 2 2 2 23" xfId="25104" xr:uid="{00000000-0005-0000-0000-000010620000}"/>
    <cellStyle name="Shade 2 2 2 2 24" xfId="25105" xr:uid="{00000000-0005-0000-0000-000011620000}"/>
    <cellStyle name="Shade 2 2 2 2 25" xfId="25106" xr:uid="{00000000-0005-0000-0000-000012620000}"/>
    <cellStyle name="Shade 2 2 2 2 26" xfId="25107" xr:uid="{00000000-0005-0000-0000-000013620000}"/>
    <cellStyle name="Shade 2 2 2 2 27" xfId="25108" xr:uid="{00000000-0005-0000-0000-000014620000}"/>
    <cellStyle name="Shade 2 2 2 2 28" xfId="25109" xr:uid="{00000000-0005-0000-0000-000015620000}"/>
    <cellStyle name="Shade 2 2 2 2 29" xfId="25110" xr:uid="{00000000-0005-0000-0000-000016620000}"/>
    <cellStyle name="Shade 2 2 2 2 3" xfId="25111" xr:uid="{00000000-0005-0000-0000-000017620000}"/>
    <cellStyle name="Shade 2 2 2 2 30" xfId="25112" xr:uid="{00000000-0005-0000-0000-000018620000}"/>
    <cellStyle name="Shade 2 2 2 2 31" xfId="25113" xr:uid="{00000000-0005-0000-0000-000019620000}"/>
    <cellStyle name="Shade 2 2 2 2 32" xfId="25114" xr:uid="{00000000-0005-0000-0000-00001A620000}"/>
    <cellStyle name="Shade 2 2 2 2 33" xfId="25115" xr:uid="{00000000-0005-0000-0000-00001B620000}"/>
    <cellStyle name="Shade 2 2 2 2 34" xfId="25116" xr:uid="{00000000-0005-0000-0000-00001C620000}"/>
    <cellStyle name="Shade 2 2 2 2 35" xfId="25117" xr:uid="{00000000-0005-0000-0000-00001D620000}"/>
    <cellStyle name="Shade 2 2 2 2 36" xfId="25118" xr:uid="{00000000-0005-0000-0000-00001E620000}"/>
    <cellStyle name="Shade 2 2 2 2 37" xfId="25119" xr:uid="{00000000-0005-0000-0000-00001F620000}"/>
    <cellStyle name="Shade 2 2 2 2 38" xfId="25120" xr:uid="{00000000-0005-0000-0000-000020620000}"/>
    <cellStyle name="Shade 2 2 2 2 39" xfId="25121" xr:uid="{00000000-0005-0000-0000-000021620000}"/>
    <cellStyle name="Shade 2 2 2 2 4" xfId="25122" xr:uid="{00000000-0005-0000-0000-000022620000}"/>
    <cellStyle name="Shade 2 2 2 2 40" xfId="25123" xr:uid="{00000000-0005-0000-0000-000023620000}"/>
    <cellStyle name="Shade 2 2 2 2 41" xfId="25124" xr:uid="{00000000-0005-0000-0000-000024620000}"/>
    <cellStyle name="Shade 2 2 2 2 42" xfId="25125" xr:uid="{00000000-0005-0000-0000-000025620000}"/>
    <cellStyle name="Shade 2 2 2 2 43" xfId="25126" xr:uid="{00000000-0005-0000-0000-000026620000}"/>
    <cellStyle name="Shade 2 2 2 2 44" xfId="25127" xr:uid="{00000000-0005-0000-0000-000027620000}"/>
    <cellStyle name="Shade 2 2 2 2 45" xfId="25128" xr:uid="{00000000-0005-0000-0000-000028620000}"/>
    <cellStyle name="Shade 2 2 2 2 46" xfId="25129" xr:uid="{00000000-0005-0000-0000-000029620000}"/>
    <cellStyle name="Shade 2 2 2 2 47" xfId="25130" xr:uid="{00000000-0005-0000-0000-00002A620000}"/>
    <cellStyle name="Shade 2 2 2 2 48" xfId="25131" xr:uid="{00000000-0005-0000-0000-00002B620000}"/>
    <cellStyle name="Shade 2 2 2 2 49" xfId="25132" xr:uid="{00000000-0005-0000-0000-00002C620000}"/>
    <cellStyle name="Shade 2 2 2 2 5" xfId="25133" xr:uid="{00000000-0005-0000-0000-00002D620000}"/>
    <cellStyle name="Shade 2 2 2 2 50" xfId="25134" xr:uid="{00000000-0005-0000-0000-00002E620000}"/>
    <cellStyle name="Shade 2 2 2 2 51" xfId="25135" xr:uid="{00000000-0005-0000-0000-00002F620000}"/>
    <cellStyle name="Shade 2 2 2 2 52" xfId="25136" xr:uid="{00000000-0005-0000-0000-000030620000}"/>
    <cellStyle name="Shade 2 2 2 2 53" xfId="25137" xr:uid="{00000000-0005-0000-0000-000031620000}"/>
    <cellStyle name="Shade 2 2 2 2 54" xfId="25138" xr:uid="{00000000-0005-0000-0000-000032620000}"/>
    <cellStyle name="Shade 2 2 2 2 55" xfId="25139" xr:uid="{00000000-0005-0000-0000-000033620000}"/>
    <cellStyle name="Shade 2 2 2 2 56" xfId="25140" xr:uid="{00000000-0005-0000-0000-000034620000}"/>
    <cellStyle name="Shade 2 2 2 2 57" xfId="25141" xr:uid="{00000000-0005-0000-0000-000035620000}"/>
    <cellStyle name="Shade 2 2 2 2 58" xfId="25142" xr:uid="{00000000-0005-0000-0000-000036620000}"/>
    <cellStyle name="Shade 2 2 2 2 59" xfId="25143" xr:uid="{00000000-0005-0000-0000-000037620000}"/>
    <cellStyle name="Shade 2 2 2 2 6" xfId="25144" xr:uid="{00000000-0005-0000-0000-000038620000}"/>
    <cellStyle name="Shade 2 2 2 2 60" xfId="25145" xr:uid="{00000000-0005-0000-0000-000039620000}"/>
    <cellStyle name="Shade 2 2 2 2 61" xfId="25146" xr:uid="{00000000-0005-0000-0000-00003A620000}"/>
    <cellStyle name="Shade 2 2 2 2 62" xfId="25147" xr:uid="{00000000-0005-0000-0000-00003B620000}"/>
    <cellStyle name="Shade 2 2 2 2 63" xfId="25148" xr:uid="{00000000-0005-0000-0000-00003C620000}"/>
    <cellStyle name="Shade 2 2 2 2 64" xfId="25149" xr:uid="{00000000-0005-0000-0000-00003D620000}"/>
    <cellStyle name="Shade 2 2 2 2 65" xfId="25150" xr:uid="{00000000-0005-0000-0000-00003E620000}"/>
    <cellStyle name="Shade 2 2 2 2 7" xfId="25151" xr:uid="{00000000-0005-0000-0000-00003F620000}"/>
    <cellStyle name="Shade 2 2 2 2 8" xfId="25152" xr:uid="{00000000-0005-0000-0000-000040620000}"/>
    <cellStyle name="Shade 2 2 2 2 9" xfId="25153" xr:uid="{00000000-0005-0000-0000-000041620000}"/>
    <cellStyle name="Shade 2 2 2 20" xfId="25154" xr:uid="{00000000-0005-0000-0000-000042620000}"/>
    <cellStyle name="Shade 2 2 2 21" xfId="25155" xr:uid="{00000000-0005-0000-0000-000043620000}"/>
    <cellStyle name="Shade 2 2 2 22" xfId="25156" xr:uid="{00000000-0005-0000-0000-000044620000}"/>
    <cellStyle name="Shade 2 2 2 23" xfId="25157" xr:uid="{00000000-0005-0000-0000-000045620000}"/>
    <cellStyle name="Shade 2 2 2 24" xfId="25158" xr:uid="{00000000-0005-0000-0000-000046620000}"/>
    <cellStyle name="Shade 2 2 2 25" xfId="25159" xr:uid="{00000000-0005-0000-0000-000047620000}"/>
    <cellStyle name="Shade 2 2 2 26" xfId="25160" xr:uid="{00000000-0005-0000-0000-000048620000}"/>
    <cellStyle name="Shade 2 2 2 27" xfId="25161" xr:uid="{00000000-0005-0000-0000-000049620000}"/>
    <cellStyle name="Shade 2 2 2 28" xfId="25162" xr:uid="{00000000-0005-0000-0000-00004A620000}"/>
    <cellStyle name="Shade 2 2 2 29" xfId="25163" xr:uid="{00000000-0005-0000-0000-00004B620000}"/>
    <cellStyle name="Shade 2 2 2 3" xfId="25164" xr:uid="{00000000-0005-0000-0000-00004C620000}"/>
    <cellStyle name="Shade 2 2 2 30" xfId="25165" xr:uid="{00000000-0005-0000-0000-00004D620000}"/>
    <cellStyle name="Shade 2 2 2 31" xfId="25166" xr:uid="{00000000-0005-0000-0000-00004E620000}"/>
    <cellStyle name="Shade 2 2 2 32" xfId="25167" xr:uid="{00000000-0005-0000-0000-00004F620000}"/>
    <cellStyle name="Shade 2 2 2 33" xfId="25168" xr:uid="{00000000-0005-0000-0000-000050620000}"/>
    <cellStyle name="Shade 2 2 2 34" xfId="25169" xr:uid="{00000000-0005-0000-0000-000051620000}"/>
    <cellStyle name="Shade 2 2 2 35" xfId="25170" xr:uid="{00000000-0005-0000-0000-000052620000}"/>
    <cellStyle name="Shade 2 2 2 36" xfId="25171" xr:uid="{00000000-0005-0000-0000-000053620000}"/>
    <cellStyle name="Shade 2 2 2 37" xfId="25172" xr:uid="{00000000-0005-0000-0000-000054620000}"/>
    <cellStyle name="Shade 2 2 2 38" xfId="25173" xr:uid="{00000000-0005-0000-0000-000055620000}"/>
    <cellStyle name="Shade 2 2 2 39" xfId="25174" xr:uid="{00000000-0005-0000-0000-000056620000}"/>
    <cellStyle name="Shade 2 2 2 4" xfId="25175" xr:uid="{00000000-0005-0000-0000-000057620000}"/>
    <cellStyle name="Shade 2 2 2 40" xfId="25176" xr:uid="{00000000-0005-0000-0000-000058620000}"/>
    <cellStyle name="Shade 2 2 2 41" xfId="25177" xr:uid="{00000000-0005-0000-0000-000059620000}"/>
    <cellStyle name="Shade 2 2 2 42" xfId="25178" xr:uid="{00000000-0005-0000-0000-00005A620000}"/>
    <cellStyle name="Shade 2 2 2 43" xfId="25179" xr:uid="{00000000-0005-0000-0000-00005B620000}"/>
    <cellStyle name="Shade 2 2 2 44" xfId="25180" xr:uid="{00000000-0005-0000-0000-00005C620000}"/>
    <cellStyle name="Shade 2 2 2 45" xfId="25181" xr:uid="{00000000-0005-0000-0000-00005D620000}"/>
    <cellStyle name="Shade 2 2 2 46" xfId="25182" xr:uid="{00000000-0005-0000-0000-00005E620000}"/>
    <cellStyle name="Shade 2 2 2 47" xfId="25183" xr:uid="{00000000-0005-0000-0000-00005F620000}"/>
    <cellStyle name="Shade 2 2 2 48" xfId="25184" xr:uid="{00000000-0005-0000-0000-000060620000}"/>
    <cellStyle name="Shade 2 2 2 49" xfId="25185" xr:uid="{00000000-0005-0000-0000-000061620000}"/>
    <cellStyle name="Shade 2 2 2 5" xfId="25186" xr:uid="{00000000-0005-0000-0000-000062620000}"/>
    <cellStyle name="Shade 2 2 2 50" xfId="25187" xr:uid="{00000000-0005-0000-0000-000063620000}"/>
    <cellStyle name="Shade 2 2 2 51" xfId="25188" xr:uid="{00000000-0005-0000-0000-000064620000}"/>
    <cellStyle name="Shade 2 2 2 52" xfId="25189" xr:uid="{00000000-0005-0000-0000-000065620000}"/>
    <cellStyle name="Shade 2 2 2 53" xfId="25190" xr:uid="{00000000-0005-0000-0000-000066620000}"/>
    <cellStyle name="Shade 2 2 2 54" xfId="25191" xr:uid="{00000000-0005-0000-0000-000067620000}"/>
    <cellStyle name="Shade 2 2 2 55" xfId="25192" xr:uid="{00000000-0005-0000-0000-000068620000}"/>
    <cellStyle name="Shade 2 2 2 56" xfId="25193" xr:uid="{00000000-0005-0000-0000-000069620000}"/>
    <cellStyle name="Shade 2 2 2 57" xfId="25194" xr:uid="{00000000-0005-0000-0000-00006A620000}"/>
    <cellStyle name="Shade 2 2 2 58" xfId="25195" xr:uid="{00000000-0005-0000-0000-00006B620000}"/>
    <cellStyle name="Shade 2 2 2 59" xfId="25196" xr:uid="{00000000-0005-0000-0000-00006C620000}"/>
    <cellStyle name="Shade 2 2 2 6" xfId="25197" xr:uid="{00000000-0005-0000-0000-00006D620000}"/>
    <cellStyle name="Shade 2 2 2 60" xfId="25198" xr:uid="{00000000-0005-0000-0000-00006E620000}"/>
    <cellStyle name="Shade 2 2 2 61" xfId="25199" xr:uid="{00000000-0005-0000-0000-00006F620000}"/>
    <cellStyle name="Shade 2 2 2 62" xfId="25200" xr:uid="{00000000-0005-0000-0000-000070620000}"/>
    <cellStyle name="Shade 2 2 2 63" xfId="25201" xr:uid="{00000000-0005-0000-0000-000071620000}"/>
    <cellStyle name="Shade 2 2 2 64" xfId="25202" xr:uid="{00000000-0005-0000-0000-000072620000}"/>
    <cellStyle name="Shade 2 2 2 65" xfId="25203" xr:uid="{00000000-0005-0000-0000-000073620000}"/>
    <cellStyle name="Shade 2 2 2 66" xfId="25204" xr:uid="{00000000-0005-0000-0000-000074620000}"/>
    <cellStyle name="Shade 2 2 2 7" xfId="25205" xr:uid="{00000000-0005-0000-0000-000075620000}"/>
    <cellStyle name="Shade 2 2 2 8" xfId="25206" xr:uid="{00000000-0005-0000-0000-000076620000}"/>
    <cellStyle name="Shade 2 2 2 9" xfId="25207" xr:uid="{00000000-0005-0000-0000-000077620000}"/>
    <cellStyle name="Shade 2 2 3" xfId="25208" xr:uid="{00000000-0005-0000-0000-000078620000}"/>
    <cellStyle name="Shade 2 2 3 10" xfId="25209" xr:uid="{00000000-0005-0000-0000-000079620000}"/>
    <cellStyle name="Shade 2 2 3 11" xfId="25210" xr:uid="{00000000-0005-0000-0000-00007A620000}"/>
    <cellStyle name="Shade 2 2 3 12" xfId="25211" xr:uid="{00000000-0005-0000-0000-00007B620000}"/>
    <cellStyle name="Shade 2 2 3 13" xfId="25212" xr:uid="{00000000-0005-0000-0000-00007C620000}"/>
    <cellStyle name="Shade 2 2 3 14" xfId="25213" xr:uid="{00000000-0005-0000-0000-00007D620000}"/>
    <cellStyle name="Shade 2 2 3 15" xfId="25214" xr:uid="{00000000-0005-0000-0000-00007E620000}"/>
    <cellStyle name="Shade 2 2 3 16" xfId="25215" xr:uid="{00000000-0005-0000-0000-00007F620000}"/>
    <cellStyle name="Shade 2 2 3 17" xfId="25216" xr:uid="{00000000-0005-0000-0000-000080620000}"/>
    <cellStyle name="Shade 2 2 3 18" xfId="25217" xr:uid="{00000000-0005-0000-0000-000081620000}"/>
    <cellStyle name="Shade 2 2 3 19" xfId="25218" xr:uid="{00000000-0005-0000-0000-000082620000}"/>
    <cellStyle name="Shade 2 2 3 2" xfId="25219" xr:uid="{00000000-0005-0000-0000-000083620000}"/>
    <cellStyle name="Shade 2 2 3 20" xfId="25220" xr:uid="{00000000-0005-0000-0000-000084620000}"/>
    <cellStyle name="Shade 2 2 3 21" xfId="25221" xr:uid="{00000000-0005-0000-0000-000085620000}"/>
    <cellStyle name="Shade 2 2 3 22" xfId="25222" xr:uid="{00000000-0005-0000-0000-000086620000}"/>
    <cellStyle name="Shade 2 2 3 23" xfId="25223" xr:uid="{00000000-0005-0000-0000-000087620000}"/>
    <cellStyle name="Shade 2 2 3 24" xfId="25224" xr:uid="{00000000-0005-0000-0000-000088620000}"/>
    <cellStyle name="Shade 2 2 3 25" xfId="25225" xr:uid="{00000000-0005-0000-0000-000089620000}"/>
    <cellStyle name="Shade 2 2 3 26" xfId="25226" xr:uid="{00000000-0005-0000-0000-00008A620000}"/>
    <cellStyle name="Shade 2 2 3 27" xfId="25227" xr:uid="{00000000-0005-0000-0000-00008B620000}"/>
    <cellStyle name="Shade 2 2 3 28" xfId="25228" xr:uid="{00000000-0005-0000-0000-00008C620000}"/>
    <cellStyle name="Shade 2 2 3 29" xfId="25229" xr:uid="{00000000-0005-0000-0000-00008D620000}"/>
    <cellStyle name="Shade 2 2 3 3" xfId="25230" xr:uid="{00000000-0005-0000-0000-00008E620000}"/>
    <cellStyle name="Shade 2 2 3 30" xfId="25231" xr:uid="{00000000-0005-0000-0000-00008F620000}"/>
    <cellStyle name="Shade 2 2 3 31" xfId="25232" xr:uid="{00000000-0005-0000-0000-000090620000}"/>
    <cellStyle name="Shade 2 2 3 32" xfId="25233" xr:uid="{00000000-0005-0000-0000-000091620000}"/>
    <cellStyle name="Shade 2 2 3 33" xfId="25234" xr:uid="{00000000-0005-0000-0000-000092620000}"/>
    <cellStyle name="Shade 2 2 3 34" xfId="25235" xr:uid="{00000000-0005-0000-0000-000093620000}"/>
    <cellStyle name="Shade 2 2 3 35" xfId="25236" xr:uid="{00000000-0005-0000-0000-000094620000}"/>
    <cellStyle name="Shade 2 2 3 36" xfId="25237" xr:uid="{00000000-0005-0000-0000-000095620000}"/>
    <cellStyle name="Shade 2 2 3 37" xfId="25238" xr:uid="{00000000-0005-0000-0000-000096620000}"/>
    <cellStyle name="Shade 2 2 3 38" xfId="25239" xr:uid="{00000000-0005-0000-0000-000097620000}"/>
    <cellStyle name="Shade 2 2 3 39" xfId="25240" xr:uid="{00000000-0005-0000-0000-000098620000}"/>
    <cellStyle name="Shade 2 2 3 4" xfId="25241" xr:uid="{00000000-0005-0000-0000-000099620000}"/>
    <cellStyle name="Shade 2 2 3 40" xfId="25242" xr:uid="{00000000-0005-0000-0000-00009A620000}"/>
    <cellStyle name="Shade 2 2 3 41" xfId="25243" xr:uid="{00000000-0005-0000-0000-00009B620000}"/>
    <cellStyle name="Shade 2 2 3 42" xfId="25244" xr:uid="{00000000-0005-0000-0000-00009C620000}"/>
    <cellStyle name="Shade 2 2 3 43" xfId="25245" xr:uid="{00000000-0005-0000-0000-00009D620000}"/>
    <cellStyle name="Shade 2 2 3 44" xfId="25246" xr:uid="{00000000-0005-0000-0000-00009E620000}"/>
    <cellStyle name="Shade 2 2 3 45" xfId="25247" xr:uid="{00000000-0005-0000-0000-00009F620000}"/>
    <cellStyle name="Shade 2 2 3 46" xfId="25248" xr:uid="{00000000-0005-0000-0000-0000A0620000}"/>
    <cellStyle name="Shade 2 2 3 47" xfId="25249" xr:uid="{00000000-0005-0000-0000-0000A1620000}"/>
    <cellStyle name="Shade 2 2 3 48" xfId="25250" xr:uid="{00000000-0005-0000-0000-0000A2620000}"/>
    <cellStyle name="Shade 2 2 3 49" xfId="25251" xr:uid="{00000000-0005-0000-0000-0000A3620000}"/>
    <cellStyle name="Shade 2 2 3 5" xfId="25252" xr:uid="{00000000-0005-0000-0000-0000A4620000}"/>
    <cellStyle name="Shade 2 2 3 50" xfId="25253" xr:uid="{00000000-0005-0000-0000-0000A5620000}"/>
    <cellStyle name="Shade 2 2 3 51" xfId="25254" xr:uid="{00000000-0005-0000-0000-0000A6620000}"/>
    <cellStyle name="Shade 2 2 3 52" xfId="25255" xr:uid="{00000000-0005-0000-0000-0000A7620000}"/>
    <cellStyle name="Shade 2 2 3 53" xfId="25256" xr:uid="{00000000-0005-0000-0000-0000A8620000}"/>
    <cellStyle name="Shade 2 2 3 54" xfId="25257" xr:uid="{00000000-0005-0000-0000-0000A9620000}"/>
    <cellStyle name="Shade 2 2 3 55" xfId="25258" xr:uid="{00000000-0005-0000-0000-0000AA620000}"/>
    <cellStyle name="Shade 2 2 3 56" xfId="25259" xr:uid="{00000000-0005-0000-0000-0000AB620000}"/>
    <cellStyle name="Shade 2 2 3 57" xfId="25260" xr:uid="{00000000-0005-0000-0000-0000AC620000}"/>
    <cellStyle name="Shade 2 2 3 58" xfId="25261" xr:uid="{00000000-0005-0000-0000-0000AD620000}"/>
    <cellStyle name="Shade 2 2 3 59" xfId="25262" xr:uid="{00000000-0005-0000-0000-0000AE620000}"/>
    <cellStyle name="Shade 2 2 3 6" xfId="25263" xr:uid="{00000000-0005-0000-0000-0000AF620000}"/>
    <cellStyle name="Shade 2 2 3 60" xfId="25264" xr:uid="{00000000-0005-0000-0000-0000B0620000}"/>
    <cellStyle name="Shade 2 2 3 61" xfId="25265" xr:uid="{00000000-0005-0000-0000-0000B1620000}"/>
    <cellStyle name="Shade 2 2 3 62" xfId="25266" xr:uid="{00000000-0005-0000-0000-0000B2620000}"/>
    <cellStyle name="Shade 2 2 3 63" xfId="25267" xr:uid="{00000000-0005-0000-0000-0000B3620000}"/>
    <cellStyle name="Shade 2 2 3 64" xfId="25268" xr:uid="{00000000-0005-0000-0000-0000B4620000}"/>
    <cellStyle name="Shade 2 2 3 65" xfId="25269" xr:uid="{00000000-0005-0000-0000-0000B5620000}"/>
    <cellStyle name="Shade 2 2 3 7" xfId="25270" xr:uid="{00000000-0005-0000-0000-0000B6620000}"/>
    <cellStyle name="Shade 2 2 3 8" xfId="25271" xr:uid="{00000000-0005-0000-0000-0000B7620000}"/>
    <cellStyle name="Shade 2 2 3 9" xfId="25272" xr:uid="{00000000-0005-0000-0000-0000B8620000}"/>
    <cellStyle name="Shade 2 3" xfId="25273" xr:uid="{00000000-0005-0000-0000-0000B9620000}"/>
    <cellStyle name="Shade 2 3 10" xfId="25274" xr:uid="{00000000-0005-0000-0000-0000BA620000}"/>
    <cellStyle name="Shade 2 3 11" xfId="25275" xr:uid="{00000000-0005-0000-0000-0000BB620000}"/>
    <cellStyle name="Shade 2 3 12" xfId="25276" xr:uid="{00000000-0005-0000-0000-0000BC620000}"/>
    <cellStyle name="Shade 2 3 13" xfId="25277" xr:uid="{00000000-0005-0000-0000-0000BD620000}"/>
    <cellStyle name="Shade 2 3 14" xfId="25278" xr:uid="{00000000-0005-0000-0000-0000BE620000}"/>
    <cellStyle name="Shade 2 3 15" xfId="25279" xr:uid="{00000000-0005-0000-0000-0000BF620000}"/>
    <cellStyle name="Shade 2 3 16" xfId="25280" xr:uid="{00000000-0005-0000-0000-0000C0620000}"/>
    <cellStyle name="Shade 2 3 17" xfId="25281" xr:uid="{00000000-0005-0000-0000-0000C1620000}"/>
    <cellStyle name="Shade 2 3 18" xfId="25282" xr:uid="{00000000-0005-0000-0000-0000C2620000}"/>
    <cellStyle name="Shade 2 3 19" xfId="25283" xr:uid="{00000000-0005-0000-0000-0000C3620000}"/>
    <cellStyle name="Shade 2 3 2" xfId="25284" xr:uid="{00000000-0005-0000-0000-0000C4620000}"/>
    <cellStyle name="Shade 2 3 2 10" xfId="25285" xr:uid="{00000000-0005-0000-0000-0000C5620000}"/>
    <cellStyle name="Shade 2 3 2 11" xfId="25286" xr:uid="{00000000-0005-0000-0000-0000C6620000}"/>
    <cellStyle name="Shade 2 3 2 12" xfId="25287" xr:uid="{00000000-0005-0000-0000-0000C7620000}"/>
    <cellStyle name="Shade 2 3 2 13" xfId="25288" xr:uid="{00000000-0005-0000-0000-0000C8620000}"/>
    <cellStyle name="Shade 2 3 2 14" xfId="25289" xr:uid="{00000000-0005-0000-0000-0000C9620000}"/>
    <cellStyle name="Shade 2 3 2 15" xfId="25290" xr:uid="{00000000-0005-0000-0000-0000CA620000}"/>
    <cellStyle name="Shade 2 3 2 16" xfId="25291" xr:uid="{00000000-0005-0000-0000-0000CB620000}"/>
    <cellStyle name="Shade 2 3 2 17" xfId="25292" xr:uid="{00000000-0005-0000-0000-0000CC620000}"/>
    <cellStyle name="Shade 2 3 2 18" xfId="25293" xr:uid="{00000000-0005-0000-0000-0000CD620000}"/>
    <cellStyle name="Shade 2 3 2 19" xfId="25294" xr:uid="{00000000-0005-0000-0000-0000CE620000}"/>
    <cellStyle name="Shade 2 3 2 2" xfId="25295" xr:uid="{00000000-0005-0000-0000-0000CF620000}"/>
    <cellStyle name="Shade 2 3 2 2 10" xfId="25296" xr:uid="{00000000-0005-0000-0000-0000D0620000}"/>
    <cellStyle name="Shade 2 3 2 2 11" xfId="25297" xr:uid="{00000000-0005-0000-0000-0000D1620000}"/>
    <cellStyle name="Shade 2 3 2 2 12" xfId="25298" xr:uid="{00000000-0005-0000-0000-0000D2620000}"/>
    <cellStyle name="Shade 2 3 2 2 13" xfId="25299" xr:uid="{00000000-0005-0000-0000-0000D3620000}"/>
    <cellStyle name="Shade 2 3 2 2 14" xfId="25300" xr:uid="{00000000-0005-0000-0000-0000D4620000}"/>
    <cellStyle name="Shade 2 3 2 2 15" xfId="25301" xr:uid="{00000000-0005-0000-0000-0000D5620000}"/>
    <cellStyle name="Shade 2 3 2 2 16" xfId="25302" xr:uid="{00000000-0005-0000-0000-0000D6620000}"/>
    <cellStyle name="Shade 2 3 2 2 17" xfId="25303" xr:uid="{00000000-0005-0000-0000-0000D7620000}"/>
    <cellStyle name="Shade 2 3 2 2 18" xfId="25304" xr:uid="{00000000-0005-0000-0000-0000D8620000}"/>
    <cellStyle name="Shade 2 3 2 2 19" xfId="25305" xr:uid="{00000000-0005-0000-0000-0000D9620000}"/>
    <cellStyle name="Shade 2 3 2 2 2" xfId="25306" xr:uid="{00000000-0005-0000-0000-0000DA620000}"/>
    <cellStyle name="Shade 2 3 2 2 20" xfId="25307" xr:uid="{00000000-0005-0000-0000-0000DB620000}"/>
    <cellStyle name="Shade 2 3 2 2 21" xfId="25308" xr:uid="{00000000-0005-0000-0000-0000DC620000}"/>
    <cellStyle name="Shade 2 3 2 2 22" xfId="25309" xr:uid="{00000000-0005-0000-0000-0000DD620000}"/>
    <cellStyle name="Shade 2 3 2 2 23" xfId="25310" xr:uid="{00000000-0005-0000-0000-0000DE620000}"/>
    <cellStyle name="Shade 2 3 2 2 24" xfId="25311" xr:uid="{00000000-0005-0000-0000-0000DF620000}"/>
    <cellStyle name="Shade 2 3 2 2 25" xfId="25312" xr:uid="{00000000-0005-0000-0000-0000E0620000}"/>
    <cellStyle name="Shade 2 3 2 2 26" xfId="25313" xr:uid="{00000000-0005-0000-0000-0000E1620000}"/>
    <cellStyle name="Shade 2 3 2 2 27" xfId="25314" xr:uid="{00000000-0005-0000-0000-0000E2620000}"/>
    <cellStyle name="Shade 2 3 2 2 28" xfId="25315" xr:uid="{00000000-0005-0000-0000-0000E3620000}"/>
    <cellStyle name="Shade 2 3 2 2 29" xfId="25316" xr:uid="{00000000-0005-0000-0000-0000E4620000}"/>
    <cellStyle name="Shade 2 3 2 2 3" xfId="25317" xr:uid="{00000000-0005-0000-0000-0000E5620000}"/>
    <cellStyle name="Shade 2 3 2 2 30" xfId="25318" xr:uid="{00000000-0005-0000-0000-0000E6620000}"/>
    <cellStyle name="Shade 2 3 2 2 31" xfId="25319" xr:uid="{00000000-0005-0000-0000-0000E7620000}"/>
    <cellStyle name="Shade 2 3 2 2 32" xfId="25320" xr:uid="{00000000-0005-0000-0000-0000E8620000}"/>
    <cellStyle name="Shade 2 3 2 2 33" xfId="25321" xr:uid="{00000000-0005-0000-0000-0000E9620000}"/>
    <cellStyle name="Shade 2 3 2 2 34" xfId="25322" xr:uid="{00000000-0005-0000-0000-0000EA620000}"/>
    <cellStyle name="Shade 2 3 2 2 35" xfId="25323" xr:uid="{00000000-0005-0000-0000-0000EB620000}"/>
    <cellStyle name="Shade 2 3 2 2 36" xfId="25324" xr:uid="{00000000-0005-0000-0000-0000EC620000}"/>
    <cellStyle name="Shade 2 3 2 2 37" xfId="25325" xr:uid="{00000000-0005-0000-0000-0000ED620000}"/>
    <cellStyle name="Shade 2 3 2 2 38" xfId="25326" xr:uid="{00000000-0005-0000-0000-0000EE620000}"/>
    <cellStyle name="Shade 2 3 2 2 39" xfId="25327" xr:uid="{00000000-0005-0000-0000-0000EF620000}"/>
    <cellStyle name="Shade 2 3 2 2 4" xfId="25328" xr:uid="{00000000-0005-0000-0000-0000F0620000}"/>
    <cellStyle name="Shade 2 3 2 2 40" xfId="25329" xr:uid="{00000000-0005-0000-0000-0000F1620000}"/>
    <cellStyle name="Shade 2 3 2 2 41" xfId="25330" xr:uid="{00000000-0005-0000-0000-0000F2620000}"/>
    <cellStyle name="Shade 2 3 2 2 42" xfId="25331" xr:uid="{00000000-0005-0000-0000-0000F3620000}"/>
    <cellStyle name="Shade 2 3 2 2 43" xfId="25332" xr:uid="{00000000-0005-0000-0000-0000F4620000}"/>
    <cellStyle name="Shade 2 3 2 2 44" xfId="25333" xr:uid="{00000000-0005-0000-0000-0000F5620000}"/>
    <cellStyle name="Shade 2 3 2 2 45" xfId="25334" xr:uid="{00000000-0005-0000-0000-0000F6620000}"/>
    <cellStyle name="Shade 2 3 2 2 46" xfId="25335" xr:uid="{00000000-0005-0000-0000-0000F7620000}"/>
    <cellStyle name="Shade 2 3 2 2 47" xfId="25336" xr:uid="{00000000-0005-0000-0000-0000F8620000}"/>
    <cellStyle name="Shade 2 3 2 2 48" xfId="25337" xr:uid="{00000000-0005-0000-0000-0000F9620000}"/>
    <cellStyle name="Shade 2 3 2 2 49" xfId="25338" xr:uid="{00000000-0005-0000-0000-0000FA620000}"/>
    <cellStyle name="Shade 2 3 2 2 5" xfId="25339" xr:uid="{00000000-0005-0000-0000-0000FB620000}"/>
    <cellStyle name="Shade 2 3 2 2 50" xfId="25340" xr:uid="{00000000-0005-0000-0000-0000FC620000}"/>
    <cellStyle name="Shade 2 3 2 2 51" xfId="25341" xr:uid="{00000000-0005-0000-0000-0000FD620000}"/>
    <cellStyle name="Shade 2 3 2 2 52" xfId="25342" xr:uid="{00000000-0005-0000-0000-0000FE620000}"/>
    <cellStyle name="Shade 2 3 2 2 53" xfId="25343" xr:uid="{00000000-0005-0000-0000-0000FF620000}"/>
    <cellStyle name="Shade 2 3 2 2 54" xfId="25344" xr:uid="{00000000-0005-0000-0000-000000630000}"/>
    <cellStyle name="Shade 2 3 2 2 55" xfId="25345" xr:uid="{00000000-0005-0000-0000-000001630000}"/>
    <cellStyle name="Shade 2 3 2 2 56" xfId="25346" xr:uid="{00000000-0005-0000-0000-000002630000}"/>
    <cellStyle name="Shade 2 3 2 2 57" xfId="25347" xr:uid="{00000000-0005-0000-0000-000003630000}"/>
    <cellStyle name="Shade 2 3 2 2 58" xfId="25348" xr:uid="{00000000-0005-0000-0000-000004630000}"/>
    <cellStyle name="Shade 2 3 2 2 59" xfId="25349" xr:uid="{00000000-0005-0000-0000-000005630000}"/>
    <cellStyle name="Shade 2 3 2 2 6" xfId="25350" xr:uid="{00000000-0005-0000-0000-000006630000}"/>
    <cellStyle name="Shade 2 3 2 2 60" xfId="25351" xr:uid="{00000000-0005-0000-0000-000007630000}"/>
    <cellStyle name="Shade 2 3 2 2 61" xfId="25352" xr:uid="{00000000-0005-0000-0000-000008630000}"/>
    <cellStyle name="Shade 2 3 2 2 62" xfId="25353" xr:uid="{00000000-0005-0000-0000-000009630000}"/>
    <cellStyle name="Shade 2 3 2 2 63" xfId="25354" xr:uid="{00000000-0005-0000-0000-00000A630000}"/>
    <cellStyle name="Shade 2 3 2 2 64" xfId="25355" xr:uid="{00000000-0005-0000-0000-00000B630000}"/>
    <cellStyle name="Shade 2 3 2 2 65" xfId="25356" xr:uid="{00000000-0005-0000-0000-00000C630000}"/>
    <cellStyle name="Shade 2 3 2 2 7" xfId="25357" xr:uid="{00000000-0005-0000-0000-00000D630000}"/>
    <cellStyle name="Shade 2 3 2 2 8" xfId="25358" xr:uid="{00000000-0005-0000-0000-00000E630000}"/>
    <cellStyle name="Shade 2 3 2 2 9" xfId="25359" xr:uid="{00000000-0005-0000-0000-00000F630000}"/>
    <cellStyle name="Shade 2 3 2 20" xfId="25360" xr:uid="{00000000-0005-0000-0000-000010630000}"/>
    <cellStyle name="Shade 2 3 2 21" xfId="25361" xr:uid="{00000000-0005-0000-0000-000011630000}"/>
    <cellStyle name="Shade 2 3 2 22" xfId="25362" xr:uid="{00000000-0005-0000-0000-000012630000}"/>
    <cellStyle name="Shade 2 3 2 23" xfId="25363" xr:uid="{00000000-0005-0000-0000-000013630000}"/>
    <cellStyle name="Shade 2 3 2 24" xfId="25364" xr:uid="{00000000-0005-0000-0000-000014630000}"/>
    <cellStyle name="Shade 2 3 2 25" xfId="25365" xr:uid="{00000000-0005-0000-0000-000015630000}"/>
    <cellStyle name="Shade 2 3 2 26" xfId="25366" xr:uid="{00000000-0005-0000-0000-000016630000}"/>
    <cellStyle name="Shade 2 3 2 27" xfId="25367" xr:uid="{00000000-0005-0000-0000-000017630000}"/>
    <cellStyle name="Shade 2 3 2 28" xfId="25368" xr:uid="{00000000-0005-0000-0000-000018630000}"/>
    <cellStyle name="Shade 2 3 2 29" xfId="25369" xr:uid="{00000000-0005-0000-0000-000019630000}"/>
    <cellStyle name="Shade 2 3 2 3" xfId="25370" xr:uid="{00000000-0005-0000-0000-00001A630000}"/>
    <cellStyle name="Shade 2 3 2 30" xfId="25371" xr:uid="{00000000-0005-0000-0000-00001B630000}"/>
    <cellStyle name="Shade 2 3 2 31" xfId="25372" xr:uid="{00000000-0005-0000-0000-00001C630000}"/>
    <cellStyle name="Shade 2 3 2 32" xfId="25373" xr:uid="{00000000-0005-0000-0000-00001D630000}"/>
    <cellStyle name="Shade 2 3 2 33" xfId="25374" xr:uid="{00000000-0005-0000-0000-00001E630000}"/>
    <cellStyle name="Shade 2 3 2 34" xfId="25375" xr:uid="{00000000-0005-0000-0000-00001F630000}"/>
    <cellStyle name="Shade 2 3 2 35" xfId="25376" xr:uid="{00000000-0005-0000-0000-000020630000}"/>
    <cellStyle name="Shade 2 3 2 36" xfId="25377" xr:uid="{00000000-0005-0000-0000-000021630000}"/>
    <cellStyle name="Shade 2 3 2 37" xfId="25378" xr:uid="{00000000-0005-0000-0000-000022630000}"/>
    <cellStyle name="Shade 2 3 2 38" xfId="25379" xr:uid="{00000000-0005-0000-0000-000023630000}"/>
    <cellStyle name="Shade 2 3 2 39" xfId="25380" xr:uid="{00000000-0005-0000-0000-000024630000}"/>
    <cellStyle name="Shade 2 3 2 4" xfId="25381" xr:uid="{00000000-0005-0000-0000-000025630000}"/>
    <cellStyle name="Shade 2 3 2 40" xfId="25382" xr:uid="{00000000-0005-0000-0000-000026630000}"/>
    <cellStyle name="Shade 2 3 2 41" xfId="25383" xr:uid="{00000000-0005-0000-0000-000027630000}"/>
    <cellStyle name="Shade 2 3 2 42" xfId="25384" xr:uid="{00000000-0005-0000-0000-000028630000}"/>
    <cellStyle name="Shade 2 3 2 43" xfId="25385" xr:uid="{00000000-0005-0000-0000-000029630000}"/>
    <cellStyle name="Shade 2 3 2 44" xfId="25386" xr:uid="{00000000-0005-0000-0000-00002A630000}"/>
    <cellStyle name="Shade 2 3 2 45" xfId="25387" xr:uid="{00000000-0005-0000-0000-00002B630000}"/>
    <cellStyle name="Shade 2 3 2 46" xfId="25388" xr:uid="{00000000-0005-0000-0000-00002C630000}"/>
    <cellStyle name="Shade 2 3 2 47" xfId="25389" xr:uid="{00000000-0005-0000-0000-00002D630000}"/>
    <cellStyle name="Shade 2 3 2 48" xfId="25390" xr:uid="{00000000-0005-0000-0000-00002E630000}"/>
    <cellStyle name="Shade 2 3 2 49" xfId="25391" xr:uid="{00000000-0005-0000-0000-00002F630000}"/>
    <cellStyle name="Shade 2 3 2 5" xfId="25392" xr:uid="{00000000-0005-0000-0000-000030630000}"/>
    <cellStyle name="Shade 2 3 2 50" xfId="25393" xr:uid="{00000000-0005-0000-0000-000031630000}"/>
    <cellStyle name="Shade 2 3 2 51" xfId="25394" xr:uid="{00000000-0005-0000-0000-000032630000}"/>
    <cellStyle name="Shade 2 3 2 52" xfId="25395" xr:uid="{00000000-0005-0000-0000-000033630000}"/>
    <cellStyle name="Shade 2 3 2 53" xfId="25396" xr:uid="{00000000-0005-0000-0000-000034630000}"/>
    <cellStyle name="Shade 2 3 2 54" xfId="25397" xr:uid="{00000000-0005-0000-0000-000035630000}"/>
    <cellStyle name="Shade 2 3 2 55" xfId="25398" xr:uid="{00000000-0005-0000-0000-000036630000}"/>
    <cellStyle name="Shade 2 3 2 56" xfId="25399" xr:uid="{00000000-0005-0000-0000-000037630000}"/>
    <cellStyle name="Shade 2 3 2 57" xfId="25400" xr:uid="{00000000-0005-0000-0000-000038630000}"/>
    <cellStyle name="Shade 2 3 2 58" xfId="25401" xr:uid="{00000000-0005-0000-0000-000039630000}"/>
    <cellStyle name="Shade 2 3 2 59" xfId="25402" xr:uid="{00000000-0005-0000-0000-00003A630000}"/>
    <cellStyle name="Shade 2 3 2 6" xfId="25403" xr:uid="{00000000-0005-0000-0000-00003B630000}"/>
    <cellStyle name="Shade 2 3 2 60" xfId="25404" xr:uid="{00000000-0005-0000-0000-00003C630000}"/>
    <cellStyle name="Shade 2 3 2 61" xfId="25405" xr:uid="{00000000-0005-0000-0000-00003D630000}"/>
    <cellStyle name="Shade 2 3 2 62" xfId="25406" xr:uid="{00000000-0005-0000-0000-00003E630000}"/>
    <cellStyle name="Shade 2 3 2 63" xfId="25407" xr:uid="{00000000-0005-0000-0000-00003F630000}"/>
    <cellStyle name="Shade 2 3 2 64" xfId="25408" xr:uid="{00000000-0005-0000-0000-000040630000}"/>
    <cellStyle name="Shade 2 3 2 65" xfId="25409" xr:uid="{00000000-0005-0000-0000-000041630000}"/>
    <cellStyle name="Shade 2 3 2 66" xfId="25410" xr:uid="{00000000-0005-0000-0000-000042630000}"/>
    <cellStyle name="Shade 2 3 2 7" xfId="25411" xr:uid="{00000000-0005-0000-0000-000043630000}"/>
    <cellStyle name="Shade 2 3 2 8" xfId="25412" xr:uid="{00000000-0005-0000-0000-000044630000}"/>
    <cellStyle name="Shade 2 3 2 9" xfId="25413" xr:uid="{00000000-0005-0000-0000-000045630000}"/>
    <cellStyle name="Shade 2 3 20" xfId="25414" xr:uid="{00000000-0005-0000-0000-000046630000}"/>
    <cellStyle name="Shade 2 3 21" xfId="25415" xr:uid="{00000000-0005-0000-0000-000047630000}"/>
    <cellStyle name="Shade 2 3 22" xfId="25416" xr:uid="{00000000-0005-0000-0000-000048630000}"/>
    <cellStyle name="Shade 2 3 23" xfId="25417" xr:uid="{00000000-0005-0000-0000-000049630000}"/>
    <cellStyle name="Shade 2 3 24" xfId="25418" xr:uid="{00000000-0005-0000-0000-00004A630000}"/>
    <cellStyle name="Shade 2 3 25" xfId="25419" xr:uid="{00000000-0005-0000-0000-00004B630000}"/>
    <cellStyle name="Shade 2 3 26" xfId="25420" xr:uid="{00000000-0005-0000-0000-00004C630000}"/>
    <cellStyle name="Shade 2 3 27" xfId="25421" xr:uid="{00000000-0005-0000-0000-00004D630000}"/>
    <cellStyle name="Shade 2 3 28" xfId="25422" xr:uid="{00000000-0005-0000-0000-00004E630000}"/>
    <cellStyle name="Shade 2 3 29" xfId="25423" xr:uid="{00000000-0005-0000-0000-00004F630000}"/>
    <cellStyle name="Shade 2 3 3" xfId="25424" xr:uid="{00000000-0005-0000-0000-000050630000}"/>
    <cellStyle name="Shade 2 3 3 10" xfId="25425" xr:uid="{00000000-0005-0000-0000-000051630000}"/>
    <cellStyle name="Shade 2 3 3 11" xfId="25426" xr:uid="{00000000-0005-0000-0000-000052630000}"/>
    <cellStyle name="Shade 2 3 3 12" xfId="25427" xr:uid="{00000000-0005-0000-0000-000053630000}"/>
    <cellStyle name="Shade 2 3 3 13" xfId="25428" xr:uid="{00000000-0005-0000-0000-000054630000}"/>
    <cellStyle name="Shade 2 3 3 14" xfId="25429" xr:uid="{00000000-0005-0000-0000-000055630000}"/>
    <cellStyle name="Shade 2 3 3 15" xfId="25430" xr:uid="{00000000-0005-0000-0000-000056630000}"/>
    <cellStyle name="Shade 2 3 3 16" xfId="25431" xr:uid="{00000000-0005-0000-0000-000057630000}"/>
    <cellStyle name="Shade 2 3 3 17" xfId="25432" xr:uid="{00000000-0005-0000-0000-000058630000}"/>
    <cellStyle name="Shade 2 3 3 18" xfId="25433" xr:uid="{00000000-0005-0000-0000-000059630000}"/>
    <cellStyle name="Shade 2 3 3 19" xfId="25434" xr:uid="{00000000-0005-0000-0000-00005A630000}"/>
    <cellStyle name="Shade 2 3 3 2" xfId="25435" xr:uid="{00000000-0005-0000-0000-00005B630000}"/>
    <cellStyle name="Shade 2 3 3 2 10" xfId="25436" xr:uid="{00000000-0005-0000-0000-00005C630000}"/>
    <cellStyle name="Shade 2 3 3 2 11" xfId="25437" xr:uid="{00000000-0005-0000-0000-00005D630000}"/>
    <cellStyle name="Shade 2 3 3 2 12" xfId="25438" xr:uid="{00000000-0005-0000-0000-00005E630000}"/>
    <cellStyle name="Shade 2 3 3 2 13" xfId="25439" xr:uid="{00000000-0005-0000-0000-00005F630000}"/>
    <cellStyle name="Shade 2 3 3 2 14" xfId="25440" xr:uid="{00000000-0005-0000-0000-000060630000}"/>
    <cellStyle name="Shade 2 3 3 2 15" xfId="25441" xr:uid="{00000000-0005-0000-0000-000061630000}"/>
    <cellStyle name="Shade 2 3 3 2 16" xfId="25442" xr:uid="{00000000-0005-0000-0000-000062630000}"/>
    <cellStyle name="Shade 2 3 3 2 17" xfId="25443" xr:uid="{00000000-0005-0000-0000-000063630000}"/>
    <cellStyle name="Shade 2 3 3 2 18" xfId="25444" xr:uid="{00000000-0005-0000-0000-000064630000}"/>
    <cellStyle name="Shade 2 3 3 2 19" xfId="25445" xr:uid="{00000000-0005-0000-0000-000065630000}"/>
    <cellStyle name="Shade 2 3 3 2 2" xfId="25446" xr:uid="{00000000-0005-0000-0000-000066630000}"/>
    <cellStyle name="Shade 2 3 3 2 20" xfId="25447" xr:uid="{00000000-0005-0000-0000-000067630000}"/>
    <cellStyle name="Shade 2 3 3 2 21" xfId="25448" xr:uid="{00000000-0005-0000-0000-000068630000}"/>
    <cellStyle name="Shade 2 3 3 2 22" xfId="25449" xr:uid="{00000000-0005-0000-0000-000069630000}"/>
    <cellStyle name="Shade 2 3 3 2 23" xfId="25450" xr:uid="{00000000-0005-0000-0000-00006A630000}"/>
    <cellStyle name="Shade 2 3 3 2 24" xfId="25451" xr:uid="{00000000-0005-0000-0000-00006B630000}"/>
    <cellStyle name="Shade 2 3 3 2 25" xfId="25452" xr:uid="{00000000-0005-0000-0000-00006C630000}"/>
    <cellStyle name="Shade 2 3 3 2 26" xfId="25453" xr:uid="{00000000-0005-0000-0000-00006D630000}"/>
    <cellStyle name="Shade 2 3 3 2 27" xfId="25454" xr:uid="{00000000-0005-0000-0000-00006E630000}"/>
    <cellStyle name="Shade 2 3 3 2 28" xfId="25455" xr:uid="{00000000-0005-0000-0000-00006F630000}"/>
    <cellStyle name="Shade 2 3 3 2 29" xfId="25456" xr:uid="{00000000-0005-0000-0000-000070630000}"/>
    <cellStyle name="Shade 2 3 3 2 3" xfId="25457" xr:uid="{00000000-0005-0000-0000-000071630000}"/>
    <cellStyle name="Shade 2 3 3 2 30" xfId="25458" xr:uid="{00000000-0005-0000-0000-000072630000}"/>
    <cellStyle name="Shade 2 3 3 2 31" xfId="25459" xr:uid="{00000000-0005-0000-0000-000073630000}"/>
    <cellStyle name="Shade 2 3 3 2 32" xfId="25460" xr:uid="{00000000-0005-0000-0000-000074630000}"/>
    <cellStyle name="Shade 2 3 3 2 33" xfId="25461" xr:uid="{00000000-0005-0000-0000-000075630000}"/>
    <cellStyle name="Shade 2 3 3 2 34" xfId="25462" xr:uid="{00000000-0005-0000-0000-000076630000}"/>
    <cellStyle name="Shade 2 3 3 2 35" xfId="25463" xr:uid="{00000000-0005-0000-0000-000077630000}"/>
    <cellStyle name="Shade 2 3 3 2 36" xfId="25464" xr:uid="{00000000-0005-0000-0000-000078630000}"/>
    <cellStyle name="Shade 2 3 3 2 37" xfId="25465" xr:uid="{00000000-0005-0000-0000-000079630000}"/>
    <cellStyle name="Shade 2 3 3 2 38" xfId="25466" xr:uid="{00000000-0005-0000-0000-00007A630000}"/>
    <cellStyle name="Shade 2 3 3 2 39" xfId="25467" xr:uid="{00000000-0005-0000-0000-00007B630000}"/>
    <cellStyle name="Shade 2 3 3 2 4" xfId="25468" xr:uid="{00000000-0005-0000-0000-00007C630000}"/>
    <cellStyle name="Shade 2 3 3 2 40" xfId="25469" xr:uid="{00000000-0005-0000-0000-00007D630000}"/>
    <cellStyle name="Shade 2 3 3 2 41" xfId="25470" xr:uid="{00000000-0005-0000-0000-00007E630000}"/>
    <cellStyle name="Shade 2 3 3 2 42" xfId="25471" xr:uid="{00000000-0005-0000-0000-00007F630000}"/>
    <cellStyle name="Shade 2 3 3 2 43" xfId="25472" xr:uid="{00000000-0005-0000-0000-000080630000}"/>
    <cellStyle name="Shade 2 3 3 2 44" xfId="25473" xr:uid="{00000000-0005-0000-0000-000081630000}"/>
    <cellStyle name="Shade 2 3 3 2 45" xfId="25474" xr:uid="{00000000-0005-0000-0000-000082630000}"/>
    <cellStyle name="Shade 2 3 3 2 46" xfId="25475" xr:uid="{00000000-0005-0000-0000-000083630000}"/>
    <cellStyle name="Shade 2 3 3 2 47" xfId="25476" xr:uid="{00000000-0005-0000-0000-000084630000}"/>
    <cellStyle name="Shade 2 3 3 2 48" xfId="25477" xr:uid="{00000000-0005-0000-0000-000085630000}"/>
    <cellStyle name="Shade 2 3 3 2 49" xfId="25478" xr:uid="{00000000-0005-0000-0000-000086630000}"/>
    <cellStyle name="Shade 2 3 3 2 5" xfId="25479" xr:uid="{00000000-0005-0000-0000-000087630000}"/>
    <cellStyle name="Shade 2 3 3 2 50" xfId="25480" xr:uid="{00000000-0005-0000-0000-000088630000}"/>
    <cellStyle name="Shade 2 3 3 2 51" xfId="25481" xr:uid="{00000000-0005-0000-0000-000089630000}"/>
    <cellStyle name="Shade 2 3 3 2 52" xfId="25482" xr:uid="{00000000-0005-0000-0000-00008A630000}"/>
    <cellStyle name="Shade 2 3 3 2 53" xfId="25483" xr:uid="{00000000-0005-0000-0000-00008B630000}"/>
    <cellStyle name="Shade 2 3 3 2 54" xfId="25484" xr:uid="{00000000-0005-0000-0000-00008C630000}"/>
    <cellStyle name="Shade 2 3 3 2 55" xfId="25485" xr:uid="{00000000-0005-0000-0000-00008D630000}"/>
    <cellStyle name="Shade 2 3 3 2 56" xfId="25486" xr:uid="{00000000-0005-0000-0000-00008E630000}"/>
    <cellStyle name="Shade 2 3 3 2 57" xfId="25487" xr:uid="{00000000-0005-0000-0000-00008F630000}"/>
    <cellStyle name="Shade 2 3 3 2 58" xfId="25488" xr:uid="{00000000-0005-0000-0000-000090630000}"/>
    <cellStyle name="Shade 2 3 3 2 59" xfId="25489" xr:uid="{00000000-0005-0000-0000-000091630000}"/>
    <cellStyle name="Shade 2 3 3 2 6" xfId="25490" xr:uid="{00000000-0005-0000-0000-000092630000}"/>
    <cellStyle name="Shade 2 3 3 2 60" xfId="25491" xr:uid="{00000000-0005-0000-0000-000093630000}"/>
    <cellStyle name="Shade 2 3 3 2 61" xfId="25492" xr:uid="{00000000-0005-0000-0000-000094630000}"/>
    <cellStyle name="Shade 2 3 3 2 62" xfId="25493" xr:uid="{00000000-0005-0000-0000-000095630000}"/>
    <cellStyle name="Shade 2 3 3 2 63" xfId="25494" xr:uid="{00000000-0005-0000-0000-000096630000}"/>
    <cellStyle name="Shade 2 3 3 2 64" xfId="25495" xr:uid="{00000000-0005-0000-0000-000097630000}"/>
    <cellStyle name="Shade 2 3 3 2 65" xfId="25496" xr:uid="{00000000-0005-0000-0000-000098630000}"/>
    <cellStyle name="Shade 2 3 3 2 7" xfId="25497" xr:uid="{00000000-0005-0000-0000-000099630000}"/>
    <cellStyle name="Shade 2 3 3 2 8" xfId="25498" xr:uid="{00000000-0005-0000-0000-00009A630000}"/>
    <cellStyle name="Shade 2 3 3 2 9" xfId="25499" xr:uid="{00000000-0005-0000-0000-00009B630000}"/>
    <cellStyle name="Shade 2 3 3 20" xfId="25500" xr:uid="{00000000-0005-0000-0000-00009C630000}"/>
    <cellStyle name="Shade 2 3 3 21" xfId="25501" xr:uid="{00000000-0005-0000-0000-00009D630000}"/>
    <cellStyle name="Shade 2 3 3 22" xfId="25502" xr:uid="{00000000-0005-0000-0000-00009E630000}"/>
    <cellStyle name="Shade 2 3 3 23" xfId="25503" xr:uid="{00000000-0005-0000-0000-00009F630000}"/>
    <cellStyle name="Shade 2 3 3 24" xfId="25504" xr:uid="{00000000-0005-0000-0000-0000A0630000}"/>
    <cellStyle name="Shade 2 3 3 25" xfId="25505" xr:uid="{00000000-0005-0000-0000-0000A1630000}"/>
    <cellStyle name="Shade 2 3 3 26" xfId="25506" xr:uid="{00000000-0005-0000-0000-0000A2630000}"/>
    <cellStyle name="Shade 2 3 3 27" xfId="25507" xr:uid="{00000000-0005-0000-0000-0000A3630000}"/>
    <cellStyle name="Shade 2 3 3 28" xfId="25508" xr:uid="{00000000-0005-0000-0000-0000A4630000}"/>
    <cellStyle name="Shade 2 3 3 29" xfId="25509" xr:uid="{00000000-0005-0000-0000-0000A5630000}"/>
    <cellStyle name="Shade 2 3 3 3" xfId="25510" xr:uid="{00000000-0005-0000-0000-0000A6630000}"/>
    <cellStyle name="Shade 2 3 3 30" xfId="25511" xr:uid="{00000000-0005-0000-0000-0000A7630000}"/>
    <cellStyle name="Shade 2 3 3 31" xfId="25512" xr:uid="{00000000-0005-0000-0000-0000A8630000}"/>
    <cellStyle name="Shade 2 3 3 32" xfId="25513" xr:uid="{00000000-0005-0000-0000-0000A9630000}"/>
    <cellStyle name="Shade 2 3 3 33" xfId="25514" xr:uid="{00000000-0005-0000-0000-0000AA630000}"/>
    <cellStyle name="Shade 2 3 3 34" xfId="25515" xr:uid="{00000000-0005-0000-0000-0000AB630000}"/>
    <cellStyle name="Shade 2 3 3 35" xfId="25516" xr:uid="{00000000-0005-0000-0000-0000AC630000}"/>
    <cellStyle name="Shade 2 3 3 36" xfId="25517" xr:uid="{00000000-0005-0000-0000-0000AD630000}"/>
    <cellStyle name="Shade 2 3 3 37" xfId="25518" xr:uid="{00000000-0005-0000-0000-0000AE630000}"/>
    <cellStyle name="Shade 2 3 3 38" xfId="25519" xr:uid="{00000000-0005-0000-0000-0000AF630000}"/>
    <cellStyle name="Shade 2 3 3 39" xfId="25520" xr:uid="{00000000-0005-0000-0000-0000B0630000}"/>
    <cellStyle name="Shade 2 3 3 4" xfId="25521" xr:uid="{00000000-0005-0000-0000-0000B1630000}"/>
    <cellStyle name="Shade 2 3 3 40" xfId="25522" xr:uid="{00000000-0005-0000-0000-0000B2630000}"/>
    <cellStyle name="Shade 2 3 3 41" xfId="25523" xr:uid="{00000000-0005-0000-0000-0000B3630000}"/>
    <cellStyle name="Shade 2 3 3 42" xfId="25524" xr:uid="{00000000-0005-0000-0000-0000B4630000}"/>
    <cellStyle name="Shade 2 3 3 43" xfId="25525" xr:uid="{00000000-0005-0000-0000-0000B5630000}"/>
    <cellStyle name="Shade 2 3 3 44" xfId="25526" xr:uid="{00000000-0005-0000-0000-0000B6630000}"/>
    <cellStyle name="Shade 2 3 3 45" xfId="25527" xr:uid="{00000000-0005-0000-0000-0000B7630000}"/>
    <cellStyle name="Shade 2 3 3 46" xfId="25528" xr:uid="{00000000-0005-0000-0000-0000B8630000}"/>
    <cellStyle name="Shade 2 3 3 47" xfId="25529" xr:uid="{00000000-0005-0000-0000-0000B9630000}"/>
    <cellStyle name="Shade 2 3 3 48" xfId="25530" xr:uid="{00000000-0005-0000-0000-0000BA630000}"/>
    <cellStyle name="Shade 2 3 3 49" xfId="25531" xr:uid="{00000000-0005-0000-0000-0000BB630000}"/>
    <cellStyle name="Shade 2 3 3 5" xfId="25532" xr:uid="{00000000-0005-0000-0000-0000BC630000}"/>
    <cellStyle name="Shade 2 3 3 50" xfId="25533" xr:uid="{00000000-0005-0000-0000-0000BD630000}"/>
    <cellStyle name="Shade 2 3 3 51" xfId="25534" xr:uid="{00000000-0005-0000-0000-0000BE630000}"/>
    <cellStyle name="Shade 2 3 3 52" xfId="25535" xr:uid="{00000000-0005-0000-0000-0000BF630000}"/>
    <cellStyle name="Shade 2 3 3 53" xfId="25536" xr:uid="{00000000-0005-0000-0000-0000C0630000}"/>
    <cellStyle name="Shade 2 3 3 54" xfId="25537" xr:uid="{00000000-0005-0000-0000-0000C1630000}"/>
    <cellStyle name="Shade 2 3 3 55" xfId="25538" xr:uid="{00000000-0005-0000-0000-0000C2630000}"/>
    <cellStyle name="Shade 2 3 3 56" xfId="25539" xr:uid="{00000000-0005-0000-0000-0000C3630000}"/>
    <cellStyle name="Shade 2 3 3 57" xfId="25540" xr:uid="{00000000-0005-0000-0000-0000C4630000}"/>
    <cellStyle name="Shade 2 3 3 58" xfId="25541" xr:uid="{00000000-0005-0000-0000-0000C5630000}"/>
    <cellStyle name="Shade 2 3 3 59" xfId="25542" xr:uid="{00000000-0005-0000-0000-0000C6630000}"/>
    <cellStyle name="Shade 2 3 3 6" xfId="25543" xr:uid="{00000000-0005-0000-0000-0000C7630000}"/>
    <cellStyle name="Shade 2 3 3 60" xfId="25544" xr:uid="{00000000-0005-0000-0000-0000C8630000}"/>
    <cellStyle name="Shade 2 3 3 61" xfId="25545" xr:uid="{00000000-0005-0000-0000-0000C9630000}"/>
    <cellStyle name="Shade 2 3 3 62" xfId="25546" xr:uid="{00000000-0005-0000-0000-0000CA630000}"/>
    <cellStyle name="Shade 2 3 3 63" xfId="25547" xr:uid="{00000000-0005-0000-0000-0000CB630000}"/>
    <cellStyle name="Shade 2 3 3 64" xfId="25548" xr:uid="{00000000-0005-0000-0000-0000CC630000}"/>
    <cellStyle name="Shade 2 3 3 65" xfId="25549" xr:uid="{00000000-0005-0000-0000-0000CD630000}"/>
    <cellStyle name="Shade 2 3 3 66" xfId="25550" xr:uid="{00000000-0005-0000-0000-0000CE630000}"/>
    <cellStyle name="Shade 2 3 3 7" xfId="25551" xr:uid="{00000000-0005-0000-0000-0000CF630000}"/>
    <cellStyle name="Shade 2 3 3 8" xfId="25552" xr:uid="{00000000-0005-0000-0000-0000D0630000}"/>
    <cellStyle name="Shade 2 3 3 9" xfId="25553" xr:uid="{00000000-0005-0000-0000-0000D1630000}"/>
    <cellStyle name="Shade 2 3 30" xfId="25554" xr:uid="{00000000-0005-0000-0000-0000D2630000}"/>
    <cellStyle name="Shade 2 3 31" xfId="25555" xr:uid="{00000000-0005-0000-0000-0000D3630000}"/>
    <cellStyle name="Shade 2 3 32" xfId="25556" xr:uid="{00000000-0005-0000-0000-0000D4630000}"/>
    <cellStyle name="Shade 2 3 33" xfId="25557" xr:uid="{00000000-0005-0000-0000-0000D5630000}"/>
    <cellStyle name="Shade 2 3 34" xfId="25558" xr:uid="{00000000-0005-0000-0000-0000D6630000}"/>
    <cellStyle name="Shade 2 3 35" xfId="25559" xr:uid="{00000000-0005-0000-0000-0000D7630000}"/>
    <cellStyle name="Shade 2 3 36" xfId="25560" xr:uid="{00000000-0005-0000-0000-0000D8630000}"/>
    <cellStyle name="Shade 2 3 37" xfId="25561" xr:uid="{00000000-0005-0000-0000-0000D9630000}"/>
    <cellStyle name="Shade 2 3 38" xfId="25562" xr:uid="{00000000-0005-0000-0000-0000DA630000}"/>
    <cellStyle name="Shade 2 3 39" xfId="25563" xr:uid="{00000000-0005-0000-0000-0000DB630000}"/>
    <cellStyle name="Shade 2 3 4" xfId="25564" xr:uid="{00000000-0005-0000-0000-0000DC630000}"/>
    <cellStyle name="Shade 2 3 4 10" xfId="25565" xr:uid="{00000000-0005-0000-0000-0000DD630000}"/>
    <cellStyle name="Shade 2 3 4 11" xfId="25566" xr:uid="{00000000-0005-0000-0000-0000DE630000}"/>
    <cellStyle name="Shade 2 3 4 12" xfId="25567" xr:uid="{00000000-0005-0000-0000-0000DF630000}"/>
    <cellStyle name="Shade 2 3 4 13" xfId="25568" xr:uid="{00000000-0005-0000-0000-0000E0630000}"/>
    <cellStyle name="Shade 2 3 4 14" xfId="25569" xr:uid="{00000000-0005-0000-0000-0000E1630000}"/>
    <cellStyle name="Shade 2 3 4 15" xfId="25570" xr:uid="{00000000-0005-0000-0000-0000E2630000}"/>
    <cellStyle name="Shade 2 3 4 16" xfId="25571" xr:uid="{00000000-0005-0000-0000-0000E3630000}"/>
    <cellStyle name="Shade 2 3 4 17" xfId="25572" xr:uid="{00000000-0005-0000-0000-0000E4630000}"/>
    <cellStyle name="Shade 2 3 4 18" xfId="25573" xr:uid="{00000000-0005-0000-0000-0000E5630000}"/>
    <cellStyle name="Shade 2 3 4 19" xfId="25574" xr:uid="{00000000-0005-0000-0000-0000E6630000}"/>
    <cellStyle name="Shade 2 3 4 2" xfId="25575" xr:uid="{00000000-0005-0000-0000-0000E7630000}"/>
    <cellStyle name="Shade 2 3 4 2 10" xfId="25576" xr:uid="{00000000-0005-0000-0000-0000E8630000}"/>
    <cellStyle name="Shade 2 3 4 2 11" xfId="25577" xr:uid="{00000000-0005-0000-0000-0000E9630000}"/>
    <cellStyle name="Shade 2 3 4 2 12" xfId="25578" xr:uid="{00000000-0005-0000-0000-0000EA630000}"/>
    <cellStyle name="Shade 2 3 4 2 13" xfId="25579" xr:uid="{00000000-0005-0000-0000-0000EB630000}"/>
    <cellStyle name="Shade 2 3 4 2 14" xfId="25580" xr:uid="{00000000-0005-0000-0000-0000EC630000}"/>
    <cellStyle name="Shade 2 3 4 2 15" xfId="25581" xr:uid="{00000000-0005-0000-0000-0000ED630000}"/>
    <cellStyle name="Shade 2 3 4 2 16" xfId="25582" xr:uid="{00000000-0005-0000-0000-0000EE630000}"/>
    <cellStyle name="Shade 2 3 4 2 17" xfId="25583" xr:uid="{00000000-0005-0000-0000-0000EF630000}"/>
    <cellStyle name="Shade 2 3 4 2 18" xfId="25584" xr:uid="{00000000-0005-0000-0000-0000F0630000}"/>
    <cellStyle name="Shade 2 3 4 2 19" xfId="25585" xr:uid="{00000000-0005-0000-0000-0000F1630000}"/>
    <cellStyle name="Shade 2 3 4 2 2" xfId="25586" xr:uid="{00000000-0005-0000-0000-0000F2630000}"/>
    <cellStyle name="Shade 2 3 4 2 20" xfId="25587" xr:uid="{00000000-0005-0000-0000-0000F3630000}"/>
    <cellStyle name="Shade 2 3 4 2 21" xfId="25588" xr:uid="{00000000-0005-0000-0000-0000F4630000}"/>
    <cellStyle name="Shade 2 3 4 2 22" xfId="25589" xr:uid="{00000000-0005-0000-0000-0000F5630000}"/>
    <cellStyle name="Shade 2 3 4 2 23" xfId="25590" xr:uid="{00000000-0005-0000-0000-0000F6630000}"/>
    <cellStyle name="Shade 2 3 4 2 24" xfId="25591" xr:uid="{00000000-0005-0000-0000-0000F7630000}"/>
    <cellStyle name="Shade 2 3 4 2 25" xfId="25592" xr:uid="{00000000-0005-0000-0000-0000F8630000}"/>
    <cellStyle name="Shade 2 3 4 2 26" xfId="25593" xr:uid="{00000000-0005-0000-0000-0000F9630000}"/>
    <cellStyle name="Shade 2 3 4 2 27" xfId="25594" xr:uid="{00000000-0005-0000-0000-0000FA630000}"/>
    <cellStyle name="Shade 2 3 4 2 28" xfId="25595" xr:uid="{00000000-0005-0000-0000-0000FB630000}"/>
    <cellStyle name="Shade 2 3 4 2 29" xfId="25596" xr:uid="{00000000-0005-0000-0000-0000FC630000}"/>
    <cellStyle name="Shade 2 3 4 2 3" xfId="25597" xr:uid="{00000000-0005-0000-0000-0000FD630000}"/>
    <cellStyle name="Shade 2 3 4 2 30" xfId="25598" xr:uid="{00000000-0005-0000-0000-0000FE630000}"/>
    <cellStyle name="Shade 2 3 4 2 31" xfId="25599" xr:uid="{00000000-0005-0000-0000-0000FF630000}"/>
    <cellStyle name="Shade 2 3 4 2 32" xfId="25600" xr:uid="{00000000-0005-0000-0000-000000640000}"/>
    <cellStyle name="Shade 2 3 4 2 33" xfId="25601" xr:uid="{00000000-0005-0000-0000-000001640000}"/>
    <cellStyle name="Shade 2 3 4 2 34" xfId="25602" xr:uid="{00000000-0005-0000-0000-000002640000}"/>
    <cellStyle name="Shade 2 3 4 2 35" xfId="25603" xr:uid="{00000000-0005-0000-0000-000003640000}"/>
    <cellStyle name="Shade 2 3 4 2 36" xfId="25604" xr:uid="{00000000-0005-0000-0000-000004640000}"/>
    <cellStyle name="Shade 2 3 4 2 37" xfId="25605" xr:uid="{00000000-0005-0000-0000-000005640000}"/>
    <cellStyle name="Shade 2 3 4 2 38" xfId="25606" xr:uid="{00000000-0005-0000-0000-000006640000}"/>
    <cellStyle name="Shade 2 3 4 2 39" xfId="25607" xr:uid="{00000000-0005-0000-0000-000007640000}"/>
    <cellStyle name="Shade 2 3 4 2 4" xfId="25608" xr:uid="{00000000-0005-0000-0000-000008640000}"/>
    <cellStyle name="Shade 2 3 4 2 40" xfId="25609" xr:uid="{00000000-0005-0000-0000-000009640000}"/>
    <cellStyle name="Shade 2 3 4 2 41" xfId="25610" xr:uid="{00000000-0005-0000-0000-00000A640000}"/>
    <cellStyle name="Shade 2 3 4 2 42" xfId="25611" xr:uid="{00000000-0005-0000-0000-00000B640000}"/>
    <cellStyle name="Shade 2 3 4 2 43" xfId="25612" xr:uid="{00000000-0005-0000-0000-00000C640000}"/>
    <cellStyle name="Shade 2 3 4 2 44" xfId="25613" xr:uid="{00000000-0005-0000-0000-00000D640000}"/>
    <cellStyle name="Shade 2 3 4 2 45" xfId="25614" xr:uid="{00000000-0005-0000-0000-00000E640000}"/>
    <cellStyle name="Shade 2 3 4 2 46" xfId="25615" xr:uid="{00000000-0005-0000-0000-00000F640000}"/>
    <cellStyle name="Shade 2 3 4 2 47" xfId="25616" xr:uid="{00000000-0005-0000-0000-000010640000}"/>
    <cellStyle name="Shade 2 3 4 2 48" xfId="25617" xr:uid="{00000000-0005-0000-0000-000011640000}"/>
    <cellStyle name="Shade 2 3 4 2 49" xfId="25618" xr:uid="{00000000-0005-0000-0000-000012640000}"/>
    <cellStyle name="Shade 2 3 4 2 5" xfId="25619" xr:uid="{00000000-0005-0000-0000-000013640000}"/>
    <cellStyle name="Shade 2 3 4 2 50" xfId="25620" xr:uid="{00000000-0005-0000-0000-000014640000}"/>
    <cellStyle name="Shade 2 3 4 2 51" xfId="25621" xr:uid="{00000000-0005-0000-0000-000015640000}"/>
    <cellStyle name="Shade 2 3 4 2 52" xfId="25622" xr:uid="{00000000-0005-0000-0000-000016640000}"/>
    <cellStyle name="Shade 2 3 4 2 53" xfId="25623" xr:uid="{00000000-0005-0000-0000-000017640000}"/>
    <cellStyle name="Shade 2 3 4 2 54" xfId="25624" xr:uid="{00000000-0005-0000-0000-000018640000}"/>
    <cellStyle name="Shade 2 3 4 2 55" xfId="25625" xr:uid="{00000000-0005-0000-0000-000019640000}"/>
    <cellStyle name="Shade 2 3 4 2 56" xfId="25626" xr:uid="{00000000-0005-0000-0000-00001A640000}"/>
    <cellStyle name="Shade 2 3 4 2 57" xfId="25627" xr:uid="{00000000-0005-0000-0000-00001B640000}"/>
    <cellStyle name="Shade 2 3 4 2 58" xfId="25628" xr:uid="{00000000-0005-0000-0000-00001C640000}"/>
    <cellStyle name="Shade 2 3 4 2 59" xfId="25629" xr:uid="{00000000-0005-0000-0000-00001D640000}"/>
    <cellStyle name="Shade 2 3 4 2 6" xfId="25630" xr:uid="{00000000-0005-0000-0000-00001E640000}"/>
    <cellStyle name="Shade 2 3 4 2 60" xfId="25631" xr:uid="{00000000-0005-0000-0000-00001F640000}"/>
    <cellStyle name="Shade 2 3 4 2 61" xfId="25632" xr:uid="{00000000-0005-0000-0000-000020640000}"/>
    <cellStyle name="Shade 2 3 4 2 62" xfId="25633" xr:uid="{00000000-0005-0000-0000-000021640000}"/>
    <cellStyle name="Shade 2 3 4 2 63" xfId="25634" xr:uid="{00000000-0005-0000-0000-000022640000}"/>
    <cellStyle name="Shade 2 3 4 2 64" xfId="25635" xr:uid="{00000000-0005-0000-0000-000023640000}"/>
    <cellStyle name="Shade 2 3 4 2 65" xfId="25636" xr:uid="{00000000-0005-0000-0000-000024640000}"/>
    <cellStyle name="Shade 2 3 4 2 7" xfId="25637" xr:uid="{00000000-0005-0000-0000-000025640000}"/>
    <cellStyle name="Shade 2 3 4 2 8" xfId="25638" xr:uid="{00000000-0005-0000-0000-000026640000}"/>
    <cellStyle name="Shade 2 3 4 2 9" xfId="25639" xr:uid="{00000000-0005-0000-0000-000027640000}"/>
    <cellStyle name="Shade 2 3 4 20" xfId="25640" xr:uid="{00000000-0005-0000-0000-000028640000}"/>
    <cellStyle name="Shade 2 3 4 21" xfId="25641" xr:uid="{00000000-0005-0000-0000-000029640000}"/>
    <cellStyle name="Shade 2 3 4 22" xfId="25642" xr:uid="{00000000-0005-0000-0000-00002A640000}"/>
    <cellStyle name="Shade 2 3 4 23" xfId="25643" xr:uid="{00000000-0005-0000-0000-00002B640000}"/>
    <cellStyle name="Shade 2 3 4 24" xfId="25644" xr:uid="{00000000-0005-0000-0000-00002C640000}"/>
    <cellStyle name="Shade 2 3 4 25" xfId="25645" xr:uid="{00000000-0005-0000-0000-00002D640000}"/>
    <cellStyle name="Shade 2 3 4 26" xfId="25646" xr:uid="{00000000-0005-0000-0000-00002E640000}"/>
    <cellStyle name="Shade 2 3 4 27" xfId="25647" xr:uid="{00000000-0005-0000-0000-00002F640000}"/>
    <cellStyle name="Shade 2 3 4 28" xfId="25648" xr:uid="{00000000-0005-0000-0000-000030640000}"/>
    <cellStyle name="Shade 2 3 4 29" xfId="25649" xr:uid="{00000000-0005-0000-0000-000031640000}"/>
    <cellStyle name="Shade 2 3 4 3" xfId="25650" xr:uid="{00000000-0005-0000-0000-000032640000}"/>
    <cellStyle name="Shade 2 3 4 30" xfId="25651" xr:uid="{00000000-0005-0000-0000-000033640000}"/>
    <cellStyle name="Shade 2 3 4 31" xfId="25652" xr:uid="{00000000-0005-0000-0000-000034640000}"/>
    <cellStyle name="Shade 2 3 4 32" xfId="25653" xr:uid="{00000000-0005-0000-0000-000035640000}"/>
    <cellStyle name="Shade 2 3 4 33" xfId="25654" xr:uid="{00000000-0005-0000-0000-000036640000}"/>
    <cellStyle name="Shade 2 3 4 34" xfId="25655" xr:uid="{00000000-0005-0000-0000-000037640000}"/>
    <cellStyle name="Shade 2 3 4 35" xfId="25656" xr:uid="{00000000-0005-0000-0000-000038640000}"/>
    <cellStyle name="Shade 2 3 4 36" xfId="25657" xr:uid="{00000000-0005-0000-0000-000039640000}"/>
    <cellStyle name="Shade 2 3 4 37" xfId="25658" xr:uid="{00000000-0005-0000-0000-00003A640000}"/>
    <cellStyle name="Shade 2 3 4 38" xfId="25659" xr:uid="{00000000-0005-0000-0000-00003B640000}"/>
    <cellStyle name="Shade 2 3 4 39" xfId="25660" xr:uid="{00000000-0005-0000-0000-00003C640000}"/>
    <cellStyle name="Shade 2 3 4 4" xfId="25661" xr:uid="{00000000-0005-0000-0000-00003D640000}"/>
    <cellStyle name="Shade 2 3 4 40" xfId="25662" xr:uid="{00000000-0005-0000-0000-00003E640000}"/>
    <cellStyle name="Shade 2 3 4 41" xfId="25663" xr:uid="{00000000-0005-0000-0000-00003F640000}"/>
    <cellStyle name="Shade 2 3 4 42" xfId="25664" xr:uid="{00000000-0005-0000-0000-000040640000}"/>
    <cellStyle name="Shade 2 3 4 43" xfId="25665" xr:uid="{00000000-0005-0000-0000-000041640000}"/>
    <cellStyle name="Shade 2 3 4 44" xfId="25666" xr:uid="{00000000-0005-0000-0000-000042640000}"/>
    <cellStyle name="Shade 2 3 4 45" xfId="25667" xr:uid="{00000000-0005-0000-0000-000043640000}"/>
    <cellStyle name="Shade 2 3 4 46" xfId="25668" xr:uid="{00000000-0005-0000-0000-000044640000}"/>
    <cellStyle name="Shade 2 3 4 47" xfId="25669" xr:uid="{00000000-0005-0000-0000-000045640000}"/>
    <cellStyle name="Shade 2 3 4 48" xfId="25670" xr:uid="{00000000-0005-0000-0000-000046640000}"/>
    <cellStyle name="Shade 2 3 4 49" xfId="25671" xr:uid="{00000000-0005-0000-0000-000047640000}"/>
    <cellStyle name="Shade 2 3 4 5" xfId="25672" xr:uid="{00000000-0005-0000-0000-000048640000}"/>
    <cellStyle name="Shade 2 3 4 50" xfId="25673" xr:uid="{00000000-0005-0000-0000-000049640000}"/>
    <cellStyle name="Shade 2 3 4 51" xfId="25674" xr:uid="{00000000-0005-0000-0000-00004A640000}"/>
    <cellStyle name="Shade 2 3 4 52" xfId="25675" xr:uid="{00000000-0005-0000-0000-00004B640000}"/>
    <cellStyle name="Shade 2 3 4 53" xfId="25676" xr:uid="{00000000-0005-0000-0000-00004C640000}"/>
    <cellStyle name="Shade 2 3 4 54" xfId="25677" xr:uid="{00000000-0005-0000-0000-00004D640000}"/>
    <cellStyle name="Shade 2 3 4 55" xfId="25678" xr:uid="{00000000-0005-0000-0000-00004E640000}"/>
    <cellStyle name="Shade 2 3 4 56" xfId="25679" xr:uid="{00000000-0005-0000-0000-00004F640000}"/>
    <cellStyle name="Shade 2 3 4 57" xfId="25680" xr:uid="{00000000-0005-0000-0000-000050640000}"/>
    <cellStyle name="Shade 2 3 4 58" xfId="25681" xr:uid="{00000000-0005-0000-0000-000051640000}"/>
    <cellStyle name="Shade 2 3 4 59" xfId="25682" xr:uid="{00000000-0005-0000-0000-000052640000}"/>
    <cellStyle name="Shade 2 3 4 6" xfId="25683" xr:uid="{00000000-0005-0000-0000-000053640000}"/>
    <cellStyle name="Shade 2 3 4 60" xfId="25684" xr:uid="{00000000-0005-0000-0000-000054640000}"/>
    <cellStyle name="Shade 2 3 4 61" xfId="25685" xr:uid="{00000000-0005-0000-0000-000055640000}"/>
    <cellStyle name="Shade 2 3 4 62" xfId="25686" xr:uid="{00000000-0005-0000-0000-000056640000}"/>
    <cellStyle name="Shade 2 3 4 63" xfId="25687" xr:uid="{00000000-0005-0000-0000-000057640000}"/>
    <cellStyle name="Shade 2 3 4 64" xfId="25688" xr:uid="{00000000-0005-0000-0000-000058640000}"/>
    <cellStyle name="Shade 2 3 4 65" xfId="25689" xr:uid="{00000000-0005-0000-0000-000059640000}"/>
    <cellStyle name="Shade 2 3 4 66" xfId="25690" xr:uid="{00000000-0005-0000-0000-00005A640000}"/>
    <cellStyle name="Shade 2 3 4 7" xfId="25691" xr:uid="{00000000-0005-0000-0000-00005B640000}"/>
    <cellStyle name="Shade 2 3 4 8" xfId="25692" xr:uid="{00000000-0005-0000-0000-00005C640000}"/>
    <cellStyle name="Shade 2 3 4 9" xfId="25693" xr:uid="{00000000-0005-0000-0000-00005D640000}"/>
    <cellStyle name="Shade 2 3 40" xfId="25694" xr:uid="{00000000-0005-0000-0000-00005E640000}"/>
    <cellStyle name="Shade 2 3 41" xfId="25695" xr:uid="{00000000-0005-0000-0000-00005F640000}"/>
    <cellStyle name="Shade 2 3 42" xfId="25696" xr:uid="{00000000-0005-0000-0000-000060640000}"/>
    <cellStyle name="Shade 2 3 43" xfId="25697" xr:uid="{00000000-0005-0000-0000-000061640000}"/>
    <cellStyle name="Shade 2 3 44" xfId="25698" xr:uid="{00000000-0005-0000-0000-000062640000}"/>
    <cellStyle name="Shade 2 3 45" xfId="25699" xr:uid="{00000000-0005-0000-0000-000063640000}"/>
    <cellStyle name="Shade 2 3 46" xfId="25700" xr:uid="{00000000-0005-0000-0000-000064640000}"/>
    <cellStyle name="Shade 2 3 47" xfId="25701" xr:uid="{00000000-0005-0000-0000-000065640000}"/>
    <cellStyle name="Shade 2 3 48" xfId="25702" xr:uid="{00000000-0005-0000-0000-000066640000}"/>
    <cellStyle name="Shade 2 3 49" xfId="25703" xr:uid="{00000000-0005-0000-0000-000067640000}"/>
    <cellStyle name="Shade 2 3 5" xfId="25704" xr:uid="{00000000-0005-0000-0000-000068640000}"/>
    <cellStyle name="Shade 2 3 50" xfId="25705" xr:uid="{00000000-0005-0000-0000-000069640000}"/>
    <cellStyle name="Shade 2 3 51" xfId="25706" xr:uid="{00000000-0005-0000-0000-00006A640000}"/>
    <cellStyle name="Shade 2 3 52" xfId="25707" xr:uid="{00000000-0005-0000-0000-00006B640000}"/>
    <cellStyle name="Shade 2 3 53" xfId="25708" xr:uid="{00000000-0005-0000-0000-00006C640000}"/>
    <cellStyle name="Shade 2 3 54" xfId="25709" xr:uid="{00000000-0005-0000-0000-00006D640000}"/>
    <cellStyle name="Shade 2 3 55" xfId="25710" xr:uid="{00000000-0005-0000-0000-00006E640000}"/>
    <cellStyle name="Shade 2 3 56" xfId="25711" xr:uid="{00000000-0005-0000-0000-00006F640000}"/>
    <cellStyle name="Shade 2 3 57" xfId="25712" xr:uid="{00000000-0005-0000-0000-000070640000}"/>
    <cellStyle name="Shade 2 3 58" xfId="25713" xr:uid="{00000000-0005-0000-0000-000071640000}"/>
    <cellStyle name="Shade 2 3 59" xfId="25714" xr:uid="{00000000-0005-0000-0000-000072640000}"/>
    <cellStyle name="Shade 2 3 6" xfId="25715" xr:uid="{00000000-0005-0000-0000-000073640000}"/>
    <cellStyle name="Shade 2 3 60" xfId="25716" xr:uid="{00000000-0005-0000-0000-000074640000}"/>
    <cellStyle name="Shade 2 3 61" xfId="25717" xr:uid="{00000000-0005-0000-0000-000075640000}"/>
    <cellStyle name="Shade 2 3 62" xfId="25718" xr:uid="{00000000-0005-0000-0000-000076640000}"/>
    <cellStyle name="Shade 2 3 63" xfId="25719" xr:uid="{00000000-0005-0000-0000-000077640000}"/>
    <cellStyle name="Shade 2 3 64" xfId="25720" xr:uid="{00000000-0005-0000-0000-000078640000}"/>
    <cellStyle name="Shade 2 3 65" xfId="25721" xr:uid="{00000000-0005-0000-0000-000079640000}"/>
    <cellStyle name="Shade 2 3 66" xfId="25722" xr:uid="{00000000-0005-0000-0000-00007A640000}"/>
    <cellStyle name="Shade 2 3 67" xfId="25723" xr:uid="{00000000-0005-0000-0000-00007B640000}"/>
    <cellStyle name="Shade 2 3 68" xfId="25724" xr:uid="{00000000-0005-0000-0000-00007C640000}"/>
    <cellStyle name="Shade 2 3 7" xfId="25725" xr:uid="{00000000-0005-0000-0000-00007D640000}"/>
    <cellStyle name="Shade 2 3 8" xfId="25726" xr:uid="{00000000-0005-0000-0000-00007E640000}"/>
    <cellStyle name="Shade 2 3 9" xfId="25727" xr:uid="{00000000-0005-0000-0000-00007F640000}"/>
    <cellStyle name="Shade 3" xfId="25728" xr:uid="{00000000-0005-0000-0000-000080640000}"/>
    <cellStyle name="Shade 3 2" xfId="25729" xr:uid="{00000000-0005-0000-0000-000081640000}"/>
    <cellStyle name="Shade 3 2 10" xfId="25730" xr:uid="{00000000-0005-0000-0000-000082640000}"/>
    <cellStyle name="Shade 3 2 11" xfId="25731" xr:uid="{00000000-0005-0000-0000-000083640000}"/>
    <cellStyle name="Shade 3 2 12" xfId="25732" xr:uid="{00000000-0005-0000-0000-000084640000}"/>
    <cellStyle name="Shade 3 2 13" xfId="25733" xr:uid="{00000000-0005-0000-0000-000085640000}"/>
    <cellStyle name="Shade 3 2 14" xfId="25734" xr:uid="{00000000-0005-0000-0000-000086640000}"/>
    <cellStyle name="Shade 3 2 15" xfId="25735" xr:uid="{00000000-0005-0000-0000-000087640000}"/>
    <cellStyle name="Shade 3 2 16" xfId="25736" xr:uid="{00000000-0005-0000-0000-000088640000}"/>
    <cellStyle name="Shade 3 2 17" xfId="25737" xr:uid="{00000000-0005-0000-0000-000089640000}"/>
    <cellStyle name="Shade 3 2 18" xfId="25738" xr:uid="{00000000-0005-0000-0000-00008A640000}"/>
    <cellStyle name="Shade 3 2 19" xfId="25739" xr:uid="{00000000-0005-0000-0000-00008B640000}"/>
    <cellStyle name="Shade 3 2 2" xfId="25740" xr:uid="{00000000-0005-0000-0000-00008C640000}"/>
    <cellStyle name="Shade 3 2 2 10" xfId="25741" xr:uid="{00000000-0005-0000-0000-00008D640000}"/>
    <cellStyle name="Shade 3 2 2 11" xfId="25742" xr:uid="{00000000-0005-0000-0000-00008E640000}"/>
    <cellStyle name="Shade 3 2 2 12" xfId="25743" xr:uid="{00000000-0005-0000-0000-00008F640000}"/>
    <cellStyle name="Shade 3 2 2 13" xfId="25744" xr:uid="{00000000-0005-0000-0000-000090640000}"/>
    <cellStyle name="Shade 3 2 2 14" xfId="25745" xr:uid="{00000000-0005-0000-0000-000091640000}"/>
    <cellStyle name="Shade 3 2 2 15" xfId="25746" xr:uid="{00000000-0005-0000-0000-000092640000}"/>
    <cellStyle name="Shade 3 2 2 16" xfId="25747" xr:uid="{00000000-0005-0000-0000-000093640000}"/>
    <cellStyle name="Shade 3 2 2 17" xfId="25748" xr:uid="{00000000-0005-0000-0000-000094640000}"/>
    <cellStyle name="Shade 3 2 2 18" xfId="25749" xr:uid="{00000000-0005-0000-0000-000095640000}"/>
    <cellStyle name="Shade 3 2 2 19" xfId="25750" xr:uid="{00000000-0005-0000-0000-000096640000}"/>
    <cellStyle name="Shade 3 2 2 2" xfId="25751" xr:uid="{00000000-0005-0000-0000-000097640000}"/>
    <cellStyle name="Shade 3 2 2 20" xfId="25752" xr:uid="{00000000-0005-0000-0000-000098640000}"/>
    <cellStyle name="Shade 3 2 2 21" xfId="25753" xr:uid="{00000000-0005-0000-0000-000099640000}"/>
    <cellStyle name="Shade 3 2 2 22" xfId="25754" xr:uid="{00000000-0005-0000-0000-00009A640000}"/>
    <cellStyle name="Shade 3 2 2 23" xfId="25755" xr:uid="{00000000-0005-0000-0000-00009B640000}"/>
    <cellStyle name="Shade 3 2 2 24" xfId="25756" xr:uid="{00000000-0005-0000-0000-00009C640000}"/>
    <cellStyle name="Shade 3 2 2 25" xfId="25757" xr:uid="{00000000-0005-0000-0000-00009D640000}"/>
    <cellStyle name="Shade 3 2 2 26" xfId="25758" xr:uid="{00000000-0005-0000-0000-00009E640000}"/>
    <cellStyle name="Shade 3 2 2 27" xfId="25759" xr:uid="{00000000-0005-0000-0000-00009F640000}"/>
    <cellStyle name="Shade 3 2 2 28" xfId="25760" xr:uid="{00000000-0005-0000-0000-0000A0640000}"/>
    <cellStyle name="Shade 3 2 2 29" xfId="25761" xr:uid="{00000000-0005-0000-0000-0000A1640000}"/>
    <cellStyle name="Shade 3 2 2 3" xfId="25762" xr:uid="{00000000-0005-0000-0000-0000A2640000}"/>
    <cellStyle name="Shade 3 2 2 30" xfId="25763" xr:uid="{00000000-0005-0000-0000-0000A3640000}"/>
    <cellStyle name="Shade 3 2 2 31" xfId="25764" xr:uid="{00000000-0005-0000-0000-0000A4640000}"/>
    <cellStyle name="Shade 3 2 2 32" xfId="25765" xr:uid="{00000000-0005-0000-0000-0000A5640000}"/>
    <cellStyle name="Shade 3 2 2 33" xfId="25766" xr:uid="{00000000-0005-0000-0000-0000A6640000}"/>
    <cellStyle name="Shade 3 2 2 34" xfId="25767" xr:uid="{00000000-0005-0000-0000-0000A7640000}"/>
    <cellStyle name="Shade 3 2 2 35" xfId="25768" xr:uid="{00000000-0005-0000-0000-0000A8640000}"/>
    <cellStyle name="Shade 3 2 2 36" xfId="25769" xr:uid="{00000000-0005-0000-0000-0000A9640000}"/>
    <cellStyle name="Shade 3 2 2 37" xfId="25770" xr:uid="{00000000-0005-0000-0000-0000AA640000}"/>
    <cellStyle name="Shade 3 2 2 38" xfId="25771" xr:uid="{00000000-0005-0000-0000-0000AB640000}"/>
    <cellStyle name="Shade 3 2 2 39" xfId="25772" xr:uid="{00000000-0005-0000-0000-0000AC640000}"/>
    <cellStyle name="Shade 3 2 2 4" xfId="25773" xr:uid="{00000000-0005-0000-0000-0000AD640000}"/>
    <cellStyle name="Shade 3 2 2 40" xfId="25774" xr:uid="{00000000-0005-0000-0000-0000AE640000}"/>
    <cellStyle name="Shade 3 2 2 41" xfId="25775" xr:uid="{00000000-0005-0000-0000-0000AF640000}"/>
    <cellStyle name="Shade 3 2 2 42" xfId="25776" xr:uid="{00000000-0005-0000-0000-0000B0640000}"/>
    <cellStyle name="Shade 3 2 2 43" xfId="25777" xr:uid="{00000000-0005-0000-0000-0000B1640000}"/>
    <cellStyle name="Shade 3 2 2 44" xfId="25778" xr:uid="{00000000-0005-0000-0000-0000B2640000}"/>
    <cellStyle name="Shade 3 2 2 45" xfId="25779" xr:uid="{00000000-0005-0000-0000-0000B3640000}"/>
    <cellStyle name="Shade 3 2 2 46" xfId="25780" xr:uid="{00000000-0005-0000-0000-0000B4640000}"/>
    <cellStyle name="Shade 3 2 2 47" xfId="25781" xr:uid="{00000000-0005-0000-0000-0000B5640000}"/>
    <cellStyle name="Shade 3 2 2 48" xfId="25782" xr:uid="{00000000-0005-0000-0000-0000B6640000}"/>
    <cellStyle name="Shade 3 2 2 49" xfId="25783" xr:uid="{00000000-0005-0000-0000-0000B7640000}"/>
    <cellStyle name="Shade 3 2 2 5" xfId="25784" xr:uid="{00000000-0005-0000-0000-0000B8640000}"/>
    <cellStyle name="Shade 3 2 2 50" xfId="25785" xr:uid="{00000000-0005-0000-0000-0000B9640000}"/>
    <cellStyle name="Shade 3 2 2 51" xfId="25786" xr:uid="{00000000-0005-0000-0000-0000BA640000}"/>
    <cellStyle name="Shade 3 2 2 52" xfId="25787" xr:uid="{00000000-0005-0000-0000-0000BB640000}"/>
    <cellStyle name="Shade 3 2 2 53" xfId="25788" xr:uid="{00000000-0005-0000-0000-0000BC640000}"/>
    <cellStyle name="Shade 3 2 2 54" xfId="25789" xr:uid="{00000000-0005-0000-0000-0000BD640000}"/>
    <cellStyle name="Shade 3 2 2 55" xfId="25790" xr:uid="{00000000-0005-0000-0000-0000BE640000}"/>
    <cellStyle name="Shade 3 2 2 56" xfId="25791" xr:uid="{00000000-0005-0000-0000-0000BF640000}"/>
    <cellStyle name="Shade 3 2 2 57" xfId="25792" xr:uid="{00000000-0005-0000-0000-0000C0640000}"/>
    <cellStyle name="Shade 3 2 2 58" xfId="25793" xr:uid="{00000000-0005-0000-0000-0000C1640000}"/>
    <cellStyle name="Shade 3 2 2 59" xfId="25794" xr:uid="{00000000-0005-0000-0000-0000C2640000}"/>
    <cellStyle name="Shade 3 2 2 6" xfId="25795" xr:uid="{00000000-0005-0000-0000-0000C3640000}"/>
    <cellStyle name="Shade 3 2 2 60" xfId="25796" xr:uid="{00000000-0005-0000-0000-0000C4640000}"/>
    <cellStyle name="Shade 3 2 2 61" xfId="25797" xr:uid="{00000000-0005-0000-0000-0000C5640000}"/>
    <cellStyle name="Shade 3 2 2 62" xfId="25798" xr:uid="{00000000-0005-0000-0000-0000C6640000}"/>
    <cellStyle name="Shade 3 2 2 63" xfId="25799" xr:uid="{00000000-0005-0000-0000-0000C7640000}"/>
    <cellStyle name="Shade 3 2 2 64" xfId="25800" xr:uid="{00000000-0005-0000-0000-0000C8640000}"/>
    <cellStyle name="Shade 3 2 2 65" xfId="25801" xr:uid="{00000000-0005-0000-0000-0000C9640000}"/>
    <cellStyle name="Shade 3 2 2 7" xfId="25802" xr:uid="{00000000-0005-0000-0000-0000CA640000}"/>
    <cellStyle name="Shade 3 2 2 8" xfId="25803" xr:uid="{00000000-0005-0000-0000-0000CB640000}"/>
    <cellStyle name="Shade 3 2 2 9" xfId="25804" xr:uid="{00000000-0005-0000-0000-0000CC640000}"/>
    <cellStyle name="Shade 3 2 20" xfId="25805" xr:uid="{00000000-0005-0000-0000-0000CD640000}"/>
    <cellStyle name="Shade 3 2 21" xfId="25806" xr:uid="{00000000-0005-0000-0000-0000CE640000}"/>
    <cellStyle name="Shade 3 2 22" xfId="25807" xr:uid="{00000000-0005-0000-0000-0000CF640000}"/>
    <cellStyle name="Shade 3 2 23" xfId="25808" xr:uid="{00000000-0005-0000-0000-0000D0640000}"/>
    <cellStyle name="Shade 3 2 24" xfId="25809" xr:uid="{00000000-0005-0000-0000-0000D1640000}"/>
    <cellStyle name="Shade 3 2 25" xfId="25810" xr:uid="{00000000-0005-0000-0000-0000D2640000}"/>
    <cellStyle name="Shade 3 2 26" xfId="25811" xr:uid="{00000000-0005-0000-0000-0000D3640000}"/>
    <cellStyle name="Shade 3 2 27" xfId="25812" xr:uid="{00000000-0005-0000-0000-0000D4640000}"/>
    <cellStyle name="Shade 3 2 28" xfId="25813" xr:uid="{00000000-0005-0000-0000-0000D5640000}"/>
    <cellStyle name="Shade 3 2 29" xfId="25814" xr:uid="{00000000-0005-0000-0000-0000D6640000}"/>
    <cellStyle name="Shade 3 2 3" xfId="25815" xr:uid="{00000000-0005-0000-0000-0000D7640000}"/>
    <cellStyle name="Shade 3 2 30" xfId="25816" xr:uid="{00000000-0005-0000-0000-0000D8640000}"/>
    <cellStyle name="Shade 3 2 31" xfId="25817" xr:uid="{00000000-0005-0000-0000-0000D9640000}"/>
    <cellStyle name="Shade 3 2 32" xfId="25818" xr:uid="{00000000-0005-0000-0000-0000DA640000}"/>
    <cellStyle name="Shade 3 2 33" xfId="25819" xr:uid="{00000000-0005-0000-0000-0000DB640000}"/>
    <cellStyle name="Shade 3 2 34" xfId="25820" xr:uid="{00000000-0005-0000-0000-0000DC640000}"/>
    <cellStyle name="Shade 3 2 35" xfId="25821" xr:uid="{00000000-0005-0000-0000-0000DD640000}"/>
    <cellStyle name="Shade 3 2 36" xfId="25822" xr:uid="{00000000-0005-0000-0000-0000DE640000}"/>
    <cellStyle name="Shade 3 2 37" xfId="25823" xr:uid="{00000000-0005-0000-0000-0000DF640000}"/>
    <cellStyle name="Shade 3 2 38" xfId="25824" xr:uid="{00000000-0005-0000-0000-0000E0640000}"/>
    <cellStyle name="Shade 3 2 39" xfId="25825" xr:uid="{00000000-0005-0000-0000-0000E1640000}"/>
    <cellStyle name="Shade 3 2 4" xfId="25826" xr:uid="{00000000-0005-0000-0000-0000E2640000}"/>
    <cellStyle name="Shade 3 2 40" xfId="25827" xr:uid="{00000000-0005-0000-0000-0000E3640000}"/>
    <cellStyle name="Shade 3 2 41" xfId="25828" xr:uid="{00000000-0005-0000-0000-0000E4640000}"/>
    <cellStyle name="Shade 3 2 42" xfId="25829" xr:uid="{00000000-0005-0000-0000-0000E5640000}"/>
    <cellStyle name="Shade 3 2 43" xfId="25830" xr:uid="{00000000-0005-0000-0000-0000E6640000}"/>
    <cellStyle name="Shade 3 2 44" xfId="25831" xr:uid="{00000000-0005-0000-0000-0000E7640000}"/>
    <cellStyle name="Shade 3 2 45" xfId="25832" xr:uid="{00000000-0005-0000-0000-0000E8640000}"/>
    <cellStyle name="Shade 3 2 46" xfId="25833" xr:uid="{00000000-0005-0000-0000-0000E9640000}"/>
    <cellStyle name="Shade 3 2 47" xfId="25834" xr:uid="{00000000-0005-0000-0000-0000EA640000}"/>
    <cellStyle name="Shade 3 2 48" xfId="25835" xr:uid="{00000000-0005-0000-0000-0000EB640000}"/>
    <cellStyle name="Shade 3 2 49" xfId="25836" xr:uid="{00000000-0005-0000-0000-0000EC640000}"/>
    <cellStyle name="Shade 3 2 5" xfId="25837" xr:uid="{00000000-0005-0000-0000-0000ED640000}"/>
    <cellStyle name="Shade 3 2 50" xfId="25838" xr:uid="{00000000-0005-0000-0000-0000EE640000}"/>
    <cellStyle name="Shade 3 2 51" xfId="25839" xr:uid="{00000000-0005-0000-0000-0000EF640000}"/>
    <cellStyle name="Shade 3 2 52" xfId="25840" xr:uid="{00000000-0005-0000-0000-0000F0640000}"/>
    <cellStyle name="Shade 3 2 53" xfId="25841" xr:uid="{00000000-0005-0000-0000-0000F1640000}"/>
    <cellStyle name="Shade 3 2 54" xfId="25842" xr:uid="{00000000-0005-0000-0000-0000F2640000}"/>
    <cellStyle name="Shade 3 2 55" xfId="25843" xr:uid="{00000000-0005-0000-0000-0000F3640000}"/>
    <cellStyle name="Shade 3 2 56" xfId="25844" xr:uid="{00000000-0005-0000-0000-0000F4640000}"/>
    <cellStyle name="Shade 3 2 57" xfId="25845" xr:uid="{00000000-0005-0000-0000-0000F5640000}"/>
    <cellStyle name="Shade 3 2 58" xfId="25846" xr:uid="{00000000-0005-0000-0000-0000F6640000}"/>
    <cellStyle name="Shade 3 2 59" xfId="25847" xr:uid="{00000000-0005-0000-0000-0000F7640000}"/>
    <cellStyle name="Shade 3 2 6" xfId="25848" xr:uid="{00000000-0005-0000-0000-0000F8640000}"/>
    <cellStyle name="Shade 3 2 60" xfId="25849" xr:uid="{00000000-0005-0000-0000-0000F9640000}"/>
    <cellStyle name="Shade 3 2 61" xfId="25850" xr:uid="{00000000-0005-0000-0000-0000FA640000}"/>
    <cellStyle name="Shade 3 2 62" xfId="25851" xr:uid="{00000000-0005-0000-0000-0000FB640000}"/>
    <cellStyle name="Shade 3 2 63" xfId="25852" xr:uid="{00000000-0005-0000-0000-0000FC640000}"/>
    <cellStyle name="Shade 3 2 64" xfId="25853" xr:uid="{00000000-0005-0000-0000-0000FD640000}"/>
    <cellStyle name="Shade 3 2 65" xfId="25854" xr:uid="{00000000-0005-0000-0000-0000FE640000}"/>
    <cellStyle name="Shade 3 2 66" xfId="25855" xr:uid="{00000000-0005-0000-0000-0000FF640000}"/>
    <cellStyle name="Shade 3 2 7" xfId="25856" xr:uid="{00000000-0005-0000-0000-000000650000}"/>
    <cellStyle name="Shade 3 2 8" xfId="25857" xr:uid="{00000000-0005-0000-0000-000001650000}"/>
    <cellStyle name="Shade 3 2 9" xfId="25858" xr:uid="{00000000-0005-0000-0000-000002650000}"/>
    <cellStyle name="Shade 3 3" xfId="25859" xr:uid="{00000000-0005-0000-0000-000003650000}"/>
    <cellStyle name="Shade 3 3 10" xfId="25860" xr:uid="{00000000-0005-0000-0000-000004650000}"/>
    <cellStyle name="Shade 3 3 11" xfId="25861" xr:uid="{00000000-0005-0000-0000-000005650000}"/>
    <cellStyle name="Shade 3 3 12" xfId="25862" xr:uid="{00000000-0005-0000-0000-000006650000}"/>
    <cellStyle name="Shade 3 3 13" xfId="25863" xr:uid="{00000000-0005-0000-0000-000007650000}"/>
    <cellStyle name="Shade 3 3 14" xfId="25864" xr:uid="{00000000-0005-0000-0000-000008650000}"/>
    <cellStyle name="Shade 3 3 15" xfId="25865" xr:uid="{00000000-0005-0000-0000-000009650000}"/>
    <cellStyle name="Shade 3 3 16" xfId="25866" xr:uid="{00000000-0005-0000-0000-00000A650000}"/>
    <cellStyle name="Shade 3 3 17" xfId="25867" xr:uid="{00000000-0005-0000-0000-00000B650000}"/>
    <cellStyle name="Shade 3 3 18" xfId="25868" xr:uid="{00000000-0005-0000-0000-00000C650000}"/>
    <cellStyle name="Shade 3 3 19" xfId="25869" xr:uid="{00000000-0005-0000-0000-00000D650000}"/>
    <cellStyle name="Shade 3 3 2" xfId="25870" xr:uid="{00000000-0005-0000-0000-00000E650000}"/>
    <cellStyle name="Shade 3 3 20" xfId="25871" xr:uid="{00000000-0005-0000-0000-00000F650000}"/>
    <cellStyle name="Shade 3 3 21" xfId="25872" xr:uid="{00000000-0005-0000-0000-000010650000}"/>
    <cellStyle name="Shade 3 3 22" xfId="25873" xr:uid="{00000000-0005-0000-0000-000011650000}"/>
    <cellStyle name="Shade 3 3 23" xfId="25874" xr:uid="{00000000-0005-0000-0000-000012650000}"/>
    <cellStyle name="Shade 3 3 24" xfId="25875" xr:uid="{00000000-0005-0000-0000-000013650000}"/>
    <cellStyle name="Shade 3 3 25" xfId="25876" xr:uid="{00000000-0005-0000-0000-000014650000}"/>
    <cellStyle name="Shade 3 3 26" xfId="25877" xr:uid="{00000000-0005-0000-0000-000015650000}"/>
    <cellStyle name="Shade 3 3 27" xfId="25878" xr:uid="{00000000-0005-0000-0000-000016650000}"/>
    <cellStyle name="Shade 3 3 28" xfId="25879" xr:uid="{00000000-0005-0000-0000-000017650000}"/>
    <cellStyle name="Shade 3 3 29" xfId="25880" xr:uid="{00000000-0005-0000-0000-000018650000}"/>
    <cellStyle name="Shade 3 3 3" xfId="25881" xr:uid="{00000000-0005-0000-0000-000019650000}"/>
    <cellStyle name="Shade 3 3 30" xfId="25882" xr:uid="{00000000-0005-0000-0000-00001A650000}"/>
    <cellStyle name="Shade 3 3 31" xfId="25883" xr:uid="{00000000-0005-0000-0000-00001B650000}"/>
    <cellStyle name="Shade 3 3 32" xfId="25884" xr:uid="{00000000-0005-0000-0000-00001C650000}"/>
    <cellStyle name="Shade 3 3 33" xfId="25885" xr:uid="{00000000-0005-0000-0000-00001D650000}"/>
    <cellStyle name="Shade 3 3 34" xfId="25886" xr:uid="{00000000-0005-0000-0000-00001E650000}"/>
    <cellStyle name="Shade 3 3 35" xfId="25887" xr:uid="{00000000-0005-0000-0000-00001F650000}"/>
    <cellStyle name="Shade 3 3 36" xfId="25888" xr:uid="{00000000-0005-0000-0000-000020650000}"/>
    <cellStyle name="Shade 3 3 37" xfId="25889" xr:uid="{00000000-0005-0000-0000-000021650000}"/>
    <cellStyle name="Shade 3 3 38" xfId="25890" xr:uid="{00000000-0005-0000-0000-000022650000}"/>
    <cellStyle name="Shade 3 3 39" xfId="25891" xr:uid="{00000000-0005-0000-0000-000023650000}"/>
    <cellStyle name="Shade 3 3 4" xfId="25892" xr:uid="{00000000-0005-0000-0000-000024650000}"/>
    <cellStyle name="Shade 3 3 40" xfId="25893" xr:uid="{00000000-0005-0000-0000-000025650000}"/>
    <cellStyle name="Shade 3 3 41" xfId="25894" xr:uid="{00000000-0005-0000-0000-000026650000}"/>
    <cellStyle name="Shade 3 3 42" xfId="25895" xr:uid="{00000000-0005-0000-0000-000027650000}"/>
    <cellStyle name="Shade 3 3 43" xfId="25896" xr:uid="{00000000-0005-0000-0000-000028650000}"/>
    <cellStyle name="Shade 3 3 44" xfId="25897" xr:uid="{00000000-0005-0000-0000-000029650000}"/>
    <cellStyle name="Shade 3 3 45" xfId="25898" xr:uid="{00000000-0005-0000-0000-00002A650000}"/>
    <cellStyle name="Shade 3 3 46" xfId="25899" xr:uid="{00000000-0005-0000-0000-00002B650000}"/>
    <cellStyle name="Shade 3 3 47" xfId="25900" xr:uid="{00000000-0005-0000-0000-00002C650000}"/>
    <cellStyle name="Shade 3 3 48" xfId="25901" xr:uid="{00000000-0005-0000-0000-00002D650000}"/>
    <cellStyle name="Shade 3 3 49" xfId="25902" xr:uid="{00000000-0005-0000-0000-00002E650000}"/>
    <cellStyle name="Shade 3 3 5" xfId="25903" xr:uid="{00000000-0005-0000-0000-00002F650000}"/>
    <cellStyle name="Shade 3 3 50" xfId="25904" xr:uid="{00000000-0005-0000-0000-000030650000}"/>
    <cellStyle name="Shade 3 3 51" xfId="25905" xr:uid="{00000000-0005-0000-0000-000031650000}"/>
    <cellStyle name="Shade 3 3 52" xfId="25906" xr:uid="{00000000-0005-0000-0000-000032650000}"/>
    <cellStyle name="Shade 3 3 53" xfId="25907" xr:uid="{00000000-0005-0000-0000-000033650000}"/>
    <cellStyle name="Shade 3 3 54" xfId="25908" xr:uid="{00000000-0005-0000-0000-000034650000}"/>
    <cellStyle name="Shade 3 3 55" xfId="25909" xr:uid="{00000000-0005-0000-0000-000035650000}"/>
    <cellStyle name="Shade 3 3 56" xfId="25910" xr:uid="{00000000-0005-0000-0000-000036650000}"/>
    <cellStyle name="Shade 3 3 57" xfId="25911" xr:uid="{00000000-0005-0000-0000-000037650000}"/>
    <cellStyle name="Shade 3 3 58" xfId="25912" xr:uid="{00000000-0005-0000-0000-000038650000}"/>
    <cellStyle name="Shade 3 3 59" xfId="25913" xr:uid="{00000000-0005-0000-0000-000039650000}"/>
    <cellStyle name="Shade 3 3 6" xfId="25914" xr:uid="{00000000-0005-0000-0000-00003A650000}"/>
    <cellStyle name="Shade 3 3 60" xfId="25915" xr:uid="{00000000-0005-0000-0000-00003B650000}"/>
    <cellStyle name="Shade 3 3 61" xfId="25916" xr:uid="{00000000-0005-0000-0000-00003C650000}"/>
    <cellStyle name="Shade 3 3 62" xfId="25917" xr:uid="{00000000-0005-0000-0000-00003D650000}"/>
    <cellStyle name="Shade 3 3 63" xfId="25918" xr:uid="{00000000-0005-0000-0000-00003E650000}"/>
    <cellStyle name="Shade 3 3 64" xfId="25919" xr:uid="{00000000-0005-0000-0000-00003F650000}"/>
    <cellStyle name="Shade 3 3 65" xfId="25920" xr:uid="{00000000-0005-0000-0000-000040650000}"/>
    <cellStyle name="Shade 3 3 7" xfId="25921" xr:uid="{00000000-0005-0000-0000-000041650000}"/>
    <cellStyle name="Shade 3 3 8" xfId="25922" xr:uid="{00000000-0005-0000-0000-000042650000}"/>
    <cellStyle name="Shade 3 3 9" xfId="25923" xr:uid="{00000000-0005-0000-0000-000043650000}"/>
    <cellStyle name="Shade 4" xfId="25924" xr:uid="{00000000-0005-0000-0000-000044650000}"/>
    <cellStyle name="Shade 4 10" xfId="25925" xr:uid="{00000000-0005-0000-0000-000045650000}"/>
    <cellStyle name="Shade 4 11" xfId="25926" xr:uid="{00000000-0005-0000-0000-000046650000}"/>
    <cellStyle name="Shade 4 12" xfId="25927" xr:uid="{00000000-0005-0000-0000-000047650000}"/>
    <cellStyle name="Shade 4 13" xfId="25928" xr:uid="{00000000-0005-0000-0000-000048650000}"/>
    <cellStyle name="Shade 4 14" xfId="25929" xr:uid="{00000000-0005-0000-0000-000049650000}"/>
    <cellStyle name="Shade 4 15" xfId="25930" xr:uid="{00000000-0005-0000-0000-00004A650000}"/>
    <cellStyle name="Shade 4 16" xfId="25931" xr:uid="{00000000-0005-0000-0000-00004B650000}"/>
    <cellStyle name="Shade 4 17" xfId="25932" xr:uid="{00000000-0005-0000-0000-00004C650000}"/>
    <cellStyle name="Shade 4 18" xfId="25933" xr:uid="{00000000-0005-0000-0000-00004D650000}"/>
    <cellStyle name="Shade 4 19" xfId="25934" xr:uid="{00000000-0005-0000-0000-00004E650000}"/>
    <cellStyle name="Shade 4 2" xfId="25935" xr:uid="{00000000-0005-0000-0000-00004F650000}"/>
    <cellStyle name="Shade 4 2 2" xfId="25936" xr:uid="{00000000-0005-0000-0000-000050650000}"/>
    <cellStyle name="Shade 4 2 2 10" xfId="25937" xr:uid="{00000000-0005-0000-0000-000051650000}"/>
    <cellStyle name="Shade 4 2 2 11" xfId="25938" xr:uid="{00000000-0005-0000-0000-000052650000}"/>
    <cellStyle name="Shade 4 2 2 12" xfId="25939" xr:uid="{00000000-0005-0000-0000-000053650000}"/>
    <cellStyle name="Shade 4 2 2 13" xfId="25940" xr:uid="{00000000-0005-0000-0000-000054650000}"/>
    <cellStyle name="Shade 4 2 2 14" xfId="25941" xr:uid="{00000000-0005-0000-0000-000055650000}"/>
    <cellStyle name="Shade 4 2 2 15" xfId="25942" xr:uid="{00000000-0005-0000-0000-000056650000}"/>
    <cellStyle name="Shade 4 2 2 16" xfId="25943" xr:uid="{00000000-0005-0000-0000-000057650000}"/>
    <cellStyle name="Shade 4 2 2 17" xfId="25944" xr:uid="{00000000-0005-0000-0000-000058650000}"/>
    <cellStyle name="Shade 4 2 2 18" xfId="25945" xr:uid="{00000000-0005-0000-0000-000059650000}"/>
    <cellStyle name="Shade 4 2 2 19" xfId="25946" xr:uid="{00000000-0005-0000-0000-00005A650000}"/>
    <cellStyle name="Shade 4 2 2 2" xfId="25947" xr:uid="{00000000-0005-0000-0000-00005B650000}"/>
    <cellStyle name="Shade 4 2 2 20" xfId="25948" xr:uid="{00000000-0005-0000-0000-00005C650000}"/>
    <cellStyle name="Shade 4 2 2 21" xfId="25949" xr:uid="{00000000-0005-0000-0000-00005D650000}"/>
    <cellStyle name="Shade 4 2 2 22" xfId="25950" xr:uid="{00000000-0005-0000-0000-00005E650000}"/>
    <cellStyle name="Shade 4 2 2 23" xfId="25951" xr:uid="{00000000-0005-0000-0000-00005F650000}"/>
    <cellStyle name="Shade 4 2 2 24" xfId="25952" xr:uid="{00000000-0005-0000-0000-000060650000}"/>
    <cellStyle name="Shade 4 2 2 25" xfId="25953" xr:uid="{00000000-0005-0000-0000-000061650000}"/>
    <cellStyle name="Shade 4 2 2 26" xfId="25954" xr:uid="{00000000-0005-0000-0000-000062650000}"/>
    <cellStyle name="Shade 4 2 2 27" xfId="25955" xr:uid="{00000000-0005-0000-0000-000063650000}"/>
    <cellStyle name="Shade 4 2 2 28" xfId="25956" xr:uid="{00000000-0005-0000-0000-000064650000}"/>
    <cellStyle name="Shade 4 2 2 29" xfId="25957" xr:uid="{00000000-0005-0000-0000-000065650000}"/>
    <cellStyle name="Shade 4 2 2 3" xfId="25958" xr:uid="{00000000-0005-0000-0000-000066650000}"/>
    <cellStyle name="Shade 4 2 2 30" xfId="25959" xr:uid="{00000000-0005-0000-0000-000067650000}"/>
    <cellStyle name="Shade 4 2 2 31" xfId="25960" xr:uid="{00000000-0005-0000-0000-000068650000}"/>
    <cellStyle name="Shade 4 2 2 32" xfId="25961" xr:uid="{00000000-0005-0000-0000-000069650000}"/>
    <cellStyle name="Shade 4 2 2 33" xfId="25962" xr:uid="{00000000-0005-0000-0000-00006A650000}"/>
    <cellStyle name="Shade 4 2 2 34" xfId="25963" xr:uid="{00000000-0005-0000-0000-00006B650000}"/>
    <cellStyle name="Shade 4 2 2 35" xfId="25964" xr:uid="{00000000-0005-0000-0000-00006C650000}"/>
    <cellStyle name="Shade 4 2 2 36" xfId="25965" xr:uid="{00000000-0005-0000-0000-00006D650000}"/>
    <cellStyle name="Shade 4 2 2 37" xfId="25966" xr:uid="{00000000-0005-0000-0000-00006E650000}"/>
    <cellStyle name="Shade 4 2 2 38" xfId="25967" xr:uid="{00000000-0005-0000-0000-00006F650000}"/>
    <cellStyle name="Shade 4 2 2 39" xfId="25968" xr:uid="{00000000-0005-0000-0000-000070650000}"/>
    <cellStyle name="Shade 4 2 2 4" xfId="25969" xr:uid="{00000000-0005-0000-0000-000071650000}"/>
    <cellStyle name="Shade 4 2 2 40" xfId="25970" xr:uid="{00000000-0005-0000-0000-000072650000}"/>
    <cellStyle name="Shade 4 2 2 41" xfId="25971" xr:uid="{00000000-0005-0000-0000-000073650000}"/>
    <cellStyle name="Shade 4 2 2 42" xfId="25972" xr:uid="{00000000-0005-0000-0000-000074650000}"/>
    <cellStyle name="Shade 4 2 2 43" xfId="25973" xr:uid="{00000000-0005-0000-0000-000075650000}"/>
    <cellStyle name="Shade 4 2 2 44" xfId="25974" xr:uid="{00000000-0005-0000-0000-000076650000}"/>
    <cellStyle name="Shade 4 2 2 45" xfId="25975" xr:uid="{00000000-0005-0000-0000-000077650000}"/>
    <cellStyle name="Shade 4 2 2 46" xfId="25976" xr:uid="{00000000-0005-0000-0000-000078650000}"/>
    <cellStyle name="Shade 4 2 2 47" xfId="25977" xr:uid="{00000000-0005-0000-0000-000079650000}"/>
    <cellStyle name="Shade 4 2 2 48" xfId="25978" xr:uid="{00000000-0005-0000-0000-00007A650000}"/>
    <cellStyle name="Shade 4 2 2 49" xfId="25979" xr:uid="{00000000-0005-0000-0000-00007B650000}"/>
    <cellStyle name="Shade 4 2 2 5" xfId="25980" xr:uid="{00000000-0005-0000-0000-00007C650000}"/>
    <cellStyle name="Shade 4 2 2 50" xfId="25981" xr:uid="{00000000-0005-0000-0000-00007D650000}"/>
    <cellStyle name="Shade 4 2 2 51" xfId="25982" xr:uid="{00000000-0005-0000-0000-00007E650000}"/>
    <cellStyle name="Shade 4 2 2 52" xfId="25983" xr:uid="{00000000-0005-0000-0000-00007F650000}"/>
    <cellStyle name="Shade 4 2 2 53" xfId="25984" xr:uid="{00000000-0005-0000-0000-000080650000}"/>
    <cellStyle name="Shade 4 2 2 54" xfId="25985" xr:uid="{00000000-0005-0000-0000-000081650000}"/>
    <cellStyle name="Shade 4 2 2 55" xfId="25986" xr:uid="{00000000-0005-0000-0000-000082650000}"/>
    <cellStyle name="Shade 4 2 2 56" xfId="25987" xr:uid="{00000000-0005-0000-0000-000083650000}"/>
    <cellStyle name="Shade 4 2 2 57" xfId="25988" xr:uid="{00000000-0005-0000-0000-000084650000}"/>
    <cellStyle name="Shade 4 2 2 58" xfId="25989" xr:uid="{00000000-0005-0000-0000-000085650000}"/>
    <cellStyle name="Shade 4 2 2 59" xfId="25990" xr:uid="{00000000-0005-0000-0000-000086650000}"/>
    <cellStyle name="Shade 4 2 2 6" xfId="25991" xr:uid="{00000000-0005-0000-0000-000087650000}"/>
    <cellStyle name="Shade 4 2 2 60" xfId="25992" xr:uid="{00000000-0005-0000-0000-000088650000}"/>
    <cellStyle name="Shade 4 2 2 61" xfId="25993" xr:uid="{00000000-0005-0000-0000-000089650000}"/>
    <cellStyle name="Shade 4 2 2 62" xfId="25994" xr:uid="{00000000-0005-0000-0000-00008A650000}"/>
    <cellStyle name="Shade 4 2 2 63" xfId="25995" xr:uid="{00000000-0005-0000-0000-00008B650000}"/>
    <cellStyle name="Shade 4 2 2 64" xfId="25996" xr:uid="{00000000-0005-0000-0000-00008C650000}"/>
    <cellStyle name="Shade 4 2 2 65" xfId="25997" xr:uid="{00000000-0005-0000-0000-00008D650000}"/>
    <cellStyle name="Shade 4 2 2 7" xfId="25998" xr:uid="{00000000-0005-0000-0000-00008E650000}"/>
    <cellStyle name="Shade 4 2 2 8" xfId="25999" xr:uid="{00000000-0005-0000-0000-00008F650000}"/>
    <cellStyle name="Shade 4 2 2 9" xfId="26000" xr:uid="{00000000-0005-0000-0000-000090650000}"/>
    <cellStyle name="Shade 4 2 3" xfId="26001" xr:uid="{00000000-0005-0000-0000-000091650000}"/>
    <cellStyle name="Shade 4 2 3 10" xfId="26002" xr:uid="{00000000-0005-0000-0000-000092650000}"/>
    <cellStyle name="Shade 4 2 3 11" xfId="26003" xr:uid="{00000000-0005-0000-0000-000093650000}"/>
    <cellStyle name="Shade 4 2 3 12" xfId="26004" xr:uid="{00000000-0005-0000-0000-000094650000}"/>
    <cellStyle name="Shade 4 2 3 13" xfId="26005" xr:uid="{00000000-0005-0000-0000-000095650000}"/>
    <cellStyle name="Shade 4 2 3 14" xfId="26006" xr:uid="{00000000-0005-0000-0000-000096650000}"/>
    <cellStyle name="Shade 4 2 3 15" xfId="26007" xr:uid="{00000000-0005-0000-0000-000097650000}"/>
    <cellStyle name="Shade 4 2 3 16" xfId="26008" xr:uid="{00000000-0005-0000-0000-000098650000}"/>
    <cellStyle name="Shade 4 2 3 17" xfId="26009" xr:uid="{00000000-0005-0000-0000-000099650000}"/>
    <cellStyle name="Shade 4 2 3 18" xfId="26010" xr:uid="{00000000-0005-0000-0000-00009A650000}"/>
    <cellStyle name="Shade 4 2 3 19" xfId="26011" xr:uid="{00000000-0005-0000-0000-00009B650000}"/>
    <cellStyle name="Shade 4 2 3 2" xfId="26012" xr:uid="{00000000-0005-0000-0000-00009C650000}"/>
    <cellStyle name="Shade 4 2 3 20" xfId="26013" xr:uid="{00000000-0005-0000-0000-00009D650000}"/>
    <cellStyle name="Shade 4 2 3 21" xfId="26014" xr:uid="{00000000-0005-0000-0000-00009E650000}"/>
    <cellStyle name="Shade 4 2 3 22" xfId="26015" xr:uid="{00000000-0005-0000-0000-00009F650000}"/>
    <cellStyle name="Shade 4 2 3 23" xfId="26016" xr:uid="{00000000-0005-0000-0000-0000A0650000}"/>
    <cellStyle name="Shade 4 2 3 24" xfId="26017" xr:uid="{00000000-0005-0000-0000-0000A1650000}"/>
    <cellStyle name="Shade 4 2 3 25" xfId="26018" xr:uid="{00000000-0005-0000-0000-0000A2650000}"/>
    <cellStyle name="Shade 4 2 3 26" xfId="26019" xr:uid="{00000000-0005-0000-0000-0000A3650000}"/>
    <cellStyle name="Shade 4 2 3 27" xfId="26020" xr:uid="{00000000-0005-0000-0000-0000A4650000}"/>
    <cellStyle name="Shade 4 2 3 28" xfId="26021" xr:uid="{00000000-0005-0000-0000-0000A5650000}"/>
    <cellStyle name="Shade 4 2 3 29" xfId="26022" xr:uid="{00000000-0005-0000-0000-0000A6650000}"/>
    <cellStyle name="Shade 4 2 3 3" xfId="26023" xr:uid="{00000000-0005-0000-0000-0000A7650000}"/>
    <cellStyle name="Shade 4 2 3 30" xfId="26024" xr:uid="{00000000-0005-0000-0000-0000A8650000}"/>
    <cellStyle name="Shade 4 2 3 31" xfId="26025" xr:uid="{00000000-0005-0000-0000-0000A9650000}"/>
    <cellStyle name="Shade 4 2 3 32" xfId="26026" xr:uid="{00000000-0005-0000-0000-0000AA650000}"/>
    <cellStyle name="Shade 4 2 3 33" xfId="26027" xr:uid="{00000000-0005-0000-0000-0000AB650000}"/>
    <cellStyle name="Shade 4 2 3 34" xfId="26028" xr:uid="{00000000-0005-0000-0000-0000AC650000}"/>
    <cellStyle name="Shade 4 2 3 35" xfId="26029" xr:uid="{00000000-0005-0000-0000-0000AD650000}"/>
    <cellStyle name="Shade 4 2 3 36" xfId="26030" xr:uid="{00000000-0005-0000-0000-0000AE650000}"/>
    <cellStyle name="Shade 4 2 3 37" xfId="26031" xr:uid="{00000000-0005-0000-0000-0000AF650000}"/>
    <cellStyle name="Shade 4 2 3 38" xfId="26032" xr:uid="{00000000-0005-0000-0000-0000B0650000}"/>
    <cellStyle name="Shade 4 2 3 39" xfId="26033" xr:uid="{00000000-0005-0000-0000-0000B1650000}"/>
    <cellStyle name="Shade 4 2 3 4" xfId="26034" xr:uid="{00000000-0005-0000-0000-0000B2650000}"/>
    <cellStyle name="Shade 4 2 3 40" xfId="26035" xr:uid="{00000000-0005-0000-0000-0000B3650000}"/>
    <cellStyle name="Shade 4 2 3 41" xfId="26036" xr:uid="{00000000-0005-0000-0000-0000B4650000}"/>
    <cellStyle name="Shade 4 2 3 42" xfId="26037" xr:uid="{00000000-0005-0000-0000-0000B5650000}"/>
    <cellStyle name="Shade 4 2 3 43" xfId="26038" xr:uid="{00000000-0005-0000-0000-0000B6650000}"/>
    <cellStyle name="Shade 4 2 3 44" xfId="26039" xr:uid="{00000000-0005-0000-0000-0000B7650000}"/>
    <cellStyle name="Shade 4 2 3 45" xfId="26040" xr:uid="{00000000-0005-0000-0000-0000B8650000}"/>
    <cellStyle name="Shade 4 2 3 46" xfId="26041" xr:uid="{00000000-0005-0000-0000-0000B9650000}"/>
    <cellStyle name="Shade 4 2 3 47" xfId="26042" xr:uid="{00000000-0005-0000-0000-0000BA650000}"/>
    <cellStyle name="Shade 4 2 3 48" xfId="26043" xr:uid="{00000000-0005-0000-0000-0000BB650000}"/>
    <cellStyle name="Shade 4 2 3 49" xfId="26044" xr:uid="{00000000-0005-0000-0000-0000BC650000}"/>
    <cellStyle name="Shade 4 2 3 5" xfId="26045" xr:uid="{00000000-0005-0000-0000-0000BD650000}"/>
    <cellStyle name="Shade 4 2 3 50" xfId="26046" xr:uid="{00000000-0005-0000-0000-0000BE650000}"/>
    <cellStyle name="Shade 4 2 3 51" xfId="26047" xr:uid="{00000000-0005-0000-0000-0000BF650000}"/>
    <cellStyle name="Shade 4 2 3 52" xfId="26048" xr:uid="{00000000-0005-0000-0000-0000C0650000}"/>
    <cellStyle name="Shade 4 2 3 53" xfId="26049" xr:uid="{00000000-0005-0000-0000-0000C1650000}"/>
    <cellStyle name="Shade 4 2 3 54" xfId="26050" xr:uid="{00000000-0005-0000-0000-0000C2650000}"/>
    <cellStyle name="Shade 4 2 3 55" xfId="26051" xr:uid="{00000000-0005-0000-0000-0000C3650000}"/>
    <cellStyle name="Shade 4 2 3 56" xfId="26052" xr:uid="{00000000-0005-0000-0000-0000C4650000}"/>
    <cellStyle name="Shade 4 2 3 57" xfId="26053" xr:uid="{00000000-0005-0000-0000-0000C5650000}"/>
    <cellStyle name="Shade 4 2 3 58" xfId="26054" xr:uid="{00000000-0005-0000-0000-0000C6650000}"/>
    <cellStyle name="Shade 4 2 3 59" xfId="26055" xr:uid="{00000000-0005-0000-0000-0000C7650000}"/>
    <cellStyle name="Shade 4 2 3 6" xfId="26056" xr:uid="{00000000-0005-0000-0000-0000C8650000}"/>
    <cellStyle name="Shade 4 2 3 60" xfId="26057" xr:uid="{00000000-0005-0000-0000-0000C9650000}"/>
    <cellStyle name="Shade 4 2 3 61" xfId="26058" xr:uid="{00000000-0005-0000-0000-0000CA650000}"/>
    <cellStyle name="Shade 4 2 3 62" xfId="26059" xr:uid="{00000000-0005-0000-0000-0000CB650000}"/>
    <cellStyle name="Shade 4 2 3 63" xfId="26060" xr:uid="{00000000-0005-0000-0000-0000CC650000}"/>
    <cellStyle name="Shade 4 2 3 64" xfId="26061" xr:uid="{00000000-0005-0000-0000-0000CD650000}"/>
    <cellStyle name="Shade 4 2 3 65" xfId="26062" xr:uid="{00000000-0005-0000-0000-0000CE650000}"/>
    <cellStyle name="Shade 4 2 3 7" xfId="26063" xr:uid="{00000000-0005-0000-0000-0000CF650000}"/>
    <cellStyle name="Shade 4 2 3 8" xfId="26064" xr:uid="{00000000-0005-0000-0000-0000D0650000}"/>
    <cellStyle name="Shade 4 2 3 9" xfId="26065" xr:uid="{00000000-0005-0000-0000-0000D1650000}"/>
    <cellStyle name="Shade 4 20" xfId="26066" xr:uid="{00000000-0005-0000-0000-0000D2650000}"/>
    <cellStyle name="Shade 4 21" xfId="26067" xr:uid="{00000000-0005-0000-0000-0000D3650000}"/>
    <cellStyle name="Shade 4 22" xfId="26068" xr:uid="{00000000-0005-0000-0000-0000D4650000}"/>
    <cellStyle name="Shade 4 23" xfId="26069" xr:uid="{00000000-0005-0000-0000-0000D5650000}"/>
    <cellStyle name="Shade 4 24" xfId="26070" xr:uid="{00000000-0005-0000-0000-0000D6650000}"/>
    <cellStyle name="Shade 4 25" xfId="26071" xr:uid="{00000000-0005-0000-0000-0000D7650000}"/>
    <cellStyle name="Shade 4 26" xfId="26072" xr:uid="{00000000-0005-0000-0000-0000D8650000}"/>
    <cellStyle name="Shade 4 27" xfId="26073" xr:uid="{00000000-0005-0000-0000-0000D9650000}"/>
    <cellStyle name="Shade 4 28" xfId="26074" xr:uid="{00000000-0005-0000-0000-0000DA650000}"/>
    <cellStyle name="Shade 4 29" xfId="26075" xr:uid="{00000000-0005-0000-0000-0000DB650000}"/>
    <cellStyle name="Shade 4 3" xfId="26076" xr:uid="{00000000-0005-0000-0000-0000DC650000}"/>
    <cellStyle name="Shade 4 3 10" xfId="26077" xr:uid="{00000000-0005-0000-0000-0000DD650000}"/>
    <cellStyle name="Shade 4 3 11" xfId="26078" xr:uid="{00000000-0005-0000-0000-0000DE650000}"/>
    <cellStyle name="Shade 4 3 12" xfId="26079" xr:uid="{00000000-0005-0000-0000-0000DF650000}"/>
    <cellStyle name="Shade 4 3 13" xfId="26080" xr:uid="{00000000-0005-0000-0000-0000E0650000}"/>
    <cellStyle name="Shade 4 3 14" xfId="26081" xr:uid="{00000000-0005-0000-0000-0000E1650000}"/>
    <cellStyle name="Shade 4 3 15" xfId="26082" xr:uid="{00000000-0005-0000-0000-0000E2650000}"/>
    <cellStyle name="Shade 4 3 16" xfId="26083" xr:uid="{00000000-0005-0000-0000-0000E3650000}"/>
    <cellStyle name="Shade 4 3 17" xfId="26084" xr:uid="{00000000-0005-0000-0000-0000E4650000}"/>
    <cellStyle name="Shade 4 3 18" xfId="26085" xr:uid="{00000000-0005-0000-0000-0000E5650000}"/>
    <cellStyle name="Shade 4 3 19" xfId="26086" xr:uid="{00000000-0005-0000-0000-0000E6650000}"/>
    <cellStyle name="Shade 4 3 2" xfId="26087" xr:uid="{00000000-0005-0000-0000-0000E7650000}"/>
    <cellStyle name="Shade 4 3 2 10" xfId="26088" xr:uid="{00000000-0005-0000-0000-0000E8650000}"/>
    <cellStyle name="Shade 4 3 2 11" xfId="26089" xr:uid="{00000000-0005-0000-0000-0000E9650000}"/>
    <cellStyle name="Shade 4 3 2 12" xfId="26090" xr:uid="{00000000-0005-0000-0000-0000EA650000}"/>
    <cellStyle name="Shade 4 3 2 13" xfId="26091" xr:uid="{00000000-0005-0000-0000-0000EB650000}"/>
    <cellStyle name="Shade 4 3 2 14" xfId="26092" xr:uid="{00000000-0005-0000-0000-0000EC650000}"/>
    <cellStyle name="Shade 4 3 2 15" xfId="26093" xr:uid="{00000000-0005-0000-0000-0000ED650000}"/>
    <cellStyle name="Shade 4 3 2 16" xfId="26094" xr:uid="{00000000-0005-0000-0000-0000EE650000}"/>
    <cellStyle name="Shade 4 3 2 17" xfId="26095" xr:uid="{00000000-0005-0000-0000-0000EF650000}"/>
    <cellStyle name="Shade 4 3 2 18" xfId="26096" xr:uid="{00000000-0005-0000-0000-0000F0650000}"/>
    <cellStyle name="Shade 4 3 2 19" xfId="26097" xr:uid="{00000000-0005-0000-0000-0000F1650000}"/>
    <cellStyle name="Shade 4 3 2 2" xfId="26098" xr:uid="{00000000-0005-0000-0000-0000F2650000}"/>
    <cellStyle name="Shade 4 3 2 20" xfId="26099" xr:uid="{00000000-0005-0000-0000-0000F3650000}"/>
    <cellStyle name="Shade 4 3 2 21" xfId="26100" xr:uid="{00000000-0005-0000-0000-0000F4650000}"/>
    <cellStyle name="Shade 4 3 2 22" xfId="26101" xr:uid="{00000000-0005-0000-0000-0000F5650000}"/>
    <cellStyle name="Shade 4 3 2 23" xfId="26102" xr:uid="{00000000-0005-0000-0000-0000F6650000}"/>
    <cellStyle name="Shade 4 3 2 24" xfId="26103" xr:uid="{00000000-0005-0000-0000-0000F7650000}"/>
    <cellStyle name="Shade 4 3 2 25" xfId="26104" xr:uid="{00000000-0005-0000-0000-0000F8650000}"/>
    <cellStyle name="Shade 4 3 2 26" xfId="26105" xr:uid="{00000000-0005-0000-0000-0000F9650000}"/>
    <cellStyle name="Shade 4 3 2 27" xfId="26106" xr:uid="{00000000-0005-0000-0000-0000FA650000}"/>
    <cellStyle name="Shade 4 3 2 28" xfId="26107" xr:uid="{00000000-0005-0000-0000-0000FB650000}"/>
    <cellStyle name="Shade 4 3 2 29" xfId="26108" xr:uid="{00000000-0005-0000-0000-0000FC650000}"/>
    <cellStyle name="Shade 4 3 2 3" xfId="26109" xr:uid="{00000000-0005-0000-0000-0000FD650000}"/>
    <cellStyle name="Shade 4 3 2 30" xfId="26110" xr:uid="{00000000-0005-0000-0000-0000FE650000}"/>
    <cellStyle name="Shade 4 3 2 31" xfId="26111" xr:uid="{00000000-0005-0000-0000-0000FF650000}"/>
    <cellStyle name="Shade 4 3 2 32" xfId="26112" xr:uid="{00000000-0005-0000-0000-000000660000}"/>
    <cellStyle name="Shade 4 3 2 33" xfId="26113" xr:uid="{00000000-0005-0000-0000-000001660000}"/>
    <cellStyle name="Shade 4 3 2 34" xfId="26114" xr:uid="{00000000-0005-0000-0000-000002660000}"/>
    <cellStyle name="Shade 4 3 2 35" xfId="26115" xr:uid="{00000000-0005-0000-0000-000003660000}"/>
    <cellStyle name="Shade 4 3 2 36" xfId="26116" xr:uid="{00000000-0005-0000-0000-000004660000}"/>
    <cellStyle name="Shade 4 3 2 37" xfId="26117" xr:uid="{00000000-0005-0000-0000-000005660000}"/>
    <cellStyle name="Shade 4 3 2 38" xfId="26118" xr:uid="{00000000-0005-0000-0000-000006660000}"/>
    <cellStyle name="Shade 4 3 2 39" xfId="26119" xr:uid="{00000000-0005-0000-0000-000007660000}"/>
    <cellStyle name="Shade 4 3 2 4" xfId="26120" xr:uid="{00000000-0005-0000-0000-000008660000}"/>
    <cellStyle name="Shade 4 3 2 40" xfId="26121" xr:uid="{00000000-0005-0000-0000-000009660000}"/>
    <cellStyle name="Shade 4 3 2 41" xfId="26122" xr:uid="{00000000-0005-0000-0000-00000A660000}"/>
    <cellStyle name="Shade 4 3 2 42" xfId="26123" xr:uid="{00000000-0005-0000-0000-00000B660000}"/>
    <cellStyle name="Shade 4 3 2 43" xfId="26124" xr:uid="{00000000-0005-0000-0000-00000C660000}"/>
    <cellStyle name="Shade 4 3 2 44" xfId="26125" xr:uid="{00000000-0005-0000-0000-00000D660000}"/>
    <cellStyle name="Shade 4 3 2 45" xfId="26126" xr:uid="{00000000-0005-0000-0000-00000E660000}"/>
    <cellStyle name="Shade 4 3 2 46" xfId="26127" xr:uid="{00000000-0005-0000-0000-00000F660000}"/>
    <cellStyle name="Shade 4 3 2 47" xfId="26128" xr:uid="{00000000-0005-0000-0000-000010660000}"/>
    <cellStyle name="Shade 4 3 2 48" xfId="26129" xr:uid="{00000000-0005-0000-0000-000011660000}"/>
    <cellStyle name="Shade 4 3 2 49" xfId="26130" xr:uid="{00000000-0005-0000-0000-000012660000}"/>
    <cellStyle name="Shade 4 3 2 5" xfId="26131" xr:uid="{00000000-0005-0000-0000-000013660000}"/>
    <cellStyle name="Shade 4 3 2 50" xfId="26132" xr:uid="{00000000-0005-0000-0000-000014660000}"/>
    <cellStyle name="Shade 4 3 2 51" xfId="26133" xr:uid="{00000000-0005-0000-0000-000015660000}"/>
    <cellStyle name="Shade 4 3 2 52" xfId="26134" xr:uid="{00000000-0005-0000-0000-000016660000}"/>
    <cellStyle name="Shade 4 3 2 53" xfId="26135" xr:uid="{00000000-0005-0000-0000-000017660000}"/>
    <cellStyle name="Shade 4 3 2 54" xfId="26136" xr:uid="{00000000-0005-0000-0000-000018660000}"/>
    <cellStyle name="Shade 4 3 2 55" xfId="26137" xr:uid="{00000000-0005-0000-0000-000019660000}"/>
    <cellStyle name="Shade 4 3 2 56" xfId="26138" xr:uid="{00000000-0005-0000-0000-00001A660000}"/>
    <cellStyle name="Shade 4 3 2 57" xfId="26139" xr:uid="{00000000-0005-0000-0000-00001B660000}"/>
    <cellStyle name="Shade 4 3 2 58" xfId="26140" xr:uid="{00000000-0005-0000-0000-00001C660000}"/>
    <cellStyle name="Shade 4 3 2 59" xfId="26141" xr:uid="{00000000-0005-0000-0000-00001D660000}"/>
    <cellStyle name="Shade 4 3 2 6" xfId="26142" xr:uid="{00000000-0005-0000-0000-00001E660000}"/>
    <cellStyle name="Shade 4 3 2 60" xfId="26143" xr:uid="{00000000-0005-0000-0000-00001F660000}"/>
    <cellStyle name="Shade 4 3 2 61" xfId="26144" xr:uid="{00000000-0005-0000-0000-000020660000}"/>
    <cellStyle name="Shade 4 3 2 62" xfId="26145" xr:uid="{00000000-0005-0000-0000-000021660000}"/>
    <cellStyle name="Shade 4 3 2 63" xfId="26146" xr:uid="{00000000-0005-0000-0000-000022660000}"/>
    <cellStyle name="Shade 4 3 2 64" xfId="26147" xr:uid="{00000000-0005-0000-0000-000023660000}"/>
    <cellStyle name="Shade 4 3 2 65" xfId="26148" xr:uid="{00000000-0005-0000-0000-000024660000}"/>
    <cellStyle name="Shade 4 3 2 7" xfId="26149" xr:uid="{00000000-0005-0000-0000-000025660000}"/>
    <cellStyle name="Shade 4 3 2 8" xfId="26150" xr:uid="{00000000-0005-0000-0000-000026660000}"/>
    <cellStyle name="Shade 4 3 2 9" xfId="26151" xr:uid="{00000000-0005-0000-0000-000027660000}"/>
    <cellStyle name="Shade 4 3 20" xfId="26152" xr:uid="{00000000-0005-0000-0000-000028660000}"/>
    <cellStyle name="Shade 4 3 21" xfId="26153" xr:uid="{00000000-0005-0000-0000-000029660000}"/>
    <cellStyle name="Shade 4 3 22" xfId="26154" xr:uid="{00000000-0005-0000-0000-00002A660000}"/>
    <cellStyle name="Shade 4 3 23" xfId="26155" xr:uid="{00000000-0005-0000-0000-00002B660000}"/>
    <cellStyle name="Shade 4 3 24" xfId="26156" xr:uid="{00000000-0005-0000-0000-00002C660000}"/>
    <cellStyle name="Shade 4 3 25" xfId="26157" xr:uid="{00000000-0005-0000-0000-00002D660000}"/>
    <cellStyle name="Shade 4 3 26" xfId="26158" xr:uid="{00000000-0005-0000-0000-00002E660000}"/>
    <cellStyle name="Shade 4 3 27" xfId="26159" xr:uid="{00000000-0005-0000-0000-00002F660000}"/>
    <cellStyle name="Shade 4 3 28" xfId="26160" xr:uid="{00000000-0005-0000-0000-000030660000}"/>
    <cellStyle name="Shade 4 3 29" xfId="26161" xr:uid="{00000000-0005-0000-0000-000031660000}"/>
    <cellStyle name="Shade 4 3 3" xfId="26162" xr:uid="{00000000-0005-0000-0000-000032660000}"/>
    <cellStyle name="Shade 4 3 30" xfId="26163" xr:uid="{00000000-0005-0000-0000-000033660000}"/>
    <cellStyle name="Shade 4 3 31" xfId="26164" xr:uid="{00000000-0005-0000-0000-000034660000}"/>
    <cellStyle name="Shade 4 3 32" xfId="26165" xr:uid="{00000000-0005-0000-0000-000035660000}"/>
    <cellStyle name="Shade 4 3 33" xfId="26166" xr:uid="{00000000-0005-0000-0000-000036660000}"/>
    <cellStyle name="Shade 4 3 34" xfId="26167" xr:uid="{00000000-0005-0000-0000-000037660000}"/>
    <cellStyle name="Shade 4 3 35" xfId="26168" xr:uid="{00000000-0005-0000-0000-000038660000}"/>
    <cellStyle name="Shade 4 3 36" xfId="26169" xr:uid="{00000000-0005-0000-0000-000039660000}"/>
    <cellStyle name="Shade 4 3 37" xfId="26170" xr:uid="{00000000-0005-0000-0000-00003A660000}"/>
    <cellStyle name="Shade 4 3 38" xfId="26171" xr:uid="{00000000-0005-0000-0000-00003B660000}"/>
    <cellStyle name="Shade 4 3 39" xfId="26172" xr:uid="{00000000-0005-0000-0000-00003C660000}"/>
    <cellStyle name="Shade 4 3 4" xfId="26173" xr:uid="{00000000-0005-0000-0000-00003D660000}"/>
    <cellStyle name="Shade 4 3 40" xfId="26174" xr:uid="{00000000-0005-0000-0000-00003E660000}"/>
    <cellStyle name="Shade 4 3 41" xfId="26175" xr:uid="{00000000-0005-0000-0000-00003F660000}"/>
    <cellStyle name="Shade 4 3 42" xfId="26176" xr:uid="{00000000-0005-0000-0000-000040660000}"/>
    <cellStyle name="Shade 4 3 43" xfId="26177" xr:uid="{00000000-0005-0000-0000-000041660000}"/>
    <cellStyle name="Shade 4 3 44" xfId="26178" xr:uid="{00000000-0005-0000-0000-000042660000}"/>
    <cellStyle name="Shade 4 3 45" xfId="26179" xr:uid="{00000000-0005-0000-0000-000043660000}"/>
    <cellStyle name="Shade 4 3 46" xfId="26180" xr:uid="{00000000-0005-0000-0000-000044660000}"/>
    <cellStyle name="Shade 4 3 47" xfId="26181" xr:uid="{00000000-0005-0000-0000-000045660000}"/>
    <cellStyle name="Shade 4 3 48" xfId="26182" xr:uid="{00000000-0005-0000-0000-000046660000}"/>
    <cellStyle name="Shade 4 3 49" xfId="26183" xr:uid="{00000000-0005-0000-0000-000047660000}"/>
    <cellStyle name="Shade 4 3 5" xfId="26184" xr:uid="{00000000-0005-0000-0000-000048660000}"/>
    <cellStyle name="Shade 4 3 50" xfId="26185" xr:uid="{00000000-0005-0000-0000-000049660000}"/>
    <cellStyle name="Shade 4 3 51" xfId="26186" xr:uid="{00000000-0005-0000-0000-00004A660000}"/>
    <cellStyle name="Shade 4 3 52" xfId="26187" xr:uid="{00000000-0005-0000-0000-00004B660000}"/>
    <cellStyle name="Shade 4 3 53" xfId="26188" xr:uid="{00000000-0005-0000-0000-00004C660000}"/>
    <cellStyle name="Shade 4 3 54" xfId="26189" xr:uid="{00000000-0005-0000-0000-00004D660000}"/>
    <cellStyle name="Shade 4 3 55" xfId="26190" xr:uid="{00000000-0005-0000-0000-00004E660000}"/>
    <cellStyle name="Shade 4 3 56" xfId="26191" xr:uid="{00000000-0005-0000-0000-00004F660000}"/>
    <cellStyle name="Shade 4 3 57" xfId="26192" xr:uid="{00000000-0005-0000-0000-000050660000}"/>
    <cellStyle name="Shade 4 3 58" xfId="26193" xr:uid="{00000000-0005-0000-0000-000051660000}"/>
    <cellStyle name="Shade 4 3 59" xfId="26194" xr:uid="{00000000-0005-0000-0000-000052660000}"/>
    <cellStyle name="Shade 4 3 6" xfId="26195" xr:uid="{00000000-0005-0000-0000-000053660000}"/>
    <cellStyle name="Shade 4 3 60" xfId="26196" xr:uid="{00000000-0005-0000-0000-000054660000}"/>
    <cellStyle name="Shade 4 3 61" xfId="26197" xr:uid="{00000000-0005-0000-0000-000055660000}"/>
    <cellStyle name="Shade 4 3 62" xfId="26198" xr:uid="{00000000-0005-0000-0000-000056660000}"/>
    <cellStyle name="Shade 4 3 63" xfId="26199" xr:uid="{00000000-0005-0000-0000-000057660000}"/>
    <cellStyle name="Shade 4 3 64" xfId="26200" xr:uid="{00000000-0005-0000-0000-000058660000}"/>
    <cellStyle name="Shade 4 3 65" xfId="26201" xr:uid="{00000000-0005-0000-0000-000059660000}"/>
    <cellStyle name="Shade 4 3 66" xfId="26202" xr:uid="{00000000-0005-0000-0000-00005A660000}"/>
    <cellStyle name="Shade 4 3 7" xfId="26203" xr:uid="{00000000-0005-0000-0000-00005B660000}"/>
    <cellStyle name="Shade 4 3 8" xfId="26204" xr:uid="{00000000-0005-0000-0000-00005C660000}"/>
    <cellStyle name="Shade 4 3 9" xfId="26205" xr:uid="{00000000-0005-0000-0000-00005D660000}"/>
    <cellStyle name="Shade 4 30" xfId="26206" xr:uid="{00000000-0005-0000-0000-00005E660000}"/>
    <cellStyle name="Shade 4 31" xfId="26207" xr:uid="{00000000-0005-0000-0000-00005F660000}"/>
    <cellStyle name="Shade 4 32" xfId="26208" xr:uid="{00000000-0005-0000-0000-000060660000}"/>
    <cellStyle name="Shade 4 33" xfId="26209" xr:uid="{00000000-0005-0000-0000-000061660000}"/>
    <cellStyle name="Shade 4 34" xfId="26210" xr:uid="{00000000-0005-0000-0000-000062660000}"/>
    <cellStyle name="Shade 4 35" xfId="26211" xr:uid="{00000000-0005-0000-0000-000063660000}"/>
    <cellStyle name="Shade 4 36" xfId="26212" xr:uid="{00000000-0005-0000-0000-000064660000}"/>
    <cellStyle name="Shade 4 37" xfId="26213" xr:uid="{00000000-0005-0000-0000-000065660000}"/>
    <cellStyle name="Shade 4 38" xfId="26214" xr:uid="{00000000-0005-0000-0000-000066660000}"/>
    <cellStyle name="Shade 4 39" xfId="26215" xr:uid="{00000000-0005-0000-0000-000067660000}"/>
    <cellStyle name="Shade 4 4" xfId="26216" xr:uid="{00000000-0005-0000-0000-000068660000}"/>
    <cellStyle name="Shade 4 4 10" xfId="26217" xr:uid="{00000000-0005-0000-0000-000069660000}"/>
    <cellStyle name="Shade 4 4 11" xfId="26218" xr:uid="{00000000-0005-0000-0000-00006A660000}"/>
    <cellStyle name="Shade 4 4 12" xfId="26219" xr:uid="{00000000-0005-0000-0000-00006B660000}"/>
    <cellStyle name="Shade 4 4 13" xfId="26220" xr:uid="{00000000-0005-0000-0000-00006C660000}"/>
    <cellStyle name="Shade 4 4 14" xfId="26221" xr:uid="{00000000-0005-0000-0000-00006D660000}"/>
    <cellStyle name="Shade 4 4 15" xfId="26222" xr:uid="{00000000-0005-0000-0000-00006E660000}"/>
    <cellStyle name="Shade 4 4 16" xfId="26223" xr:uid="{00000000-0005-0000-0000-00006F660000}"/>
    <cellStyle name="Shade 4 4 17" xfId="26224" xr:uid="{00000000-0005-0000-0000-000070660000}"/>
    <cellStyle name="Shade 4 4 18" xfId="26225" xr:uid="{00000000-0005-0000-0000-000071660000}"/>
    <cellStyle name="Shade 4 4 19" xfId="26226" xr:uid="{00000000-0005-0000-0000-000072660000}"/>
    <cellStyle name="Shade 4 4 2" xfId="26227" xr:uid="{00000000-0005-0000-0000-000073660000}"/>
    <cellStyle name="Shade 4 4 2 10" xfId="26228" xr:uid="{00000000-0005-0000-0000-000074660000}"/>
    <cellStyle name="Shade 4 4 2 11" xfId="26229" xr:uid="{00000000-0005-0000-0000-000075660000}"/>
    <cellStyle name="Shade 4 4 2 12" xfId="26230" xr:uid="{00000000-0005-0000-0000-000076660000}"/>
    <cellStyle name="Shade 4 4 2 13" xfId="26231" xr:uid="{00000000-0005-0000-0000-000077660000}"/>
    <cellStyle name="Shade 4 4 2 14" xfId="26232" xr:uid="{00000000-0005-0000-0000-000078660000}"/>
    <cellStyle name="Shade 4 4 2 15" xfId="26233" xr:uid="{00000000-0005-0000-0000-000079660000}"/>
    <cellStyle name="Shade 4 4 2 16" xfId="26234" xr:uid="{00000000-0005-0000-0000-00007A660000}"/>
    <cellStyle name="Shade 4 4 2 17" xfId="26235" xr:uid="{00000000-0005-0000-0000-00007B660000}"/>
    <cellStyle name="Shade 4 4 2 18" xfId="26236" xr:uid="{00000000-0005-0000-0000-00007C660000}"/>
    <cellStyle name="Shade 4 4 2 19" xfId="26237" xr:uid="{00000000-0005-0000-0000-00007D660000}"/>
    <cellStyle name="Shade 4 4 2 2" xfId="26238" xr:uid="{00000000-0005-0000-0000-00007E660000}"/>
    <cellStyle name="Shade 4 4 2 20" xfId="26239" xr:uid="{00000000-0005-0000-0000-00007F660000}"/>
    <cellStyle name="Shade 4 4 2 21" xfId="26240" xr:uid="{00000000-0005-0000-0000-000080660000}"/>
    <cellStyle name="Shade 4 4 2 22" xfId="26241" xr:uid="{00000000-0005-0000-0000-000081660000}"/>
    <cellStyle name="Shade 4 4 2 23" xfId="26242" xr:uid="{00000000-0005-0000-0000-000082660000}"/>
    <cellStyle name="Shade 4 4 2 24" xfId="26243" xr:uid="{00000000-0005-0000-0000-000083660000}"/>
    <cellStyle name="Shade 4 4 2 25" xfId="26244" xr:uid="{00000000-0005-0000-0000-000084660000}"/>
    <cellStyle name="Shade 4 4 2 26" xfId="26245" xr:uid="{00000000-0005-0000-0000-000085660000}"/>
    <cellStyle name="Shade 4 4 2 27" xfId="26246" xr:uid="{00000000-0005-0000-0000-000086660000}"/>
    <cellStyle name="Shade 4 4 2 28" xfId="26247" xr:uid="{00000000-0005-0000-0000-000087660000}"/>
    <cellStyle name="Shade 4 4 2 29" xfId="26248" xr:uid="{00000000-0005-0000-0000-000088660000}"/>
    <cellStyle name="Shade 4 4 2 3" xfId="26249" xr:uid="{00000000-0005-0000-0000-000089660000}"/>
    <cellStyle name="Shade 4 4 2 30" xfId="26250" xr:uid="{00000000-0005-0000-0000-00008A660000}"/>
    <cellStyle name="Shade 4 4 2 31" xfId="26251" xr:uid="{00000000-0005-0000-0000-00008B660000}"/>
    <cellStyle name="Shade 4 4 2 32" xfId="26252" xr:uid="{00000000-0005-0000-0000-00008C660000}"/>
    <cellStyle name="Shade 4 4 2 33" xfId="26253" xr:uid="{00000000-0005-0000-0000-00008D660000}"/>
    <cellStyle name="Shade 4 4 2 34" xfId="26254" xr:uid="{00000000-0005-0000-0000-00008E660000}"/>
    <cellStyle name="Shade 4 4 2 35" xfId="26255" xr:uid="{00000000-0005-0000-0000-00008F660000}"/>
    <cellStyle name="Shade 4 4 2 36" xfId="26256" xr:uid="{00000000-0005-0000-0000-000090660000}"/>
    <cellStyle name="Shade 4 4 2 37" xfId="26257" xr:uid="{00000000-0005-0000-0000-000091660000}"/>
    <cellStyle name="Shade 4 4 2 38" xfId="26258" xr:uid="{00000000-0005-0000-0000-000092660000}"/>
    <cellStyle name="Shade 4 4 2 39" xfId="26259" xr:uid="{00000000-0005-0000-0000-000093660000}"/>
    <cellStyle name="Shade 4 4 2 4" xfId="26260" xr:uid="{00000000-0005-0000-0000-000094660000}"/>
    <cellStyle name="Shade 4 4 2 40" xfId="26261" xr:uid="{00000000-0005-0000-0000-000095660000}"/>
    <cellStyle name="Shade 4 4 2 41" xfId="26262" xr:uid="{00000000-0005-0000-0000-000096660000}"/>
    <cellStyle name="Shade 4 4 2 42" xfId="26263" xr:uid="{00000000-0005-0000-0000-000097660000}"/>
    <cellStyle name="Shade 4 4 2 43" xfId="26264" xr:uid="{00000000-0005-0000-0000-000098660000}"/>
    <cellStyle name="Shade 4 4 2 44" xfId="26265" xr:uid="{00000000-0005-0000-0000-000099660000}"/>
    <cellStyle name="Shade 4 4 2 45" xfId="26266" xr:uid="{00000000-0005-0000-0000-00009A660000}"/>
    <cellStyle name="Shade 4 4 2 46" xfId="26267" xr:uid="{00000000-0005-0000-0000-00009B660000}"/>
    <cellStyle name="Shade 4 4 2 47" xfId="26268" xr:uid="{00000000-0005-0000-0000-00009C660000}"/>
    <cellStyle name="Shade 4 4 2 48" xfId="26269" xr:uid="{00000000-0005-0000-0000-00009D660000}"/>
    <cellStyle name="Shade 4 4 2 49" xfId="26270" xr:uid="{00000000-0005-0000-0000-00009E660000}"/>
    <cellStyle name="Shade 4 4 2 5" xfId="26271" xr:uid="{00000000-0005-0000-0000-00009F660000}"/>
    <cellStyle name="Shade 4 4 2 50" xfId="26272" xr:uid="{00000000-0005-0000-0000-0000A0660000}"/>
    <cellStyle name="Shade 4 4 2 51" xfId="26273" xr:uid="{00000000-0005-0000-0000-0000A1660000}"/>
    <cellStyle name="Shade 4 4 2 52" xfId="26274" xr:uid="{00000000-0005-0000-0000-0000A2660000}"/>
    <cellStyle name="Shade 4 4 2 53" xfId="26275" xr:uid="{00000000-0005-0000-0000-0000A3660000}"/>
    <cellStyle name="Shade 4 4 2 54" xfId="26276" xr:uid="{00000000-0005-0000-0000-0000A4660000}"/>
    <cellStyle name="Shade 4 4 2 55" xfId="26277" xr:uid="{00000000-0005-0000-0000-0000A5660000}"/>
    <cellStyle name="Shade 4 4 2 56" xfId="26278" xr:uid="{00000000-0005-0000-0000-0000A6660000}"/>
    <cellStyle name="Shade 4 4 2 57" xfId="26279" xr:uid="{00000000-0005-0000-0000-0000A7660000}"/>
    <cellStyle name="Shade 4 4 2 58" xfId="26280" xr:uid="{00000000-0005-0000-0000-0000A8660000}"/>
    <cellStyle name="Shade 4 4 2 59" xfId="26281" xr:uid="{00000000-0005-0000-0000-0000A9660000}"/>
    <cellStyle name="Shade 4 4 2 6" xfId="26282" xr:uid="{00000000-0005-0000-0000-0000AA660000}"/>
    <cellStyle name="Shade 4 4 2 60" xfId="26283" xr:uid="{00000000-0005-0000-0000-0000AB660000}"/>
    <cellStyle name="Shade 4 4 2 61" xfId="26284" xr:uid="{00000000-0005-0000-0000-0000AC660000}"/>
    <cellStyle name="Shade 4 4 2 62" xfId="26285" xr:uid="{00000000-0005-0000-0000-0000AD660000}"/>
    <cellStyle name="Shade 4 4 2 63" xfId="26286" xr:uid="{00000000-0005-0000-0000-0000AE660000}"/>
    <cellStyle name="Shade 4 4 2 64" xfId="26287" xr:uid="{00000000-0005-0000-0000-0000AF660000}"/>
    <cellStyle name="Shade 4 4 2 65" xfId="26288" xr:uid="{00000000-0005-0000-0000-0000B0660000}"/>
    <cellStyle name="Shade 4 4 2 7" xfId="26289" xr:uid="{00000000-0005-0000-0000-0000B1660000}"/>
    <cellStyle name="Shade 4 4 2 8" xfId="26290" xr:uid="{00000000-0005-0000-0000-0000B2660000}"/>
    <cellStyle name="Shade 4 4 2 9" xfId="26291" xr:uid="{00000000-0005-0000-0000-0000B3660000}"/>
    <cellStyle name="Shade 4 4 20" xfId="26292" xr:uid="{00000000-0005-0000-0000-0000B4660000}"/>
    <cellStyle name="Shade 4 4 21" xfId="26293" xr:uid="{00000000-0005-0000-0000-0000B5660000}"/>
    <cellStyle name="Shade 4 4 22" xfId="26294" xr:uid="{00000000-0005-0000-0000-0000B6660000}"/>
    <cellStyle name="Shade 4 4 23" xfId="26295" xr:uid="{00000000-0005-0000-0000-0000B7660000}"/>
    <cellStyle name="Shade 4 4 24" xfId="26296" xr:uid="{00000000-0005-0000-0000-0000B8660000}"/>
    <cellStyle name="Shade 4 4 25" xfId="26297" xr:uid="{00000000-0005-0000-0000-0000B9660000}"/>
    <cellStyle name="Shade 4 4 26" xfId="26298" xr:uid="{00000000-0005-0000-0000-0000BA660000}"/>
    <cellStyle name="Shade 4 4 27" xfId="26299" xr:uid="{00000000-0005-0000-0000-0000BB660000}"/>
    <cellStyle name="Shade 4 4 28" xfId="26300" xr:uid="{00000000-0005-0000-0000-0000BC660000}"/>
    <cellStyle name="Shade 4 4 29" xfId="26301" xr:uid="{00000000-0005-0000-0000-0000BD660000}"/>
    <cellStyle name="Shade 4 4 3" xfId="26302" xr:uid="{00000000-0005-0000-0000-0000BE660000}"/>
    <cellStyle name="Shade 4 4 30" xfId="26303" xr:uid="{00000000-0005-0000-0000-0000BF660000}"/>
    <cellStyle name="Shade 4 4 31" xfId="26304" xr:uid="{00000000-0005-0000-0000-0000C0660000}"/>
    <cellStyle name="Shade 4 4 32" xfId="26305" xr:uid="{00000000-0005-0000-0000-0000C1660000}"/>
    <cellStyle name="Shade 4 4 33" xfId="26306" xr:uid="{00000000-0005-0000-0000-0000C2660000}"/>
    <cellStyle name="Shade 4 4 34" xfId="26307" xr:uid="{00000000-0005-0000-0000-0000C3660000}"/>
    <cellStyle name="Shade 4 4 35" xfId="26308" xr:uid="{00000000-0005-0000-0000-0000C4660000}"/>
    <cellStyle name="Shade 4 4 36" xfId="26309" xr:uid="{00000000-0005-0000-0000-0000C5660000}"/>
    <cellStyle name="Shade 4 4 37" xfId="26310" xr:uid="{00000000-0005-0000-0000-0000C6660000}"/>
    <cellStyle name="Shade 4 4 38" xfId="26311" xr:uid="{00000000-0005-0000-0000-0000C7660000}"/>
    <cellStyle name="Shade 4 4 39" xfId="26312" xr:uid="{00000000-0005-0000-0000-0000C8660000}"/>
    <cellStyle name="Shade 4 4 4" xfId="26313" xr:uid="{00000000-0005-0000-0000-0000C9660000}"/>
    <cellStyle name="Shade 4 4 40" xfId="26314" xr:uid="{00000000-0005-0000-0000-0000CA660000}"/>
    <cellStyle name="Shade 4 4 41" xfId="26315" xr:uid="{00000000-0005-0000-0000-0000CB660000}"/>
    <cellStyle name="Shade 4 4 42" xfId="26316" xr:uid="{00000000-0005-0000-0000-0000CC660000}"/>
    <cellStyle name="Shade 4 4 43" xfId="26317" xr:uid="{00000000-0005-0000-0000-0000CD660000}"/>
    <cellStyle name="Shade 4 4 44" xfId="26318" xr:uid="{00000000-0005-0000-0000-0000CE660000}"/>
    <cellStyle name="Shade 4 4 45" xfId="26319" xr:uid="{00000000-0005-0000-0000-0000CF660000}"/>
    <cellStyle name="Shade 4 4 46" xfId="26320" xr:uid="{00000000-0005-0000-0000-0000D0660000}"/>
    <cellStyle name="Shade 4 4 47" xfId="26321" xr:uid="{00000000-0005-0000-0000-0000D1660000}"/>
    <cellStyle name="Shade 4 4 48" xfId="26322" xr:uid="{00000000-0005-0000-0000-0000D2660000}"/>
    <cellStyle name="Shade 4 4 49" xfId="26323" xr:uid="{00000000-0005-0000-0000-0000D3660000}"/>
    <cellStyle name="Shade 4 4 5" xfId="26324" xr:uid="{00000000-0005-0000-0000-0000D4660000}"/>
    <cellStyle name="Shade 4 4 50" xfId="26325" xr:uid="{00000000-0005-0000-0000-0000D5660000}"/>
    <cellStyle name="Shade 4 4 51" xfId="26326" xr:uid="{00000000-0005-0000-0000-0000D6660000}"/>
    <cellStyle name="Shade 4 4 52" xfId="26327" xr:uid="{00000000-0005-0000-0000-0000D7660000}"/>
    <cellStyle name="Shade 4 4 53" xfId="26328" xr:uid="{00000000-0005-0000-0000-0000D8660000}"/>
    <cellStyle name="Shade 4 4 54" xfId="26329" xr:uid="{00000000-0005-0000-0000-0000D9660000}"/>
    <cellStyle name="Shade 4 4 55" xfId="26330" xr:uid="{00000000-0005-0000-0000-0000DA660000}"/>
    <cellStyle name="Shade 4 4 56" xfId="26331" xr:uid="{00000000-0005-0000-0000-0000DB660000}"/>
    <cellStyle name="Shade 4 4 57" xfId="26332" xr:uid="{00000000-0005-0000-0000-0000DC660000}"/>
    <cellStyle name="Shade 4 4 58" xfId="26333" xr:uid="{00000000-0005-0000-0000-0000DD660000}"/>
    <cellStyle name="Shade 4 4 59" xfId="26334" xr:uid="{00000000-0005-0000-0000-0000DE660000}"/>
    <cellStyle name="Shade 4 4 6" xfId="26335" xr:uid="{00000000-0005-0000-0000-0000DF660000}"/>
    <cellStyle name="Shade 4 4 60" xfId="26336" xr:uid="{00000000-0005-0000-0000-0000E0660000}"/>
    <cellStyle name="Shade 4 4 61" xfId="26337" xr:uid="{00000000-0005-0000-0000-0000E1660000}"/>
    <cellStyle name="Shade 4 4 62" xfId="26338" xr:uid="{00000000-0005-0000-0000-0000E2660000}"/>
    <cellStyle name="Shade 4 4 63" xfId="26339" xr:uid="{00000000-0005-0000-0000-0000E3660000}"/>
    <cellStyle name="Shade 4 4 64" xfId="26340" xr:uid="{00000000-0005-0000-0000-0000E4660000}"/>
    <cellStyle name="Shade 4 4 65" xfId="26341" xr:uid="{00000000-0005-0000-0000-0000E5660000}"/>
    <cellStyle name="Shade 4 4 66" xfId="26342" xr:uid="{00000000-0005-0000-0000-0000E6660000}"/>
    <cellStyle name="Shade 4 4 7" xfId="26343" xr:uid="{00000000-0005-0000-0000-0000E7660000}"/>
    <cellStyle name="Shade 4 4 8" xfId="26344" xr:uid="{00000000-0005-0000-0000-0000E8660000}"/>
    <cellStyle name="Shade 4 4 9" xfId="26345" xr:uid="{00000000-0005-0000-0000-0000E9660000}"/>
    <cellStyle name="Shade 4 40" xfId="26346" xr:uid="{00000000-0005-0000-0000-0000EA660000}"/>
    <cellStyle name="Shade 4 41" xfId="26347" xr:uid="{00000000-0005-0000-0000-0000EB660000}"/>
    <cellStyle name="Shade 4 42" xfId="26348" xr:uid="{00000000-0005-0000-0000-0000EC660000}"/>
    <cellStyle name="Shade 4 43" xfId="26349" xr:uid="{00000000-0005-0000-0000-0000ED660000}"/>
    <cellStyle name="Shade 4 44" xfId="26350" xr:uid="{00000000-0005-0000-0000-0000EE660000}"/>
    <cellStyle name="Shade 4 45" xfId="26351" xr:uid="{00000000-0005-0000-0000-0000EF660000}"/>
    <cellStyle name="Shade 4 46" xfId="26352" xr:uid="{00000000-0005-0000-0000-0000F0660000}"/>
    <cellStyle name="Shade 4 47" xfId="26353" xr:uid="{00000000-0005-0000-0000-0000F1660000}"/>
    <cellStyle name="Shade 4 48" xfId="26354" xr:uid="{00000000-0005-0000-0000-0000F2660000}"/>
    <cellStyle name="Shade 4 49" xfId="26355" xr:uid="{00000000-0005-0000-0000-0000F3660000}"/>
    <cellStyle name="Shade 4 5" xfId="26356" xr:uid="{00000000-0005-0000-0000-0000F4660000}"/>
    <cellStyle name="Shade 4 50" xfId="26357" xr:uid="{00000000-0005-0000-0000-0000F5660000}"/>
    <cellStyle name="Shade 4 51" xfId="26358" xr:uid="{00000000-0005-0000-0000-0000F6660000}"/>
    <cellStyle name="Shade 4 52" xfId="26359" xr:uid="{00000000-0005-0000-0000-0000F7660000}"/>
    <cellStyle name="Shade 4 53" xfId="26360" xr:uid="{00000000-0005-0000-0000-0000F8660000}"/>
    <cellStyle name="Shade 4 54" xfId="26361" xr:uid="{00000000-0005-0000-0000-0000F9660000}"/>
    <cellStyle name="Shade 4 55" xfId="26362" xr:uid="{00000000-0005-0000-0000-0000FA660000}"/>
    <cellStyle name="Shade 4 56" xfId="26363" xr:uid="{00000000-0005-0000-0000-0000FB660000}"/>
    <cellStyle name="Shade 4 57" xfId="26364" xr:uid="{00000000-0005-0000-0000-0000FC660000}"/>
    <cellStyle name="Shade 4 58" xfId="26365" xr:uid="{00000000-0005-0000-0000-0000FD660000}"/>
    <cellStyle name="Shade 4 59" xfId="26366" xr:uid="{00000000-0005-0000-0000-0000FE660000}"/>
    <cellStyle name="Shade 4 6" xfId="26367" xr:uid="{00000000-0005-0000-0000-0000FF660000}"/>
    <cellStyle name="Shade 4 60" xfId="26368" xr:uid="{00000000-0005-0000-0000-000000670000}"/>
    <cellStyle name="Shade 4 61" xfId="26369" xr:uid="{00000000-0005-0000-0000-000001670000}"/>
    <cellStyle name="Shade 4 62" xfId="26370" xr:uid="{00000000-0005-0000-0000-000002670000}"/>
    <cellStyle name="Shade 4 63" xfId="26371" xr:uid="{00000000-0005-0000-0000-000003670000}"/>
    <cellStyle name="Shade 4 64" xfId="26372" xr:uid="{00000000-0005-0000-0000-000004670000}"/>
    <cellStyle name="Shade 4 65" xfId="26373" xr:uid="{00000000-0005-0000-0000-000005670000}"/>
    <cellStyle name="Shade 4 66" xfId="26374" xr:uid="{00000000-0005-0000-0000-000006670000}"/>
    <cellStyle name="Shade 4 67" xfId="26375" xr:uid="{00000000-0005-0000-0000-000007670000}"/>
    <cellStyle name="Shade 4 68" xfId="26376" xr:uid="{00000000-0005-0000-0000-000008670000}"/>
    <cellStyle name="Shade 4 7" xfId="26377" xr:uid="{00000000-0005-0000-0000-000009670000}"/>
    <cellStyle name="Shade 4 8" xfId="26378" xr:uid="{00000000-0005-0000-0000-00000A670000}"/>
    <cellStyle name="Shade 4 9" xfId="26379" xr:uid="{00000000-0005-0000-0000-00000B670000}"/>
    <cellStyle name="Shade 5" xfId="26380" xr:uid="{00000000-0005-0000-0000-00000C670000}"/>
    <cellStyle name="Shade 5 10" xfId="26381" xr:uid="{00000000-0005-0000-0000-00000D670000}"/>
    <cellStyle name="Shade 5 11" xfId="26382" xr:uid="{00000000-0005-0000-0000-00000E670000}"/>
    <cellStyle name="Shade 5 12" xfId="26383" xr:uid="{00000000-0005-0000-0000-00000F670000}"/>
    <cellStyle name="Shade 5 13" xfId="26384" xr:uid="{00000000-0005-0000-0000-000010670000}"/>
    <cellStyle name="Shade 5 14" xfId="26385" xr:uid="{00000000-0005-0000-0000-000011670000}"/>
    <cellStyle name="Shade 5 15" xfId="26386" xr:uid="{00000000-0005-0000-0000-000012670000}"/>
    <cellStyle name="Shade 5 16" xfId="26387" xr:uid="{00000000-0005-0000-0000-000013670000}"/>
    <cellStyle name="Shade 5 2" xfId="26388" xr:uid="{00000000-0005-0000-0000-000014670000}"/>
    <cellStyle name="Shade 5 3" xfId="26389" xr:uid="{00000000-0005-0000-0000-000015670000}"/>
    <cellStyle name="Shade 5 4" xfId="26390" xr:uid="{00000000-0005-0000-0000-000016670000}"/>
    <cellStyle name="Shade 5 5" xfId="26391" xr:uid="{00000000-0005-0000-0000-000017670000}"/>
    <cellStyle name="Shade 5 6" xfId="26392" xr:uid="{00000000-0005-0000-0000-000018670000}"/>
    <cellStyle name="Shade 5 7" xfId="26393" xr:uid="{00000000-0005-0000-0000-000019670000}"/>
    <cellStyle name="Shade 5 8" xfId="26394" xr:uid="{00000000-0005-0000-0000-00001A670000}"/>
    <cellStyle name="Shade 5 9" xfId="26395" xr:uid="{00000000-0005-0000-0000-00001B670000}"/>
    <cellStyle name="Shade_B_border2" xfId="26396" xr:uid="{00000000-0005-0000-0000-00001C670000}"/>
    <cellStyle name="Standard 2" xfId="26397" xr:uid="{00000000-0005-0000-0000-00001D670000}"/>
    <cellStyle name="Standard 2 2" xfId="26398" xr:uid="{00000000-0005-0000-0000-00001E670000}"/>
    <cellStyle name="Standard 2 2 2" xfId="26399" xr:uid="{00000000-0005-0000-0000-00001F670000}"/>
    <cellStyle name="Standard 2 3" xfId="26400" xr:uid="{00000000-0005-0000-0000-000020670000}"/>
    <cellStyle name="Title 2" xfId="26401" xr:uid="{00000000-0005-0000-0000-000021670000}"/>
    <cellStyle name="Title 3" xfId="26402" xr:uid="{00000000-0005-0000-0000-000022670000}"/>
    <cellStyle name="Total 2" xfId="26403" xr:uid="{00000000-0005-0000-0000-000023670000}"/>
    <cellStyle name="Total 2 10" xfId="26404" xr:uid="{00000000-0005-0000-0000-000024670000}"/>
    <cellStyle name="Total 2 11" xfId="26405" xr:uid="{00000000-0005-0000-0000-000025670000}"/>
    <cellStyle name="Total 2 12" xfId="26406" xr:uid="{00000000-0005-0000-0000-000026670000}"/>
    <cellStyle name="Total 2 13" xfId="26407" xr:uid="{00000000-0005-0000-0000-000027670000}"/>
    <cellStyle name="Total 2 14" xfId="26408" xr:uid="{00000000-0005-0000-0000-000028670000}"/>
    <cellStyle name="Total 2 15" xfId="26409" xr:uid="{00000000-0005-0000-0000-000029670000}"/>
    <cellStyle name="Total 2 16" xfId="26410" xr:uid="{00000000-0005-0000-0000-00002A670000}"/>
    <cellStyle name="Total 2 17" xfId="26411" xr:uid="{00000000-0005-0000-0000-00002B670000}"/>
    <cellStyle name="Total 2 18" xfId="26412" xr:uid="{00000000-0005-0000-0000-00002C670000}"/>
    <cellStyle name="Total 2 19" xfId="26413" xr:uid="{00000000-0005-0000-0000-00002D670000}"/>
    <cellStyle name="Total 2 2" xfId="26414" xr:uid="{00000000-0005-0000-0000-00002E670000}"/>
    <cellStyle name="Total 2 2 10" xfId="26415" xr:uid="{00000000-0005-0000-0000-00002F670000}"/>
    <cellStyle name="Total 2 2 11" xfId="26416" xr:uid="{00000000-0005-0000-0000-000030670000}"/>
    <cellStyle name="Total 2 2 12" xfId="26417" xr:uid="{00000000-0005-0000-0000-000031670000}"/>
    <cellStyle name="Total 2 2 13" xfId="26418" xr:uid="{00000000-0005-0000-0000-000032670000}"/>
    <cellStyle name="Total 2 2 14" xfId="26419" xr:uid="{00000000-0005-0000-0000-000033670000}"/>
    <cellStyle name="Total 2 2 15" xfId="26420" xr:uid="{00000000-0005-0000-0000-000034670000}"/>
    <cellStyle name="Total 2 2 16" xfId="26421" xr:uid="{00000000-0005-0000-0000-000035670000}"/>
    <cellStyle name="Total 2 2 17" xfId="26422" xr:uid="{00000000-0005-0000-0000-000036670000}"/>
    <cellStyle name="Total 2 2 18" xfId="26423" xr:uid="{00000000-0005-0000-0000-000037670000}"/>
    <cellStyle name="Total 2 2 19" xfId="26424" xr:uid="{00000000-0005-0000-0000-000038670000}"/>
    <cellStyle name="Total 2 2 2" xfId="26425" xr:uid="{00000000-0005-0000-0000-000039670000}"/>
    <cellStyle name="Total 2 2 2 10" xfId="26426" xr:uid="{00000000-0005-0000-0000-00003A670000}"/>
    <cellStyle name="Total 2 2 2 11" xfId="26427" xr:uid="{00000000-0005-0000-0000-00003B670000}"/>
    <cellStyle name="Total 2 2 2 12" xfId="26428" xr:uid="{00000000-0005-0000-0000-00003C670000}"/>
    <cellStyle name="Total 2 2 2 13" xfId="26429" xr:uid="{00000000-0005-0000-0000-00003D670000}"/>
    <cellStyle name="Total 2 2 2 14" xfId="26430" xr:uid="{00000000-0005-0000-0000-00003E670000}"/>
    <cellStyle name="Total 2 2 2 15" xfId="26431" xr:uid="{00000000-0005-0000-0000-00003F670000}"/>
    <cellStyle name="Total 2 2 2 16" xfId="26432" xr:uid="{00000000-0005-0000-0000-000040670000}"/>
    <cellStyle name="Total 2 2 2 17" xfId="26433" xr:uid="{00000000-0005-0000-0000-000041670000}"/>
    <cellStyle name="Total 2 2 2 18" xfId="26434" xr:uid="{00000000-0005-0000-0000-000042670000}"/>
    <cellStyle name="Total 2 2 2 19" xfId="26435" xr:uid="{00000000-0005-0000-0000-000043670000}"/>
    <cellStyle name="Total 2 2 2 2" xfId="26436" xr:uid="{00000000-0005-0000-0000-000044670000}"/>
    <cellStyle name="Total 2 2 2 20" xfId="26437" xr:uid="{00000000-0005-0000-0000-000045670000}"/>
    <cellStyle name="Total 2 2 2 21" xfId="26438" xr:uid="{00000000-0005-0000-0000-000046670000}"/>
    <cellStyle name="Total 2 2 2 22" xfId="26439" xr:uid="{00000000-0005-0000-0000-000047670000}"/>
    <cellStyle name="Total 2 2 2 23" xfId="26440" xr:uid="{00000000-0005-0000-0000-000048670000}"/>
    <cellStyle name="Total 2 2 2 24" xfId="26441" xr:uid="{00000000-0005-0000-0000-000049670000}"/>
    <cellStyle name="Total 2 2 2 25" xfId="26442" xr:uid="{00000000-0005-0000-0000-00004A670000}"/>
    <cellStyle name="Total 2 2 2 26" xfId="26443" xr:uid="{00000000-0005-0000-0000-00004B670000}"/>
    <cellStyle name="Total 2 2 2 27" xfId="26444" xr:uid="{00000000-0005-0000-0000-00004C670000}"/>
    <cellStyle name="Total 2 2 2 28" xfId="26445" xr:uid="{00000000-0005-0000-0000-00004D670000}"/>
    <cellStyle name="Total 2 2 2 29" xfId="26446" xr:uid="{00000000-0005-0000-0000-00004E670000}"/>
    <cellStyle name="Total 2 2 2 3" xfId="26447" xr:uid="{00000000-0005-0000-0000-00004F670000}"/>
    <cellStyle name="Total 2 2 2 30" xfId="26448" xr:uid="{00000000-0005-0000-0000-000050670000}"/>
    <cellStyle name="Total 2 2 2 31" xfId="26449" xr:uid="{00000000-0005-0000-0000-000051670000}"/>
    <cellStyle name="Total 2 2 2 32" xfId="26450" xr:uid="{00000000-0005-0000-0000-000052670000}"/>
    <cellStyle name="Total 2 2 2 33" xfId="26451" xr:uid="{00000000-0005-0000-0000-000053670000}"/>
    <cellStyle name="Total 2 2 2 34" xfId="26452" xr:uid="{00000000-0005-0000-0000-000054670000}"/>
    <cellStyle name="Total 2 2 2 35" xfId="26453" xr:uid="{00000000-0005-0000-0000-000055670000}"/>
    <cellStyle name="Total 2 2 2 36" xfId="26454" xr:uid="{00000000-0005-0000-0000-000056670000}"/>
    <cellStyle name="Total 2 2 2 37" xfId="26455" xr:uid="{00000000-0005-0000-0000-000057670000}"/>
    <cellStyle name="Total 2 2 2 38" xfId="26456" xr:uid="{00000000-0005-0000-0000-000058670000}"/>
    <cellStyle name="Total 2 2 2 39" xfId="26457" xr:uid="{00000000-0005-0000-0000-000059670000}"/>
    <cellStyle name="Total 2 2 2 4" xfId="26458" xr:uid="{00000000-0005-0000-0000-00005A670000}"/>
    <cellStyle name="Total 2 2 2 40" xfId="26459" xr:uid="{00000000-0005-0000-0000-00005B670000}"/>
    <cellStyle name="Total 2 2 2 41" xfId="26460" xr:uid="{00000000-0005-0000-0000-00005C670000}"/>
    <cellStyle name="Total 2 2 2 42" xfId="26461" xr:uid="{00000000-0005-0000-0000-00005D670000}"/>
    <cellStyle name="Total 2 2 2 43" xfId="26462" xr:uid="{00000000-0005-0000-0000-00005E670000}"/>
    <cellStyle name="Total 2 2 2 44" xfId="26463" xr:uid="{00000000-0005-0000-0000-00005F670000}"/>
    <cellStyle name="Total 2 2 2 45" xfId="26464" xr:uid="{00000000-0005-0000-0000-000060670000}"/>
    <cellStyle name="Total 2 2 2 46" xfId="26465" xr:uid="{00000000-0005-0000-0000-000061670000}"/>
    <cellStyle name="Total 2 2 2 47" xfId="26466" xr:uid="{00000000-0005-0000-0000-000062670000}"/>
    <cellStyle name="Total 2 2 2 48" xfId="26467" xr:uid="{00000000-0005-0000-0000-000063670000}"/>
    <cellStyle name="Total 2 2 2 49" xfId="26468" xr:uid="{00000000-0005-0000-0000-000064670000}"/>
    <cellStyle name="Total 2 2 2 5" xfId="26469" xr:uid="{00000000-0005-0000-0000-000065670000}"/>
    <cellStyle name="Total 2 2 2 50" xfId="26470" xr:uid="{00000000-0005-0000-0000-000066670000}"/>
    <cellStyle name="Total 2 2 2 51" xfId="26471" xr:uid="{00000000-0005-0000-0000-000067670000}"/>
    <cellStyle name="Total 2 2 2 52" xfId="26472" xr:uid="{00000000-0005-0000-0000-000068670000}"/>
    <cellStyle name="Total 2 2 2 53" xfId="26473" xr:uid="{00000000-0005-0000-0000-000069670000}"/>
    <cellStyle name="Total 2 2 2 54" xfId="26474" xr:uid="{00000000-0005-0000-0000-00006A670000}"/>
    <cellStyle name="Total 2 2 2 55" xfId="26475" xr:uid="{00000000-0005-0000-0000-00006B670000}"/>
    <cellStyle name="Total 2 2 2 56" xfId="26476" xr:uid="{00000000-0005-0000-0000-00006C670000}"/>
    <cellStyle name="Total 2 2 2 57" xfId="26477" xr:uid="{00000000-0005-0000-0000-00006D670000}"/>
    <cellStyle name="Total 2 2 2 58" xfId="26478" xr:uid="{00000000-0005-0000-0000-00006E670000}"/>
    <cellStyle name="Total 2 2 2 59" xfId="26479" xr:uid="{00000000-0005-0000-0000-00006F670000}"/>
    <cellStyle name="Total 2 2 2 6" xfId="26480" xr:uid="{00000000-0005-0000-0000-000070670000}"/>
    <cellStyle name="Total 2 2 2 60" xfId="26481" xr:uid="{00000000-0005-0000-0000-000071670000}"/>
    <cellStyle name="Total 2 2 2 61" xfId="26482" xr:uid="{00000000-0005-0000-0000-000072670000}"/>
    <cellStyle name="Total 2 2 2 62" xfId="26483" xr:uid="{00000000-0005-0000-0000-000073670000}"/>
    <cellStyle name="Total 2 2 2 63" xfId="26484" xr:uid="{00000000-0005-0000-0000-000074670000}"/>
    <cellStyle name="Total 2 2 2 64" xfId="26485" xr:uid="{00000000-0005-0000-0000-000075670000}"/>
    <cellStyle name="Total 2 2 2 65" xfId="26486" xr:uid="{00000000-0005-0000-0000-000076670000}"/>
    <cellStyle name="Total 2 2 2 7" xfId="26487" xr:uid="{00000000-0005-0000-0000-000077670000}"/>
    <cellStyle name="Total 2 2 2 8" xfId="26488" xr:uid="{00000000-0005-0000-0000-000078670000}"/>
    <cellStyle name="Total 2 2 2 9" xfId="26489" xr:uid="{00000000-0005-0000-0000-000079670000}"/>
    <cellStyle name="Total 2 2 20" xfId="26490" xr:uid="{00000000-0005-0000-0000-00007A670000}"/>
    <cellStyle name="Total 2 2 21" xfId="26491" xr:uid="{00000000-0005-0000-0000-00007B670000}"/>
    <cellStyle name="Total 2 2 22" xfId="26492" xr:uid="{00000000-0005-0000-0000-00007C670000}"/>
    <cellStyle name="Total 2 2 23" xfId="26493" xr:uid="{00000000-0005-0000-0000-00007D670000}"/>
    <cellStyle name="Total 2 2 24" xfId="26494" xr:uid="{00000000-0005-0000-0000-00007E670000}"/>
    <cellStyle name="Total 2 2 25" xfId="26495" xr:uid="{00000000-0005-0000-0000-00007F670000}"/>
    <cellStyle name="Total 2 2 26" xfId="26496" xr:uid="{00000000-0005-0000-0000-000080670000}"/>
    <cellStyle name="Total 2 2 27" xfId="26497" xr:uid="{00000000-0005-0000-0000-000081670000}"/>
    <cellStyle name="Total 2 2 28" xfId="26498" xr:uid="{00000000-0005-0000-0000-000082670000}"/>
    <cellStyle name="Total 2 2 29" xfId="26499" xr:uid="{00000000-0005-0000-0000-000083670000}"/>
    <cellStyle name="Total 2 2 3" xfId="26500" xr:uid="{00000000-0005-0000-0000-000084670000}"/>
    <cellStyle name="Total 2 2 30" xfId="26501" xr:uid="{00000000-0005-0000-0000-000085670000}"/>
    <cellStyle name="Total 2 2 31" xfId="26502" xr:uid="{00000000-0005-0000-0000-000086670000}"/>
    <cellStyle name="Total 2 2 32" xfId="26503" xr:uid="{00000000-0005-0000-0000-000087670000}"/>
    <cellStyle name="Total 2 2 33" xfId="26504" xr:uid="{00000000-0005-0000-0000-000088670000}"/>
    <cellStyle name="Total 2 2 34" xfId="26505" xr:uid="{00000000-0005-0000-0000-000089670000}"/>
    <cellStyle name="Total 2 2 35" xfId="26506" xr:uid="{00000000-0005-0000-0000-00008A670000}"/>
    <cellStyle name="Total 2 2 36" xfId="26507" xr:uid="{00000000-0005-0000-0000-00008B670000}"/>
    <cellStyle name="Total 2 2 37" xfId="26508" xr:uid="{00000000-0005-0000-0000-00008C670000}"/>
    <cellStyle name="Total 2 2 38" xfId="26509" xr:uid="{00000000-0005-0000-0000-00008D670000}"/>
    <cellStyle name="Total 2 2 39" xfId="26510" xr:uid="{00000000-0005-0000-0000-00008E670000}"/>
    <cellStyle name="Total 2 2 4" xfId="26511" xr:uid="{00000000-0005-0000-0000-00008F670000}"/>
    <cellStyle name="Total 2 2 40" xfId="26512" xr:uid="{00000000-0005-0000-0000-000090670000}"/>
    <cellStyle name="Total 2 2 41" xfId="26513" xr:uid="{00000000-0005-0000-0000-000091670000}"/>
    <cellStyle name="Total 2 2 42" xfId="26514" xr:uid="{00000000-0005-0000-0000-000092670000}"/>
    <cellStyle name="Total 2 2 43" xfId="26515" xr:uid="{00000000-0005-0000-0000-000093670000}"/>
    <cellStyle name="Total 2 2 44" xfId="26516" xr:uid="{00000000-0005-0000-0000-000094670000}"/>
    <cellStyle name="Total 2 2 45" xfId="26517" xr:uid="{00000000-0005-0000-0000-000095670000}"/>
    <cellStyle name="Total 2 2 46" xfId="26518" xr:uid="{00000000-0005-0000-0000-000096670000}"/>
    <cellStyle name="Total 2 2 47" xfId="26519" xr:uid="{00000000-0005-0000-0000-000097670000}"/>
    <cellStyle name="Total 2 2 48" xfId="26520" xr:uid="{00000000-0005-0000-0000-000098670000}"/>
    <cellStyle name="Total 2 2 49" xfId="26521" xr:uid="{00000000-0005-0000-0000-000099670000}"/>
    <cellStyle name="Total 2 2 5" xfId="26522" xr:uid="{00000000-0005-0000-0000-00009A670000}"/>
    <cellStyle name="Total 2 2 50" xfId="26523" xr:uid="{00000000-0005-0000-0000-00009B670000}"/>
    <cellStyle name="Total 2 2 51" xfId="26524" xr:uid="{00000000-0005-0000-0000-00009C670000}"/>
    <cellStyle name="Total 2 2 52" xfId="26525" xr:uid="{00000000-0005-0000-0000-00009D670000}"/>
    <cellStyle name="Total 2 2 53" xfId="26526" xr:uid="{00000000-0005-0000-0000-00009E670000}"/>
    <cellStyle name="Total 2 2 54" xfId="26527" xr:uid="{00000000-0005-0000-0000-00009F670000}"/>
    <cellStyle name="Total 2 2 55" xfId="26528" xr:uid="{00000000-0005-0000-0000-0000A0670000}"/>
    <cellStyle name="Total 2 2 56" xfId="26529" xr:uid="{00000000-0005-0000-0000-0000A1670000}"/>
    <cellStyle name="Total 2 2 57" xfId="26530" xr:uid="{00000000-0005-0000-0000-0000A2670000}"/>
    <cellStyle name="Total 2 2 58" xfId="26531" xr:uid="{00000000-0005-0000-0000-0000A3670000}"/>
    <cellStyle name="Total 2 2 59" xfId="26532" xr:uid="{00000000-0005-0000-0000-0000A4670000}"/>
    <cellStyle name="Total 2 2 6" xfId="26533" xr:uid="{00000000-0005-0000-0000-0000A5670000}"/>
    <cellStyle name="Total 2 2 60" xfId="26534" xr:uid="{00000000-0005-0000-0000-0000A6670000}"/>
    <cellStyle name="Total 2 2 61" xfId="26535" xr:uid="{00000000-0005-0000-0000-0000A7670000}"/>
    <cellStyle name="Total 2 2 62" xfId="26536" xr:uid="{00000000-0005-0000-0000-0000A8670000}"/>
    <cellStyle name="Total 2 2 63" xfId="26537" xr:uid="{00000000-0005-0000-0000-0000A9670000}"/>
    <cellStyle name="Total 2 2 64" xfId="26538" xr:uid="{00000000-0005-0000-0000-0000AA670000}"/>
    <cellStyle name="Total 2 2 65" xfId="26539" xr:uid="{00000000-0005-0000-0000-0000AB670000}"/>
    <cellStyle name="Total 2 2 66" xfId="26540" xr:uid="{00000000-0005-0000-0000-0000AC670000}"/>
    <cellStyle name="Total 2 2 7" xfId="26541" xr:uid="{00000000-0005-0000-0000-0000AD670000}"/>
    <cellStyle name="Total 2 2 8" xfId="26542" xr:uid="{00000000-0005-0000-0000-0000AE670000}"/>
    <cellStyle name="Total 2 2 9" xfId="26543" xr:uid="{00000000-0005-0000-0000-0000AF670000}"/>
    <cellStyle name="Total 2 20" xfId="26544" xr:uid="{00000000-0005-0000-0000-0000B0670000}"/>
    <cellStyle name="Total 2 21" xfId="26545" xr:uid="{00000000-0005-0000-0000-0000B1670000}"/>
    <cellStyle name="Total 2 22" xfId="26546" xr:uid="{00000000-0005-0000-0000-0000B2670000}"/>
    <cellStyle name="Total 2 23" xfId="26547" xr:uid="{00000000-0005-0000-0000-0000B3670000}"/>
    <cellStyle name="Total 2 24" xfId="26548" xr:uid="{00000000-0005-0000-0000-0000B4670000}"/>
    <cellStyle name="Total 2 25" xfId="26549" xr:uid="{00000000-0005-0000-0000-0000B5670000}"/>
    <cellStyle name="Total 2 26" xfId="26550" xr:uid="{00000000-0005-0000-0000-0000B6670000}"/>
    <cellStyle name="Total 2 27" xfId="26551" xr:uid="{00000000-0005-0000-0000-0000B7670000}"/>
    <cellStyle name="Total 2 28" xfId="26552" xr:uid="{00000000-0005-0000-0000-0000B8670000}"/>
    <cellStyle name="Total 2 29" xfId="26553" xr:uid="{00000000-0005-0000-0000-0000B9670000}"/>
    <cellStyle name="Total 2 3" xfId="26554" xr:uid="{00000000-0005-0000-0000-0000BA670000}"/>
    <cellStyle name="Total 2 3 10" xfId="26555" xr:uid="{00000000-0005-0000-0000-0000BB670000}"/>
    <cellStyle name="Total 2 3 11" xfId="26556" xr:uid="{00000000-0005-0000-0000-0000BC670000}"/>
    <cellStyle name="Total 2 3 12" xfId="26557" xr:uid="{00000000-0005-0000-0000-0000BD670000}"/>
    <cellStyle name="Total 2 3 13" xfId="26558" xr:uid="{00000000-0005-0000-0000-0000BE670000}"/>
    <cellStyle name="Total 2 3 14" xfId="26559" xr:uid="{00000000-0005-0000-0000-0000BF670000}"/>
    <cellStyle name="Total 2 3 15" xfId="26560" xr:uid="{00000000-0005-0000-0000-0000C0670000}"/>
    <cellStyle name="Total 2 3 16" xfId="26561" xr:uid="{00000000-0005-0000-0000-0000C1670000}"/>
    <cellStyle name="Total 2 3 17" xfId="26562" xr:uid="{00000000-0005-0000-0000-0000C2670000}"/>
    <cellStyle name="Total 2 3 18" xfId="26563" xr:uid="{00000000-0005-0000-0000-0000C3670000}"/>
    <cellStyle name="Total 2 3 19" xfId="26564" xr:uid="{00000000-0005-0000-0000-0000C4670000}"/>
    <cellStyle name="Total 2 3 2" xfId="26565" xr:uid="{00000000-0005-0000-0000-0000C5670000}"/>
    <cellStyle name="Total 2 3 2 10" xfId="26566" xr:uid="{00000000-0005-0000-0000-0000C6670000}"/>
    <cellStyle name="Total 2 3 2 11" xfId="26567" xr:uid="{00000000-0005-0000-0000-0000C7670000}"/>
    <cellStyle name="Total 2 3 2 12" xfId="26568" xr:uid="{00000000-0005-0000-0000-0000C8670000}"/>
    <cellStyle name="Total 2 3 2 13" xfId="26569" xr:uid="{00000000-0005-0000-0000-0000C9670000}"/>
    <cellStyle name="Total 2 3 2 14" xfId="26570" xr:uid="{00000000-0005-0000-0000-0000CA670000}"/>
    <cellStyle name="Total 2 3 2 15" xfId="26571" xr:uid="{00000000-0005-0000-0000-0000CB670000}"/>
    <cellStyle name="Total 2 3 2 16" xfId="26572" xr:uid="{00000000-0005-0000-0000-0000CC670000}"/>
    <cellStyle name="Total 2 3 2 17" xfId="26573" xr:uid="{00000000-0005-0000-0000-0000CD670000}"/>
    <cellStyle name="Total 2 3 2 18" xfId="26574" xr:uid="{00000000-0005-0000-0000-0000CE670000}"/>
    <cellStyle name="Total 2 3 2 19" xfId="26575" xr:uid="{00000000-0005-0000-0000-0000CF670000}"/>
    <cellStyle name="Total 2 3 2 2" xfId="26576" xr:uid="{00000000-0005-0000-0000-0000D0670000}"/>
    <cellStyle name="Total 2 3 2 20" xfId="26577" xr:uid="{00000000-0005-0000-0000-0000D1670000}"/>
    <cellStyle name="Total 2 3 2 21" xfId="26578" xr:uid="{00000000-0005-0000-0000-0000D2670000}"/>
    <cellStyle name="Total 2 3 2 22" xfId="26579" xr:uid="{00000000-0005-0000-0000-0000D3670000}"/>
    <cellStyle name="Total 2 3 2 23" xfId="26580" xr:uid="{00000000-0005-0000-0000-0000D4670000}"/>
    <cellStyle name="Total 2 3 2 24" xfId="26581" xr:uid="{00000000-0005-0000-0000-0000D5670000}"/>
    <cellStyle name="Total 2 3 2 25" xfId="26582" xr:uid="{00000000-0005-0000-0000-0000D6670000}"/>
    <cellStyle name="Total 2 3 2 26" xfId="26583" xr:uid="{00000000-0005-0000-0000-0000D7670000}"/>
    <cellStyle name="Total 2 3 2 27" xfId="26584" xr:uid="{00000000-0005-0000-0000-0000D8670000}"/>
    <cellStyle name="Total 2 3 2 28" xfId="26585" xr:uid="{00000000-0005-0000-0000-0000D9670000}"/>
    <cellStyle name="Total 2 3 2 29" xfId="26586" xr:uid="{00000000-0005-0000-0000-0000DA670000}"/>
    <cellStyle name="Total 2 3 2 3" xfId="26587" xr:uid="{00000000-0005-0000-0000-0000DB670000}"/>
    <cellStyle name="Total 2 3 2 30" xfId="26588" xr:uid="{00000000-0005-0000-0000-0000DC670000}"/>
    <cellStyle name="Total 2 3 2 31" xfId="26589" xr:uid="{00000000-0005-0000-0000-0000DD670000}"/>
    <cellStyle name="Total 2 3 2 32" xfId="26590" xr:uid="{00000000-0005-0000-0000-0000DE670000}"/>
    <cellStyle name="Total 2 3 2 33" xfId="26591" xr:uid="{00000000-0005-0000-0000-0000DF670000}"/>
    <cellStyle name="Total 2 3 2 34" xfId="26592" xr:uid="{00000000-0005-0000-0000-0000E0670000}"/>
    <cellStyle name="Total 2 3 2 35" xfId="26593" xr:uid="{00000000-0005-0000-0000-0000E1670000}"/>
    <cellStyle name="Total 2 3 2 36" xfId="26594" xr:uid="{00000000-0005-0000-0000-0000E2670000}"/>
    <cellStyle name="Total 2 3 2 37" xfId="26595" xr:uid="{00000000-0005-0000-0000-0000E3670000}"/>
    <cellStyle name="Total 2 3 2 38" xfId="26596" xr:uid="{00000000-0005-0000-0000-0000E4670000}"/>
    <cellStyle name="Total 2 3 2 39" xfId="26597" xr:uid="{00000000-0005-0000-0000-0000E5670000}"/>
    <cellStyle name="Total 2 3 2 4" xfId="26598" xr:uid="{00000000-0005-0000-0000-0000E6670000}"/>
    <cellStyle name="Total 2 3 2 40" xfId="26599" xr:uid="{00000000-0005-0000-0000-0000E7670000}"/>
    <cellStyle name="Total 2 3 2 41" xfId="26600" xr:uid="{00000000-0005-0000-0000-0000E8670000}"/>
    <cellStyle name="Total 2 3 2 42" xfId="26601" xr:uid="{00000000-0005-0000-0000-0000E9670000}"/>
    <cellStyle name="Total 2 3 2 43" xfId="26602" xr:uid="{00000000-0005-0000-0000-0000EA670000}"/>
    <cellStyle name="Total 2 3 2 44" xfId="26603" xr:uid="{00000000-0005-0000-0000-0000EB670000}"/>
    <cellStyle name="Total 2 3 2 45" xfId="26604" xr:uid="{00000000-0005-0000-0000-0000EC670000}"/>
    <cellStyle name="Total 2 3 2 46" xfId="26605" xr:uid="{00000000-0005-0000-0000-0000ED670000}"/>
    <cellStyle name="Total 2 3 2 47" xfId="26606" xr:uid="{00000000-0005-0000-0000-0000EE670000}"/>
    <cellStyle name="Total 2 3 2 48" xfId="26607" xr:uid="{00000000-0005-0000-0000-0000EF670000}"/>
    <cellStyle name="Total 2 3 2 49" xfId="26608" xr:uid="{00000000-0005-0000-0000-0000F0670000}"/>
    <cellStyle name="Total 2 3 2 5" xfId="26609" xr:uid="{00000000-0005-0000-0000-0000F1670000}"/>
    <cellStyle name="Total 2 3 2 50" xfId="26610" xr:uid="{00000000-0005-0000-0000-0000F2670000}"/>
    <cellStyle name="Total 2 3 2 51" xfId="26611" xr:uid="{00000000-0005-0000-0000-0000F3670000}"/>
    <cellStyle name="Total 2 3 2 52" xfId="26612" xr:uid="{00000000-0005-0000-0000-0000F4670000}"/>
    <cellStyle name="Total 2 3 2 53" xfId="26613" xr:uid="{00000000-0005-0000-0000-0000F5670000}"/>
    <cellStyle name="Total 2 3 2 54" xfId="26614" xr:uid="{00000000-0005-0000-0000-0000F6670000}"/>
    <cellStyle name="Total 2 3 2 55" xfId="26615" xr:uid="{00000000-0005-0000-0000-0000F7670000}"/>
    <cellStyle name="Total 2 3 2 56" xfId="26616" xr:uid="{00000000-0005-0000-0000-0000F8670000}"/>
    <cellStyle name="Total 2 3 2 57" xfId="26617" xr:uid="{00000000-0005-0000-0000-0000F9670000}"/>
    <cellStyle name="Total 2 3 2 58" xfId="26618" xr:uid="{00000000-0005-0000-0000-0000FA670000}"/>
    <cellStyle name="Total 2 3 2 59" xfId="26619" xr:uid="{00000000-0005-0000-0000-0000FB670000}"/>
    <cellStyle name="Total 2 3 2 6" xfId="26620" xr:uid="{00000000-0005-0000-0000-0000FC670000}"/>
    <cellStyle name="Total 2 3 2 60" xfId="26621" xr:uid="{00000000-0005-0000-0000-0000FD670000}"/>
    <cellStyle name="Total 2 3 2 61" xfId="26622" xr:uid="{00000000-0005-0000-0000-0000FE670000}"/>
    <cellStyle name="Total 2 3 2 62" xfId="26623" xr:uid="{00000000-0005-0000-0000-0000FF670000}"/>
    <cellStyle name="Total 2 3 2 63" xfId="26624" xr:uid="{00000000-0005-0000-0000-000000680000}"/>
    <cellStyle name="Total 2 3 2 64" xfId="26625" xr:uid="{00000000-0005-0000-0000-000001680000}"/>
    <cellStyle name="Total 2 3 2 65" xfId="26626" xr:uid="{00000000-0005-0000-0000-000002680000}"/>
    <cellStyle name="Total 2 3 2 7" xfId="26627" xr:uid="{00000000-0005-0000-0000-000003680000}"/>
    <cellStyle name="Total 2 3 2 8" xfId="26628" xr:uid="{00000000-0005-0000-0000-000004680000}"/>
    <cellStyle name="Total 2 3 2 9" xfId="26629" xr:uid="{00000000-0005-0000-0000-000005680000}"/>
    <cellStyle name="Total 2 3 20" xfId="26630" xr:uid="{00000000-0005-0000-0000-000006680000}"/>
    <cellStyle name="Total 2 3 21" xfId="26631" xr:uid="{00000000-0005-0000-0000-000007680000}"/>
    <cellStyle name="Total 2 3 22" xfId="26632" xr:uid="{00000000-0005-0000-0000-000008680000}"/>
    <cellStyle name="Total 2 3 23" xfId="26633" xr:uid="{00000000-0005-0000-0000-000009680000}"/>
    <cellStyle name="Total 2 3 24" xfId="26634" xr:uid="{00000000-0005-0000-0000-00000A680000}"/>
    <cellStyle name="Total 2 3 25" xfId="26635" xr:uid="{00000000-0005-0000-0000-00000B680000}"/>
    <cellStyle name="Total 2 3 26" xfId="26636" xr:uid="{00000000-0005-0000-0000-00000C680000}"/>
    <cellStyle name="Total 2 3 27" xfId="26637" xr:uid="{00000000-0005-0000-0000-00000D680000}"/>
    <cellStyle name="Total 2 3 28" xfId="26638" xr:uid="{00000000-0005-0000-0000-00000E680000}"/>
    <cellStyle name="Total 2 3 29" xfId="26639" xr:uid="{00000000-0005-0000-0000-00000F680000}"/>
    <cellStyle name="Total 2 3 3" xfId="26640" xr:uid="{00000000-0005-0000-0000-000010680000}"/>
    <cellStyle name="Total 2 3 30" xfId="26641" xr:uid="{00000000-0005-0000-0000-000011680000}"/>
    <cellStyle name="Total 2 3 31" xfId="26642" xr:uid="{00000000-0005-0000-0000-000012680000}"/>
    <cellStyle name="Total 2 3 32" xfId="26643" xr:uid="{00000000-0005-0000-0000-000013680000}"/>
    <cellStyle name="Total 2 3 33" xfId="26644" xr:uid="{00000000-0005-0000-0000-000014680000}"/>
    <cellStyle name="Total 2 3 34" xfId="26645" xr:uid="{00000000-0005-0000-0000-000015680000}"/>
    <cellStyle name="Total 2 3 35" xfId="26646" xr:uid="{00000000-0005-0000-0000-000016680000}"/>
    <cellStyle name="Total 2 3 36" xfId="26647" xr:uid="{00000000-0005-0000-0000-000017680000}"/>
    <cellStyle name="Total 2 3 37" xfId="26648" xr:uid="{00000000-0005-0000-0000-000018680000}"/>
    <cellStyle name="Total 2 3 38" xfId="26649" xr:uid="{00000000-0005-0000-0000-000019680000}"/>
    <cellStyle name="Total 2 3 39" xfId="26650" xr:uid="{00000000-0005-0000-0000-00001A680000}"/>
    <cellStyle name="Total 2 3 4" xfId="26651" xr:uid="{00000000-0005-0000-0000-00001B680000}"/>
    <cellStyle name="Total 2 3 40" xfId="26652" xr:uid="{00000000-0005-0000-0000-00001C680000}"/>
    <cellStyle name="Total 2 3 41" xfId="26653" xr:uid="{00000000-0005-0000-0000-00001D680000}"/>
    <cellStyle name="Total 2 3 42" xfId="26654" xr:uid="{00000000-0005-0000-0000-00001E680000}"/>
    <cellStyle name="Total 2 3 43" xfId="26655" xr:uid="{00000000-0005-0000-0000-00001F680000}"/>
    <cellStyle name="Total 2 3 44" xfId="26656" xr:uid="{00000000-0005-0000-0000-000020680000}"/>
    <cellStyle name="Total 2 3 45" xfId="26657" xr:uid="{00000000-0005-0000-0000-000021680000}"/>
    <cellStyle name="Total 2 3 46" xfId="26658" xr:uid="{00000000-0005-0000-0000-000022680000}"/>
    <cellStyle name="Total 2 3 47" xfId="26659" xr:uid="{00000000-0005-0000-0000-000023680000}"/>
    <cellStyle name="Total 2 3 48" xfId="26660" xr:uid="{00000000-0005-0000-0000-000024680000}"/>
    <cellStyle name="Total 2 3 49" xfId="26661" xr:uid="{00000000-0005-0000-0000-000025680000}"/>
    <cellStyle name="Total 2 3 5" xfId="26662" xr:uid="{00000000-0005-0000-0000-000026680000}"/>
    <cellStyle name="Total 2 3 50" xfId="26663" xr:uid="{00000000-0005-0000-0000-000027680000}"/>
    <cellStyle name="Total 2 3 51" xfId="26664" xr:uid="{00000000-0005-0000-0000-000028680000}"/>
    <cellStyle name="Total 2 3 52" xfId="26665" xr:uid="{00000000-0005-0000-0000-000029680000}"/>
    <cellStyle name="Total 2 3 53" xfId="26666" xr:uid="{00000000-0005-0000-0000-00002A680000}"/>
    <cellStyle name="Total 2 3 54" xfId="26667" xr:uid="{00000000-0005-0000-0000-00002B680000}"/>
    <cellStyle name="Total 2 3 55" xfId="26668" xr:uid="{00000000-0005-0000-0000-00002C680000}"/>
    <cellStyle name="Total 2 3 56" xfId="26669" xr:uid="{00000000-0005-0000-0000-00002D680000}"/>
    <cellStyle name="Total 2 3 57" xfId="26670" xr:uid="{00000000-0005-0000-0000-00002E680000}"/>
    <cellStyle name="Total 2 3 58" xfId="26671" xr:uid="{00000000-0005-0000-0000-00002F680000}"/>
    <cellStyle name="Total 2 3 59" xfId="26672" xr:uid="{00000000-0005-0000-0000-000030680000}"/>
    <cellStyle name="Total 2 3 6" xfId="26673" xr:uid="{00000000-0005-0000-0000-000031680000}"/>
    <cellStyle name="Total 2 3 60" xfId="26674" xr:uid="{00000000-0005-0000-0000-000032680000}"/>
    <cellStyle name="Total 2 3 61" xfId="26675" xr:uid="{00000000-0005-0000-0000-000033680000}"/>
    <cellStyle name="Total 2 3 62" xfId="26676" xr:uid="{00000000-0005-0000-0000-000034680000}"/>
    <cellStyle name="Total 2 3 63" xfId="26677" xr:uid="{00000000-0005-0000-0000-000035680000}"/>
    <cellStyle name="Total 2 3 64" xfId="26678" xr:uid="{00000000-0005-0000-0000-000036680000}"/>
    <cellStyle name="Total 2 3 65" xfId="26679" xr:uid="{00000000-0005-0000-0000-000037680000}"/>
    <cellStyle name="Total 2 3 66" xfId="26680" xr:uid="{00000000-0005-0000-0000-000038680000}"/>
    <cellStyle name="Total 2 3 7" xfId="26681" xr:uid="{00000000-0005-0000-0000-000039680000}"/>
    <cellStyle name="Total 2 3 8" xfId="26682" xr:uid="{00000000-0005-0000-0000-00003A680000}"/>
    <cellStyle name="Total 2 3 9" xfId="26683" xr:uid="{00000000-0005-0000-0000-00003B680000}"/>
    <cellStyle name="Total 2 30" xfId="26684" xr:uid="{00000000-0005-0000-0000-00003C680000}"/>
    <cellStyle name="Total 2 31" xfId="26685" xr:uid="{00000000-0005-0000-0000-00003D680000}"/>
    <cellStyle name="Total 2 32" xfId="26686" xr:uid="{00000000-0005-0000-0000-00003E680000}"/>
    <cellStyle name="Total 2 33" xfId="26687" xr:uid="{00000000-0005-0000-0000-00003F680000}"/>
    <cellStyle name="Total 2 34" xfId="26688" xr:uid="{00000000-0005-0000-0000-000040680000}"/>
    <cellStyle name="Total 2 35" xfId="26689" xr:uid="{00000000-0005-0000-0000-000041680000}"/>
    <cellStyle name="Total 2 36" xfId="26690" xr:uid="{00000000-0005-0000-0000-000042680000}"/>
    <cellStyle name="Total 2 37" xfId="26691" xr:uid="{00000000-0005-0000-0000-000043680000}"/>
    <cellStyle name="Total 2 38" xfId="26692" xr:uid="{00000000-0005-0000-0000-000044680000}"/>
    <cellStyle name="Total 2 39" xfId="26693" xr:uid="{00000000-0005-0000-0000-000045680000}"/>
    <cellStyle name="Total 2 4" xfId="26694" xr:uid="{00000000-0005-0000-0000-000046680000}"/>
    <cellStyle name="Total 2 4 10" xfId="26695" xr:uid="{00000000-0005-0000-0000-000047680000}"/>
    <cellStyle name="Total 2 4 11" xfId="26696" xr:uid="{00000000-0005-0000-0000-000048680000}"/>
    <cellStyle name="Total 2 4 12" xfId="26697" xr:uid="{00000000-0005-0000-0000-000049680000}"/>
    <cellStyle name="Total 2 4 13" xfId="26698" xr:uid="{00000000-0005-0000-0000-00004A680000}"/>
    <cellStyle name="Total 2 4 14" xfId="26699" xr:uid="{00000000-0005-0000-0000-00004B680000}"/>
    <cellStyle name="Total 2 4 15" xfId="26700" xr:uid="{00000000-0005-0000-0000-00004C680000}"/>
    <cellStyle name="Total 2 4 16" xfId="26701" xr:uid="{00000000-0005-0000-0000-00004D680000}"/>
    <cellStyle name="Total 2 4 17" xfId="26702" xr:uid="{00000000-0005-0000-0000-00004E680000}"/>
    <cellStyle name="Total 2 4 18" xfId="26703" xr:uid="{00000000-0005-0000-0000-00004F680000}"/>
    <cellStyle name="Total 2 4 19" xfId="26704" xr:uid="{00000000-0005-0000-0000-000050680000}"/>
    <cellStyle name="Total 2 4 2" xfId="26705" xr:uid="{00000000-0005-0000-0000-000051680000}"/>
    <cellStyle name="Total 2 4 2 10" xfId="26706" xr:uid="{00000000-0005-0000-0000-000052680000}"/>
    <cellStyle name="Total 2 4 2 11" xfId="26707" xr:uid="{00000000-0005-0000-0000-000053680000}"/>
    <cellStyle name="Total 2 4 2 12" xfId="26708" xr:uid="{00000000-0005-0000-0000-000054680000}"/>
    <cellStyle name="Total 2 4 2 13" xfId="26709" xr:uid="{00000000-0005-0000-0000-000055680000}"/>
    <cellStyle name="Total 2 4 2 14" xfId="26710" xr:uid="{00000000-0005-0000-0000-000056680000}"/>
    <cellStyle name="Total 2 4 2 15" xfId="26711" xr:uid="{00000000-0005-0000-0000-000057680000}"/>
    <cellStyle name="Total 2 4 2 16" xfId="26712" xr:uid="{00000000-0005-0000-0000-000058680000}"/>
    <cellStyle name="Total 2 4 2 17" xfId="26713" xr:uid="{00000000-0005-0000-0000-000059680000}"/>
    <cellStyle name="Total 2 4 2 18" xfId="26714" xr:uid="{00000000-0005-0000-0000-00005A680000}"/>
    <cellStyle name="Total 2 4 2 19" xfId="26715" xr:uid="{00000000-0005-0000-0000-00005B680000}"/>
    <cellStyle name="Total 2 4 2 2" xfId="26716" xr:uid="{00000000-0005-0000-0000-00005C680000}"/>
    <cellStyle name="Total 2 4 2 20" xfId="26717" xr:uid="{00000000-0005-0000-0000-00005D680000}"/>
    <cellStyle name="Total 2 4 2 21" xfId="26718" xr:uid="{00000000-0005-0000-0000-00005E680000}"/>
    <cellStyle name="Total 2 4 2 22" xfId="26719" xr:uid="{00000000-0005-0000-0000-00005F680000}"/>
    <cellStyle name="Total 2 4 2 23" xfId="26720" xr:uid="{00000000-0005-0000-0000-000060680000}"/>
    <cellStyle name="Total 2 4 2 24" xfId="26721" xr:uid="{00000000-0005-0000-0000-000061680000}"/>
    <cellStyle name="Total 2 4 2 25" xfId="26722" xr:uid="{00000000-0005-0000-0000-000062680000}"/>
    <cellStyle name="Total 2 4 2 26" xfId="26723" xr:uid="{00000000-0005-0000-0000-000063680000}"/>
    <cellStyle name="Total 2 4 2 27" xfId="26724" xr:uid="{00000000-0005-0000-0000-000064680000}"/>
    <cellStyle name="Total 2 4 2 28" xfId="26725" xr:uid="{00000000-0005-0000-0000-000065680000}"/>
    <cellStyle name="Total 2 4 2 29" xfId="26726" xr:uid="{00000000-0005-0000-0000-000066680000}"/>
    <cellStyle name="Total 2 4 2 3" xfId="26727" xr:uid="{00000000-0005-0000-0000-000067680000}"/>
    <cellStyle name="Total 2 4 2 30" xfId="26728" xr:uid="{00000000-0005-0000-0000-000068680000}"/>
    <cellStyle name="Total 2 4 2 31" xfId="26729" xr:uid="{00000000-0005-0000-0000-000069680000}"/>
    <cellStyle name="Total 2 4 2 32" xfId="26730" xr:uid="{00000000-0005-0000-0000-00006A680000}"/>
    <cellStyle name="Total 2 4 2 33" xfId="26731" xr:uid="{00000000-0005-0000-0000-00006B680000}"/>
    <cellStyle name="Total 2 4 2 34" xfId="26732" xr:uid="{00000000-0005-0000-0000-00006C680000}"/>
    <cellStyle name="Total 2 4 2 35" xfId="26733" xr:uid="{00000000-0005-0000-0000-00006D680000}"/>
    <cellStyle name="Total 2 4 2 36" xfId="26734" xr:uid="{00000000-0005-0000-0000-00006E680000}"/>
    <cellStyle name="Total 2 4 2 37" xfId="26735" xr:uid="{00000000-0005-0000-0000-00006F680000}"/>
    <cellStyle name="Total 2 4 2 38" xfId="26736" xr:uid="{00000000-0005-0000-0000-000070680000}"/>
    <cellStyle name="Total 2 4 2 39" xfId="26737" xr:uid="{00000000-0005-0000-0000-000071680000}"/>
    <cellStyle name="Total 2 4 2 4" xfId="26738" xr:uid="{00000000-0005-0000-0000-000072680000}"/>
    <cellStyle name="Total 2 4 2 40" xfId="26739" xr:uid="{00000000-0005-0000-0000-000073680000}"/>
    <cellStyle name="Total 2 4 2 41" xfId="26740" xr:uid="{00000000-0005-0000-0000-000074680000}"/>
    <cellStyle name="Total 2 4 2 42" xfId="26741" xr:uid="{00000000-0005-0000-0000-000075680000}"/>
    <cellStyle name="Total 2 4 2 43" xfId="26742" xr:uid="{00000000-0005-0000-0000-000076680000}"/>
    <cellStyle name="Total 2 4 2 44" xfId="26743" xr:uid="{00000000-0005-0000-0000-000077680000}"/>
    <cellStyle name="Total 2 4 2 45" xfId="26744" xr:uid="{00000000-0005-0000-0000-000078680000}"/>
    <cellStyle name="Total 2 4 2 46" xfId="26745" xr:uid="{00000000-0005-0000-0000-000079680000}"/>
    <cellStyle name="Total 2 4 2 47" xfId="26746" xr:uid="{00000000-0005-0000-0000-00007A680000}"/>
    <cellStyle name="Total 2 4 2 48" xfId="26747" xr:uid="{00000000-0005-0000-0000-00007B680000}"/>
    <cellStyle name="Total 2 4 2 49" xfId="26748" xr:uid="{00000000-0005-0000-0000-00007C680000}"/>
    <cellStyle name="Total 2 4 2 5" xfId="26749" xr:uid="{00000000-0005-0000-0000-00007D680000}"/>
    <cellStyle name="Total 2 4 2 50" xfId="26750" xr:uid="{00000000-0005-0000-0000-00007E680000}"/>
    <cellStyle name="Total 2 4 2 51" xfId="26751" xr:uid="{00000000-0005-0000-0000-00007F680000}"/>
    <cellStyle name="Total 2 4 2 52" xfId="26752" xr:uid="{00000000-0005-0000-0000-000080680000}"/>
    <cellStyle name="Total 2 4 2 53" xfId="26753" xr:uid="{00000000-0005-0000-0000-000081680000}"/>
    <cellStyle name="Total 2 4 2 54" xfId="26754" xr:uid="{00000000-0005-0000-0000-000082680000}"/>
    <cellStyle name="Total 2 4 2 55" xfId="26755" xr:uid="{00000000-0005-0000-0000-000083680000}"/>
    <cellStyle name="Total 2 4 2 56" xfId="26756" xr:uid="{00000000-0005-0000-0000-000084680000}"/>
    <cellStyle name="Total 2 4 2 57" xfId="26757" xr:uid="{00000000-0005-0000-0000-000085680000}"/>
    <cellStyle name="Total 2 4 2 58" xfId="26758" xr:uid="{00000000-0005-0000-0000-000086680000}"/>
    <cellStyle name="Total 2 4 2 59" xfId="26759" xr:uid="{00000000-0005-0000-0000-000087680000}"/>
    <cellStyle name="Total 2 4 2 6" xfId="26760" xr:uid="{00000000-0005-0000-0000-000088680000}"/>
    <cellStyle name="Total 2 4 2 60" xfId="26761" xr:uid="{00000000-0005-0000-0000-000089680000}"/>
    <cellStyle name="Total 2 4 2 61" xfId="26762" xr:uid="{00000000-0005-0000-0000-00008A680000}"/>
    <cellStyle name="Total 2 4 2 62" xfId="26763" xr:uid="{00000000-0005-0000-0000-00008B680000}"/>
    <cellStyle name="Total 2 4 2 63" xfId="26764" xr:uid="{00000000-0005-0000-0000-00008C680000}"/>
    <cellStyle name="Total 2 4 2 64" xfId="26765" xr:uid="{00000000-0005-0000-0000-00008D680000}"/>
    <cellStyle name="Total 2 4 2 65" xfId="26766" xr:uid="{00000000-0005-0000-0000-00008E680000}"/>
    <cellStyle name="Total 2 4 2 7" xfId="26767" xr:uid="{00000000-0005-0000-0000-00008F680000}"/>
    <cellStyle name="Total 2 4 2 8" xfId="26768" xr:uid="{00000000-0005-0000-0000-000090680000}"/>
    <cellStyle name="Total 2 4 2 9" xfId="26769" xr:uid="{00000000-0005-0000-0000-000091680000}"/>
    <cellStyle name="Total 2 4 20" xfId="26770" xr:uid="{00000000-0005-0000-0000-000092680000}"/>
    <cellStyle name="Total 2 4 21" xfId="26771" xr:uid="{00000000-0005-0000-0000-000093680000}"/>
    <cellStyle name="Total 2 4 22" xfId="26772" xr:uid="{00000000-0005-0000-0000-000094680000}"/>
    <cellStyle name="Total 2 4 23" xfId="26773" xr:uid="{00000000-0005-0000-0000-000095680000}"/>
    <cellStyle name="Total 2 4 24" xfId="26774" xr:uid="{00000000-0005-0000-0000-000096680000}"/>
    <cellStyle name="Total 2 4 25" xfId="26775" xr:uid="{00000000-0005-0000-0000-000097680000}"/>
    <cellStyle name="Total 2 4 26" xfId="26776" xr:uid="{00000000-0005-0000-0000-000098680000}"/>
    <cellStyle name="Total 2 4 27" xfId="26777" xr:uid="{00000000-0005-0000-0000-000099680000}"/>
    <cellStyle name="Total 2 4 28" xfId="26778" xr:uid="{00000000-0005-0000-0000-00009A680000}"/>
    <cellStyle name="Total 2 4 29" xfId="26779" xr:uid="{00000000-0005-0000-0000-00009B680000}"/>
    <cellStyle name="Total 2 4 3" xfId="26780" xr:uid="{00000000-0005-0000-0000-00009C680000}"/>
    <cellStyle name="Total 2 4 30" xfId="26781" xr:uid="{00000000-0005-0000-0000-00009D680000}"/>
    <cellStyle name="Total 2 4 31" xfId="26782" xr:uid="{00000000-0005-0000-0000-00009E680000}"/>
    <cellStyle name="Total 2 4 32" xfId="26783" xr:uid="{00000000-0005-0000-0000-00009F680000}"/>
    <cellStyle name="Total 2 4 33" xfId="26784" xr:uid="{00000000-0005-0000-0000-0000A0680000}"/>
    <cellStyle name="Total 2 4 34" xfId="26785" xr:uid="{00000000-0005-0000-0000-0000A1680000}"/>
    <cellStyle name="Total 2 4 35" xfId="26786" xr:uid="{00000000-0005-0000-0000-0000A2680000}"/>
    <cellStyle name="Total 2 4 36" xfId="26787" xr:uid="{00000000-0005-0000-0000-0000A3680000}"/>
    <cellStyle name="Total 2 4 37" xfId="26788" xr:uid="{00000000-0005-0000-0000-0000A4680000}"/>
    <cellStyle name="Total 2 4 38" xfId="26789" xr:uid="{00000000-0005-0000-0000-0000A5680000}"/>
    <cellStyle name="Total 2 4 39" xfId="26790" xr:uid="{00000000-0005-0000-0000-0000A6680000}"/>
    <cellStyle name="Total 2 4 4" xfId="26791" xr:uid="{00000000-0005-0000-0000-0000A7680000}"/>
    <cellStyle name="Total 2 4 40" xfId="26792" xr:uid="{00000000-0005-0000-0000-0000A8680000}"/>
    <cellStyle name="Total 2 4 41" xfId="26793" xr:uid="{00000000-0005-0000-0000-0000A9680000}"/>
    <cellStyle name="Total 2 4 42" xfId="26794" xr:uid="{00000000-0005-0000-0000-0000AA680000}"/>
    <cellStyle name="Total 2 4 43" xfId="26795" xr:uid="{00000000-0005-0000-0000-0000AB680000}"/>
    <cellStyle name="Total 2 4 44" xfId="26796" xr:uid="{00000000-0005-0000-0000-0000AC680000}"/>
    <cellStyle name="Total 2 4 45" xfId="26797" xr:uid="{00000000-0005-0000-0000-0000AD680000}"/>
    <cellStyle name="Total 2 4 46" xfId="26798" xr:uid="{00000000-0005-0000-0000-0000AE680000}"/>
    <cellStyle name="Total 2 4 47" xfId="26799" xr:uid="{00000000-0005-0000-0000-0000AF680000}"/>
    <cellStyle name="Total 2 4 48" xfId="26800" xr:uid="{00000000-0005-0000-0000-0000B0680000}"/>
    <cellStyle name="Total 2 4 49" xfId="26801" xr:uid="{00000000-0005-0000-0000-0000B1680000}"/>
    <cellStyle name="Total 2 4 5" xfId="26802" xr:uid="{00000000-0005-0000-0000-0000B2680000}"/>
    <cellStyle name="Total 2 4 50" xfId="26803" xr:uid="{00000000-0005-0000-0000-0000B3680000}"/>
    <cellStyle name="Total 2 4 51" xfId="26804" xr:uid="{00000000-0005-0000-0000-0000B4680000}"/>
    <cellStyle name="Total 2 4 52" xfId="26805" xr:uid="{00000000-0005-0000-0000-0000B5680000}"/>
    <cellStyle name="Total 2 4 53" xfId="26806" xr:uid="{00000000-0005-0000-0000-0000B6680000}"/>
    <cellStyle name="Total 2 4 54" xfId="26807" xr:uid="{00000000-0005-0000-0000-0000B7680000}"/>
    <cellStyle name="Total 2 4 55" xfId="26808" xr:uid="{00000000-0005-0000-0000-0000B8680000}"/>
    <cellStyle name="Total 2 4 56" xfId="26809" xr:uid="{00000000-0005-0000-0000-0000B9680000}"/>
    <cellStyle name="Total 2 4 57" xfId="26810" xr:uid="{00000000-0005-0000-0000-0000BA680000}"/>
    <cellStyle name="Total 2 4 58" xfId="26811" xr:uid="{00000000-0005-0000-0000-0000BB680000}"/>
    <cellStyle name="Total 2 4 59" xfId="26812" xr:uid="{00000000-0005-0000-0000-0000BC680000}"/>
    <cellStyle name="Total 2 4 6" xfId="26813" xr:uid="{00000000-0005-0000-0000-0000BD680000}"/>
    <cellStyle name="Total 2 4 60" xfId="26814" xr:uid="{00000000-0005-0000-0000-0000BE680000}"/>
    <cellStyle name="Total 2 4 61" xfId="26815" xr:uid="{00000000-0005-0000-0000-0000BF680000}"/>
    <cellStyle name="Total 2 4 62" xfId="26816" xr:uid="{00000000-0005-0000-0000-0000C0680000}"/>
    <cellStyle name="Total 2 4 63" xfId="26817" xr:uid="{00000000-0005-0000-0000-0000C1680000}"/>
    <cellStyle name="Total 2 4 64" xfId="26818" xr:uid="{00000000-0005-0000-0000-0000C2680000}"/>
    <cellStyle name="Total 2 4 65" xfId="26819" xr:uid="{00000000-0005-0000-0000-0000C3680000}"/>
    <cellStyle name="Total 2 4 66" xfId="26820" xr:uid="{00000000-0005-0000-0000-0000C4680000}"/>
    <cellStyle name="Total 2 4 7" xfId="26821" xr:uid="{00000000-0005-0000-0000-0000C5680000}"/>
    <cellStyle name="Total 2 4 8" xfId="26822" xr:uid="{00000000-0005-0000-0000-0000C6680000}"/>
    <cellStyle name="Total 2 4 9" xfId="26823" xr:uid="{00000000-0005-0000-0000-0000C7680000}"/>
    <cellStyle name="Total 2 40" xfId="26824" xr:uid="{00000000-0005-0000-0000-0000C8680000}"/>
    <cellStyle name="Total 2 41" xfId="26825" xr:uid="{00000000-0005-0000-0000-0000C9680000}"/>
    <cellStyle name="Total 2 42" xfId="26826" xr:uid="{00000000-0005-0000-0000-0000CA680000}"/>
    <cellStyle name="Total 2 43" xfId="26827" xr:uid="{00000000-0005-0000-0000-0000CB680000}"/>
    <cellStyle name="Total 2 44" xfId="26828" xr:uid="{00000000-0005-0000-0000-0000CC680000}"/>
    <cellStyle name="Total 2 45" xfId="26829" xr:uid="{00000000-0005-0000-0000-0000CD680000}"/>
    <cellStyle name="Total 2 46" xfId="26830" xr:uid="{00000000-0005-0000-0000-0000CE680000}"/>
    <cellStyle name="Total 2 47" xfId="26831" xr:uid="{00000000-0005-0000-0000-0000CF680000}"/>
    <cellStyle name="Total 2 48" xfId="26832" xr:uid="{00000000-0005-0000-0000-0000D0680000}"/>
    <cellStyle name="Total 2 49" xfId="26833" xr:uid="{00000000-0005-0000-0000-0000D1680000}"/>
    <cellStyle name="Total 2 5" xfId="26834" xr:uid="{00000000-0005-0000-0000-0000D2680000}"/>
    <cellStyle name="Total 2 5 10" xfId="26835" xr:uid="{00000000-0005-0000-0000-0000D3680000}"/>
    <cellStyle name="Total 2 5 11" xfId="26836" xr:uid="{00000000-0005-0000-0000-0000D4680000}"/>
    <cellStyle name="Total 2 5 12" xfId="26837" xr:uid="{00000000-0005-0000-0000-0000D5680000}"/>
    <cellStyle name="Total 2 5 13" xfId="26838" xr:uid="{00000000-0005-0000-0000-0000D6680000}"/>
    <cellStyle name="Total 2 5 14" xfId="26839" xr:uid="{00000000-0005-0000-0000-0000D7680000}"/>
    <cellStyle name="Total 2 5 15" xfId="26840" xr:uid="{00000000-0005-0000-0000-0000D8680000}"/>
    <cellStyle name="Total 2 5 16" xfId="26841" xr:uid="{00000000-0005-0000-0000-0000D9680000}"/>
    <cellStyle name="Total 2 5 17" xfId="26842" xr:uid="{00000000-0005-0000-0000-0000DA680000}"/>
    <cellStyle name="Total 2 5 18" xfId="26843" xr:uid="{00000000-0005-0000-0000-0000DB680000}"/>
    <cellStyle name="Total 2 5 19" xfId="26844" xr:uid="{00000000-0005-0000-0000-0000DC680000}"/>
    <cellStyle name="Total 2 5 2" xfId="26845" xr:uid="{00000000-0005-0000-0000-0000DD680000}"/>
    <cellStyle name="Total 2 5 20" xfId="26846" xr:uid="{00000000-0005-0000-0000-0000DE680000}"/>
    <cellStyle name="Total 2 5 21" xfId="26847" xr:uid="{00000000-0005-0000-0000-0000DF680000}"/>
    <cellStyle name="Total 2 5 22" xfId="26848" xr:uid="{00000000-0005-0000-0000-0000E0680000}"/>
    <cellStyle name="Total 2 5 23" xfId="26849" xr:uid="{00000000-0005-0000-0000-0000E1680000}"/>
    <cellStyle name="Total 2 5 24" xfId="26850" xr:uid="{00000000-0005-0000-0000-0000E2680000}"/>
    <cellStyle name="Total 2 5 25" xfId="26851" xr:uid="{00000000-0005-0000-0000-0000E3680000}"/>
    <cellStyle name="Total 2 5 26" xfId="26852" xr:uid="{00000000-0005-0000-0000-0000E4680000}"/>
    <cellStyle name="Total 2 5 27" xfId="26853" xr:uid="{00000000-0005-0000-0000-0000E5680000}"/>
    <cellStyle name="Total 2 5 28" xfId="26854" xr:uid="{00000000-0005-0000-0000-0000E6680000}"/>
    <cellStyle name="Total 2 5 29" xfId="26855" xr:uid="{00000000-0005-0000-0000-0000E7680000}"/>
    <cellStyle name="Total 2 5 3" xfId="26856" xr:uid="{00000000-0005-0000-0000-0000E8680000}"/>
    <cellStyle name="Total 2 5 30" xfId="26857" xr:uid="{00000000-0005-0000-0000-0000E9680000}"/>
    <cellStyle name="Total 2 5 31" xfId="26858" xr:uid="{00000000-0005-0000-0000-0000EA680000}"/>
    <cellStyle name="Total 2 5 32" xfId="26859" xr:uid="{00000000-0005-0000-0000-0000EB680000}"/>
    <cellStyle name="Total 2 5 33" xfId="26860" xr:uid="{00000000-0005-0000-0000-0000EC680000}"/>
    <cellStyle name="Total 2 5 34" xfId="26861" xr:uid="{00000000-0005-0000-0000-0000ED680000}"/>
    <cellStyle name="Total 2 5 35" xfId="26862" xr:uid="{00000000-0005-0000-0000-0000EE680000}"/>
    <cellStyle name="Total 2 5 36" xfId="26863" xr:uid="{00000000-0005-0000-0000-0000EF680000}"/>
    <cellStyle name="Total 2 5 37" xfId="26864" xr:uid="{00000000-0005-0000-0000-0000F0680000}"/>
    <cellStyle name="Total 2 5 38" xfId="26865" xr:uid="{00000000-0005-0000-0000-0000F1680000}"/>
    <cellStyle name="Total 2 5 39" xfId="26866" xr:uid="{00000000-0005-0000-0000-0000F2680000}"/>
    <cellStyle name="Total 2 5 4" xfId="26867" xr:uid="{00000000-0005-0000-0000-0000F3680000}"/>
    <cellStyle name="Total 2 5 40" xfId="26868" xr:uid="{00000000-0005-0000-0000-0000F4680000}"/>
    <cellStyle name="Total 2 5 41" xfId="26869" xr:uid="{00000000-0005-0000-0000-0000F5680000}"/>
    <cellStyle name="Total 2 5 42" xfId="26870" xr:uid="{00000000-0005-0000-0000-0000F6680000}"/>
    <cellStyle name="Total 2 5 43" xfId="26871" xr:uid="{00000000-0005-0000-0000-0000F7680000}"/>
    <cellStyle name="Total 2 5 44" xfId="26872" xr:uid="{00000000-0005-0000-0000-0000F8680000}"/>
    <cellStyle name="Total 2 5 45" xfId="26873" xr:uid="{00000000-0005-0000-0000-0000F9680000}"/>
    <cellStyle name="Total 2 5 46" xfId="26874" xr:uid="{00000000-0005-0000-0000-0000FA680000}"/>
    <cellStyle name="Total 2 5 47" xfId="26875" xr:uid="{00000000-0005-0000-0000-0000FB680000}"/>
    <cellStyle name="Total 2 5 48" xfId="26876" xr:uid="{00000000-0005-0000-0000-0000FC680000}"/>
    <cellStyle name="Total 2 5 49" xfId="26877" xr:uid="{00000000-0005-0000-0000-0000FD680000}"/>
    <cellStyle name="Total 2 5 5" xfId="26878" xr:uid="{00000000-0005-0000-0000-0000FE680000}"/>
    <cellStyle name="Total 2 5 50" xfId="26879" xr:uid="{00000000-0005-0000-0000-0000FF680000}"/>
    <cellStyle name="Total 2 5 51" xfId="26880" xr:uid="{00000000-0005-0000-0000-000000690000}"/>
    <cellStyle name="Total 2 5 52" xfId="26881" xr:uid="{00000000-0005-0000-0000-000001690000}"/>
    <cellStyle name="Total 2 5 53" xfId="26882" xr:uid="{00000000-0005-0000-0000-000002690000}"/>
    <cellStyle name="Total 2 5 54" xfId="26883" xr:uid="{00000000-0005-0000-0000-000003690000}"/>
    <cellStyle name="Total 2 5 55" xfId="26884" xr:uid="{00000000-0005-0000-0000-000004690000}"/>
    <cellStyle name="Total 2 5 56" xfId="26885" xr:uid="{00000000-0005-0000-0000-000005690000}"/>
    <cellStyle name="Total 2 5 57" xfId="26886" xr:uid="{00000000-0005-0000-0000-000006690000}"/>
    <cellStyle name="Total 2 5 58" xfId="26887" xr:uid="{00000000-0005-0000-0000-000007690000}"/>
    <cellStyle name="Total 2 5 59" xfId="26888" xr:uid="{00000000-0005-0000-0000-000008690000}"/>
    <cellStyle name="Total 2 5 6" xfId="26889" xr:uid="{00000000-0005-0000-0000-000009690000}"/>
    <cellStyle name="Total 2 5 60" xfId="26890" xr:uid="{00000000-0005-0000-0000-00000A690000}"/>
    <cellStyle name="Total 2 5 61" xfId="26891" xr:uid="{00000000-0005-0000-0000-00000B690000}"/>
    <cellStyle name="Total 2 5 62" xfId="26892" xr:uid="{00000000-0005-0000-0000-00000C690000}"/>
    <cellStyle name="Total 2 5 63" xfId="26893" xr:uid="{00000000-0005-0000-0000-00000D690000}"/>
    <cellStyle name="Total 2 5 64" xfId="26894" xr:uid="{00000000-0005-0000-0000-00000E690000}"/>
    <cellStyle name="Total 2 5 65" xfId="26895" xr:uid="{00000000-0005-0000-0000-00000F690000}"/>
    <cellStyle name="Total 2 5 7" xfId="26896" xr:uid="{00000000-0005-0000-0000-000010690000}"/>
    <cellStyle name="Total 2 5 8" xfId="26897" xr:uid="{00000000-0005-0000-0000-000011690000}"/>
    <cellStyle name="Total 2 5 9" xfId="26898" xr:uid="{00000000-0005-0000-0000-000012690000}"/>
    <cellStyle name="Total 2 50" xfId="26899" xr:uid="{00000000-0005-0000-0000-000013690000}"/>
    <cellStyle name="Total 2 51" xfId="26900" xr:uid="{00000000-0005-0000-0000-000014690000}"/>
    <cellStyle name="Total 2 6" xfId="26901" xr:uid="{00000000-0005-0000-0000-000015690000}"/>
    <cellStyle name="Total 2 7" xfId="26902" xr:uid="{00000000-0005-0000-0000-000016690000}"/>
    <cellStyle name="Total 2 8" xfId="26903" xr:uid="{00000000-0005-0000-0000-000017690000}"/>
    <cellStyle name="Total 2 9" xfId="26904" xr:uid="{00000000-0005-0000-0000-000018690000}"/>
    <cellStyle name="Total 3" xfId="26905" xr:uid="{00000000-0005-0000-0000-000019690000}"/>
    <cellStyle name="Total 3 10" xfId="26906" xr:uid="{00000000-0005-0000-0000-00001A690000}"/>
    <cellStyle name="Total 3 11" xfId="26907" xr:uid="{00000000-0005-0000-0000-00001B690000}"/>
    <cellStyle name="Total 3 12" xfId="26908" xr:uid="{00000000-0005-0000-0000-00001C690000}"/>
    <cellStyle name="Total 3 13" xfId="26909" xr:uid="{00000000-0005-0000-0000-00001D690000}"/>
    <cellStyle name="Total 3 14" xfId="26910" xr:uid="{00000000-0005-0000-0000-00001E690000}"/>
    <cellStyle name="Total 3 15" xfId="26911" xr:uid="{00000000-0005-0000-0000-00001F690000}"/>
    <cellStyle name="Total 3 16" xfId="26912" xr:uid="{00000000-0005-0000-0000-000020690000}"/>
    <cellStyle name="Total 3 17" xfId="26913" xr:uid="{00000000-0005-0000-0000-000021690000}"/>
    <cellStyle name="Total 3 18" xfId="26914" xr:uid="{00000000-0005-0000-0000-000022690000}"/>
    <cellStyle name="Total 3 19" xfId="26915" xr:uid="{00000000-0005-0000-0000-000023690000}"/>
    <cellStyle name="Total 3 2" xfId="26916" xr:uid="{00000000-0005-0000-0000-000024690000}"/>
    <cellStyle name="Total 3 2 10" xfId="26917" xr:uid="{00000000-0005-0000-0000-000025690000}"/>
    <cellStyle name="Total 3 2 11" xfId="26918" xr:uid="{00000000-0005-0000-0000-000026690000}"/>
    <cellStyle name="Total 3 2 12" xfId="26919" xr:uid="{00000000-0005-0000-0000-000027690000}"/>
    <cellStyle name="Total 3 2 13" xfId="26920" xr:uid="{00000000-0005-0000-0000-000028690000}"/>
    <cellStyle name="Total 3 2 14" xfId="26921" xr:uid="{00000000-0005-0000-0000-000029690000}"/>
    <cellStyle name="Total 3 2 15" xfId="26922" xr:uid="{00000000-0005-0000-0000-00002A690000}"/>
    <cellStyle name="Total 3 2 16" xfId="26923" xr:uid="{00000000-0005-0000-0000-00002B690000}"/>
    <cellStyle name="Total 3 2 17" xfId="26924" xr:uid="{00000000-0005-0000-0000-00002C690000}"/>
    <cellStyle name="Total 3 2 18" xfId="26925" xr:uid="{00000000-0005-0000-0000-00002D690000}"/>
    <cellStyle name="Total 3 2 19" xfId="26926" xr:uid="{00000000-0005-0000-0000-00002E690000}"/>
    <cellStyle name="Total 3 2 2" xfId="26927" xr:uid="{00000000-0005-0000-0000-00002F690000}"/>
    <cellStyle name="Total 3 2 2 10" xfId="26928" xr:uid="{00000000-0005-0000-0000-000030690000}"/>
    <cellStyle name="Total 3 2 2 11" xfId="26929" xr:uid="{00000000-0005-0000-0000-000031690000}"/>
    <cellStyle name="Total 3 2 2 12" xfId="26930" xr:uid="{00000000-0005-0000-0000-000032690000}"/>
    <cellStyle name="Total 3 2 2 13" xfId="26931" xr:uid="{00000000-0005-0000-0000-000033690000}"/>
    <cellStyle name="Total 3 2 2 14" xfId="26932" xr:uid="{00000000-0005-0000-0000-000034690000}"/>
    <cellStyle name="Total 3 2 2 15" xfId="26933" xr:uid="{00000000-0005-0000-0000-000035690000}"/>
    <cellStyle name="Total 3 2 2 16" xfId="26934" xr:uid="{00000000-0005-0000-0000-000036690000}"/>
    <cellStyle name="Total 3 2 2 17" xfId="26935" xr:uid="{00000000-0005-0000-0000-000037690000}"/>
    <cellStyle name="Total 3 2 2 18" xfId="26936" xr:uid="{00000000-0005-0000-0000-000038690000}"/>
    <cellStyle name="Total 3 2 2 19" xfId="26937" xr:uid="{00000000-0005-0000-0000-000039690000}"/>
    <cellStyle name="Total 3 2 2 2" xfId="26938" xr:uid="{00000000-0005-0000-0000-00003A690000}"/>
    <cellStyle name="Total 3 2 2 20" xfId="26939" xr:uid="{00000000-0005-0000-0000-00003B690000}"/>
    <cellStyle name="Total 3 2 2 21" xfId="26940" xr:uid="{00000000-0005-0000-0000-00003C690000}"/>
    <cellStyle name="Total 3 2 2 22" xfId="26941" xr:uid="{00000000-0005-0000-0000-00003D690000}"/>
    <cellStyle name="Total 3 2 2 23" xfId="26942" xr:uid="{00000000-0005-0000-0000-00003E690000}"/>
    <cellStyle name="Total 3 2 2 24" xfId="26943" xr:uid="{00000000-0005-0000-0000-00003F690000}"/>
    <cellStyle name="Total 3 2 2 25" xfId="26944" xr:uid="{00000000-0005-0000-0000-000040690000}"/>
    <cellStyle name="Total 3 2 2 26" xfId="26945" xr:uid="{00000000-0005-0000-0000-000041690000}"/>
    <cellStyle name="Total 3 2 2 27" xfId="26946" xr:uid="{00000000-0005-0000-0000-000042690000}"/>
    <cellStyle name="Total 3 2 2 28" xfId="26947" xr:uid="{00000000-0005-0000-0000-000043690000}"/>
    <cellStyle name="Total 3 2 2 29" xfId="26948" xr:uid="{00000000-0005-0000-0000-000044690000}"/>
    <cellStyle name="Total 3 2 2 3" xfId="26949" xr:uid="{00000000-0005-0000-0000-000045690000}"/>
    <cellStyle name="Total 3 2 2 30" xfId="26950" xr:uid="{00000000-0005-0000-0000-000046690000}"/>
    <cellStyle name="Total 3 2 2 31" xfId="26951" xr:uid="{00000000-0005-0000-0000-000047690000}"/>
    <cellStyle name="Total 3 2 2 32" xfId="26952" xr:uid="{00000000-0005-0000-0000-000048690000}"/>
    <cellStyle name="Total 3 2 2 33" xfId="26953" xr:uid="{00000000-0005-0000-0000-000049690000}"/>
    <cellStyle name="Total 3 2 2 34" xfId="26954" xr:uid="{00000000-0005-0000-0000-00004A690000}"/>
    <cellStyle name="Total 3 2 2 35" xfId="26955" xr:uid="{00000000-0005-0000-0000-00004B690000}"/>
    <cellStyle name="Total 3 2 2 36" xfId="26956" xr:uid="{00000000-0005-0000-0000-00004C690000}"/>
    <cellStyle name="Total 3 2 2 37" xfId="26957" xr:uid="{00000000-0005-0000-0000-00004D690000}"/>
    <cellStyle name="Total 3 2 2 38" xfId="26958" xr:uid="{00000000-0005-0000-0000-00004E690000}"/>
    <cellStyle name="Total 3 2 2 39" xfId="26959" xr:uid="{00000000-0005-0000-0000-00004F690000}"/>
    <cellStyle name="Total 3 2 2 4" xfId="26960" xr:uid="{00000000-0005-0000-0000-000050690000}"/>
    <cellStyle name="Total 3 2 2 40" xfId="26961" xr:uid="{00000000-0005-0000-0000-000051690000}"/>
    <cellStyle name="Total 3 2 2 41" xfId="26962" xr:uid="{00000000-0005-0000-0000-000052690000}"/>
    <cellStyle name="Total 3 2 2 42" xfId="26963" xr:uid="{00000000-0005-0000-0000-000053690000}"/>
    <cellStyle name="Total 3 2 2 43" xfId="26964" xr:uid="{00000000-0005-0000-0000-000054690000}"/>
    <cellStyle name="Total 3 2 2 44" xfId="26965" xr:uid="{00000000-0005-0000-0000-000055690000}"/>
    <cellStyle name="Total 3 2 2 45" xfId="26966" xr:uid="{00000000-0005-0000-0000-000056690000}"/>
    <cellStyle name="Total 3 2 2 46" xfId="26967" xr:uid="{00000000-0005-0000-0000-000057690000}"/>
    <cellStyle name="Total 3 2 2 47" xfId="26968" xr:uid="{00000000-0005-0000-0000-000058690000}"/>
    <cellStyle name="Total 3 2 2 48" xfId="26969" xr:uid="{00000000-0005-0000-0000-000059690000}"/>
    <cellStyle name="Total 3 2 2 49" xfId="26970" xr:uid="{00000000-0005-0000-0000-00005A690000}"/>
    <cellStyle name="Total 3 2 2 5" xfId="26971" xr:uid="{00000000-0005-0000-0000-00005B690000}"/>
    <cellStyle name="Total 3 2 2 50" xfId="26972" xr:uid="{00000000-0005-0000-0000-00005C690000}"/>
    <cellStyle name="Total 3 2 2 51" xfId="26973" xr:uid="{00000000-0005-0000-0000-00005D690000}"/>
    <cellStyle name="Total 3 2 2 52" xfId="26974" xr:uid="{00000000-0005-0000-0000-00005E690000}"/>
    <cellStyle name="Total 3 2 2 53" xfId="26975" xr:uid="{00000000-0005-0000-0000-00005F690000}"/>
    <cellStyle name="Total 3 2 2 54" xfId="26976" xr:uid="{00000000-0005-0000-0000-000060690000}"/>
    <cellStyle name="Total 3 2 2 55" xfId="26977" xr:uid="{00000000-0005-0000-0000-000061690000}"/>
    <cellStyle name="Total 3 2 2 56" xfId="26978" xr:uid="{00000000-0005-0000-0000-000062690000}"/>
    <cellStyle name="Total 3 2 2 57" xfId="26979" xr:uid="{00000000-0005-0000-0000-000063690000}"/>
    <cellStyle name="Total 3 2 2 58" xfId="26980" xr:uid="{00000000-0005-0000-0000-000064690000}"/>
    <cellStyle name="Total 3 2 2 59" xfId="26981" xr:uid="{00000000-0005-0000-0000-000065690000}"/>
    <cellStyle name="Total 3 2 2 6" xfId="26982" xr:uid="{00000000-0005-0000-0000-000066690000}"/>
    <cellStyle name="Total 3 2 2 60" xfId="26983" xr:uid="{00000000-0005-0000-0000-000067690000}"/>
    <cellStyle name="Total 3 2 2 61" xfId="26984" xr:uid="{00000000-0005-0000-0000-000068690000}"/>
    <cellStyle name="Total 3 2 2 62" xfId="26985" xr:uid="{00000000-0005-0000-0000-000069690000}"/>
    <cellStyle name="Total 3 2 2 63" xfId="26986" xr:uid="{00000000-0005-0000-0000-00006A690000}"/>
    <cellStyle name="Total 3 2 2 64" xfId="26987" xr:uid="{00000000-0005-0000-0000-00006B690000}"/>
    <cellStyle name="Total 3 2 2 65" xfId="26988" xr:uid="{00000000-0005-0000-0000-00006C690000}"/>
    <cellStyle name="Total 3 2 2 7" xfId="26989" xr:uid="{00000000-0005-0000-0000-00006D690000}"/>
    <cellStyle name="Total 3 2 2 8" xfId="26990" xr:uid="{00000000-0005-0000-0000-00006E690000}"/>
    <cellStyle name="Total 3 2 2 9" xfId="26991" xr:uid="{00000000-0005-0000-0000-00006F690000}"/>
    <cellStyle name="Total 3 2 20" xfId="26992" xr:uid="{00000000-0005-0000-0000-000070690000}"/>
    <cellStyle name="Total 3 2 21" xfId="26993" xr:uid="{00000000-0005-0000-0000-000071690000}"/>
    <cellStyle name="Total 3 2 22" xfId="26994" xr:uid="{00000000-0005-0000-0000-000072690000}"/>
    <cellStyle name="Total 3 2 23" xfId="26995" xr:uid="{00000000-0005-0000-0000-000073690000}"/>
    <cellStyle name="Total 3 2 24" xfId="26996" xr:uid="{00000000-0005-0000-0000-000074690000}"/>
    <cellStyle name="Total 3 2 25" xfId="26997" xr:uid="{00000000-0005-0000-0000-000075690000}"/>
    <cellStyle name="Total 3 2 26" xfId="26998" xr:uid="{00000000-0005-0000-0000-000076690000}"/>
    <cellStyle name="Total 3 2 27" xfId="26999" xr:uid="{00000000-0005-0000-0000-000077690000}"/>
    <cellStyle name="Total 3 2 28" xfId="27000" xr:uid="{00000000-0005-0000-0000-000078690000}"/>
    <cellStyle name="Total 3 2 29" xfId="27001" xr:uid="{00000000-0005-0000-0000-000079690000}"/>
    <cellStyle name="Total 3 2 3" xfId="27002" xr:uid="{00000000-0005-0000-0000-00007A690000}"/>
    <cellStyle name="Total 3 2 30" xfId="27003" xr:uid="{00000000-0005-0000-0000-00007B690000}"/>
    <cellStyle name="Total 3 2 31" xfId="27004" xr:uid="{00000000-0005-0000-0000-00007C690000}"/>
    <cellStyle name="Total 3 2 32" xfId="27005" xr:uid="{00000000-0005-0000-0000-00007D690000}"/>
    <cellStyle name="Total 3 2 33" xfId="27006" xr:uid="{00000000-0005-0000-0000-00007E690000}"/>
    <cellStyle name="Total 3 2 34" xfId="27007" xr:uid="{00000000-0005-0000-0000-00007F690000}"/>
    <cellStyle name="Total 3 2 35" xfId="27008" xr:uid="{00000000-0005-0000-0000-000080690000}"/>
    <cellStyle name="Total 3 2 36" xfId="27009" xr:uid="{00000000-0005-0000-0000-000081690000}"/>
    <cellStyle name="Total 3 2 37" xfId="27010" xr:uid="{00000000-0005-0000-0000-000082690000}"/>
    <cellStyle name="Total 3 2 38" xfId="27011" xr:uid="{00000000-0005-0000-0000-000083690000}"/>
    <cellStyle name="Total 3 2 39" xfId="27012" xr:uid="{00000000-0005-0000-0000-000084690000}"/>
    <cellStyle name="Total 3 2 4" xfId="27013" xr:uid="{00000000-0005-0000-0000-000085690000}"/>
    <cellStyle name="Total 3 2 40" xfId="27014" xr:uid="{00000000-0005-0000-0000-000086690000}"/>
    <cellStyle name="Total 3 2 41" xfId="27015" xr:uid="{00000000-0005-0000-0000-000087690000}"/>
    <cellStyle name="Total 3 2 42" xfId="27016" xr:uid="{00000000-0005-0000-0000-000088690000}"/>
    <cellStyle name="Total 3 2 43" xfId="27017" xr:uid="{00000000-0005-0000-0000-000089690000}"/>
    <cellStyle name="Total 3 2 44" xfId="27018" xr:uid="{00000000-0005-0000-0000-00008A690000}"/>
    <cellStyle name="Total 3 2 45" xfId="27019" xr:uid="{00000000-0005-0000-0000-00008B690000}"/>
    <cellStyle name="Total 3 2 46" xfId="27020" xr:uid="{00000000-0005-0000-0000-00008C690000}"/>
    <cellStyle name="Total 3 2 47" xfId="27021" xr:uid="{00000000-0005-0000-0000-00008D690000}"/>
    <cellStyle name="Total 3 2 48" xfId="27022" xr:uid="{00000000-0005-0000-0000-00008E690000}"/>
    <cellStyle name="Total 3 2 49" xfId="27023" xr:uid="{00000000-0005-0000-0000-00008F690000}"/>
    <cellStyle name="Total 3 2 5" xfId="27024" xr:uid="{00000000-0005-0000-0000-000090690000}"/>
    <cellStyle name="Total 3 2 50" xfId="27025" xr:uid="{00000000-0005-0000-0000-000091690000}"/>
    <cellStyle name="Total 3 2 51" xfId="27026" xr:uid="{00000000-0005-0000-0000-000092690000}"/>
    <cellStyle name="Total 3 2 52" xfId="27027" xr:uid="{00000000-0005-0000-0000-000093690000}"/>
    <cellStyle name="Total 3 2 53" xfId="27028" xr:uid="{00000000-0005-0000-0000-000094690000}"/>
    <cellStyle name="Total 3 2 54" xfId="27029" xr:uid="{00000000-0005-0000-0000-000095690000}"/>
    <cellStyle name="Total 3 2 55" xfId="27030" xr:uid="{00000000-0005-0000-0000-000096690000}"/>
    <cellStyle name="Total 3 2 56" xfId="27031" xr:uid="{00000000-0005-0000-0000-000097690000}"/>
    <cellStyle name="Total 3 2 57" xfId="27032" xr:uid="{00000000-0005-0000-0000-000098690000}"/>
    <cellStyle name="Total 3 2 58" xfId="27033" xr:uid="{00000000-0005-0000-0000-000099690000}"/>
    <cellStyle name="Total 3 2 59" xfId="27034" xr:uid="{00000000-0005-0000-0000-00009A690000}"/>
    <cellStyle name="Total 3 2 6" xfId="27035" xr:uid="{00000000-0005-0000-0000-00009B690000}"/>
    <cellStyle name="Total 3 2 60" xfId="27036" xr:uid="{00000000-0005-0000-0000-00009C690000}"/>
    <cellStyle name="Total 3 2 61" xfId="27037" xr:uid="{00000000-0005-0000-0000-00009D690000}"/>
    <cellStyle name="Total 3 2 62" xfId="27038" xr:uid="{00000000-0005-0000-0000-00009E690000}"/>
    <cellStyle name="Total 3 2 63" xfId="27039" xr:uid="{00000000-0005-0000-0000-00009F690000}"/>
    <cellStyle name="Total 3 2 64" xfId="27040" xr:uid="{00000000-0005-0000-0000-0000A0690000}"/>
    <cellStyle name="Total 3 2 65" xfId="27041" xr:uid="{00000000-0005-0000-0000-0000A1690000}"/>
    <cellStyle name="Total 3 2 66" xfId="27042" xr:uid="{00000000-0005-0000-0000-0000A2690000}"/>
    <cellStyle name="Total 3 2 7" xfId="27043" xr:uid="{00000000-0005-0000-0000-0000A3690000}"/>
    <cellStyle name="Total 3 2 8" xfId="27044" xr:uid="{00000000-0005-0000-0000-0000A4690000}"/>
    <cellStyle name="Total 3 2 9" xfId="27045" xr:uid="{00000000-0005-0000-0000-0000A5690000}"/>
    <cellStyle name="Total 3 20" xfId="27046" xr:uid="{00000000-0005-0000-0000-0000A6690000}"/>
    <cellStyle name="Total 3 21" xfId="27047" xr:uid="{00000000-0005-0000-0000-0000A7690000}"/>
    <cellStyle name="Total 3 22" xfId="27048" xr:uid="{00000000-0005-0000-0000-0000A8690000}"/>
    <cellStyle name="Total 3 23" xfId="27049" xr:uid="{00000000-0005-0000-0000-0000A9690000}"/>
    <cellStyle name="Total 3 24" xfId="27050" xr:uid="{00000000-0005-0000-0000-0000AA690000}"/>
    <cellStyle name="Total 3 25" xfId="27051" xr:uid="{00000000-0005-0000-0000-0000AB690000}"/>
    <cellStyle name="Total 3 26" xfId="27052" xr:uid="{00000000-0005-0000-0000-0000AC690000}"/>
    <cellStyle name="Total 3 27" xfId="27053" xr:uid="{00000000-0005-0000-0000-0000AD690000}"/>
    <cellStyle name="Total 3 28" xfId="27054" xr:uid="{00000000-0005-0000-0000-0000AE690000}"/>
    <cellStyle name="Total 3 29" xfId="27055" xr:uid="{00000000-0005-0000-0000-0000AF690000}"/>
    <cellStyle name="Total 3 3" xfId="27056" xr:uid="{00000000-0005-0000-0000-0000B0690000}"/>
    <cellStyle name="Total 3 3 10" xfId="27057" xr:uid="{00000000-0005-0000-0000-0000B1690000}"/>
    <cellStyle name="Total 3 3 11" xfId="27058" xr:uid="{00000000-0005-0000-0000-0000B2690000}"/>
    <cellStyle name="Total 3 3 12" xfId="27059" xr:uid="{00000000-0005-0000-0000-0000B3690000}"/>
    <cellStyle name="Total 3 3 13" xfId="27060" xr:uid="{00000000-0005-0000-0000-0000B4690000}"/>
    <cellStyle name="Total 3 3 14" xfId="27061" xr:uid="{00000000-0005-0000-0000-0000B5690000}"/>
    <cellStyle name="Total 3 3 15" xfId="27062" xr:uid="{00000000-0005-0000-0000-0000B6690000}"/>
    <cellStyle name="Total 3 3 16" xfId="27063" xr:uid="{00000000-0005-0000-0000-0000B7690000}"/>
    <cellStyle name="Total 3 3 17" xfId="27064" xr:uid="{00000000-0005-0000-0000-0000B8690000}"/>
    <cellStyle name="Total 3 3 18" xfId="27065" xr:uid="{00000000-0005-0000-0000-0000B9690000}"/>
    <cellStyle name="Total 3 3 19" xfId="27066" xr:uid="{00000000-0005-0000-0000-0000BA690000}"/>
    <cellStyle name="Total 3 3 2" xfId="27067" xr:uid="{00000000-0005-0000-0000-0000BB690000}"/>
    <cellStyle name="Total 3 3 2 10" xfId="27068" xr:uid="{00000000-0005-0000-0000-0000BC690000}"/>
    <cellStyle name="Total 3 3 2 11" xfId="27069" xr:uid="{00000000-0005-0000-0000-0000BD690000}"/>
    <cellStyle name="Total 3 3 2 12" xfId="27070" xr:uid="{00000000-0005-0000-0000-0000BE690000}"/>
    <cellStyle name="Total 3 3 2 13" xfId="27071" xr:uid="{00000000-0005-0000-0000-0000BF690000}"/>
    <cellStyle name="Total 3 3 2 14" xfId="27072" xr:uid="{00000000-0005-0000-0000-0000C0690000}"/>
    <cellStyle name="Total 3 3 2 15" xfId="27073" xr:uid="{00000000-0005-0000-0000-0000C1690000}"/>
    <cellStyle name="Total 3 3 2 16" xfId="27074" xr:uid="{00000000-0005-0000-0000-0000C2690000}"/>
    <cellStyle name="Total 3 3 2 17" xfId="27075" xr:uid="{00000000-0005-0000-0000-0000C3690000}"/>
    <cellStyle name="Total 3 3 2 18" xfId="27076" xr:uid="{00000000-0005-0000-0000-0000C4690000}"/>
    <cellStyle name="Total 3 3 2 19" xfId="27077" xr:uid="{00000000-0005-0000-0000-0000C5690000}"/>
    <cellStyle name="Total 3 3 2 2" xfId="27078" xr:uid="{00000000-0005-0000-0000-0000C6690000}"/>
    <cellStyle name="Total 3 3 2 20" xfId="27079" xr:uid="{00000000-0005-0000-0000-0000C7690000}"/>
    <cellStyle name="Total 3 3 2 21" xfId="27080" xr:uid="{00000000-0005-0000-0000-0000C8690000}"/>
    <cellStyle name="Total 3 3 2 22" xfId="27081" xr:uid="{00000000-0005-0000-0000-0000C9690000}"/>
    <cellStyle name="Total 3 3 2 23" xfId="27082" xr:uid="{00000000-0005-0000-0000-0000CA690000}"/>
    <cellStyle name="Total 3 3 2 24" xfId="27083" xr:uid="{00000000-0005-0000-0000-0000CB690000}"/>
    <cellStyle name="Total 3 3 2 25" xfId="27084" xr:uid="{00000000-0005-0000-0000-0000CC690000}"/>
    <cellStyle name="Total 3 3 2 26" xfId="27085" xr:uid="{00000000-0005-0000-0000-0000CD690000}"/>
    <cellStyle name="Total 3 3 2 27" xfId="27086" xr:uid="{00000000-0005-0000-0000-0000CE690000}"/>
    <cellStyle name="Total 3 3 2 28" xfId="27087" xr:uid="{00000000-0005-0000-0000-0000CF690000}"/>
    <cellStyle name="Total 3 3 2 29" xfId="27088" xr:uid="{00000000-0005-0000-0000-0000D0690000}"/>
    <cellStyle name="Total 3 3 2 3" xfId="27089" xr:uid="{00000000-0005-0000-0000-0000D1690000}"/>
    <cellStyle name="Total 3 3 2 30" xfId="27090" xr:uid="{00000000-0005-0000-0000-0000D2690000}"/>
    <cellStyle name="Total 3 3 2 31" xfId="27091" xr:uid="{00000000-0005-0000-0000-0000D3690000}"/>
    <cellStyle name="Total 3 3 2 32" xfId="27092" xr:uid="{00000000-0005-0000-0000-0000D4690000}"/>
    <cellStyle name="Total 3 3 2 33" xfId="27093" xr:uid="{00000000-0005-0000-0000-0000D5690000}"/>
    <cellStyle name="Total 3 3 2 34" xfId="27094" xr:uid="{00000000-0005-0000-0000-0000D6690000}"/>
    <cellStyle name="Total 3 3 2 35" xfId="27095" xr:uid="{00000000-0005-0000-0000-0000D7690000}"/>
    <cellStyle name="Total 3 3 2 36" xfId="27096" xr:uid="{00000000-0005-0000-0000-0000D8690000}"/>
    <cellStyle name="Total 3 3 2 37" xfId="27097" xr:uid="{00000000-0005-0000-0000-0000D9690000}"/>
    <cellStyle name="Total 3 3 2 38" xfId="27098" xr:uid="{00000000-0005-0000-0000-0000DA690000}"/>
    <cellStyle name="Total 3 3 2 39" xfId="27099" xr:uid="{00000000-0005-0000-0000-0000DB690000}"/>
    <cellStyle name="Total 3 3 2 4" xfId="27100" xr:uid="{00000000-0005-0000-0000-0000DC690000}"/>
    <cellStyle name="Total 3 3 2 40" xfId="27101" xr:uid="{00000000-0005-0000-0000-0000DD690000}"/>
    <cellStyle name="Total 3 3 2 41" xfId="27102" xr:uid="{00000000-0005-0000-0000-0000DE690000}"/>
    <cellStyle name="Total 3 3 2 42" xfId="27103" xr:uid="{00000000-0005-0000-0000-0000DF690000}"/>
    <cellStyle name="Total 3 3 2 43" xfId="27104" xr:uid="{00000000-0005-0000-0000-0000E0690000}"/>
    <cellStyle name="Total 3 3 2 44" xfId="27105" xr:uid="{00000000-0005-0000-0000-0000E1690000}"/>
    <cellStyle name="Total 3 3 2 45" xfId="27106" xr:uid="{00000000-0005-0000-0000-0000E2690000}"/>
    <cellStyle name="Total 3 3 2 46" xfId="27107" xr:uid="{00000000-0005-0000-0000-0000E3690000}"/>
    <cellStyle name="Total 3 3 2 47" xfId="27108" xr:uid="{00000000-0005-0000-0000-0000E4690000}"/>
    <cellStyle name="Total 3 3 2 48" xfId="27109" xr:uid="{00000000-0005-0000-0000-0000E5690000}"/>
    <cellStyle name="Total 3 3 2 49" xfId="27110" xr:uid="{00000000-0005-0000-0000-0000E6690000}"/>
    <cellStyle name="Total 3 3 2 5" xfId="27111" xr:uid="{00000000-0005-0000-0000-0000E7690000}"/>
    <cellStyle name="Total 3 3 2 50" xfId="27112" xr:uid="{00000000-0005-0000-0000-0000E8690000}"/>
    <cellStyle name="Total 3 3 2 51" xfId="27113" xr:uid="{00000000-0005-0000-0000-0000E9690000}"/>
    <cellStyle name="Total 3 3 2 52" xfId="27114" xr:uid="{00000000-0005-0000-0000-0000EA690000}"/>
    <cellStyle name="Total 3 3 2 53" xfId="27115" xr:uid="{00000000-0005-0000-0000-0000EB690000}"/>
    <cellStyle name="Total 3 3 2 54" xfId="27116" xr:uid="{00000000-0005-0000-0000-0000EC690000}"/>
    <cellStyle name="Total 3 3 2 55" xfId="27117" xr:uid="{00000000-0005-0000-0000-0000ED690000}"/>
    <cellStyle name="Total 3 3 2 56" xfId="27118" xr:uid="{00000000-0005-0000-0000-0000EE690000}"/>
    <cellStyle name="Total 3 3 2 57" xfId="27119" xr:uid="{00000000-0005-0000-0000-0000EF690000}"/>
    <cellStyle name="Total 3 3 2 58" xfId="27120" xr:uid="{00000000-0005-0000-0000-0000F0690000}"/>
    <cellStyle name="Total 3 3 2 59" xfId="27121" xr:uid="{00000000-0005-0000-0000-0000F1690000}"/>
    <cellStyle name="Total 3 3 2 6" xfId="27122" xr:uid="{00000000-0005-0000-0000-0000F2690000}"/>
    <cellStyle name="Total 3 3 2 60" xfId="27123" xr:uid="{00000000-0005-0000-0000-0000F3690000}"/>
    <cellStyle name="Total 3 3 2 61" xfId="27124" xr:uid="{00000000-0005-0000-0000-0000F4690000}"/>
    <cellStyle name="Total 3 3 2 62" xfId="27125" xr:uid="{00000000-0005-0000-0000-0000F5690000}"/>
    <cellStyle name="Total 3 3 2 63" xfId="27126" xr:uid="{00000000-0005-0000-0000-0000F6690000}"/>
    <cellStyle name="Total 3 3 2 64" xfId="27127" xr:uid="{00000000-0005-0000-0000-0000F7690000}"/>
    <cellStyle name="Total 3 3 2 65" xfId="27128" xr:uid="{00000000-0005-0000-0000-0000F8690000}"/>
    <cellStyle name="Total 3 3 2 7" xfId="27129" xr:uid="{00000000-0005-0000-0000-0000F9690000}"/>
    <cellStyle name="Total 3 3 2 8" xfId="27130" xr:uid="{00000000-0005-0000-0000-0000FA690000}"/>
    <cellStyle name="Total 3 3 2 9" xfId="27131" xr:uid="{00000000-0005-0000-0000-0000FB690000}"/>
    <cellStyle name="Total 3 3 20" xfId="27132" xr:uid="{00000000-0005-0000-0000-0000FC690000}"/>
    <cellStyle name="Total 3 3 21" xfId="27133" xr:uid="{00000000-0005-0000-0000-0000FD690000}"/>
    <cellStyle name="Total 3 3 22" xfId="27134" xr:uid="{00000000-0005-0000-0000-0000FE690000}"/>
    <cellStyle name="Total 3 3 23" xfId="27135" xr:uid="{00000000-0005-0000-0000-0000FF690000}"/>
    <cellStyle name="Total 3 3 24" xfId="27136" xr:uid="{00000000-0005-0000-0000-0000006A0000}"/>
    <cellStyle name="Total 3 3 25" xfId="27137" xr:uid="{00000000-0005-0000-0000-0000016A0000}"/>
    <cellStyle name="Total 3 3 26" xfId="27138" xr:uid="{00000000-0005-0000-0000-0000026A0000}"/>
    <cellStyle name="Total 3 3 27" xfId="27139" xr:uid="{00000000-0005-0000-0000-0000036A0000}"/>
    <cellStyle name="Total 3 3 28" xfId="27140" xr:uid="{00000000-0005-0000-0000-0000046A0000}"/>
    <cellStyle name="Total 3 3 29" xfId="27141" xr:uid="{00000000-0005-0000-0000-0000056A0000}"/>
    <cellStyle name="Total 3 3 3" xfId="27142" xr:uid="{00000000-0005-0000-0000-0000066A0000}"/>
    <cellStyle name="Total 3 3 30" xfId="27143" xr:uid="{00000000-0005-0000-0000-0000076A0000}"/>
    <cellStyle name="Total 3 3 31" xfId="27144" xr:uid="{00000000-0005-0000-0000-0000086A0000}"/>
    <cellStyle name="Total 3 3 32" xfId="27145" xr:uid="{00000000-0005-0000-0000-0000096A0000}"/>
    <cellStyle name="Total 3 3 33" xfId="27146" xr:uid="{00000000-0005-0000-0000-00000A6A0000}"/>
    <cellStyle name="Total 3 3 34" xfId="27147" xr:uid="{00000000-0005-0000-0000-00000B6A0000}"/>
    <cellStyle name="Total 3 3 35" xfId="27148" xr:uid="{00000000-0005-0000-0000-00000C6A0000}"/>
    <cellStyle name="Total 3 3 36" xfId="27149" xr:uid="{00000000-0005-0000-0000-00000D6A0000}"/>
    <cellStyle name="Total 3 3 37" xfId="27150" xr:uid="{00000000-0005-0000-0000-00000E6A0000}"/>
    <cellStyle name="Total 3 3 38" xfId="27151" xr:uid="{00000000-0005-0000-0000-00000F6A0000}"/>
    <cellStyle name="Total 3 3 39" xfId="27152" xr:uid="{00000000-0005-0000-0000-0000106A0000}"/>
    <cellStyle name="Total 3 3 4" xfId="27153" xr:uid="{00000000-0005-0000-0000-0000116A0000}"/>
    <cellStyle name="Total 3 3 40" xfId="27154" xr:uid="{00000000-0005-0000-0000-0000126A0000}"/>
    <cellStyle name="Total 3 3 41" xfId="27155" xr:uid="{00000000-0005-0000-0000-0000136A0000}"/>
    <cellStyle name="Total 3 3 42" xfId="27156" xr:uid="{00000000-0005-0000-0000-0000146A0000}"/>
    <cellStyle name="Total 3 3 43" xfId="27157" xr:uid="{00000000-0005-0000-0000-0000156A0000}"/>
    <cellStyle name="Total 3 3 44" xfId="27158" xr:uid="{00000000-0005-0000-0000-0000166A0000}"/>
    <cellStyle name="Total 3 3 45" xfId="27159" xr:uid="{00000000-0005-0000-0000-0000176A0000}"/>
    <cellStyle name="Total 3 3 46" xfId="27160" xr:uid="{00000000-0005-0000-0000-0000186A0000}"/>
    <cellStyle name="Total 3 3 47" xfId="27161" xr:uid="{00000000-0005-0000-0000-0000196A0000}"/>
    <cellStyle name="Total 3 3 48" xfId="27162" xr:uid="{00000000-0005-0000-0000-00001A6A0000}"/>
    <cellStyle name="Total 3 3 49" xfId="27163" xr:uid="{00000000-0005-0000-0000-00001B6A0000}"/>
    <cellStyle name="Total 3 3 5" xfId="27164" xr:uid="{00000000-0005-0000-0000-00001C6A0000}"/>
    <cellStyle name="Total 3 3 50" xfId="27165" xr:uid="{00000000-0005-0000-0000-00001D6A0000}"/>
    <cellStyle name="Total 3 3 51" xfId="27166" xr:uid="{00000000-0005-0000-0000-00001E6A0000}"/>
    <cellStyle name="Total 3 3 52" xfId="27167" xr:uid="{00000000-0005-0000-0000-00001F6A0000}"/>
    <cellStyle name="Total 3 3 53" xfId="27168" xr:uid="{00000000-0005-0000-0000-0000206A0000}"/>
    <cellStyle name="Total 3 3 54" xfId="27169" xr:uid="{00000000-0005-0000-0000-0000216A0000}"/>
    <cellStyle name="Total 3 3 55" xfId="27170" xr:uid="{00000000-0005-0000-0000-0000226A0000}"/>
    <cellStyle name="Total 3 3 56" xfId="27171" xr:uid="{00000000-0005-0000-0000-0000236A0000}"/>
    <cellStyle name="Total 3 3 57" xfId="27172" xr:uid="{00000000-0005-0000-0000-0000246A0000}"/>
    <cellStyle name="Total 3 3 58" xfId="27173" xr:uid="{00000000-0005-0000-0000-0000256A0000}"/>
    <cellStyle name="Total 3 3 59" xfId="27174" xr:uid="{00000000-0005-0000-0000-0000266A0000}"/>
    <cellStyle name="Total 3 3 6" xfId="27175" xr:uid="{00000000-0005-0000-0000-0000276A0000}"/>
    <cellStyle name="Total 3 3 60" xfId="27176" xr:uid="{00000000-0005-0000-0000-0000286A0000}"/>
    <cellStyle name="Total 3 3 61" xfId="27177" xr:uid="{00000000-0005-0000-0000-0000296A0000}"/>
    <cellStyle name="Total 3 3 62" xfId="27178" xr:uid="{00000000-0005-0000-0000-00002A6A0000}"/>
    <cellStyle name="Total 3 3 63" xfId="27179" xr:uid="{00000000-0005-0000-0000-00002B6A0000}"/>
    <cellStyle name="Total 3 3 64" xfId="27180" xr:uid="{00000000-0005-0000-0000-00002C6A0000}"/>
    <cellStyle name="Total 3 3 65" xfId="27181" xr:uid="{00000000-0005-0000-0000-00002D6A0000}"/>
    <cellStyle name="Total 3 3 66" xfId="27182" xr:uid="{00000000-0005-0000-0000-00002E6A0000}"/>
    <cellStyle name="Total 3 3 7" xfId="27183" xr:uid="{00000000-0005-0000-0000-00002F6A0000}"/>
    <cellStyle name="Total 3 3 8" xfId="27184" xr:uid="{00000000-0005-0000-0000-0000306A0000}"/>
    <cellStyle name="Total 3 3 9" xfId="27185" xr:uid="{00000000-0005-0000-0000-0000316A0000}"/>
    <cellStyle name="Total 3 30" xfId="27186" xr:uid="{00000000-0005-0000-0000-0000326A0000}"/>
    <cellStyle name="Total 3 31" xfId="27187" xr:uid="{00000000-0005-0000-0000-0000336A0000}"/>
    <cellStyle name="Total 3 32" xfId="27188" xr:uid="{00000000-0005-0000-0000-0000346A0000}"/>
    <cellStyle name="Total 3 33" xfId="27189" xr:uid="{00000000-0005-0000-0000-0000356A0000}"/>
    <cellStyle name="Total 3 34" xfId="27190" xr:uid="{00000000-0005-0000-0000-0000366A0000}"/>
    <cellStyle name="Total 3 35" xfId="27191" xr:uid="{00000000-0005-0000-0000-0000376A0000}"/>
    <cellStyle name="Total 3 36" xfId="27192" xr:uid="{00000000-0005-0000-0000-0000386A0000}"/>
    <cellStyle name="Total 3 37" xfId="27193" xr:uid="{00000000-0005-0000-0000-0000396A0000}"/>
    <cellStyle name="Total 3 38" xfId="27194" xr:uid="{00000000-0005-0000-0000-00003A6A0000}"/>
    <cellStyle name="Total 3 39" xfId="27195" xr:uid="{00000000-0005-0000-0000-00003B6A0000}"/>
    <cellStyle name="Total 3 4" xfId="27196" xr:uid="{00000000-0005-0000-0000-00003C6A0000}"/>
    <cellStyle name="Total 3 4 10" xfId="27197" xr:uid="{00000000-0005-0000-0000-00003D6A0000}"/>
    <cellStyle name="Total 3 4 11" xfId="27198" xr:uid="{00000000-0005-0000-0000-00003E6A0000}"/>
    <cellStyle name="Total 3 4 12" xfId="27199" xr:uid="{00000000-0005-0000-0000-00003F6A0000}"/>
    <cellStyle name="Total 3 4 13" xfId="27200" xr:uid="{00000000-0005-0000-0000-0000406A0000}"/>
    <cellStyle name="Total 3 4 14" xfId="27201" xr:uid="{00000000-0005-0000-0000-0000416A0000}"/>
    <cellStyle name="Total 3 4 15" xfId="27202" xr:uid="{00000000-0005-0000-0000-0000426A0000}"/>
    <cellStyle name="Total 3 4 16" xfId="27203" xr:uid="{00000000-0005-0000-0000-0000436A0000}"/>
    <cellStyle name="Total 3 4 17" xfId="27204" xr:uid="{00000000-0005-0000-0000-0000446A0000}"/>
    <cellStyle name="Total 3 4 18" xfId="27205" xr:uid="{00000000-0005-0000-0000-0000456A0000}"/>
    <cellStyle name="Total 3 4 19" xfId="27206" xr:uid="{00000000-0005-0000-0000-0000466A0000}"/>
    <cellStyle name="Total 3 4 2" xfId="27207" xr:uid="{00000000-0005-0000-0000-0000476A0000}"/>
    <cellStyle name="Total 3 4 2 10" xfId="27208" xr:uid="{00000000-0005-0000-0000-0000486A0000}"/>
    <cellStyle name="Total 3 4 2 11" xfId="27209" xr:uid="{00000000-0005-0000-0000-0000496A0000}"/>
    <cellStyle name="Total 3 4 2 12" xfId="27210" xr:uid="{00000000-0005-0000-0000-00004A6A0000}"/>
    <cellStyle name="Total 3 4 2 13" xfId="27211" xr:uid="{00000000-0005-0000-0000-00004B6A0000}"/>
    <cellStyle name="Total 3 4 2 14" xfId="27212" xr:uid="{00000000-0005-0000-0000-00004C6A0000}"/>
    <cellStyle name="Total 3 4 2 15" xfId="27213" xr:uid="{00000000-0005-0000-0000-00004D6A0000}"/>
    <cellStyle name="Total 3 4 2 16" xfId="27214" xr:uid="{00000000-0005-0000-0000-00004E6A0000}"/>
    <cellStyle name="Total 3 4 2 17" xfId="27215" xr:uid="{00000000-0005-0000-0000-00004F6A0000}"/>
    <cellStyle name="Total 3 4 2 18" xfId="27216" xr:uid="{00000000-0005-0000-0000-0000506A0000}"/>
    <cellStyle name="Total 3 4 2 19" xfId="27217" xr:uid="{00000000-0005-0000-0000-0000516A0000}"/>
    <cellStyle name="Total 3 4 2 2" xfId="27218" xr:uid="{00000000-0005-0000-0000-0000526A0000}"/>
    <cellStyle name="Total 3 4 2 20" xfId="27219" xr:uid="{00000000-0005-0000-0000-0000536A0000}"/>
    <cellStyle name="Total 3 4 2 21" xfId="27220" xr:uid="{00000000-0005-0000-0000-0000546A0000}"/>
    <cellStyle name="Total 3 4 2 22" xfId="27221" xr:uid="{00000000-0005-0000-0000-0000556A0000}"/>
    <cellStyle name="Total 3 4 2 23" xfId="27222" xr:uid="{00000000-0005-0000-0000-0000566A0000}"/>
    <cellStyle name="Total 3 4 2 24" xfId="27223" xr:uid="{00000000-0005-0000-0000-0000576A0000}"/>
    <cellStyle name="Total 3 4 2 25" xfId="27224" xr:uid="{00000000-0005-0000-0000-0000586A0000}"/>
    <cellStyle name="Total 3 4 2 26" xfId="27225" xr:uid="{00000000-0005-0000-0000-0000596A0000}"/>
    <cellStyle name="Total 3 4 2 27" xfId="27226" xr:uid="{00000000-0005-0000-0000-00005A6A0000}"/>
    <cellStyle name="Total 3 4 2 28" xfId="27227" xr:uid="{00000000-0005-0000-0000-00005B6A0000}"/>
    <cellStyle name="Total 3 4 2 29" xfId="27228" xr:uid="{00000000-0005-0000-0000-00005C6A0000}"/>
    <cellStyle name="Total 3 4 2 3" xfId="27229" xr:uid="{00000000-0005-0000-0000-00005D6A0000}"/>
    <cellStyle name="Total 3 4 2 30" xfId="27230" xr:uid="{00000000-0005-0000-0000-00005E6A0000}"/>
    <cellStyle name="Total 3 4 2 31" xfId="27231" xr:uid="{00000000-0005-0000-0000-00005F6A0000}"/>
    <cellStyle name="Total 3 4 2 32" xfId="27232" xr:uid="{00000000-0005-0000-0000-0000606A0000}"/>
    <cellStyle name="Total 3 4 2 33" xfId="27233" xr:uid="{00000000-0005-0000-0000-0000616A0000}"/>
    <cellStyle name="Total 3 4 2 34" xfId="27234" xr:uid="{00000000-0005-0000-0000-0000626A0000}"/>
    <cellStyle name="Total 3 4 2 35" xfId="27235" xr:uid="{00000000-0005-0000-0000-0000636A0000}"/>
    <cellStyle name="Total 3 4 2 36" xfId="27236" xr:uid="{00000000-0005-0000-0000-0000646A0000}"/>
    <cellStyle name="Total 3 4 2 37" xfId="27237" xr:uid="{00000000-0005-0000-0000-0000656A0000}"/>
    <cellStyle name="Total 3 4 2 38" xfId="27238" xr:uid="{00000000-0005-0000-0000-0000666A0000}"/>
    <cellStyle name="Total 3 4 2 39" xfId="27239" xr:uid="{00000000-0005-0000-0000-0000676A0000}"/>
    <cellStyle name="Total 3 4 2 4" xfId="27240" xr:uid="{00000000-0005-0000-0000-0000686A0000}"/>
    <cellStyle name="Total 3 4 2 40" xfId="27241" xr:uid="{00000000-0005-0000-0000-0000696A0000}"/>
    <cellStyle name="Total 3 4 2 41" xfId="27242" xr:uid="{00000000-0005-0000-0000-00006A6A0000}"/>
    <cellStyle name="Total 3 4 2 42" xfId="27243" xr:uid="{00000000-0005-0000-0000-00006B6A0000}"/>
    <cellStyle name="Total 3 4 2 43" xfId="27244" xr:uid="{00000000-0005-0000-0000-00006C6A0000}"/>
    <cellStyle name="Total 3 4 2 44" xfId="27245" xr:uid="{00000000-0005-0000-0000-00006D6A0000}"/>
    <cellStyle name="Total 3 4 2 45" xfId="27246" xr:uid="{00000000-0005-0000-0000-00006E6A0000}"/>
    <cellStyle name="Total 3 4 2 46" xfId="27247" xr:uid="{00000000-0005-0000-0000-00006F6A0000}"/>
    <cellStyle name="Total 3 4 2 47" xfId="27248" xr:uid="{00000000-0005-0000-0000-0000706A0000}"/>
    <cellStyle name="Total 3 4 2 48" xfId="27249" xr:uid="{00000000-0005-0000-0000-0000716A0000}"/>
    <cellStyle name="Total 3 4 2 49" xfId="27250" xr:uid="{00000000-0005-0000-0000-0000726A0000}"/>
    <cellStyle name="Total 3 4 2 5" xfId="27251" xr:uid="{00000000-0005-0000-0000-0000736A0000}"/>
    <cellStyle name="Total 3 4 2 50" xfId="27252" xr:uid="{00000000-0005-0000-0000-0000746A0000}"/>
    <cellStyle name="Total 3 4 2 51" xfId="27253" xr:uid="{00000000-0005-0000-0000-0000756A0000}"/>
    <cellStyle name="Total 3 4 2 52" xfId="27254" xr:uid="{00000000-0005-0000-0000-0000766A0000}"/>
    <cellStyle name="Total 3 4 2 53" xfId="27255" xr:uid="{00000000-0005-0000-0000-0000776A0000}"/>
    <cellStyle name="Total 3 4 2 54" xfId="27256" xr:uid="{00000000-0005-0000-0000-0000786A0000}"/>
    <cellStyle name="Total 3 4 2 55" xfId="27257" xr:uid="{00000000-0005-0000-0000-0000796A0000}"/>
    <cellStyle name="Total 3 4 2 56" xfId="27258" xr:uid="{00000000-0005-0000-0000-00007A6A0000}"/>
    <cellStyle name="Total 3 4 2 57" xfId="27259" xr:uid="{00000000-0005-0000-0000-00007B6A0000}"/>
    <cellStyle name="Total 3 4 2 58" xfId="27260" xr:uid="{00000000-0005-0000-0000-00007C6A0000}"/>
    <cellStyle name="Total 3 4 2 59" xfId="27261" xr:uid="{00000000-0005-0000-0000-00007D6A0000}"/>
    <cellStyle name="Total 3 4 2 6" xfId="27262" xr:uid="{00000000-0005-0000-0000-00007E6A0000}"/>
    <cellStyle name="Total 3 4 2 60" xfId="27263" xr:uid="{00000000-0005-0000-0000-00007F6A0000}"/>
    <cellStyle name="Total 3 4 2 61" xfId="27264" xr:uid="{00000000-0005-0000-0000-0000806A0000}"/>
    <cellStyle name="Total 3 4 2 62" xfId="27265" xr:uid="{00000000-0005-0000-0000-0000816A0000}"/>
    <cellStyle name="Total 3 4 2 63" xfId="27266" xr:uid="{00000000-0005-0000-0000-0000826A0000}"/>
    <cellStyle name="Total 3 4 2 64" xfId="27267" xr:uid="{00000000-0005-0000-0000-0000836A0000}"/>
    <cellStyle name="Total 3 4 2 65" xfId="27268" xr:uid="{00000000-0005-0000-0000-0000846A0000}"/>
    <cellStyle name="Total 3 4 2 7" xfId="27269" xr:uid="{00000000-0005-0000-0000-0000856A0000}"/>
    <cellStyle name="Total 3 4 2 8" xfId="27270" xr:uid="{00000000-0005-0000-0000-0000866A0000}"/>
    <cellStyle name="Total 3 4 2 9" xfId="27271" xr:uid="{00000000-0005-0000-0000-0000876A0000}"/>
    <cellStyle name="Total 3 4 20" xfId="27272" xr:uid="{00000000-0005-0000-0000-0000886A0000}"/>
    <cellStyle name="Total 3 4 21" xfId="27273" xr:uid="{00000000-0005-0000-0000-0000896A0000}"/>
    <cellStyle name="Total 3 4 22" xfId="27274" xr:uid="{00000000-0005-0000-0000-00008A6A0000}"/>
    <cellStyle name="Total 3 4 23" xfId="27275" xr:uid="{00000000-0005-0000-0000-00008B6A0000}"/>
    <cellStyle name="Total 3 4 24" xfId="27276" xr:uid="{00000000-0005-0000-0000-00008C6A0000}"/>
    <cellStyle name="Total 3 4 25" xfId="27277" xr:uid="{00000000-0005-0000-0000-00008D6A0000}"/>
    <cellStyle name="Total 3 4 26" xfId="27278" xr:uid="{00000000-0005-0000-0000-00008E6A0000}"/>
    <cellStyle name="Total 3 4 27" xfId="27279" xr:uid="{00000000-0005-0000-0000-00008F6A0000}"/>
    <cellStyle name="Total 3 4 28" xfId="27280" xr:uid="{00000000-0005-0000-0000-0000906A0000}"/>
    <cellStyle name="Total 3 4 29" xfId="27281" xr:uid="{00000000-0005-0000-0000-0000916A0000}"/>
    <cellStyle name="Total 3 4 3" xfId="27282" xr:uid="{00000000-0005-0000-0000-0000926A0000}"/>
    <cellStyle name="Total 3 4 30" xfId="27283" xr:uid="{00000000-0005-0000-0000-0000936A0000}"/>
    <cellStyle name="Total 3 4 31" xfId="27284" xr:uid="{00000000-0005-0000-0000-0000946A0000}"/>
    <cellStyle name="Total 3 4 32" xfId="27285" xr:uid="{00000000-0005-0000-0000-0000956A0000}"/>
    <cellStyle name="Total 3 4 33" xfId="27286" xr:uid="{00000000-0005-0000-0000-0000966A0000}"/>
    <cellStyle name="Total 3 4 34" xfId="27287" xr:uid="{00000000-0005-0000-0000-0000976A0000}"/>
    <cellStyle name="Total 3 4 35" xfId="27288" xr:uid="{00000000-0005-0000-0000-0000986A0000}"/>
    <cellStyle name="Total 3 4 36" xfId="27289" xr:uid="{00000000-0005-0000-0000-0000996A0000}"/>
    <cellStyle name="Total 3 4 37" xfId="27290" xr:uid="{00000000-0005-0000-0000-00009A6A0000}"/>
    <cellStyle name="Total 3 4 38" xfId="27291" xr:uid="{00000000-0005-0000-0000-00009B6A0000}"/>
    <cellStyle name="Total 3 4 39" xfId="27292" xr:uid="{00000000-0005-0000-0000-00009C6A0000}"/>
    <cellStyle name="Total 3 4 4" xfId="27293" xr:uid="{00000000-0005-0000-0000-00009D6A0000}"/>
    <cellStyle name="Total 3 4 40" xfId="27294" xr:uid="{00000000-0005-0000-0000-00009E6A0000}"/>
    <cellStyle name="Total 3 4 41" xfId="27295" xr:uid="{00000000-0005-0000-0000-00009F6A0000}"/>
    <cellStyle name="Total 3 4 42" xfId="27296" xr:uid="{00000000-0005-0000-0000-0000A06A0000}"/>
    <cellStyle name="Total 3 4 43" xfId="27297" xr:uid="{00000000-0005-0000-0000-0000A16A0000}"/>
    <cellStyle name="Total 3 4 44" xfId="27298" xr:uid="{00000000-0005-0000-0000-0000A26A0000}"/>
    <cellStyle name="Total 3 4 45" xfId="27299" xr:uid="{00000000-0005-0000-0000-0000A36A0000}"/>
    <cellStyle name="Total 3 4 46" xfId="27300" xr:uid="{00000000-0005-0000-0000-0000A46A0000}"/>
    <cellStyle name="Total 3 4 47" xfId="27301" xr:uid="{00000000-0005-0000-0000-0000A56A0000}"/>
    <cellStyle name="Total 3 4 48" xfId="27302" xr:uid="{00000000-0005-0000-0000-0000A66A0000}"/>
    <cellStyle name="Total 3 4 49" xfId="27303" xr:uid="{00000000-0005-0000-0000-0000A76A0000}"/>
    <cellStyle name="Total 3 4 5" xfId="27304" xr:uid="{00000000-0005-0000-0000-0000A86A0000}"/>
    <cellStyle name="Total 3 4 50" xfId="27305" xr:uid="{00000000-0005-0000-0000-0000A96A0000}"/>
    <cellStyle name="Total 3 4 51" xfId="27306" xr:uid="{00000000-0005-0000-0000-0000AA6A0000}"/>
    <cellStyle name="Total 3 4 52" xfId="27307" xr:uid="{00000000-0005-0000-0000-0000AB6A0000}"/>
    <cellStyle name="Total 3 4 53" xfId="27308" xr:uid="{00000000-0005-0000-0000-0000AC6A0000}"/>
    <cellStyle name="Total 3 4 54" xfId="27309" xr:uid="{00000000-0005-0000-0000-0000AD6A0000}"/>
    <cellStyle name="Total 3 4 55" xfId="27310" xr:uid="{00000000-0005-0000-0000-0000AE6A0000}"/>
    <cellStyle name="Total 3 4 56" xfId="27311" xr:uid="{00000000-0005-0000-0000-0000AF6A0000}"/>
    <cellStyle name="Total 3 4 57" xfId="27312" xr:uid="{00000000-0005-0000-0000-0000B06A0000}"/>
    <cellStyle name="Total 3 4 58" xfId="27313" xr:uid="{00000000-0005-0000-0000-0000B16A0000}"/>
    <cellStyle name="Total 3 4 59" xfId="27314" xr:uid="{00000000-0005-0000-0000-0000B26A0000}"/>
    <cellStyle name="Total 3 4 6" xfId="27315" xr:uid="{00000000-0005-0000-0000-0000B36A0000}"/>
    <cellStyle name="Total 3 4 60" xfId="27316" xr:uid="{00000000-0005-0000-0000-0000B46A0000}"/>
    <cellStyle name="Total 3 4 61" xfId="27317" xr:uid="{00000000-0005-0000-0000-0000B56A0000}"/>
    <cellStyle name="Total 3 4 62" xfId="27318" xr:uid="{00000000-0005-0000-0000-0000B66A0000}"/>
    <cellStyle name="Total 3 4 63" xfId="27319" xr:uid="{00000000-0005-0000-0000-0000B76A0000}"/>
    <cellStyle name="Total 3 4 64" xfId="27320" xr:uid="{00000000-0005-0000-0000-0000B86A0000}"/>
    <cellStyle name="Total 3 4 65" xfId="27321" xr:uid="{00000000-0005-0000-0000-0000B96A0000}"/>
    <cellStyle name="Total 3 4 66" xfId="27322" xr:uid="{00000000-0005-0000-0000-0000BA6A0000}"/>
    <cellStyle name="Total 3 4 7" xfId="27323" xr:uid="{00000000-0005-0000-0000-0000BB6A0000}"/>
    <cellStyle name="Total 3 4 8" xfId="27324" xr:uid="{00000000-0005-0000-0000-0000BC6A0000}"/>
    <cellStyle name="Total 3 4 9" xfId="27325" xr:uid="{00000000-0005-0000-0000-0000BD6A0000}"/>
    <cellStyle name="Total 3 40" xfId="27326" xr:uid="{00000000-0005-0000-0000-0000BE6A0000}"/>
    <cellStyle name="Total 3 41" xfId="27327" xr:uid="{00000000-0005-0000-0000-0000BF6A0000}"/>
    <cellStyle name="Total 3 42" xfId="27328" xr:uid="{00000000-0005-0000-0000-0000C06A0000}"/>
    <cellStyle name="Total 3 43" xfId="27329" xr:uid="{00000000-0005-0000-0000-0000C16A0000}"/>
    <cellStyle name="Total 3 44" xfId="27330" xr:uid="{00000000-0005-0000-0000-0000C26A0000}"/>
    <cellStyle name="Total 3 45" xfId="27331" xr:uid="{00000000-0005-0000-0000-0000C36A0000}"/>
    <cellStyle name="Total 3 46" xfId="27332" xr:uid="{00000000-0005-0000-0000-0000C46A0000}"/>
    <cellStyle name="Total 3 47" xfId="27333" xr:uid="{00000000-0005-0000-0000-0000C56A0000}"/>
    <cellStyle name="Total 3 48" xfId="27334" xr:uid="{00000000-0005-0000-0000-0000C66A0000}"/>
    <cellStyle name="Total 3 49" xfId="27335" xr:uid="{00000000-0005-0000-0000-0000C76A0000}"/>
    <cellStyle name="Total 3 5" xfId="27336" xr:uid="{00000000-0005-0000-0000-0000C86A0000}"/>
    <cellStyle name="Total 3 5 10" xfId="27337" xr:uid="{00000000-0005-0000-0000-0000C96A0000}"/>
    <cellStyle name="Total 3 5 11" xfId="27338" xr:uid="{00000000-0005-0000-0000-0000CA6A0000}"/>
    <cellStyle name="Total 3 5 12" xfId="27339" xr:uid="{00000000-0005-0000-0000-0000CB6A0000}"/>
    <cellStyle name="Total 3 5 13" xfId="27340" xr:uid="{00000000-0005-0000-0000-0000CC6A0000}"/>
    <cellStyle name="Total 3 5 14" xfId="27341" xr:uid="{00000000-0005-0000-0000-0000CD6A0000}"/>
    <cellStyle name="Total 3 5 15" xfId="27342" xr:uid="{00000000-0005-0000-0000-0000CE6A0000}"/>
    <cellStyle name="Total 3 5 16" xfId="27343" xr:uid="{00000000-0005-0000-0000-0000CF6A0000}"/>
    <cellStyle name="Total 3 5 17" xfId="27344" xr:uid="{00000000-0005-0000-0000-0000D06A0000}"/>
    <cellStyle name="Total 3 5 18" xfId="27345" xr:uid="{00000000-0005-0000-0000-0000D16A0000}"/>
    <cellStyle name="Total 3 5 19" xfId="27346" xr:uid="{00000000-0005-0000-0000-0000D26A0000}"/>
    <cellStyle name="Total 3 5 2" xfId="27347" xr:uid="{00000000-0005-0000-0000-0000D36A0000}"/>
    <cellStyle name="Total 3 5 20" xfId="27348" xr:uid="{00000000-0005-0000-0000-0000D46A0000}"/>
    <cellStyle name="Total 3 5 21" xfId="27349" xr:uid="{00000000-0005-0000-0000-0000D56A0000}"/>
    <cellStyle name="Total 3 5 22" xfId="27350" xr:uid="{00000000-0005-0000-0000-0000D66A0000}"/>
    <cellStyle name="Total 3 5 23" xfId="27351" xr:uid="{00000000-0005-0000-0000-0000D76A0000}"/>
    <cellStyle name="Total 3 5 24" xfId="27352" xr:uid="{00000000-0005-0000-0000-0000D86A0000}"/>
    <cellStyle name="Total 3 5 25" xfId="27353" xr:uid="{00000000-0005-0000-0000-0000D96A0000}"/>
    <cellStyle name="Total 3 5 26" xfId="27354" xr:uid="{00000000-0005-0000-0000-0000DA6A0000}"/>
    <cellStyle name="Total 3 5 27" xfId="27355" xr:uid="{00000000-0005-0000-0000-0000DB6A0000}"/>
    <cellStyle name="Total 3 5 28" xfId="27356" xr:uid="{00000000-0005-0000-0000-0000DC6A0000}"/>
    <cellStyle name="Total 3 5 29" xfId="27357" xr:uid="{00000000-0005-0000-0000-0000DD6A0000}"/>
    <cellStyle name="Total 3 5 3" xfId="27358" xr:uid="{00000000-0005-0000-0000-0000DE6A0000}"/>
    <cellStyle name="Total 3 5 30" xfId="27359" xr:uid="{00000000-0005-0000-0000-0000DF6A0000}"/>
    <cellStyle name="Total 3 5 31" xfId="27360" xr:uid="{00000000-0005-0000-0000-0000E06A0000}"/>
    <cellStyle name="Total 3 5 32" xfId="27361" xr:uid="{00000000-0005-0000-0000-0000E16A0000}"/>
    <cellStyle name="Total 3 5 33" xfId="27362" xr:uid="{00000000-0005-0000-0000-0000E26A0000}"/>
    <cellStyle name="Total 3 5 34" xfId="27363" xr:uid="{00000000-0005-0000-0000-0000E36A0000}"/>
    <cellStyle name="Total 3 5 35" xfId="27364" xr:uid="{00000000-0005-0000-0000-0000E46A0000}"/>
    <cellStyle name="Total 3 5 36" xfId="27365" xr:uid="{00000000-0005-0000-0000-0000E56A0000}"/>
    <cellStyle name="Total 3 5 37" xfId="27366" xr:uid="{00000000-0005-0000-0000-0000E66A0000}"/>
    <cellStyle name="Total 3 5 38" xfId="27367" xr:uid="{00000000-0005-0000-0000-0000E76A0000}"/>
    <cellStyle name="Total 3 5 39" xfId="27368" xr:uid="{00000000-0005-0000-0000-0000E86A0000}"/>
    <cellStyle name="Total 3 5 4" xfId="27369" xr:uid="{00000000-0005-0000-0000-0000E96A0000}"/>
    <cellStyle name="Total 3 5 40" xfId="27370" xr:uid="{00000000-0005-0000-0000-0000EA6A0000}"/>
    <cellStyle name="Total 3 5 41" xfId="27371" xr:uid="{00000000-0005-0000-0000-0000EB6A0000}"/>
    <cellStyle name="Total 3 5 42" xfId="27372" xr:uid="{00000000-0005-0000-0000-0000EC6A0000}"/>
    <cellStyle name="Total 3 5 43" xfId="27373" xr:uid="{00000000-0005-0000-0000-0000ED6A0000}"/>
    <cellStyle name="Total 3 5 44" xfId="27374" xr:uid="{00000000-0005-0000-0000-0000EE6A0000}"/>
    <cellStyle name="Total 3 5 45" xfId="27375" xr:uid="{00000000-0005-0000-0000-0000EF6A0000}"/>
    <cellStyle name="Total 3 5 46" xfId="27376" xr:uid="{00000000-0005-0000-0000-0000F06A0000}"/>
    <cellStyle name="Total 3 5 47" xfId="27377" xr:uid="{00000000-0005-0000-0000-0000F16A0000}"/>
    <cellStyle name="Total 3 5 48" xfId="27378" xr:uid="{00000000-0005-0000-0000-0000F26A0000}"/>
    <cellStyle name="Total 3 5 49" xfId="27379" xr:uid="{00000000-0005-0000-0000-0000F36A0000}"/>
    <cellStyle name="Total 3 5 5" xfId="27380" xr:uid="{00000000-0005-0000-0000-0000F46A0000}"/>
    <cellStyle name="Total 3 5 50" xfId="27381" xr:uid="{00000000-0005-0000-0000-0000F56A0000}"/>
    <cellStyle name="Total 3 5 51" xfId="27382" xr:uid="{00000000-0005-0000-0000-0000F66A0000}"/>
    <cellStyle name="Total 3 5 52" xfId="27383" xr:uid="{00000000-0005-0000-0000-0000F76A0000}"/>
    <cellStyle name="Total 3 5 53" xfId="27384" xr:uid="{00000000-0005-0000-0000-0000F86A0000}"/>
    <cellStyle name="Total 3 5 54" xfId="27385" xr:uid="{00000000-0005-0000-0000-0000F96A0000}"/>
    <cellStyle name="Total 3 5 55" xfId="27386" xr:uid="{00000000-0005-0000-0000-0000FA6A0000}"/>
    <cellStyle name="Total 3 5 56" xfId="27387" xr:uid="{00000000-0005-0000-0000-0000FB6A0000}"/>
    <cellStyle name="Total 3 5 57" xfId="27388" xr:uid="{00000000-0005-0000-0000-0000FC6A0000}"/>
    <cellStyle name="Total 3 5 58" xfId="27389" xr:uid="{00000000-0005-0000-0000-0000FD6A0000}"/>
    <cellStyle name="Total 3 5 59" xfId="27390" xr:uid="{00000000-0005-0000-0000-0000FE6A0000}"/>
    <cellStyle name="Total 3 5 6" xfId="27391" xr:uid="{00000000-0005-0000-0000-0000FF6A0000}"/>
    <cellStyle name="Total 3 5 60" xfId="27392" xr:uid="{00000000-0005-0000-0000-0000006B0000}"/>
    <cellStyle name="Total 3 5 61" xfId="27393" xr:uid="{00000000-0005-0000-0000-0000016B0000}"/>
    <cellStyle name="Total 3 5 62" xfId="27394" xr:uid="{00000000-0005-0000-0000-0000026B0000}"/>
    <cellStyle name="Total 3 5 63" xfId="27395" xr:uid="{00000000-0005-0000-0000-0000036B0000}"/>
    <cellStyle name="Total 3 5 64" xfId="27396" xr:uid="{00000000-0005-0000-0000-0000046B0000}"/>
    <cellStyle name="Total 3 5 65" xfId="27397" xr:uid="{00000000-0005-0000-0000-0000056B0000}"/>
    <cellStyle name="Total 3 5 7" xfId="27398" xr:uid="{00000000-0005-0000-0000-0000066B0000}"/>
    <cellStyle name="Total 3 5 8" xfId="27399" xr:uid="{00000000-0005-0000-0000-0000076B0000}"/>
    <cellStyle name="Total 3 5 9" xfId="27400" xr:uid="{00000000-0005-0000-0000-0000086B0000}"/>
    <cellStyle name="Total 3 50" xfId="27401" xr:uid="{00000000-0005-0000-0000-0000096B0000}"/>
    <cellStyle name="Total 3 51" xfId="27402" xr:uid="{00000000-0005-0000-0000-00000A6B0000}"/>
    <cellStyle name="Total 3 6" xfId="27403" xr:uid="{00000000-0005-0000-0000-00000B6B0000}"/>
    <cellStyle name="Total 3 7" xfId="27404" xr:uid="{00000000-0005-0000-0000-00000C6B0000}"/>
    <cellStyle name="Total 3 8" xfId="27405" xr:uid="{00000000-0005-0000-0000-00000D6B0000}"/>
    <cellStyle name="Total 3 9" xfId="27406" xr:uid="{00000000-0005-0000-0000-00000E6B0000}"/>
    <cellStyle name="Überschrift" xfId="27414" xr:uid="{00000000-0005-0000-0000-0000166B0000}"/>
    <cellStyle name="Überschrift 1" xfId="27415" xr:uid="{00000000-0005-0000-0000-0000176B0000}"/>
    <cellStyle name="Überschrift 2" xfId="27416" xr:uid="{00000000-0005-0000-0000-0000186B0000}"/>
    <cellStyle name="Überschrift 3" xfId="27417" xr:uid="{00000000-0005-0000-0000-0000196B0000}"/>
    <cellStyle name="Überschrift 4" xfId="27418" xr:uid="{00000000-0005-0000-0000-00001A6B0000}"/>
    <cellStyle name="Verknüpfte Zelle" xfId="27407" xr:uid="{00000000-0005-0000-0000-00000F6B0000}"/>
    <cellStyle name="Warnender Text" xfId="27408" xr:uid="{00000000-0005-0000-0000-0000106B0000}"/>
    <cellStyle name="Warnender Text 2" xfId="27409" xr:uid="{00000000-0005-0000-0000-0000116B0000}"/>
    <cellStyle name="Warnender Text 3" xfId="27410" xr:uid="{00000000-0005-0000-0000-0000126B0000}"/>
    <cellStyle name="Warning Text 2" xfId="27411" xr:uid="{00000000-0005-0000-0000-0000136B0000}"/>
    <cellStyle name="Warning Text 3" xfId="27412" xr:uid="{00000000-0005-0000-0000-0000146B0000}"/>
    <cellStyle name="Zelle überprüfen" xfId="27413" xr:uid="{00000000-0005-0000-0000-0000156B0000}"/>
    <cellStyle name="Гиперссылка" xfId="27419" xr:uid="{00000000-0005-0000-0000-00001B6B0000}"/>
    <cellStyle name="Гиперссылка 2" xfId="27420" xr:uid="{00000000-0005-0000-0000-00001C6B0000}"/>
    <cellStyle name="Гиперссылка 3" xfId="27421" xr:uid="{00000000-0005-0000-0000-00001D6B0000}"/>
    <cellStyle name="Гиперссылка 4" xfId="27422" xr:uid="{00000000-0005-0000-0000-00001E6B0000}"/>
    <cellStyle name="Обычный_2++" xfId="27423" xr:uid="{00000000-0005-0000-0000-00001F6B0000}"/>
  </cellStyles>
  <dxfs count="0"/>
  <tableStyles count="0" defaultTableStyle="TableStyleMedium2" defaultPivotStyle="PivotStyleLight16"/>
  <colors>
    <indexedColors>
      <rgbColor rgb="FF000000"/>
      <rgbColor rgb="FFFFFFFF"/>
      <rgbColor rgb="FFFF0000"/>
      <rgbColor rgb="FF00FF00"/>
      <rgbColor rgb="FF0000FF"/>
      <rgbColor rgb="FFFFD966"/>
      <rgbColor rgb="FFF4B183"/>
      <rgbColor rgb="FFA9D18E"/>
      <rgbColor rgb="FFE7E6E6"/>
      <rgbColor rgb="FFC6C6C6"/>
      <rgbColor rgb="FFEDEDED"/>
      <rgbColor rgb="FF548235"/>
      <rgbColor rgb="FF800080"/>
      <rgbColor rgb="FF0563C1"/>
      <rgbColor rgb="FFBFBFBF"/>
      <rgbColor rgb="FF808080"/>
      <rgbColor rgb="FF9AB3DC"/>
      <rgbColor rgb="FFED7D31"/>
      <rgbColor rgb="FFFFF2CC"/>
      <rgbColor rgb="FFCCFFFF"/>
      <rgbColor rgb="FFDBDBDB"/>
      <rgbColor rgb="FFFF8080"/>
      <rgbColor rgb="FF0065CB"/>
      <rgbColor rgb="FFCCCCFF"/>
      <rgbColor rgb="FFF2F2F2"/>
      <rgbColor rgb="FFF9D2B8"/>
      <rgbColor rgb="FFFFC000"/>
      <rgbColor rgb="FFB9CFEB"/>
      <rgbColor rgb="FFBDD7EE"/>
      <rgbColor rgb="FFFBE5D6"/>
      <rgbColor rgb="FF5B9BD5"/>
      <rgbColor rgb="FFE2F0D9"/>
      <rgbColor rgb="FF9DC3E6"/>
      <rgbColor rgb="FFDEEBF7"/>
      <rgbColor rgb="FFCCFFCC"/>
      <rgbColor rgb="FFFFE9A6"/>
      <rgbColor rgb="FF99CCFF"/>
      <rgbColor rgb="FFFF99CC"/>
      <rgbColor rgb="FFCC99FF"/>
      <rgbColor rgb="FFFFCC99"/>
      <rgbColor rgb="FF3873C1"/>
      <rgbColor rgb="FF33CCCC"/>
      <rgbColor rgb="FF70AD47"/>
      <rgbColor rgb="FFFFCC00"/>
      <rgbColor rgb="FFFF9900"/>
      <rgbColor rgb="FFFF6600"/>
      <rgbColor rgb="FF5A5A5A"/>
      <rgbColor rgb="FF7F7F7F"/>
      <rgbColor rgb="FF235186"/>
      <rgbColor rgb="FF298F34"/>
      <rgbColor rgb="FFDEE4EF"/>
      <rgbColor rgb="FFC5E0B4"/>
      <rgbColor rgb="FFC45A11"/>
      <rgbColor rgb="FFBE8F00"/>
      <rgbColor rgb="FF333399"/>
      <rgbColor rgb="FFD0CEC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stacked"/>
        <c:varyColors val="0"/>
        <c:ser>
          <c:idx val="0"/>
          <c:order val="0"/>
          <c:tx>
            <c:strRef>
              <c:f>Figures!$B$6</c:f>
              <c:strCache>
                <c:ptCount val="1"/>
                <c:pt idx="0">
                  <c:v>Production of mineral fertilizer</c:v>
                </c:pt>
              </c:strCache>
            </c:strRef>
          </c:tx>
          <c:spPr>
            <a:solidFill>
              <a:srgbClr val="5B9BD5"/>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Figures!$A$7:$A$17</c:f>
              <c:strCache>
                <c:ptCount val="11"/>
                <c:pt idx="0">
                  <c:v>Poland</c:v>
                </c:pt>
                <c:pt idx="1">
                  <c:v>Hungary </c:v>
                </c:pt>
                <c:pt idx="2">
                  <c:v>Greece</c:v>
                </c:pt>
                <c:pt idx="3">
                  <c:v>Italy</c:v>
                </c:pt>
                <c:pt idx="4">
                  <c:v>Netherlands</c:v>
                </c:pt>
                <c:pt idx="5">
                  <c:v>Germany</c:v>
                </c:pt>
                <c:pt idx="6">
                  <c:v>Spain</c:v>
                </c:pt>
                <c:pt idx="7">
                  <c:v>Denmark </c:v>
                </c:pt>
                <c:pt idx="8">
                  <c:v>France</c:v>
                </c:pt>
                <c:pt idx="9">
                  <c:v>Sweden</c:v>
                </c:pt>
                <c:pt idx="10">
                  <c:v>Ireland</c:v>
                </c:pt>
              </c:strCache>
            </c:strRef>
          </c:cat>
          <c:val>
            <c:numRef>
              <c:f>Figures!$B$7:$B$17</c:f>
              <c:numCache>
                <c:formatCode>0.000</c:formatCode>
                <c:ptCount val="11"/>
                <c:pt idx="0">
                  <c:v>6.9906024765143626E-2</c:v>
                </c:pt>
                <c:pt idx="1">
                  <c:v>3.7362350561623438E-2</c:v>
                </c:pt>
                <c:pt idx="2">
                  <c:v>5.9535003569906625E-2</c:v>
                </c:pt>
                <c:pt idx="3">
                  <c:v>2.1040006322240817E-2</c:v>
                </c:pt>
                <c:pt idx="4">
                  <c:v>6.2917336060686654E-2</c:v>
                </c:pt>
                <c:pt idx="5">
                  <c:v>2.9641135829340588E-2</c:v>
                </c:pt>
                <c:pt idx="6">
                  <c:v>4.3062055848562396E-2</c:v>
                </c:pt>
                <c:pt idx="7">
                  <c:v>4.8384710914389645E-2</c:v>
                </c:pt>
                <c:pt idx="8">
                  <c:v>3.6925368209545034E-2</c:v>
                </c:pt>
                <c:pt idx="9">
                  <c:v>3.7642577546135939E-2</c:v>
                </c:pt>
                <c:pt idx="10">
                  <c:v>2.5856819090629292E-2</c:v>
                </c:pt>
              </c:numCache>
            </c:numRef>
          </c:val>
          <c:extLst>
            <c:ext xmlns:c16="http://schemas.microsoft.com/office/drawing/2014/chart" uri="{C3380CC4-5D6E-409C-BE32-E72D297353CC}">
              <c16:uniqueId val="{00000000-D945-410F-AB7D-3356448B6FAE}"/>
            </c:ext>
          </c:extLst>
        </c:ser>
        <c:ser>
          <c:idx val="1"/>
          <c:order val="1"/>
          <c:tx>
            <c:strRef>
              <c:f>Figures!$C$6</c:f>
              <c:strCache>
                <c:ptCount val="1"/>
                <c:pt idx="0">
                  <c:v>Production of capital goods </c:v>
                </c:pt>
              </c:strCache>
            </c:strRef>
          </c:tx>
          <c:spPr>
            <a:solidFill>
              <a:srgbClr val="ED7D31"/>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Figures!$A$7:$A$17</c:f>
              <c:strCache>
                <c:ptCount val="11"/>
                <c:pt idx="0">
                  <c:v>Poland</c:v>
                </c:pt>
                <c:pt idx="1">
                  <c:v>Hungary </c:v>
                </c:pt>
                <c:pt idx="2">
                  <c:v>Greece</c:v>
                </c:pt>
                <c:pt idx="3">
                  <c:v>Italy</c:v>
                </c:pt>
                <c:pt idx="4">
                  <c:v>Netherlands</c:v>
                </c:pt>
                <c:pt idx="5">
                  <c:v>Germany</c:v>
                </c:pt>
                <c:pt idx="6">
                  <c:v>Spain</c:v>
                </c:pt>
                <c:pt idx="7">
                  <c:v>Denmark </c:v>
                </c:pt>
                <c:pt idx="8">
                  <c:v>France</c:v>
                </c:pt>
                <c:pt idx="9">
                  <c:v>Sweden</c:v>
                </c:pt>
                <c:pt idx="10">
                  <c:v>Ireland</c:v>
                </c:pt>
              </c:strCache>
            </c:strRef>
          </c:cat>
          <c:val>
            <c:numRef>
              <c:f>Figures!$C$7:$C$17</c:f>
              <c:numCache>
                <c:formatCode>0.000</c:formatCode>
                <c:ptCount val="11"/>
                <c:pt idx="0">
                  <c:v>2.7634302824950909E-2</c:v>
                </c:pt>
                <c:pt idx="1">
                  <c:v>2.4658947213488748E-2</c:v>
                </c:pt>
                <c:pt idx="2">
                  <c:v>2.6974893497841681E-2</c:v>
                </c:pt>
                <c:pt idx="3">
                  <c:v>2.4039009911399661E-2</c:v>
                </c:pt>
                <c:pt idx="4">
                  <c:v>2.4986364049041383E-2</c:v>
                </c:pt>
                <c:pt idx="5">
                  <c:v>2.6414323886537493E-2</c:v>
                </c:pt>
                <c:pt idx="6">
                  <c:v>2.5099257045923619E-2</c:v>
                </c:pt>
                <c:pt idx="7">
                  <c:v>2.1363862009870616E-2</c:v>
                </c:pt>
                <c:pt idx="8">
                  <c:v>2.7274826889625136E-2</c:v>
                </c:pt>
                <c:pt idx="9">
                  <c:v>2.7315516968744544E-2</c:v>
                </c:pt>
                <c:pt idx="10">
                  <c:v>3.1647246177601319E-2</c:v>
                </c:pt>
              </c:numCache>
            </c:numRef>
          </c:val>
          <c:extLst>
            <c:ext xmlns:c16="http://schemas.microsoft.com/office/drawing/2014/chart" uri="{C3380CC4-5D6E-409C-BE32-E72D297353CC}">
              <c16:uniqueId val="{00000001-D945-410F-AB7D-3356448B6FAE}"/>
            </c:ext>
          </c:extLst>
        </c:ser>
        <c:ser>
          <c:idx val="2"/>
          <c:order val="2"/>
          <c:tx>
            <c:strRef>
              <c:f>Figures!$D$6</c:f>
              <c:strCache>
                <c:ptCount val="1"/>
                <c:pt idx="0">
                  <c:v>Emissions from soil </c:v>
                </c:pt>
              </c:strCache>
            </c:strRef>
          </c:tx>
          <c:spPr>
            <a:solidFill>
              <a:srgbClr val="A5A5A5"/>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Figures!$A$7:$A$17</c:f>
              <c:strCache>
                <c:ptCount val="11"/>
                <c:pt idx="0">
                  <c:v>Poland</c:v>
                </c:pt>
                <c:pt idx="1">
                  <c:v>Hungary </c:v>
                </c:pt>
                <c:pt idx="2">
                  <c:v>Greece</c:v>
                </c:pt>
                <c:pt idx="3">
                  <c:v>Italy</c:v>
                </c:pt>
                <c:pt idx="4">
                  <c:v>Netherlands</c:v>
                </c:pt>
                <c:pt idx="5">
                  <c:v>Germany</c:v>
                </c:pt>
                <c:pt idx="6">
                  <c:v>Spain</c:v>
                </c:pt>
                <c:pt idx="7">
                  <c:v>Denmark </c:v>
                </c:pt>
                <c:pt idx="8">
                  <c:v>France</c:v>
                </c:pt>
                <c:pt idx="9">
                  <c:v>Sweden</c:v>
                </c:pt>
                <c:pt idx="10">
                  <c:v>Ireland</c:v>
                </c:pt>
              </c:strCache>
            </c:strRef>
          </c:cat>
          <c:val>
            <c:numRef>
              <c:f>Figures!$D$7:$D$17</c:f>
              <c:numCache>
                <c:formatCode>General</c:formatCode>
                <c:ptCount val="11"/>
                <c:pt idx="0">
                  <c:v>0.11683021721700758</c:v>
                </c:pt>
                <c:pt idx="1">
                  <c:v>0.1192917518190748</c:v>
                </c:pt>
                <c:pt idx="2">
                  <c:v>0.14402824526368854</c:v>
                </c:pt>
                <c:pt idx="3">
                  <c:v>7.6927334369614811E-2</c:v>
                </c:pt>
                <c:pt idx="4">
                  <c:v>0.1528773903178291</c:v>
                </c:pt>
                <c:pt idx="5">
                  <c:v>7.8516242297054631E-2</c:v>
                </c:pt>
                <c:pt idx="6">
                  <c:v>0.11916954680771739</c:v>
                </c:pt>
                <c:pt idx="7">
                  <c:v>0.10830012293741742</c:v>
                </c:pt>
                <c:pt idx="8">
                  <c:v>0.11143153485964777</c:v>
                </c:pt>
                <c:pt idx="9">
                  <c:v>0.11183223189420832</c:v>
                </c:pt>
                <c:pt idx="10">
                  <c:v>0.11129542690300503</c:v>
                </c:pt>
              </c:numCache>
            </c:numRef>
          </c:val>
          <c:extLst>
            <c:ext xmlns:c16="http://schemas.microsoft.com/office/drawing/2014/chart" uri="{C3380CC4-5D6E-409C-BE32-E72D297353CC}">
              <c16:uniqueId val="{00000002-D945-410F-AB7D-3356448B6FAE}"/>
            </c:ext>
          </c:extLst>
        </c:ser>
        <c:ser>
          <c:idx val="3"/>
          <c:order val="3"/>
          <c:tx>
            <c:strRef>
              <c:f>Figures!$E$6</c:f>
              <c:strCache>
                <c:ptCount val="1"/>
                <c:pt idx="0">
                  <c:v>Energy use cropping</c:v>
                </c:pt>
              </c:strCache>
            </c:strRef>
          </c:tx>
          <c:spPr>
            <a:solidFill>
              <a:srgbClr val="FFC00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Figures!$A$7:$A$17</c:f>
              <c:strCache>
                <c:ptCount val="11"/>
                <c:pt idx="0">
                  <c:v>Poland</c:v>
                </c:pt>
                <c:pt idx="1">
                  <c:v>Hungary </c:v>
                </c:pt>
                <c:pt idx="2">
                  <c:v>Greece</c:v>
                </c:pt>
                <c:pt idx="3">
                  <c:v>Italy</c:v>
                </c:pt>
                <c:pt idx="4">
                  <c:v>Netherlands</c:v>
                </c:pt>
                <c:pt idx="5">
                  <c:v>Germany</c:v>
                </c:pt>
                <c:pt idx="6">
                  <c:v>Spain</c:v>
                </c:pt>
                <c:pt idx="7">
                  <c:v>Denmark </c:v>
                </c:pt>
                <c:pt idx="8">
                  <c:v>France</c:v>
                </c:pt>
                <c:pt idx="9">
                  <c:v>Sweden</c:v>
                </c:pt>
                <c:pt idx="10">
                  <c:v>Ireland</c:v>
                </c:pt>
              </c:strCache>
            </c:strRef>
          </c:cat>
          <c:val>
            <c:numRef>
              <c:f>Figures!$E$7:$E$17</c:f>
              <c:numCache>
                <c:formatCode>General</c:formatCode>
                <c:ptCount val="11"/>
                <c:pt idx="0">
                  <c:v>3.1273195351225802E-2</c:v>
                </c:pt>
                <c:pt idx="1">
                  <c:v>2.6515745866691587E-2</c:v>
                </c:pt>
                <c:pt idx="2">
                  <c:v>3.6975427043405049E-2</c:v>
                </c:pt>
                <c:pt idx="3">
                  <c:v>1.461558258266212E-2</c:v>
                </c:pt>
                <c:pt idx="4">
                  <c:v>2.0029051966312928E-2</c:v>
                </c:pt>
                <c:pt idx="5">
                  <c:v>1.5267153052270919E-2</c:v>
                </c:pt>
                <c:pt idx="6">
                  <c:v>3.2934436889214075E-2</c:v>
                </c:pt>
                <c:pt idx="7">
                  <c:v>1.5187989845791739E-2</c:v>
                </c:pt>
                <c:pt idx="8">
                  <c:v>1.8533852071884467E-2</c:v>
                </c:pt>
                <c:pt idx="9">
                  <c:v>2.4549871888896065E-2</c:v>
                </c:pt>
                <c:pt idx="10">
                  <c:v>1.7248603078618103E-2</c:v>
                </c:pt>
              </c:numCache>
            </c:numRef>
          </c:val>
          <c:extLst>
            <c:ext xmlns:c16="http://schemas.microsoft.com/office/drawing/2014/chart" uri="{C3380CC4-5D6E-409C-BE32-E72D297353CC}">
              <c16:uniqueId val="{00000003-D945-410F-AB7D-3356448B6FAE}"/>
            </c:ext>
          </c:extLst>
        </c:ser>
        <c:ser>
          <c:idx val="4"/>
          <c:order val="4"/>
          <c:tx>
            <c:strRef>
              <c:f>Figures!$F$6</c:f>
              <c:strCache>
                <c:ptCount val="1"/>
                <c:pt idx="0">
                  <c:v>Energy use for feed processing</c:v>
                </c:pt>
              </c:strCache>
            </c:strRef>
          </c:tx>
          <c:spPr>
            <a:solidFill>
              <a:srgbClr val="4472C4"/>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Figures!$A$7:$A$17</c:f>
              <c:strCache>
                <c:ptCount val="11"/>
                <c:pt idx="0">
                  <c:v>Poland</c:v>
                </c:pt>
                <c:pt idx="1">
                  <c:v>Hungary </c:v>
                </c:pt>
                <c:pt idx="2">
                  <c:v>Greece</c:v>
                </c:pt>
                <c:pt idx="3">
                  <c:v>Italy</c:v>
                </c:pt>
                <c:pt idx="4">
                  <c:v>Netherlands</c:v>
                </c:pt>
                <c:pt idx="5">
                  <c:v>Germany</c:v>
                </c:pt>
                <c:pt idx="6">
                  <c:v>Spain</c:v>
                </c:pt>
                <c:pt idx="7">
                  <c:v>Denmark </c:v>
                </c:pt>
                <c:pt idx="8">
                  <c:v>France</c:v>
                </c:pt>
                <c:pt idx="9">
                  <c:v>Sweden</c:v>
                </c:pt>
                <c:pt idx="10">
                  <c:v>Ireland</c:v>
                </c:pt>
              </c:strCache>
            </c:strRef>
          </c:cat>
          <c:val>
            <c:numRef>
              <c:f>Figures!$F$7:$F$17</c:f>
              <c:numCache>
                <c:formatCode>General</c:formatCode>
                <c:ptCount val="11"/>
                <c:pt idx="0">
                  <c:v>0.10873970605700525</c:v>
                </c:pt>
                <c:pt idx="1">
                  <c:v>0.13831283757258514</c:v>
                </c:pt>
                <c:pt idx="2">
                  <c:v>8.9626124758812611E-2</c:v>
                </c:pt>
                <c:pt idx="3">
                  <c:v>0.10412706418507547</c:v>
                </c:pt>
                <c:pt idx="4">
                  <c:v>5.1076114299494532E-2</c:v>
                </c:pt>
                <c:pt idx="5">
                  <c:v>6.9433961354068166E-2</c:v>
                </c:pt>
                <c:pt idx="6">
                  <c:v>6.1858141275514575E-2</c:v>
                </c:pt>
                <c:pt idx="7">
                  <c:v>5.631245870113008E-2</c:v>
                </c:pt>
                <c:pt idx="8">
                  <c:v>6.8647117664376547E-2</c:v>
                </c:pt>
                <c:pt idx="9">
                  <c:v>7.4151555719937493E-2</c:v>
                </c:pt>
                <c:pt idx="10">
                  <c:v>1.3414022996032178E-2</c:v>
                </c:pt>
              </c:numCache>
            </c:numRef>
          </c:val>
          <c:extLst>
            <c:ext xmlns:c16="http://schemas.microsoft.com/office/drawing/2014/chart" uri="{C3380CC4-5D6E-409C-BE32-E72D297353CC}">
              <c16:uniqueId val="{00000004-D945-410F-AB7D-3356448B6FAE}"/>
            </c:ext>
          </c:extLst>
        </c:ser>
        <c:ser>
          <c:idx val="5"/>
          <c:order val="5"/>
          <c:tx>
            <c:strRef>
              <c:f>Figures!$G$6</c:f>
              <c:strCache>
                <c:ptCount val="1"/>
                <c:pt idx="0">
                  <c:v>Land use change emissions</c:v>
                </c:pt>
              </c:strCache>
            </c:strRef>
          </c:tx>
          <c:spPr>
            <a:solidFill>
              <a:srgbClr val="70AD47"/>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Figures!$A$7:$A$17</c:f>
              <c:strCache>
                <c:ptCount val="11"/>
                <c:pt idx="0">
                  <c:v>Poland</c:v>
                </c:pt>
                <c:pt idx="1">
                  <c:v>Hungary </c:v>
                </c:pt>
                <c:pt idx="2">
                  <c:v>Greece</c:v>
                </c:pt>
                <c:pt idx="3">
                  <c:v>Italy</c:v>
                </c:pt>
                <c:pt idx="4">
                  <c:v>Netherlands</c:v>
                </c:pt>
                <c:pt idx="5">
                  <c:v>Germany</c:v>
                </c:pt>
                <c:pt idx="6">
                  <c:v>Spain</c:v>
                </c:pt>
                <c:pt idx="7">
                  <c:v>Denmark </c:v>
                </c:pt>
                <c:pt idx="8">
                  <c:v>France</c:v>
                </c:pt>
                <c:pt idx="9">
                  <c:v>Sweden</c:v>
                </c:pt>
                <c:pt idx="10">
                  <c:v>Ireland</c:v>
                </c:pt>
              </c:strCache>
            </c:strRef>
          </c:cat>
          <c:val>
            <c:numRef>
              <c:f>Figures!$G$7:$G$17</c:f>
              <c:numCache>
                <c:formatCode>0.000</c:formatCode>
                <c:ptCount val="11"/>
                <c:pt idx="0">
                  <c:v>2.5194434848400789E-2</c:v>
                </c:pt>
                <c:pt idx="1">
                  <c:v>3.5692685790726951E-2</c:v>
                </c:pt>
                <c:pt idx="2">
                  <c:v>2.5821298036887503E-2</c:v>
                </c:pt>
                <c:pt idx="3">
                  <c:v>3.554266692632152E-2</c:v>
                </c:pt>
                <c:pt idx="4">
                  <c:v>3.2935739093535164E-2</c:v>
                </c:pt>
                <c:pt idx="5">
                  <c:v>1.926756618640783E-2</c:v>
                </c:pt>
                <c:pt idx="6">
                  <c:v>3.0633719351606019E-2</c:v>
                </c:pt>
                <c:pt idx="7">
                  <c:v>1.3241398513215171E-2</c:v>
                </c:pt>
                <c:pt idx="8">
                  <c:v>1.5469464280855289E-2</c:v>
                </c:pt>
                <c:pt idx="9">
                  <c:v>2.2203399224954276E-2</c:v>
                </c:pt>
                <c:pt idx="10">
                  <c:v>2.6265211744056294E-3</c:v>
                </c:pt>
              </c:numCache>
            </c:numRef>
          </c:val>
          <c:extLst>
            <c:ext xmlns:c16="http://schemas.microsoft.com/office/drawing/2014/chart" uri="{C3380CC4-5D6E-409C-BE32-E72D297353CC}">
              <c16:uniqueId val="{00000005-D945-410F-AB7D-3356448B6FAE}"/>
            </c:ext>
          </c:extLst>
        </c:ser>
        <c:ser>
          <c:idx val="6"/>
          <c:order val="6"/>
          <c:tx>
            <c:strRef>
              <c:f>Figures!$H$6</c:f>
              <c:strCache>
                <c:ptCount val="1"/>
                <c:pt idx="0">
                  <c:v>Feed transports</c:v>
                </c:pt>
              </c:strCache>
            </c:strRef>
          </c:tx>
          <c:spPr>
            <a:solidFill>
              <a:srgbClr val="255E91"/>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Figures!$A$7:$A$17</c:f>
              <c:strCache>
                <c:ptCount val="11"/>
                <c:pt idx="0">
                  <c:v>Poland</c:v>
                </c:pt>
                <c:pt idx="1">
                  <c:v>Hungary </c:v>
                </c:pt>
                <c:pt idx="2">
                  <c:v>Greece</c:v>
                </c:pt>
                <c:pt idx="3">
                  <c:v>Italy</c:v>
                </c:pt>
                <c:pt idx="4">
                  <c:v>Netherlands</c:v>
                </c:pt>
                <c:pt idx="5">
                  <c:v>Germany</c:v>
                </c:pt>
                <c:pt idx="6">
                  <c:v>Spain</c:v>
                </c:pt>
                <c:pt idx="7">
                  <c:v>Denmark </c:v>
                </c:pt>
                <c:pt idx="8">
                  <c:v>France</c:v>
                </c:pt>
                <c:pt idx="9">
                  <c:v>Sweden</c:v>
                </c:pt>
                <c:pt idx="10">
                  <c:v>Ireland</c:v>
                </c:pt>
              </c:strCache>
            </c:strRef>
          </c:cat>
          <c:val>
            <c:numRef>
              <c:f>Figures!$H$7:$H$17</c:f>
              <c:numCache>
                <c:formatCode>0.000</c:formatCode>
                <c:ptCount val="11"/>
                <c:pt idx="0">
                  <c:v>8.5313302074967054E-2</c:v>
                </c:pt>
                <c:pt idx="1">
                  <c:v>0.12179168362635333</c:v>
                </c:pt>
                <c:pt idx="2">
                  <c:v>6.9336163977178414E-2</c:v>
                </c:pt>
                <c:pt idx="3">
                  <c:v>9.8755420029387905E-2</c:v>
                </c:pt>
                <c:pt idx="4">
                  <c:v>4.0598987038982792E-2</c:v>
                </c:pt>
                <c:pt idx="5">
                  <c:v>6.4759271748519392E-2</c:v>
                </c:pt>
                <c:pt idx="6">
                  <c:v>4.4707834106620485E-2</c:v>
                </c:pt>
                <c:pt idx="7">
                  <c:v>4.6081858098571932E-2</c:v>
                </c:pt>
                <c:pt idx="8">
                  <c:v>5.8586096782643746E-2</c:v>
                </c:pt>
                <c:pt idx="9">
                  <c:v>6.5425242180925297E-2</c:v>
                </c:pt>
                <c:pt idx="10">
                  <c:v>7.732807969664233E-3</c:v>
                </c:pt>
              </c:numCache>
            </c:numRef>
          </c:val>
          <c:extLst>
            <c:ext xmlns:c16="http://schemas.microsoft.com/office/drawing/2014/chart" uri="{C3380CC4-5D6E-409C-BE32-E72D297353CC}">
              <c16:uniqueId val="{00000006-D945-410F-AB7D-3356448B6FAE}"/>
            </c:ext>
          </c:extLst>
        </c:ser>
        <c:ser>
          <c:idx val="7"/>
          <c:order val="7"/>
          <c:tx>
            <c:strRef>
              <c:f>Figures!$I$6</c:f>
              <c:strCache>
                <c:ptCount val="1"/>
                <c:pt idx="0">
                  <c:v>Enteric fermentation</c:v>
                </c:pt>
              </c:strCache>
            </c:strRef>
          </c:tx>
          <c:spPr>
            <a:solidFill>
              <a:srgbClr val="9E480E"/>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Figures!$A$7:$A$17</c:f>
              <c:strCache>
                <c:ptCount val="11"/>
                <c:pt idx="0">
                  <c:v>Poland</c:v>
                </c:pt>
                <c:pt idx="1">
                  <c:v>Hungary </c:v>
                </c:pt>
                <c:pt idx="2">
                  <c:v>Greece</c:v>
                </c:pt>
                <c:pt idx="3">
                  <c:v>Italy</c:v>
                </c:pt>
                <c:pt idx="4">
                  <c:v>Netherlands</c:v>
                </c:pt>
                <c:pt idx="5">
                  <c:v>Germany</c:v>
                </c:pt>
                <c:pt idx="6">
                  <c:v>Spain</c:v>
                </c:pt>
                <c:pt idx="7">
                  <c:v>Denmark </c:v>
                </c:pt>
                <c:pt idx="8">
                  <c:v>France</c:v>
                </c:pt>
                <c:pt idx="9">
                  <c:v>Sweden</c:v>
                </c:pt>
                <c:pt idx="10">
                  <c:v>Ireland</c:v>
                </c:pt>
              </c:strCache>
            </c:strRef>
          </c:cat>
          <c:val>
            <c:numRef>
              <c:f>Figures!$I$7:$I$17</c:f>
              <c:numCache>
                <c:formatCode>0.000</c:formatCode>
                <c:ptCount val="11"/>
                <c:pt idx="0">
                  <c:v>0.50693602478815758</c:v>
                </c:pt>
                <c:pt idx="1">
                  <c:v>0.49842953450321126</c:v>
                </c:pt>
                <c:pt idx="2">
                  <c:v>0.48100638486205538</c:v>
                </c:pt>
                <c:pt idx="3">
                  <c:v>0.53901509827329552</c:v>
                </c:pt>
                <c:pt idx="4">
                  <c:v>0.46360695063432605</c:v>
                </c:pt>
                <c:pt idx="5">
                  <c:v>0.49188536692162549</c:v>
                </c:pt>
                <c:pt idx="6">
                  <c:v>0.45374832887906391</c:v>
                </c:pt>
                <c:pt idx="7">
                  <c:v>0.47343335142926746</c:v>
                </c:pt>
                <c:pt idx="8">
                  <c:v>0.52754027249218283</c:v>
                </c:pt>
                <c:pt idx="9">
                  <c:v>0.49785567353324683</c:v>
                </c:pt>
                <c:pt idx="10">
                  <c:v>0.55921983331970182</c:v>
                </c:pt>
              </c:numCache>
            </c:numRef>
          </c:val>
          <c:extLst>
            <c:ext xmlns:c16="http://schemas.microsoft.com/office/drawing/2014/chart" uri="{C3380CC4-5D6E-409C-BE32-E72D297353CC}">
              <c16:uniqueId val="{00000007-D945-410F-AB7D-3356448B6FAE}"/>
            </c:ext>
          </c:extLst>
        </c:ser>
        <c:ser>
          <c:idx val="8"/>
          <c:order val="8"/>
          <c:tx>
            <c:strRef>
              <c:f>Figures!$J$6</c:f>
              <c:strCache>
                <c:ptCount val="1"/>
                <c:pt idx="0">
                  <c:v>Manure management</c:v>
                </c:pt>
              </c:strCache>
            </c:strRef>
          </c:tx>
          <c:spPr>
            <a:solidFill>
              <a:srgbClr val="636363"/>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Figures!$A$7:$A$17</c:f>
              <c:strCache>
                <c:ptCount val="11"/>
                <c:pt idx="0">
                  <c:v>Poland</c:v>
                </c:pt>
                <c:pt idx="1">
                  <c:v>Hungary </c:v>
                </c:pt>
                <c:pt idx="2">
                  <c:v>Greece</c:v>
                </c:pt>
                <c:pt idx="3">
                  <c:v>Italy</c:v>
                </c:pt>
                <c:pt idx="4">
                  <c:v>Netherlands</c:v>
                </c:pt>
                <c:pt idx="5">
                  <c:v>Germany</c:v>
                </c:pt>
                <c:pt idx="6">
                  <c:v>Spain</c:v>
                </c:pt>
                <c:pt idx="7">
                  <c:v>Denmark </c:v>
                </c:pt>
                <c:pt idx="8">
                  <c:v>France</c:v>
                </c:pt>
                <c:pt idx="9">
                  <c:v>Sweden</c:v>
                </c:pt>
                <c:pt idx="10">
                  <c:v>Ireland</c:v>
                </c:pt>
              </c:strCache>
            </c:strRef>
          </c:cat>
          <c:val>
            <c:numRef>
              <c:f>Figures!$J$7:$J$17</c:f>
              <c:numCache>
                <c:formatCode>0.000</c:formatCode>
                <c:ptCount val="11"/>
                <c:pt idx="0">
                  <c:v>0.12913322924733289</c:v>
                </c:pt>
                <c:pt idx="1">
                  <c:v>0.18214135919941576</c:v>
                </c:pt>
                <c:pt idx="2">
                  <c:v>0.1309399868742199</c:v>
                </c:pt>
                <c:pt idx="3">
                  <c:v>0.2095037713878829</c:v>
                </c:pt>
                <c:pt idx="4">
                  <c:v>0.15024440805495032</c:v>
                </c:pt>
                <c:pt idx="5">
                  <c:v>0.14962719663405472</c:v>
                </c:pt>
                <c:pt idx="6">
                  <c:v>0.14199358589311242</c:v>
                </c:pt>
                <c:pt idx="7">
                  <c:v>0.22039861345067513</c:v>
                </c:pt>
                <c:pt idx="8">
                  <c:v>0.11656126527385957</c:v>
                </c:pt>
                <c:pt idx="9">
                  <c:v>7.7274085185607577E-2</c:v>
                </c:pt>
                <c:pt idx="10">
                  <c:v>0.11943506919305245</c:v>
                </c:pt>
              </c:numCache>
            </c:numRef>
          </c:val>
          <c:extLst>
            <c:ext xmlns:c16="http://schemas.microsoft.com/office/drawing/2014/chart" uri="{C3380CC4-5D6E-409C-BE32-E72D297353CC}">
              <c16:uniqueId val="{00000008-D945-410F-AB7D-3356448B6FAE}"/>
            </c:ext>
          </c:extLst>
        </c:ser>
        <c:ser>
          <c:idx val="9"/>
          <c:order val="9"/>
          <c:tx>
            <c:strRef>
              <c:f>Figures!$K$6</c:f>
              <c:strCache>
                <c:ptCount val="1"/>
                <c:pt idx="0">
                  <c:v>Energy use in stables</c:v>
                </c:pt>
              </c:strCache>
            </c:strRef>
          </c:tx>
          <c:spPr>
            <a:solidFill>
              <a:srgbClr val="99730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Figures!$A$7:$A$17</c:f>
              <c:strCache>
                <c:ptCount val="11"/>
                <c:pt idx="0">
                  <c:v>Poland</c:v>
                </c:pt>
                <c:pt idx="1">
                  <c:v>Hungary </c:v>
                </c:pt>
                <c:pt idx="2">
                  <c:v>Greece</c:v>
                </c:pt>
                <c:pt idx="3">
                  <c:v>Italy</c:v>
                </c:pt>
                <c:pt idx="4">
                  <c:v>Netherlands</c:v>
                </c:pt>
                <c:pt idx="5">
                  <c:v>Germany</c:v>
                </c:pt>
                <c:pt idx="6">
                  <c:v>Spain</c:v>
                </c:pt>
                <c:pt idx="7">
                  <c:v>Denmark </c:v>
                </c:pt>
                <c:pt idx="8">
                  <c:v>France</c:v>
                </c:pt>
                <c:pt idx="9">
                  <c:v>Sweden</c:v>
                </c:pt>
                <c:pt idx="10">
                  <c:v>Ireland</c:v>
                </c:pt>
              </c:strCache>
            </c:strRef>
          </c:cat>
          <c:val>
            <c:numRef>
              <c:f>Figures!$K$7:$K$17</c:f>
              <c:numCache>
                <c:formatCode>0.000</c:formatCode>
                <c:ptCount val="11"/>
                <c:pt idx="0">
                  <c:v>0.24446143003105023</c:v>
                </c:pt>
                <c:pt idx="1">
                  <c:v>9.4434922381585767E-2</c:v>
                </c:pt>
                <c:pt idx="2">
                  <c:v>0.17249534972496039</c:v>
                </c:pt>
                <c:pt idx="3">
                  <c:v>0.10725069352001521</c:v>
                </c:pt>
                <c:pt idx="4">
                  <c:v>0.1385142646897414</c:v>
                </c:pt>
                <c:pt idx="5">
                  <c:v>0.10134181205413194</c:v>
                </c:pt>
                <c:pt idx="6">
                  <c:v>7.6050803936950115E-2</c:v>
                </c:pt>
                <c:pt idx="7">
                  <c:v>1.3171699439941688E-3</c:v>
                </c:pt>
                <c:pt idx="8">
                  <c:v>1.9220520408721454E-2</c:v>
                </c:pt>
                <c:pt idx="9">
                  <c:v>1.2571318450752374E-2</c:v>
                </c:pt>
                <c:pt idx="10">
                  <c:v>4.9755033469304523E-2</c:v>
                </c:pt>
              </c:numCache>
            </c:numRef>
          </c:val>
          <c:extLst>
            <c:ext xmlns:c16="http://schemas.microsoft.com/office/drawing/2014/chart" uri="{C3380CC4-5D6E-409C-BE32-E72D297353CC}">
              <c16:uniqueId val="{00000009-D945-410F-AB7D-3356448B6FAE}"/>
            </c:ext>
          </c:extLst>
        </c:ser>
        <c:ser>
          <c:idx val="10"/>
          <c:order val="10"/>
          <c:tx>
            <c:strRef>
              <c:f>Figures!$L$6</c:f>
              <c:strCache>
                <c:ptCount val="1"/>
                <c:pt idx="0">
                  <c:v>Energy use for slaughter</c:v>
                </c:pt>
              </c:strCache>
            </c:strRef>
          </c:tx>
          <c:spPr>
            <a:solidFill>
              <a:srgbClr val="264478"/>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Figures!$A$7:$A$17</c:f>
              <c:strCache>
                <c:ptCount val="11"/>
                <c:pt idx="0">
                  <c:v>Poland</c:v>
                </c:pt>
                <c:pt idx="1">
                  <c:v>Hungary </c:v>
                </c:pt>
                <c:pt idx="2">
                  <c:v>Greece</c:v>
                </c:pt>
                <c:pt idx="3">
                  <c:v>Italy</c:v>
                </c:pt>
                <c:pt idx="4">
                  <c:v>Netherlands</c:v>
                </c:pt>
                <c:pt idx="5">
                  <c:v>Germany</c:v>
                </c:pt>
                <c:pt idx="6">
                  <c:v>Spain</c:v>
                </c:pt>
                <c:pt idx="7">
                  <c:v>Denmark </c:v>
                </c:pt>
                <c:pt idx="8">
                  <c:v>France</c:v>
                </c:pt>
                <c:pt idx="9">
                  <c:v>Sweden</c:v>
                </c:pt>
                <c:pt idx="10">
                  <c:v>Ireland</c:v>
                </c:pt>
              </c:strCache>
            </c:strRef>
          </c:cat>
          <c:val>
            <c:numRef>
              <c:f>Figures!$L$7:$L$17</c:f>
              <c:numCache>
                <c:formatCode>0.000</c:formatCode>
                <c:ptCount val="11"/>
                <c:pt idx="0">
                  <c:v>2.4083566374275716E-3</c:v>
                </c:pt>
                <c:pt idx="1">
                  <c:v>1.2586525198973854E-3</c:v>
                </c:pt>
                <c:pt idx="2">
                  <c:v>1.6097655847544905E-3</c:v>
                </c:pt>
                <c:pt idx="3">
                  <c:v>1.1827380879085559E-3</c:v>
                </c:pt>
                <c:pt idx="4">
                  <c:v>1.0924629785102357E-3</c:v>
                </c:pt>
                <c:pt idx="5">
                  <c:v>1.1094680431309463E-3</c:v>
                </c:pt>
                <c:pt idx="6">
                  <c:v>7.8114665833861868E-4</c:v>
                </c:pt>
                <c:pt idx="7">
                  <c:v>9.0100913715750934E-4</c:v>
                </c:pt>
                <c:pt idx="8">
                  <c:v>5.0121823473094898E-4</c:v>
                </c:pt>
                <c:pt idx="9">
                  <c:v>3.9628936380740735E-4</c:v>
                </c:pt>
                <c:pt idx="10">
                  <c:v>1.1919296026597441E-3</c:v>
                </c:pt>
              </c:numCache>
            </c:numRef>
          </c:val>
          <c:extLst>
            <c:ext xmlns:c16="http://schemas.microsoft.com/office/drawing/2014/chart" uri="{C3380CC4-5D6E-409C-BE32-E72D297353CC}">
              <c16:uniqueId val="{0000000A-D945-410F-AB7D-3356448B6FAE}"/>
            </c:ext>
          </c:extLst>
        </c:ser>
        <c:dLbls>
          <c:showLegendKey val="0"/>
          <c:showVal val="0"/>
          <c:showCatName val="0"/>
          <c:showSerName val="0"/>
          <c:showPercent val="0"/>
          <c:showBubbleSize val="0"/>
        </c:dLbls>
        <c:gapWidth val="150"/>
        <c:overlap val="100"/>
        <c:axId val="35482837"/>
        <c:axId val="34756819"/>
      </c:barChart>
      <c:catAx>
        <c:axId val="35482837"/>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Calibri"/>
              </a:defRPr>
            </a:pPr>
            <a:endParaRPr lang="sv-SE"/>
          </a:p>
        </c:txPr>
        <c:crossAx val="34756819"/>
        <c:crosses val="autoZero"/>
        <c:auto val="1"/>
        <c:lblAlgn val="ctr"/>
        <c:lblOffset val="100"/>
        <c:noMultiLvlLbl val="0"/>
      </c:catAx>
      <c:valAx>
        <c:axId val="34756819"/>
        <c:scaling>
          <c:orientation val="minMax"/>
        </c:scaling>
        <c:delete val="0"/>
        <c:axPos val="l"/>
        <c:majorGridlines>
          <c:spPr>
            <a:ln w="9360">
              <a:solidFill>
                <a:srgbClr val="D9D9D9"/>
              </a:solidFill>
              <a:prstDash val="solid"/>
              <a:round/>
            </a:ln>
          </c:spPr>
        </c:majorGridlines>
        <c:title>
          <c:tx>
            <c:rich>
              <a:bodyPr rot="-5400000"/>
              <a:lstStyle/>
              <a:p>
                <a:pPr>
                  <a:defRPr lang="sv-SE" sz="1000" b="0" strike="noStrike" spc="-1">
                    <a:solidFill>
                      <a:srgbClr val="595959"/>
                    </a:solidFill>
                    <a:latin typeface="Calibri"/>
                  </a:defRPr>
                </a:pPr>
                <a:r>
                  <a:rPr lang="sv-SE" sz="1000" b="0" strike="noStrike" spc="-1">
                    <a:solidFill>
                      <a:srgbClr val="595959"/>
                    </a:solidFill>
                    <a:latin typeface="Calibri"/>
                  </a:rPr>
                  <a:t>kg CO2e per kg of milk</a:t>
                </a:r>
              </a:p>
            </c:rich>
          </c:tx>
          <c:overlay val="0"/>
          <c:spPr>
            <a:noFill/>
            <a:ln w="0">
              <a:noFill/>
              <a:prstDash val="solid"/>
            </a:ln>
          </c:spPr>
        </c:title>
        <c:numFmt formatCode="General" sourceLinked="0"/>
        <c:majorTickMark val="none"/>
        <c:minorTickMark val="none"/>
        <c:tickLblPos val="nextTo"/>
        <c:spPr>
          <a:ln w="6480">
            <a:noFill/>
            <a:prstDash val="solid"/>
          </a:ln>
        </c:spPr>
        <c:txPr>
          <a:bodyPr/>
          <a:lstStyle/>
          <a:p>
            <a:pPr>
              <a:defRPr sz="900" b="0" strike="noStrike" spc="-1">
                <a:solidFill>
                  <a:srgbClr val="595959"/>
                </a:solidFill>
                <a:latin typeface="Calibri"/>
              </a:defRPr>
            </a:pPr>
            <a:endParaRPr lang="sv-SE"/>
          </a:p>
        </c:txPr>
        <c:crossAx val="35482837"/>
        <c:crosses val="autoZero"/>
        <c:crossBetween val="between"/>
      </c:valAx>
    </c:plotArea>
    <c:legend>
      <c:legendPos val="r"/>
      <c:overlay val="0"/>
      <c:spPr>
        <a:noFill/>
        <a:ln w="0">
          <a:noFill/>
          <a:prstDash val="solid"/>
        </a:ln>
      </c:spPr>
      <c:txPr>
        <a:bodyPr/>
        <a:lstStyle/>
        <a:p>
          <a:pPr>
            <a:defRPr sz="900" b="0" strike="noStrike" spc="-1">
              <a:solidFill>
                <a:srgbClr val="595959"/>
              </a:solidFill>
              <a:latin typeface="Calibri"/>
            </a:defRPr>
          </a:pPr>
          <a:endParaRPr lang="sv-SE"/>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lang="sv-SE" sz="1400" b="0" strike="noStrike" spc="-1">
                <a:solidFill>
                  <a:srgbClr val="595959"/>
                </a:solidFill>
                <a:latin typeface="Calibri"/>
              </a:defRPr>
            </a:pPr>
            <a:r>
              <a:rPr lang="sv-SE" sz="1400" b="0" strike="noStrike" spc="-1">
                <a:solidFill>
                  <a:srgbClr val="595959"/>
                </a:solidFill>
                <a:latin typeface="Calibri"/>
              </a:rPr>
              <a:t>Maize, green for forage</a:t>
            </a:r>
          </a:p>
        </c:rich>
      </c:tx>
      <c:overlay val="0"/>
      <c:spPr>
        <a:noFill/>
        <a:ln w="0">
          <a:noFill/>
          <a:prstDash val="solid"/>
        </a:ln>
      </c:spPr>
    </c:title>
    <c:autoTitleDeleted val="0"/>
    <c:plotArea>
      <c:layout/>
      <c:barChart>
        <c:barDir val="col"/>
        <c:grouping val="stacked"/>
        <c:varyColors val="0"/>
        <c:ser>
          <c:idx val="0"/>
          <c:order val="0"/>
          <c:tx>
            <c:v>Mineral fertilisers</c:v>
          </c:tx>
          <c:spPr>
            <a:solidFill>
              <a:srgbClr val="ED7D31"/>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CF'!$F$72,'Forage crops, CF'!$F$77,'Forage crops, CF'!$F$82,'Forage crops, CF'!$F$87,'Forage crops, CF'!$F$92,'Forage crops, CF'!$F$97,'Forage crops, CF'!$F$102,'Forage crops, CF'!$F$107,'Forage crops, CF'!$F$112,'Forage crops, CF'!$F$117,'Forage crops, CF'!$F$122)</c:f>
              <c:numCache>
                <c:formatCode>0.000</c:formatCode>
                <c:ptCount val="11"/>
                <c:pt idx="0">
                  <c:v>1.0533252054675746E-2</c:v>
                </c:pt>
                <c:pt idx="1">
                  <c:v>1.6694554492318114E-2</c:v>
                </c:pt>
                <c:pt idx="2">
                  <c:v>1.138543552179315E-2</c:v>
                </c:pt>
                <c:pt idx="3">
                  <c:v>9.2309246109757437E-2</c:v>
                </c:pt>
                <c:pt idx="4">
                  <c:v>4.2795023473963842E-2</c:v>
                </c:pt>
                <c:pt idx="5">
                  <c:v>3.0436917807265408E-2</c:v>
                </c:pt>
                <c:pt idx="6">
                  <c:v>2.6871922624820979E-2</c:v>
                </c:pt>
                <c:pt idx="7">
                  <c:v>1.0978222121986309E-3</c:v>
                </c:pt>
                <c:pt idx="8">
                  <c:v>2.7077789773302167E-2</c:v>
                </c:pt>
                <c:pt idx="9">
                  <c:v>1.9661875212583765E-2</c:v>
                </c:pt>
                <c:pt idx="10">
                  <c:v>2.2507551090218965E-2</c:v>
                </c:pt>
              </c:numCache>
            </c:numRef>
          </c:val>
          <c:extLst>
            <c:ext xmlns:c16="http://schemas.microsoft.com/office/drawing/2014/chart" uri="{C3380CC4-5D6E-409C-BE32-E72D297353CC}">
              <c16:uniqueId val="{00000000-EABE-4DB2-94A0-558E29CF90D4}"/>
            </c:ext>
          </c:extLst>
        </c:ser>
        <c:ser>
          <c:idx val="1"/>
          <c:order val="1"/>
          <c:tx>
            <c:v>Capital goods</c:v>
          </c:tx>
          <c:spPr>
            <a:solidFill>
              <a:srgbClr val="A5A5A5"/>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CF'!$G$72,'Forage crops, CF'!$G$77,'Forage crops, CF'!$G$82,'Forage crops, CF'!$G$87,'Forage crops, CF'!$G$92,'Forage crops, CF'!$G$97,'Forage crops, CF'!$G$102,'Forage crops, CF'!$G$107,'Forage crops, CF'!$G$112,'Forage crops, CF'!$G$117,'Forage crops, CF'!$G$122)</c:f>
              <c:numCache>
                <c:formatCode>0.000</c:formatCode>
                <c:ptCount val="11"/>
                <c:pt idx="0">
                  <c:v>3.01313E-2</c:v>
                </c:pt>
                <c:pt idx="1">
                  <c:v>3.01313E-2</c:v>
                </c:pt>
                <c:pt idx="2">
                  <c:v>3.01313E-2</c:v>
                </c:pt>
                <c:pt idx="3">
                  <c:v>3.01313E-2</c:v>
                </c:pt>
                <c:pt idx="4">
                  <c:v>3.01313E-2</c:v>
                </c:pt>
                <c:pt idx="5">
                  <c:v>3.01313E-2</c:v>
                </c:pt>
                <c:pt idx="6">
                  <c:v>3.01313E-2</c:v>
                </c:pt>
                <c:pt idx="7">
                  <c:v>3.01313E-2</c:v>
                </c:pt>
                <c:pt idx="8">
                  <c:v>3.01313E-2</c:v>
                </c:pt>
                <c:pt idx="9">
                  <c:v>3.01313E-2</c:v>
                </c:pt>
                <c:pt idx="10">
                  <c:v>3.01313E-2</c:v>
                </c:pt>
              </c:numCache>
            </c:numRef>
          </c:val>
          <c:extLst>
            <c:ext xmlns:c16="http://schemas.microsoft.com/office/drawing/2014/chart" uri="{C3380CC4-5D6E-409C-BE32-E72D297353CC}">
              <c16:uniqueId val="{00000001-EABE-4DB2-94A0-558E29CF90D4}"/>
            </c:ext>
          </c:extLst>
        </c:ser>
        <c:ser>
          <c:idx val="2"/>
          <c:order val="2"/>
          <c:tx>
            <c:v>Direct N2O</c:v>
          </c:tx>
          <c:spPr>
            <a:solidFill>
              <a:srgbClr val="FFC00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CF'!$H$72,'Forage crops, CF'!$H$77,'Forage crops, CF'!$H$82,'Forage crops, CF'!$H$87,'Forage crops, CF'!$H$92,'Forage crops, CF'!$H$97,'Forage crops, CF'!$H$102,'Forage crops, CF'!$H$107,'Forage crops, CF'!$H$112,'Forage crops, CF'!$H$117,'Forage crops, CF'!$H$122)</c:f>
              <c:numCache>
                <c:formatCode>0.000</c:formatCode>
                <c:ptCount val="11"/>
                <c:pt idx="0">
                  <c:v>2.5299136463246441E-2</c:v>
                </c:pt>
                <c:pt idx="1">
                  <c:v>3.7990778054647706E-2</c:v>
                </c:pt>
                <c:pt idx="2">
                  <c:v>2.6980683865700426E-2</c:v>
                </c:pt>
                <c:pt idx="3">
                  <c:v>0.12159186953050775</c:v>
                </c:pt>
                <c:pt idx="4">
                  <c:v>8.8875177413642079E-2</c:v>
                </c:pt>
                <c:pt idx="5">
                  <c:v>6.4170940759835982E-2</c:v>
                </c:pt>
                <c:pt idx="6">
                  <c:v>5.7305406260195153E-2</c:v>
                </c:pt>
                <c:pt idx="7">
                  <c:v>6.7984010427348373E-3</c:v>
                </c:pt>
                <c:pt idx="8">
                  <c:v>5.9444834268658618E-2</c:v>
                </c:pt>
                <c:pt idx="9">
                  <c:v>3.1927571571168517E-2</c:v>
                </c:pt>
                <c:pt idx="10">
                  <c:v>4.8571836564415972E-2</c:v>
                </c:pt>
              </c:numCache>
            </c:numRef>
          </c:val>
          <c:extLst>
            <c:ext xmlns:c16="http://schemas.microsoft.com/office/drawing/2014/chart" uri="{C3380CC4-5D6E-409C-BE32-E72D297353CC}">
              <c16:uniqueId val="{00000002-EABE-4DB2-94A0-558E29CF90D4}"/>
            </c:ext>
          </c:extLst>
        </c:ser>
        <c:ser>
          <c:idx val="3"/>
          <c:order val="3"/>
          <c:tx>
            <c:v>Indirect N2O</c:v>
          </c:tx>
          <c:spPr>
            <a:solidFill>
              <a:srgbClr val="4472C4"/>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CF'!$I$72,'Forage crops, CF'!$I$77,'Forage crops, CF'!$I$82,'Forage crops, CF'!$I$87,'Forage crops, CF'!$I$92,'Forage crops, CF'!$I$97,'Forage crops, CF'!$I$102,'Forage crops, CF'!$I$107,'Forage crops, CF'!$I$112,'Forage crops, CF'!$I$117,'Forage crops, CF'!$I$122)</c:f>
              <c:numCache>
                <c:formatCode>0.000</c:formatCode>
                <c:ptCount val="11"/>
                <c:pt idx="0">
                  <c:v>2.5299136463246439E-3</c:v>
                </c:pt>
                <c:pt idx="1">
                  <c:v>3.7990778054647705E-3</c:v>
                </c:pt>
                <c:pt idx="2">
                  <c:v>2.698068386570043E-3</c:v>
                </c:pt>
                <c:pt idx="3">
                  <c:v>1.2159186953050776E-2</c:v>
                </c:pt>
                <c:pt idx="4">
                  <c:v>8.8875177413642089E-3</c:v>
                </c:pt>
                <c:pt idx="5">
                  <c:v>6.4170940759835978E-3</c:v>
                </c:pt>
                <c:pt idx="6">
                  <c:v>5.7305406260195159E-3</c:v>
                </c:pt>
                <c:pt idx="7">
                  <c:v>6.7984010427348375E-4</c:v>
                </c:pt>
                <c:pt idx="8">
                  <c:v>5.9444834268658616E-3</c:v>
                </c:pt>
                <c:pt idx="9">
                  <c:v>3.1927571571168517E-3</c:v>
                </c:pt>
                <c:pt idx="10">
                  <c:v>4.8571836564415974E-3</c:v>
                </c:pt>
              </c:numCache>
            </c:numRef>
          </c:val>
          <c:extLst>
            <c:ext xmlns:c16="http://schemas.microsoft.com/office/drawing/2014/chart" uri="{C3380CC4-5D6E-409C-BE32-E72D297353CC}">
              <c16:uniqueId val="{00000003-EABE-4DB2-94A0-558E29CF90D4}"/>
            </c:ext>
          </c:extLst>
        </c:ser>
        <c:ser>
          <c:idx val="4"/>
          <c:order val="4"/>
          <c:tx>
            <c:v>Diesel</c:v>
          </c:tx>
          <c:spPr>
            <a:solidFill>
              <a:srgbClr val="70AD47"/>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CF'!$J$72,'Forage crops, CF'!$J$77,'Forage crops, CF'!$J$82,'Forage crops, CF'!$J$87,'Forage crops, CF'!$J$92,'Forage crops, CF'!$J$97,'Forage crops, CF'!$J$102,'Forage crops, CF'!$J$107,'Forage crops, CF'!$J$112,'Forage crops, CF'!$J$117,'Forage crops, CF'!$J$122)</c:f>
              <c:numCache>
                <c:formatCode>0.000</c:formatCode>
                <c:ptCount val="11"/>
                <c:pt idx="0">
                  <c:v>1.6104850122497859E-2</c:v>
                </c:pt>
                <c:pt idx="1">
                  <c:v>1.6775002230573259E-2</c:v>
                </c:pt>
                <c:pt idx="2">
                  <c:v>1.3659646590488499E-2</c:v>
                </c:pt>
                <c:pt idx="3">
                  <c:v>3.1564423324806537E-2</c:v>
                </c:pt>
                <c:pt idx="4">
                  <c:v>2.1951926542895961E-2</c:v>
                </c:pt>
                <c:pt idx="5">
                  <c:v>1.3261552271447654E-2</c:v>
                </c:pt>
                <c:pt idx="6">
                  <c:v>1.1013914042783979E-2</c:v>
                </c:pt>
                <c:pt idx="7">
                  <c:v>1.3166760971704314E-2</c:v>
                </c:pt>
                <c:pt idx="8">
                  <c:v>1.356514785337532E-2</c:v>
                </c:pt>
                <c:pt idx="9">
                  <c:v>2.1944468280114801E-2</c:v>
                </c:pt>
                <c:pt idx="10">
                  <c:v>1.9572522115685772E-2</c:v>
                </c:pt>
              </c:numCache>
            </c:numRef>
          </c:val>
          <c:extLst>
            <c:ext xmlns:c16="http://schemas.microsoft.com/office/drawing/2014/chart" uri="{C3380CC4-5D6E-409C-BE32-E72D297353CC}">
              <c16:uniqueId val="{00000004-EABE-4DB2-94A0-558E29CF90D4}"/>
            </c:ext>
          </c:extLst>
        </c:ser>
        <c:ser>
          <c:idx val="5"/>
          <c:order val="5"/>
          <c:tx>
            <c:v>Irrigation</c:v>
          </c:tx>
          <c:spPr>
            <a:solidFill>
              <a:srgbClr val="9E480E"/>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CF'!$L$72,'Forage crops, CF'!$L$77,'Forage crops, CF'!$L$82,'Forage crops, CF'!$L$87,'Forage crops, CF'!$L$92,'Forage crops, CF'!$L$97,'Forage crops, CF'!$L$102,'Forage crops, CF'!$L$107,'Forage crops, CF'!$L$112,'Forage crops, CF'!$L$117,'Forage crops, CF'!$L$122)</c:f>
              <c:numCache>
                <c:formatCode>0.000</c:formatCode>
                <c:ptCount val="11"/>
                <c:pt idx="0">
                  <c:v>0</c:v>
                </c:pt>
                <c:pt idx="1">
                  <c:v>6.0220854831130556E-4</c:v>
                </c:pt>
                <c:pt idx="2">
                  <c:v>1.0951486098461634E-5</c:v>
                </c:pt>
                <c:pt idx="3">
                  <c:v>3.4729811887573916E-3</c:v>
                </c:pt>
                <c:pt idx="4">
                  <c:v>9.5245674673145805E-6</c:v>
                </c:pt>
                <c:pt idx="5">
                  <c:v>0</c:v>
                </c:pt>
                <c:pt idx="6">
                  <c:v>4.6255793261834258E-4</c:v>
                </c:pt>
                <c:pt idx="7">
                  <c:v>8.3406990743827413E-5</c:v>
                </c:pt>
                <c:pt idx="8">
                  <c:v>1.9753330424853571E-5</c:v>
                </c:pt>
                <c:pt idx="9">
                  <c:v>3.4657898131926494E-3</c:v>
                </c:pt>
                <c:pt idx="10">
                  <c:v>0</c:v>
                </c:pt>
              </c:numCache>
            </c:numRef>
          </c:val>
          <c:extLst>
            <c:ext xmlns:c16="http://schemas.microsoft.com/office/drawing/2014/chart" uri="{C3380CC4-5D6E-409C-BE32-E72D297353CC}">
              <c16:uniqueId val="{00000005-EABE-4DB2-94A0-558E29CF90D4}"/>
            </c:ext>
          </c:extLst>
        </c:ser>
        <c:ser>
          <c:idx val="6"/>
          <c:order val="6"/>
          <c:tx>
            <c:v>Feed processing</c:v>
          </c:tx>
          <c:spPr>
            <a:solidFill>
              <a:srgbClr val="264478"/>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CF'!$O$72,'Forage crops, CF'!$O$77,'Forage crops, CF'!$O$82,'Forage crops, CF'!$O$87,'Forage crops, CF'!$O$92,'Forage crops, CF'!$O$97,'Forage crops, CF'!$O$102,'Forage crops, CF'!$O$107,'Forage crops, CF'!$O$112,'Forage crops, CF'!$O$117,'Forage crops, CF'!$O$122)</c:f>
              <c:numCache>
                <c:formatCode>0.000</c:formatCode>
                <c:ptCount val="11"/>
                <c:pt idx="0">
                  <c:v>8.6389700000000014E-2</c:v>
                </c:pt>
                <c:pt idx="1">
                  <c:v>8.6389700000000014E-2</c:v>
                </c:pt>
                <c:pt idx="2">
                  <c:v>8.6389700000000014E-2</c:v>
                </c:pt>
                <c:pt idx="3">
                  <c:v>8.6389700000000014E-2</c:v>
                </c:pt>
                <c:pt idx="4">
                  <c:v>8.6389700000000014E-2</c:v>
                </c:pt>
                <c:pt idx="5">
                  <c:v>8.6389700000000014E-2</c:v>
                </c:pt>
                <c:pt idx="6">
                  <c:v>8.6389700000000014E-2</c:v>
                </c:pt>
                <c:pt idx="7">
                  <c:v>8.6389700000000014E-2</c:v>
                </c:pt>
                <c:pt idx="8">
                  <c:v>8.6389700000000014E-2</c:v>
                </c:pt>
                <c:pt idx="9">
                  <c:v>8.6389700000000014E-2</c:v>
                </c:pt>
                <c:pt idx="10">
                  <c:v>8.6389700000000014E-2</c:v>
                </c:pt>
              </c:numCache>
            </c:numRef>
          </c:val>
          <c:extLst>
            <c:ext xmlns:c16="http://schemas.microsoft.com/office/drawing/2014/chart" uri="{C3380CC4-5D6E-409C-BE32-E72D297353CC}">
              <c16:uniqueId val="{00000006-EABE-4DB2-94A0-558E29CF90D4}"/>
            </c:ext>
          </c:extLst>
        </c:ser>
        <c:dLbls>
          <c:showLegendKey val="0"/>
          <c:showVal val="0"/>
          <c:showCatName val="0"/>
          <c:showSerName val="0"/>
          <c:showPercent val="0"/>
          <c:showBubbleSize val="0"/>
        </c:dLbls>
        <c:gapWidth val="150"/>
        <c:overlap val="100"/>
        <c:axId val="58667573"/>
        <c:axId val="23334355"/>
      </c:barChart>
      <c:catAx>
        <c:axId val="58667573"/>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Calibri"/>
              </a:defRPr>
            </a:pPr>
            <a:endParaRPr lang="sv-SE"/>
          </a:p>
        </c:txPr>
        <c:crossAx val="23334355"/>
        <c:crosses val="autoZero"/>
        <c:auto val="1"/>
        <c:lblAlgn val="ctr"/>
        <c:lblOffset val="100"/>
        <c:noMultiLvlLbl val="0"/>
      </c:catAx>
      <c:valAx>
        <c:axId val="23334355"/>
        <c:scaling>
          <c:orientation val="minMax"/>
        </c:scaling>
        <c:delete val="0"/>
        <c:axPos val="l"/>
        <c:majorGridlines>
          <c:spPr>
            <a:ln w="9360">
              <a:solidFill>
                <a:srgbClr val="D9D9D9"/>
              </a:solidFill>
              <a:prstDash val="solid"/>
              <a:round/>
            </a:ln>
          </c:spPr>
        </c:majorGridlines>
        <c:title>
          <c:tx>
            <c:rich>
              <a:bodyPr rot="-5400000"/>
              <a:lstStyle/>
              <a:p>
                <a:pPr>
                  <a:defRPr lang="sv-SE" sz="1000" b="0" strike="noStrike" spc="-1">
                    <a:solidFill>
                      <a:srgbClr val="595959"/>
                    </a:solidFill>
                    <a:latin typeface="Calibri"/>
                  </a:defRPr>
                </a:pPr>
                <a:r>
                  <a:rPr lang="sv-SE" sz="1000" b="0" strike="noStrike" spc="-1">
                    <a:solidFill>
                      <a:srgbClr val="595959"/>
                    </a:solidFill>
                    <a:latin typeface="Calibri"/>
                  </a:rPr>
                  <a:t>kg CO2e per kg DM feed</a:t>
                </a:r>
              </a:p>
            </c:rich>
          </c:tx>
          <c:overlay val="0"/>
          <c:spPr>
            <a:noFill/>
            <a:ln w="0">
              <a:noFill/>
              <a:prstDash val="solid"/>
            </a:ln>
          </c:spPr>
        </c:title>
        <c:numFmt formatCode="0.000" sourceLinked="0"/>
        <c:majorTickMark val="none"/>
        <c:minorTickMark val="none"/>
        <c:tickLblPos val="nextTo"/>
        <c:spPr>
          <a:ln w="6480">
            <a:noFill/>
            <a:prstDash val="solid"/>
          </a:ln>
        </c:spPr>
        <c:txPr>
          <a:bodyPr/>
          <a:lstStyle/>
          <a:p>
            <a:pPr>
              <a:defRPr sz="900" b="0" strike="noStrike" spc="-1">
                <a:solidFill>
                  <a:srgbClr val="595959"/>
                </a:solidFill>
                <a:latin typeface="Calibri"/>
              </a:defRPr>
            </a:pPr>
            <a:endParaRPr lang="sv-SE"/>
          </a:p>
        </c:txPr>
        <c:crossAx val="58667573"/>
        <c:crosses val="autoZero"/>
        <c:crossBetween val="between"/>
      </c:valAx>
    </c:plotArea>
    <c:legend>
      <c:legendPos val="b"/>
      <c:overlay val="0"/>
      <c:spPr>
        <a:noFill/>
        <a:ln w="0">
          <a:noFill/>
          <a:prstDash val="solid"/>
        </a:ln>
      </c:spPr>
      <c:txPr>
        <a:bodyPr/>
        <a:lstStyle/>
        <a:p>
          <a:pPr>
            <a:defRPr sz="900" b="0" strike="noStrike" spc="-1">
              <a:solidFill>
                <a:srgbClr val="595959"/>
              </a:solidFill>
              <a:latin typeface="Calibri"/>
            </a:defRPr>
          </a:pPr>
          <a:endParaRPr lang="sv-SE"/>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lang="sv-SE" sz="1400" b="0" strike="noStrike" spc="-1">
                <a:solidFill>
                  <a:srgbClr val="595959"/>
                </a:solidFill>
                <a:latin typeface="Calibri"/>
              </a:defRPr>
            </a:pPr>
            <a:r>
              <a:rPr lang="sv-SE" sz="1400" b="0" strike="noStrike" spc="-1">
                <a:solidFill>
                  <a:srgbClr val="595959"/>
                </a:solidFill>
                <a:latin typeface="Calibri"/>
              </a:rPr>
              <a:t>Ley</a:t>
            </a:r>
          </a:p>
        </c:rich>
      </c:tx>
      <c:overlay val="0"/>
      <c:spPr>
        <a:noFill/>
        <a:ln w="0">
          <a:noFill/>
          <a:prstDash val="solid"/>
        </a:ln>
      </c:spPr>
    </c:title>
    <c:autoTitleDeleted val="0"/>
    <c:plotArea>
      <c:layout/>
      <c:barChart>
        <c:barDir val="col"/>
        <c:grouping val="stacked"/>
        <c:varyColors val="0"/>
        <c:ser>
          <c:idx val="0"/>
          <c:order val="0"/>
          <c:tx>
            <c:v>Mineral fertilisers</c:v>
          </c:tx>
          <c:spPr>
            <a:solidFill>
              <a:srgbClr val="A5A5A5"/>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CF'!$F$132,'Forage crops, CF'!$F$137,'Forage crops, CF'!$F$142,'Forage crops, CF'!$F$147,'Forage crops, CF'!$F$152,'Forage crops, CF'!$F$157,'Forage crops, CF'!$F$162,'Forage crops, CF'!$F$167,'Forage crops, CF'!$F$172,'Forage crops, CF'!$F$177,'Forage crops, CF'!$F$182)</c:f>
              <c:numCache>
                <c:formatCode>0.000</c:formatCode>
                <c:ptCount val="11"/>
                <c:pt idx="0">
                  <c:v>8.0178889200960696E-3</c:v>
                </c:pt>
                <c:pt idx="1">
                  <c:v>1.6459931905285576E-2</c:v>
                </c:pt>
                <c:pt idx="2">
                  <c:v>1.9639202501453703E-2</c:v>
                </c:pt>
                <c:pt idx="3">
                  <c:v>2.0095125044447746E-2</c:v>
                </c:pt>
                <c:pt idx="4">
                  <c:v>2.0147644797677104E-2</c:v>
                </c:pt>
                <c:pt idx="5">
                  <c:v>2.0276553957035148E-2</c:v>
                </c:pt>
                <c:pt idx="6">
                  <c:v>2.0235536759723921E-2</c:v>
                </c:pt>
                <c:pt idx="7">
                  <c:v>9.0361766890654227E-2</c:v>
                </c:pt>
                <c:pt idx="8">
                  <c:v>1.9594491998985882E-2</c:v>
                </c:pt>
                <c:pt idx="9">
                  <c:v>2.0148979591442077E-2</c:v>
                </c:pt>
                <c:pt idx="10">
                  <c:v>2.4369888014806468E-2</c:v>
                </c:pt>
              </c:numCache>
            </c:numRef>
          </c:val>
          <c:extLst>
            <c:ext xmlns:c16="http://schemas.microsoft.com/office/drawing/2014/chart" uri="{C3380CC4-5D6E-409C-BE32-E72D297353CC}">
              <c16:uniqueId val="{00000000-2A6E-44F5-996F-14B484AC37CD}"/>
            </c:ext>
          </c:extLst>
        </c:ser>
        <c:ser>
          <c:idx val="1"/>
          <c:order val="1"/>
          <c:tx>
            <c:v>Capital goods</c:v>
          </c:tx>
          <c:spPr>
            <a:solidFill>
              <a:srgbClr val="FFC00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CF'!$G$132,'Forage crops, CF'!$G$137,'Forage crops, CF'!$G$142,'Forage crops, CF'!$G$147,'Forage crops, CF'!$G$152,'Forage crops, CF'!$G$157,'Forage crops, CF'!$G$162,'Forage crops, CF'!$G$167,'Forage crops, CF'!$G$172,'Forage crops, CF'!$G$177,'Forage crops, CF'!$G$182)</c:f>
              <c:numCache>
                <c:formatCode>0.000</c:formatCode>
                <c:ptCount val="11"/>
                <c:pt idx="0">
                  <c:v>3.01313E-2</c:v>
                </c:pt>
                <c:pt idx="1">
                  <c:v>3.01313E-2</c:v>
                </c:pt>
                <c:pt idx="2">
                  <c:v>3.01313E-2</c:v>
                </c:pt>
                <c:pt idx="3">
                  <c:v>3.01313E-2</c:v>
                </c:pt>
                <c:pt idx="4">
                  <c:v>3.01313E-2</c:v>
                </c:pt>
                <c:pt idx="5">
                  <c:v>3.01313E-2</c:v>
                </c:pt>
                <c:pt idx="6">
                  <c:v>3.01313E-2</c:v>
                </c:pt>
                <c:pt idx="7">
                  <c:v>3.01313E-2</c:v>
                </c:pt>
                <c:pt idx="8">
                  <c:v>3.01313E-2</c:v>
                </c:pt>
                <c:pt idx="9">
                  <c:v>3.01313E-2</c:v>
                </c:pt>
                <c:pt idx="10">
                  <c:v>3.01313E-2</c:v>
                </c:pt>
              </c:numCache>
            </c:numRef>
          </c:val>
          <c:extLst>
            <c:ext xmlns:c16="http://schemas.microsoft.com/office/drawing/2014/chart" uri="{C3380CC4-5D6E-409C-BE32-E72D297353CC}">
              <c16:uniqueId val="{00000001-2A6E-44F5-996F-14B484AC37CD}"/>
            </c:ext>
          </c:extLst>
        </c:ser>
        <c:ser>
          <c:idx val="2"/>
          <c:order val="2"/>
          <c:tx>
            <c:v>Direct N2O</c:v>
          </c:tx>
          <c:spPr>
            <a:solidFill>
              <a:srgbClr val="4472C4"/>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CF'!$H$132,'Forage crops, CF'!$H$137,'Forage crops, CF'!$H$142,'Forage crops, CF'!$H$147,'Forage crops, CF'!$H$152,'Forage crops, CF'!$H$157,'Forage crops, CF'!$H$162,'Forage crops, CF'!$H$167,'Forage crops, CF'!$H$172,'Forage crops, CF'!$H$177,'Forage crops, CF'!$H$182)</c:f>
              <c:numCache>
                <c:formatCode>0.000</c:formatCode>
                <c:ptCount val="11"/>
                <c:pt idx="0">
                  <c:v>2.358869815184551E-2</c:v>
                </c:pt>
                <c:pt idx="1">
                  <c:v>4.0743849259617007E-2</c:v>
                </c:pt>
                <c:pt idx="2">
                  <c:v>4.6394090867584795E-2</c:v>
                </c:pt>
                <c:pt idx="3">
                  <c:v>3.7896236267375337E-2</c:v>
                </c:pt>
                <c:pt idx="4">
                  <c:v>4.7522022027800509E-2</c:v>
                </c:pt>
                <c:pt idx="5">
                  <c:v>4.7522022027800481E-2</c:v>
                </c:pt>
                <c:pt idx="6">
                  <c:v>4.7522022027800453E-2</c:v>
                </c:pt>
                <c:pt idx="7">
                  <c:v>0.18507473503303087</c:v>
                </c:pt>
                <c:pt idx="8">
                  <c:v>4.7522022027800474E-2</c:v>
                </c:pt>
                <c:pt idx="9">
                  <c:v>3.7896236267375351E-2</c:v>
                </c:pt>
                <c:pt idx="10">
                  <c:v>5.5428125956199649E-2</c:v>
                </c:pt>
              </c:numCache>
            </c:numRef>
          </c:val>
          <c:extLst>
            <c:ext xmlns:c16="http://schemas.microsoft.com/office/drawing/2014/chart" uri="{C3380CC4-5D6E-409C-BE32-E72D297353CC}">
              <c16:uniqueId val="{00000002-2A6E-44F5-996F-14B484AC37CD}"/>
            </c:ext>
          </c:extLst>
        </c:ser>
        <c:ser>
          <c:idx val="3"/>
          <c:order val="3"/>
          <c:tx>
            <c:v>Indirect N2O</c:v>
          </c:tx>
          <c:spPr>
            <a:solidFill>
              <a:srgbClr val="70AD47"/>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CF'!$I$132,'Forage crops, CF'!$I$137,'Forage crops, CF'!$I$142,'Forage crops, CF'!$I$147,'Forage crops, CF'!$I$152,'Forage crops, CF'!$I$157,'Forage crops, CF'!$I$162,'Forage crops, CF'!$I$167,'Forage crops, CF'!$I$172,'Forage crops, CF'!$I$177,'Forage crops, CF'!$I$182)</c:f>
              <c:numCache>
                <c:formatCode>0.000</c:formatCode>
                <c:ptCount val="11"/>
                <c:pt idx="0">
                  <c:v>2.3588698151845509E-3</c:v>
                </c:pt>
                <c:pt idx="1">
                  <c:v>4.0743849259617009E-3</c:v>
                </c:pt>
                <c:pt idx="2">
                  <c:v>4.6394090867584786E-3</c:v>
                </c:pt>
                <c:pt idx="3">
                  <c:v>3.789623626737534E-3</c:v>
                </c:pt>
                <c:pt idx="4">
                  <c:v>4.7522022027800511E-3</c:v>
                </c:pt>
                <c:pt idx="5">
                  <c:v>4.7522022027800485E-3</c:v>
                </c:pt>
                <c:pt idx="6">
                  <c:v>4.7522022027800459E-3</c:v>
                </c:pt>
                <c:pt idx="7">
                  <c:v>1.850747350330309E-2</c:v>
                </c:pt>
                <c:pt idx="8">
                  <c:v>4.7522022027800476E-3</c:v>
                </c:pt>
                <c:pt idx="9">
                  <c:v>3.7896236267375353E-3</c:v>
                </c:pt>
                <c:pt idx="10">
                  <c:v>5.5428125956199651E-3</c:v>
                </c:pt>
              </c:numCache>
            </c:numRef>
          </c:val>
          <c:extLst>
            <c:ext xmlns:c16="http://schemas.microsoft.com/office/drawing/2014/chart" uri="{C3380CC4-5D6E-409C-BE32-E72D297353CC}">
              <c16:uniqueId val="{00000003-2A6E-44F5-996F-14B484AC37CD}"/>
            </c:ext>
          </c:extLst>
        </c:ser>
        <c:ser>
          <c:idx val="4"/>
          <c:order val="4"/>
          <c:tx>
            <c:v>Field operations</c:v>
          </c:tx>
          <c:spPr>
            <a:solidFill>
              <a:srgbClr val="9E480E"/>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CF'!$J$132,'Forage crops, CF'!$J$137,'Forage crops, CF'!$J$142,'Forage crops, CF'!$J$147,'Forage crops, CF'!$J$152,'Forage crops, CF'!$J$157,'Forage crops, CF'!$J$162,'Forage crops, CF'!$J$167,'Forage crops, CF'!$J$172,'Forage crops, CF'!$J$177,'Forage crops, CF'!$J$182)</c:f>
              <c:numCache>
                <c:formatCode>0.000</c:formatCode>
                <c:ptCount val="11"/>
                <c:pt idx="0">
                  <c:v>1.0330936406066488E-2</c:v>
                </c:pt>
                <c:pt idx="1">
                  <c:v>1.3373866530534321E-2</c:v>
                </c:pt>
                <c:pt idx="2">
                  <c:v>1.3433418913001914E-2</c:v>
                </c:pt>
                <c:pt idx="3">
                  <c:v>3.3082704214679549E-2</c:v>
                </c:pt>
                <c:pt idx="4">
                  <c:v>4.9698248984652159E-2</c:v>
                </c:pt>
                <c:pt idx="5">
                  <c:v>1.5013625608635421E-2</c:v>
                </c:pt>
                <c:pt idx="6">
                  <c:v>1.2374614147716761E-2</c:v>
                </c:pt>
                <c:pt idx="7">
                  <c:v>2.1025103145319253E-2</c:v>
                </c:pt>
                <c:pt idx="8">
                  <c:v>1.5535433496533177E-2</c:v>
                </c:pt>
                <c:pt idx="9">
                  <c:v>2.2369244374722055E-2</c:v>
                </c:pt>
                <c:pt idx="10">
                  <c:v>2.1897403352181943E-2</c:v>
                </c:pt>
              </c:numCache>
            </c:numRef>
          </c:val>
          <c:extLst>
            <c:ext xmlns:c16="http://schemas.microsoft.com/office/drawing/2014/chart" uri="{C3380CC4-5D6E-409C-BE32-E72D297353CC}">
              <c16:uniqueId val="{00000004-2A6E-44F5-996F-14B484AC37CD}"/>
            </c:ext>
          </c:extLst>
        </c:ser>
        <c:ser>
          <c:idx val="5"/>
          <c:order val="5"/>
          <c:tx>
            <c:v>Irrigation</c:v>
          </c:tx>
          <c:spPr>
            <a:solidFill>
              <a:srgbClr val="5B9BD5"/>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CF'!$L$132,'Forage crops, CF'!$L$137,'Forage crops, CF'!$L$142,'Forage crops, CF'!$L$147,'Forage crops, CF'!$L$152,'Forage crops, CF'!$L$157,'Forage crops, CF'!$L$162,'Forage crops, CF'!$L$167,'Forage crops, CF'!$L$172,'Forage crops, CF'!$L$177,'Forage crops, CF'!$L$182)</c:f>
              <c:numCache>
                <c:formatCode>0.000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2A6E-44F5-996F-14B484AC37CD}"/>
            </c:ext>
          </c:extLst>
        </c:ser>
        <c:ser>
          <c:idx val="6"/>
          <c:order val="6"/>
          <c:tx>
            <c:v>Feed processing</c:v>
          </c:tx>
          <c:spPr>
            <a:solidFill>
              <a:srgbClr val="99730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sv-SE"/>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f>('Forage crops, CF'!$O$132,'Forage crops, CF'!$O$137,'Forage crops, CF'!$O$142,'Forage crops, CF'!$O$147,'Forage crops, CF'!$O$152,'Forage crops, CF'!$O$157,'Forage crops, CF'!$O$162,'Forage crops, CF'!$O$167,'Forage crops, CF'!$O$172,'Forage crops, CF'!$O$177,'Forage crops, CF'!$O$182)</c:f>
              <c:numCache>
                <c:formatCode>0.000</c:formatCode>
                <c:ptCount val="11"/>
                <c:pt idx="0">
                  <c:v>8.6389700000000014E-2</c:v>
                </c:pt>
                <c:pt idx="1">
                  <c:v>8.6389700000000014E-2</c:v>
                </c:pt>
                <c:pt idx="2">
                  <c:v>8.6389700000000014E-2</c:v>
                </c:pt>
                <c:pt idx="3">
                  <c:v>8.6389700000000014E-2</c:v>
                </c:pt>
                <c:pt idx="4">
                  <c:v>8.6389700000000014E-2</c:v>
                </c:pt>
                <c:pt idx="5">
                  <c:v>8.6389700000000014E-2</c:v>
                </c:pt>
                <c:pt idx="6">
                  <c:v>8.6389700000000014E-2</c:v>
                </c:pt>
                <c:pt idx="7">
                  <c:v>8.6389700000000014E-2</c:v>
                </c:pt>
                <c:pt idx="8">
                  <c:v>8.6389700000000014E-2</c:v>
                </c:pt>
                <c:pt idx="9">
                  <c:v>8.6389700000000014E-2</c:v>
                </c:pt>
                <c:pt idx="10">
                  <c:v>8.6389700000000014E-2</c:v>
                </c:pt>
              </c:numCache>
            </c:numRef>
          </c:val>
          <c:extLst>
            <c:ext xmlns:c16="http://schemas.microsoft.com/office/drawing/2014/chart" uri="{C3380CC4-5D6E-409C-BE32-E72D297353CC}">
              <c16:uniqueId val="{00000006-2A6E-44F5-996F-14B484AC37CD}"/>
            </c:ext>
          </c:extLst>
        </c:ser>
        <c:dLbls>
          <c:showLegendKey val="0"/>
          <c:showVal val="0"/>
          <c:showCatName val="0"/>
          <c:showSerName val="0"/>
          <c:showPercent val="0"/>
          <c:showBubbleSize val="0"/>
        </c:dLbls>
        <c:gapWidth val="150"/>
        <c:overlap val="100"/>
        <c:axId val="74381585"/>
        <c:axId val="27796554"/>
      </c:barChart>
      <c:catAx>
        <c:axId val="74381585"/>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Calibri"/>
              </a:defRPr>
            </a:pPr>
            <a:endParaRPr lang="sv-SE"/>
          </a:p>
        </c:txPr>
        <c:crossAx val="27796554"/>
        <c:crosses val="autoZero"/>
        <c:auto val="1"/>
        <c:lblAlgn val="ctr"/>
        <c:lblOffset val="100"/>
        <c:noMultiLvlLbl val="0"/>
      </c:catAx>
      <c:valAx>
        <c:axId val="27796554"/>
        <c:scaling>
          <c:orientation val="minMax"/>
        </c:scaling>
        <c:delete val="0"/>
        <c:axPos val="l"/>
        <c:majorGridlines>
          <c:spPr>
            <a:ln w="9360">
              <a:solidFill>
                <a:srgbClr val="D9D9D9"/>
              </a:solidFill>
              <a:prstDash val="solid"/>
              <a:round/>
            </a:ln>
          </c:spPr>
        </c:majorGridlines>
        <c:title>
          <c:tx>
            <c:rich>
              <a:bodyPr rot="-5400000"/>
              <a:lstStyle/>
              <a:p>
                <a:pPr>
                  <a:defRPr lang="sv-SE" sz="1000" b="0" strike="noStrike" spc="-1">
                    <a:solidFill>
                      <a:srgbClr val="595959"/>
                    </a:solidFill>
                    <a:latin typeface="Calibri"/>
                  </a:defRPr>
                </a:pPr>
                <a:r>
                  <a:rPr lang="sv-SE" sz="1000" b="0" strike="noStrike" spc="-1">
                    <a:solidFill>
                      <a:srgbClr val="595959"/>
                    </a:solidFill>
                    <a:latin typeface="Calibri"/>
                  </a:rPr>
                  <a:t>kg CO2e per kg DM feed</a:t>
                </a:r>
              </a:p>
            </c:rich>
          </c:tx>
          <c:overlay val="0"/>
          <c:spPr>
            <a:noFill/>
            <a:ln w="0">
              <a:noFill/>
              <a:prstDash val="solid"/>
            </a:ln>
          </c:spPr>
        </c:title>
        <c:numFmt formatCode="0.000" sourceLinked="0"/>
        <c:majorTickMark val="none"/>
        <c:minorTickMark val="none"/>
        <c:tickLblPos val="nextTo"/>
        <c:spPr>
          <a:ln w="6480">
            <a:noFill/>
            <a:prstDash val="solid"/>
          </a:ln>
        </c:spPr>
        <c:txPr>
          <a:bodyPr/>
          <a:lstStyle/>
          <a:p>
            <a:pPr>
              <a:defRPr sz="900" b="0" strike="noStrike" spc="-1">
                <a:solidFill>
                  <a:srgbClr val="595959"/>
                </a:solidFill>
                <a:latin typeface="Calibri"/>
              </a:defRPr>
            </a:pPr>
            <a:endParaRPr lang="sv-SE"/>
          </a:p>
        </c:txPr>
        <c:crossAx val="74381585"/>
        <c:crosses val="autoZero"/>
        <c:crossBetween val="between"/>
      </c:valAx>
    </c:plotArea>
    <c:legend>
      <c:legendPos val="b"/>
      <c:overlay val="0"/>
      <c:spPr>
        <a:noFill/>
        <a:ln w="0">
          <a:noFill/>
          <a:prstDash val="solid"/>
        </a:ln>
      </c:spPr>
      <c:txPr>
        <a:bodyPr/>
        <a:lstStyle/>
        <a:p>
          <a:pPr>
            <a:defRPr sz="900" b="0" strike="noStrike" spc="-1">
              <a:solidFill>
                <a:srgbClr val="595959"/>
              </a:solidFill>
              <a:latin typeface="Calibri"/>
            </a:defRPr>
          </a:pPr>
          <a:endParaRPr lang="sv-SE"/>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13</xdr:col>
      <xdr:colOff>181428</xdr:colOff>
      <xdr:row>3</xdr:row>
      <xdr:rowOff>47449</xdr:rowOff>
    </xdr:from>
    <xdr:to>
      <xdr:col>27</xdr:col>
      <xdr:colOff>57175</xdr:colOff>
      <xdr:row>26</xdr:row>
      <xdr:rowOff>141770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407880</xdr:colOff>
      <xdr:row>28</xdr:row>
      <xdr:rowOff>59760</xdr:rowOff>
    </xdr:from>
    <xdr:to>
      <xdr:col>26</xdr:col>
      <xdr:colOff>588240</xdr:colOff>
      <xdr:row>54</xdr:row>
      <xdr:rowOff>172800</xdr:rowOff>
    </xdr:to>
    <xdr:pic>
      <xdr:nvPicPr>
        <xdr:cNvPr id="3" name="Picture 1" descr="A graph of a cow milk&#10;&#10;Description automatically generated">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a:fillRect/>
        </a:stretch>
      </xdr:blipFill>
      <xdr:spPr>
        <a:xfrm>
          <a:off x="10456920" y="5898600"/>
          <a:ext cx="6871680" cy="4818240"/>
        </a:xfrm>
        <a:prstGeom prst="rect">
          <a:avLst/>
        </a:prstGeom>
        <a:ln w="0">
          <a:noFill/>
          <a:prstDash val="solid"/>
        </a:ln>
      </xdr:spPr>
    </xdr:pic>
    <xdr:clientData/>
  </xdr:twoCellAnchor>
  <xdr:twoCellAnchor editAs="oneCell">
    <xdr:from>
      <xdr:col>0</xdr:col>
      <xdr:colOff>70200</xdr:colOff>
      <xdr:row>34</xdr:row>
      <xdr:rowOff>8640</xdr:rowOff>
    </xdr:from>
    <xdr:to>
      <xdr:col>15</xdr:col>
      <xdr:colOff>414720</xdr:colOff>
      <xdr:row>70</xdr:row>
      <xdr:rowOff>155880</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a:fillRect/>
        </a:stretch>
      </xdr:blipFill>
      <xdr:spPr>
        <a:xfrm>
          <a:off x="70200" y="6933240"/>
          <a:ext cx="10393560" cy="666252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47520</xdr:colOff>
      <xdr:row>31</xdr:row>
      <xdr:rowOff>37440</xdr:rowOff>
    </xdr:from>
    <xdr:to>
      <xdr:col>27</xdr:col>
      <xdr:colOff>110520</xdr:colOff>
      <xdr:row>42</xdr:row>
      <xdr:rowOff>38160</xdr:rowOff>
    </xdr:to>
    <xdr:pic>
      <xdr:nvPicPr>
        <xdr:cNvPr id="3" name="Picture 1">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a:stretch>
          <a:fillRect/>
        </a:stretch>
      </xdr:blipFill>
      <xdr:spPr>
        <a:xfrm>
          <a:off x="20255760" y="5514480"/>
          <a:ext cx="3713040" cy="1991160"/>
        </a:xfrm>
        <a:prstGeom prst="rect">
          <a:avLst/>
        </a:prstGeom>
        <a:ln w="0">
          <a:noFill/>
          <a:prstDash val="solid"/>
        </a:ln>
      </xdr:spPr>
    </xdr:pic>
    <xdr:clientData/>
  </xdr:twoCellAnchor>
  <xdr:twoCellAnchor>
    <xdr:from>
      <xdr:col>16</xdr:col>
      <xdr:colOff>262440</xdr:colOff>
      <xdr:row>15</xdr:row>
      <xdr:rowOff>43560</xdr:rowOff>
    </xdr:from>
    <xdr:to>
      <xdr:col>23</xdr:col>
      <xdr:colOff>332640</xdr:colOff>
      <xdr:row>26</xdr:row>
      <xdr:rowOff>131400</xdr:rowOff>
    </xdr:to>
    <xdr:pic>
      <xdr:nvPicPr>
        <xdr:cNvPr id="4" name="Bildobjekt 1">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a:stretch>
          <a:fillRect/>
        </a:stretch>
      </xdr:blipFill>
      <xdr:spPr>
        <a:xfrm>
          <a:off x="17429040" y="2624760"/>
          <a:ext cx="4328640" cy="2078640"/>
        </a:xfrm>
        <a:prstGeom prst="rect">
          <a:avLst/>
        </a:prstGeom>
        <a:ln w="0">
          <a:noFill/>
          <a:prstDash val="solid"/>
        </a:ln>
      </xdr:spPr>
    </xdr:pic>
    <xdr:clientData/>
  </xdr:twoCellAnchor>
  <xdr:twoCellAnchor editAs="oneCell">
    <xdr:from>
      <xdr:col>24</xdr:col>
      <xdr:colOff>57600</xdr:colOff>
      <xdr:row>6</xdr:row>
      <xdr:rowOff>95040</xdr:rowOff>
    </xdr:from>
    <xdr:to>
      <xdr:col>31</xdr:col>
      <xdr:colOff>591480</xdr:colOff>
      <xdr:row>27</xdr:row>
      <xdr:rowOff>2520</xdr:rowOff>
    </xdr:to>
    <xdr:pic>
      <xdr:nvPicPr>
        <xdr:cNvPr id="5" name="Bildobjekt 4">
          <a:extLst>
            <a:ext uri="{FF2B5EF4-FFF2-40B4-BE49-F238E27FC236}">
              <a16:creationId xmlns:a16="http://schemas.microsoft.com/office/drawing/2014/main" id="{00000000-0008-0000-0F00-000005000000}"/>
            </a:ext>
          </a:extLst>
        </xdr:cNvPr>
        <xdr:cNvPicPr/>
      </xdr:nvPicPr>
      <xdr:blipFill>
        <a:blip xmlns:r="http://schemas.openxmlformats.org/officeDocument/2006/relationships" r:embed="rId3"/>
        <a:stretch>
          <a:fillRect/>
        </a:stretch>
      </xdr:blipFill>
      <xdr:spPr>
        <a:xfrm>
          <a:off x="22090680" y="1228680"/>
          <a:ext cx="4792320" cy="3707640"/>
        </a:xfrm>
        <a:prstGeom prst="rect">
          <a:avLst/>
        </a:prstGeom>
        <a:ln w="0">
          <a:noFill/>
          <a:prstDash val="solid"/>
        </a:ln>
      </xdr:spPr>
    </xdr:pic>
    <xdr:clientData/>
  </xdr:twoCellAnchor>
  <xdr:twoCellAnchor editAs="oneCell">
    <xdr:from>
      <xdr:col>13</xdr:col>
      <xdr:colOff>7216</xdr:colOff>
      <xdr:row>95</xdr:row>
      <xdr:rowOff>12</xdr:rowOff>
    </xdr:from>
    <xdr:to>
      <xdr:col>16</xdr:col>
      <xdr:colOff>32703</xdr:colOff>
      <xdr:row>102</xdr:row>
      <xdr:rowOff>80728</xdr:rowOff>
    </xdr:to>
    <xdr:pic>
      <xdr:nvPicPr>
        <xdr:cNvPr id="2" name="Bildobjekt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4"/>
        <a:stretch>
          <a:fillRect/>
        </a:stretch>
      </xdr:blipFill>
      <xdr:spPr>
        <a:xfrm>
          <a:off x="12678352" y="17866603"/>
          <a:ext cx="4383896" cy="1394011"/>
        </a:xfrm>
        <a:prstGeom prst="rect">
          <a:avLst/>
        </a:prstGeom>
        <a:ln>
          <a:prstDash val="solid"/>
        </a:ln>
      </xdr:spPr>
    </xdr:pic>
    <xdr:clientData/>
  </xdr:twoCellAnchor>
  <xdr:twoCellAnchor editAs="oneCell">
    <xdr:from>
      <xdr:col>12</xdr:col>
      <xdr:colOff>591705</xdr:colOff>
      <xdr:row>102</xdr:row>
      <xdr:rowOff>180398</xdr:rowOff>
    </xdr:from>
    <xdr:to>
      <xdr:col>18</xdr:col>
      <xdr:colOff>292632</xdr:colOff>
      <xdr:row>121</xdr:row>
      <xdr:rowOff>45218</xdr:rowOff>
    </xdr:to>
    <xdr:pic>
      <xdr:nvPicPr>
        <xdr:cNvPr id="6" name="Bildobjekt 5">
          <a:extLst>
            <a:ext uri="{FF2B5EF4-FFF2-40B4-BE49-F238E27FC236}">
              <a16:creationId xmlns:a16="http://schemas.microsoft.com/office/drawing/2014/main" id="{00000000-0008-0000-0F00-000006000000}"/>
            </a:ext>
          </a:extLst>
        </xdr:cNvPr>
        <xdr:cNvPicPr>
          <a:picLocks noChangeAspect="1"/>
        </xdr:cNvPicPr>
      </xdr:nvPicPr>
      <xdr:blipFill>
        <a:blip xmlns:r="http://schemas.openxmlformats.org/officeDocument/2006/relationships" r:embed="rId5"/>
        <a:stretch>
          <a:fillRect/>
        </a:stretch>
      </xdr:blipFill>
      <xdr:spPr>
        <a:xfrm>
          <a:off x="12656705" y="19360284"/>
          <a:ext cx="5877745" cy="3429479"/>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314280</xdr:colOff>
      <xdr:row>5</xdr:row>
      <xdr:rowOff>9360</xdr:rowOff>
    </xdr:from>
    <xdr:to>
      <xdr:col>24</xdr:col>
      <xdr:colOff>380160</xdr:colOff>
      <xdr:row>31</xdr:row>
      <xdr:rowOff>37080</xdr:rowOff>
    </xdr:to>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171360</xdr:colOff>
      <xdr:row>63</xdr:row>
      <xdr:rowOff>0</xdr:rowOff>
    </xdr:from>
    <xdr:to>
      <xdr:col>24</xdr:col>
      <xdr:colOff>237240</xdr:colOff>
      <xdr:row>82</xdr:row>
      <xdr:rowOff>56520</xdr:rowOff>
    </xdr:to>
    <xdr:graphicFrame macro="">
      <xdr:nvGraphicFramePr>
        <xdr:cNvPr id="3" name="Chart 2">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9360</xdr:colOff>
      <xdr:row>77</xdr:row>
      <xdr:rowOff>21600</xdr:rowOff>
    </xdr:from>
    <xdr:to>
      <xdr:col>14</xdr:col>
      <xdr:colOff>718560</xdr:colOff>
      <xdr:row>89</xdr:row>
      <xdr:rowOff>148320</xdr:rowOff>
    </xdr:to>
    <xdr:pic>
      <xdr:nvPicPr>
        <xdr:cNvPr id="8" name="Picture 1">
          <a:extLst>
            <a:ext uri="{FF2B5EF4-FFF2-40B4-BE49-F238E27FC236}">
              <a16:creationId xmlns:a16="http://schemas.microsoft.com/office/drawing/2014/main" id="{00000000-0008-0000-1800-000008000000}"/>
            </a:ext>
          </a:extLst>
        </xdr:cNvPr>
        <xdr:cNvPicPr/>
      </xdr:nvPicPr>
      <xdr:blipFill>
        <a:blip xmlns:r="http://schemas.openxmlformats.org/officeDocument/2006/relationships" r:embed="rId1"/>
        <a:stretch>
          <a:fillRect/>
        </a:stretch>
      </xdr:blipFill>
      <xdr:spPr>
        <a:xfrm>
          <a:off x="9041760" y="16623720"/>
          <a:ext cx="5667840" cy="2298240"/>
        </a:xfrm>
        <a:prstGeom prst="rect">
          <a:avLst/>
        </a:prstGeom>
        <a:ln w="0">
          <a:noFill/>
          <a:prstDash val="solid"/>
        </a:ln>
      </xdr:spPr>
    </xdr:pic>
    <xdr:clientData/>
  </xdr:twoCellAnchor>
  <xdr:twoCellAnchor editAs="oneCell">
    <xdr:from>
      <xdr:col>39</xdr:col>
      <xdr:colOff>74160</xdr:colOff>
      <xdr:row>16</xdr:row>
      <xdr:rowOff>85680</xdr:rowOff>
    </xdr:from>
    <xdr:to>
      <xdr:col>46</xdr:col>
      <xdr:colOff>757440</xdr:colOff>
      <xdr:row>24</xdr:row>
      <xdr:rowOff>36000</xdr:rowOff>
    </xdr:to>
    <xdr:pic>
      <xdr:nvPicPr>
        <xdr:cNvPr id="9" name="Picture 2">
          <a:extLst>
            <a:ext uri="{FF2B5EF4-FFF2-40B4-BE49-F238E27FC236}">
              <a16:creationId xmlns:a16="http://schemas.microsoft.com/office/drawing/2014/main" id="{00000000-0008-0000-1800-000009000000}"/>
            </a:ext>
          </a:extLst>
        </xdr:cNvPr>
        <xdr:cNvPicPr/>
      </xdr:nvPicPr>
      <xdr:blipFill>
        <a:blip xmlns:r="http://schemas.openxmlformats.org/officeDocument/2006/relationships" r:embed="rId2"/>
        <a:stretch>
          <a:fillRect/>
        </a:stretch>
      </xdr:blipFill>
      <xdr:spPr>
        <a:xfrm>
          <a:off x="35509680" y="3714840"/>
          <a:ext cx="4941720" cy="144576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arla.se/4a9c19/globalassets/om-arla/hallbarhet/klimatberakningar/climate-check-report-2022.pdf"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sheetPr>
  <dimension ref="A2:B28"/>
  <sheetViews>
    <sheetView zoomScale="80" zoomScaleNormal="80" workbookViewId="0">
      <selection activeCell="A29" sqref="A29"/>
    </sheetView>
  </sheetViews>
  <sheetFormatPr baseColWidth="10" defaultColWidth="8.6640625" defaultRowHeight="15" x14ac:dyDescent="0.2"/>
  <cols>
    <col min="1" max="1" width="8.6640625" style="1" customWidth="1"/>
    <col min="2" max="2" width="18.33203125" customWidth="1"/>
    <col min="3" max="3" width="31.5" customWidth="1"/>
    <col min="4" max="4" width="24.6640625" customWidth="1"/>
  </cols>
  <sheetData>
    <row r="2" spans="1:1" ht="21" customHeight="1" x14ac:dyDescent="0.25">
      <c r="A2" s="2" t="s">
        <v>68</v>
      </c>
    </row>
    <row r="4" spans="1:1" x14ac:dyDescent="0.2">
      <c r="A4" s="1" t="s">
        <v>69</v>
      </c>
    </row>
    <row r="7" spans="1:1" x14ac:dyDescent="0.2">
      <c r="A7" s="3"/>
    </row>
    <row r="8" spans="1:1" x14ac:dyDescent="0.2">
      <c r="A8" s="4"/>
    </row>
    <row r="9" spans="1:1" x14ac:dyDescent="0.2">
      <c r="A9" s="3"/>
    </row>
    <row r="10" spans="1:1" x14ac:dyDescent="0.2">
      <c r="A10" s="3"/>
    </row>
    <row r="17" spans="1:2" x14ac:dyDescent="0.2">
      <c r="A17" s="1" t="s">
        <v>70</v>
      </c>
    </row>
    <row r="19" spans="1:2" x14ac:dyDescent="0.2">
      <c r="A19" s="5"/>
      <c r="B19" t="s">
        <v>71</v>
      </c>
    </row>
    <row r="20" spans="1:2" x14ac:dyDescent="0.2">
      <c r="A20" s="6"/>
      <c r="B20" t="s">
        <v>72</v>
      </c>
    </row>
    <row r="21" spans="1:2" x14ac:dyDescent="0.2">
      <c r="A21" s="7"/>
      <c r="B21" t="s">
        <v>73</v>
      </c>
    </row>
    <row r="26" spans="1:2" x14ac:dyDescent="0.2">
      <c r="A26" s="8" t="s">
        <v>74</v>
      </c>
    </row>
    <row r="27" spans="1:2" x14ac:dyDescent="0.2">
      <c r="A27" s="1" t="s">
        <v>75</v>
      </c>
    </row>
    <row r="28" spans="1:2" x14ac:dyDescent="0.2">
      <c r="A28" s="1" t="s">
        <v>76</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B109"/>
  <sheetViews>
    <sheetView zoomScale="70" zoomScaleNormal="70" workbookViewId="0">
      <selection activeCell="K7" sqref="K7"/>
    </sheetView>
  </sheetViews>
  <sheetFormatPr baseColWidth="10" defaultColWidth="8.6640625" defaultRowHeight="15" x14ac:dyDescent="0.2"/>
  <cols>
    <col min="1" max="1" width="13.6640625" customWidth="1"/>
    <col min="2" max="2" width="10" customWidth="1"/>
    <col min="5" max="6" width="12" customWidth="1"/>
  </cols>
  <sheetData>
    <row r="2" spans="1:13" ht="21" customHeight="1" x14ac:dyDescent="0.25">
      <c r="A2" s="9" t="s">
        <v>77</v>
      </c>
    </row>
    <row r="4" spans="1:13" x14ac:dyDescent="0.2">
      <c r="A4" t="s">
        <v>78</v>
      </c>
    </row>
    <row r="6" spans="1:13" ht="57.75" customHeight="1" x14ac:dyDescent="0.2">
      <c r="B6" s="10" t="s">
        <v>20</v>
      </c>
      <c r="C6" s="10" t="s">
        <v>21</v>
      </c>
      <c r="D6" s="10" t="s">
        <v>79</v>
      </c>
      <c r="E6" s="10" t="s">
        <v>80</v>
      </c>
      <c r="F6" s="10" t="s">
        <v>81</v>
      </c>
      <c r="G6" s="10" t="s">
        <v>82</v>
      </c>
      <c r="H6" s="10" t="s">
        <v>29</v>
      </c>
      <c r="I6" s="11" t="s">
        <v>83</v>
      </c>
      <c r="J6" s="11" t="s">
        <v>84</v>
      </c>
      <c r="K6" s="10" t="s">
        <v>34</v>
      </c>
      <c r="L6" s="10" t="s">
        <v>35</v>
      </c>
      <c r="M6" s="10" t="s">
        <v>85</v>
      </c>
    </row>
    <row r="7" spans="1:13" ht="15" customHeight="1" x14ac:dyDescent="0.2">
      <c r="A7" s="12" t="s">
        <v>59</v>
      </c>
      <c r="B7" s="13">
        <f>'GHG det, per kg milk'!H51</f>
        <v>6.9906024765143626E-2</v>
      </c>
      <c r="C7" s="13">
        <f>'GHG det, per kg milk'!I51</f>
        <v>2.7634302824950909E-2</v>
      </c>
      <c r="D7">
        <f>'GHG det, per kg milk'!J51+'GHG det, per kg milk'!K51</f>
        <v>0.11683021721700758</v>
      </c>
      <c r="E7">
        <f>'GHG det, per kg milk'!L51+'GHG det, per kg milk'!N51</f>
        <v>3.1273195351225802E-2</v>
      </c>
      <c r="F7">
        <f>'GHG det, per kg milk'!O51+'GHG det, per kg milk'!Q51</f>
        <v>0.10873970605700525</v>
      </c>
      <c r="G7" s="13">
        <f>'GHG det, per kg milk'!P51</f>
        <v>2.5194434848400789E-2</v>
      </c>
      <c r="H7" s="13">
        <f>'GHG det, per kg milk'!R51</f>
        <v>8.5313302074967054E-2</v>
      </c>
      <c r="I7" s="13">
        <f>'GHG det, per kg milk'!S51</f>
        <v>0.50693602478815758</v>
      </c>
      <c r="J7" s="13">
        <f>'GHG det, per kg milk'!T51</f>
        <v>0.12913322924733289</v>
      </c>
      <c r="K7" s="13">
        <f>'GHG det, per kg milk'!W51</f>
        <v>0.24446143003105023</v>
      </c>
      <c r="L7" s="13">
        <f>'GHG det, per kg milk'!X51</f>
        <v>2.4083566374275716E-3</v>
      </c>
      <c r="M7">
        <f t="shared" ref="M7:M17" si="0">SUM(B7:L7)</f>
        <v>1.3478302238426692</v>
      </c>
    </row>
    <row r="8" spans="1:13" ht="15" customHeight="1" x14ac:dyDescent="0.2">
      <c r="A8" s="12" t="s">
        <v>86</v>
      </c>
      <c r="B8" s="13">
        <f>'GHG det, per kg milk'!H31</f>
        <v>3.7362350561623438E-2</v>
      </c>
      <c r="C8" s="13">
        <f>'GHG det, per kg milk'!I31</f>
        <v>2.4658947213488748E-2</v>
      </c>
      <c r="D8">
        <f>'GHG det, per kg milk'!J31+'GHG det, per kg milk'!K31</f>
        <v>0.1192917518190748</v>
      </c>
      <c r="E8">
        <f>'GHG det, per kg milk'!L31+'GHG det, per kg milk'!N31</f>
        <v>2.6515745866691587E-2</v>
      </c>
      <c r="F8">
        <f>'GHG det, per kg milk'!O31+'GHG det, per kg milk'!Q31</f>
        <v>0.13831283757258514</v>
      </c>
      <c r="G8" s="13">
        <f>'GHG det, per kg milk'!P31</f>
        <v>3.5692685790726951E-2</v>
      </c>
      <c r="H8" s="13">
        <f>'GHG det, per kg milk'!R31</f>
        <v>0.12179168362635333</v>
      </c>
      <c r="I8" s="13">
        <f>'GHG det, per kg milk'!S31</f>
        <v>0.49842953450321126</v>
      </c>
      <c r="J8" s="13">
        <f>'GHG det, per kg milk'!T31</f>
        <v>0.18214135919941576</v>
      </c>
      <c r="K8" s="13">
        <f>'GHG det, per kg milk'!W31</f>
        <v>9.4434922381585767E-2</v>
      </c>
      <c r="L8" s="13">
        <f>'GHG det, per kg milk'!X31</f>
        <v>1.2586525198973854E-3</v>
      </c>
      <c r="M8">
        <f t="shared" si="0"/>
        <v>1.2798904710546539</v>
      </c>
    </row>
    <row r="9" spans="1:13" ht="15" customHeight="1" x14ac:dyDescent="0.2">
      <c r="A9" s="12" t="s">
        <v>49</v>
      </c>
      <c r="B9" s="13">
        <f>'GHG det, per kg milk'!H26</f>
        <v>5.9535003569906625E-2</v>
      </c>
      <c r="C9" s="13">
        <f>'GHG det, per kg milk'!I26</f>
        <v>2.6974893497841681E-2</v>
      </c>
      <c r="D9">
        <f>'GHG det, per kg milk'!J26+'GHG det, per kg milk'!K26</f>
        <v>0.14402824526368854</v>
      </c>
      <c r="E9">
        <f>'GHG det, per kg milk'!L26+'GHG det, per kg milk'!N26</f>
        <v>3.6975427043405049E-2</v>
      </c>
      <c r="F9">
        <f>'GHG det, per kg milk'!O26+'GHG det, per kg milk'!Q26</f>
        <v>8.9626124758812611E-2</v>
      </c>
      <c r="G9" s="13">
        <f>'GHG det, per kg milk'!P26</f>
        <v>2.5821298036887503E-2</v>
      </c>
      <c r="H9" s="13">
        <f>'GHG det, per kg milk'!R26</f>
        <v>6.9336163977178414E-2</v>
      </c>
      <c r="I9" s="13">
        <f>'GHG det, per kg milk'!S26</f>
        <v>0.48100638486205538</v>
      </c>
      <c r="J9" s="13">
        <f>'GHG det, per kg milk'!T26</f>
        <v>0.1309399868742199</v>
      </c>
      <c r="K9" s="13">
        <f>'GHG det, per kg milk'!W26</f>
        <v>0.17249534972496039</v>
      </c>
      <c r="L9" s="13">
        <f>'GHG det, per kg milk'!X26</f>
        <v>1.6097655847544905E-3</v>
      </c>
      <c r="M9">
        <f t="shared" si="0"/>
        <v>1.2383486431937105</v>
      </c>
    </row>
    <row r="10" spans="1:13" ht="15" customHeight="1" x14ac:dyDescent="0.2">
      <c r="A10" s="12" t="s">
        <v>55</v>
      </c>
      <c r="B10" s="13">
        <f>'GHG det, per kg milk'!H41</f>
        <v>2.1040006322240817E-2</v>
      </c>
      <c r="C10" s="13">
        <f>'GHG det, per kg milk'!I41</f>
        <v>2.4039009911399661E-2</v>
      </c>
      <c r="D10">
        <f>'GHG det, per kg milk'!J41+'GHG det, per kg milk'!K41</f>
        <v>7.6927334369614811E-2</v>
      </c>
      <c r="E10">
        <f>'GHG det, per kg milk'!L41+'GHG det, per kg milk'!N41</f>
        <v>1.461558258266212E-2</v>
      </c>
      <c r="F10">
        <f>'GHG det, per kg milk'!O41+'GHG det, per kg milk'!Q41</f>
        <v>0.10412706418507547</v>
      </c>
      <c r="G10" s="13">
        <f>'GHG det, per kg milk'!P41</f>
        <v>3.554266692632152E-2</v>
      </c>
      <c r="H10" s="13">
        <f>'GHG det, per kg milk'!R41</f>
        <v>9.8755420029387905E-2</v>
      </c>
      <c r="I10" s="13">
        <f>'GHG det, per kg milk'!S41</f>
        <v>0.53901509827329552</v>
      </c>
      <c r="J10" s="13">
        <f>'GHG det, per kg milk'!T41</f>
        <v>0.2095037713878829</v>
      </c>
      <c r="K10" s="13">
        <f>'GHG det, per kg milk'!W41</f>
        <v>0.10725069352001521</v>
      </c>
      <c r="L10" s="13">
        <f>'GHG det, per kg milk'!X41</f>
        <v>1.1827380879085559E-3</v>
      </c>
      <c r="M10">
        <f t="shared" si="0"/>
        <v>1.2319993855958047</v>
      </c>
    </row>
    <row r="11" spans="1:13" ht="15" customHeight="1" x14ac:dyDescent="0.2">
      <c r="A11" s="12" t="s">
        <v>87</v>
      </c>
      <c r="B11" s="13">
        <f>'GHG det, per kg milk'!H46</f>
        <v>6.2917336060686654E-2</v>
      </c>
      <c r="C11" s="13">
        <f>'GHG det, per kg milk'!I46</f>
        <v>2.4986364049041383E-2</v>
      </c>
      <c r="D11">
        <f>'GHG det, per kg milk'!J46+'GHG det, per kg milk'!K46</f>
        <v>0.1528773903178291</v>
      </c>
      <c r="E11">
        <f>'GHG det, per kg milk'!L46+'GHG det, per kg milk'!N46</f>
        <v>2.0029051966312928E-2</v>
      </c>
      <c r="F11">
        <f>'GHG det, per kg milk'!O46+'GHG det, per kg milk'!Q46</f>
        <v>5.1076114299494532E-2</v>
      </c>
      <c r="G11" s="13">
        <f>'GHG det, per kg milk'!P46</f>
        <v>3.2935739093535164E-2</v>
      </c>
      <c r="H11" s="13">
        <f>'GHG det, per kg milk'!R46</f>
        <v>4.0598987038982792E-2</v>
      </c>
      <c r="I11" s="13">
        <f>'GHG det, per kg milk'!S46</f>
        <v>0.46360695063432605</v>
      </c>
      <c r="J11" s="13">
        <f>'GHG det, per kg milk'!T46</f>
        <v>0.15024440805495032</v>
      </c>
      <c r="K11" s="13">
        <f>'GHG det, per kg milk'!W46</f>
        <v>0.1385142646897414</v>
      </c>
      <c r="L11" s="13">
        <f>'GHG det, per kg milk'!X46</f>
        <v>1.0924629785102357E-3</v>
      </c>
      <c r="M11">
        <f t="shared" si="0"/>
        <v>1.1388790691834108</v>
      </c>
    </row>
    <row r="12" spans="1:13" ht="15" customHeight="1" x14ac:dyDescent="0.2">
      <c r="A12" s="12" t="s">
        <v>47</v>
      </c>
      <c r="B12" s="13">
        <f>'GHG det, per kg milk'!H21</f>
        <v>2.9641135829340588E-2</v>
      </c>
      <c r="C12" s="13">
        <f>'GHG det, per kg milk'!I21</f>
        <v>2.6414323886537493E-2</v>
      </c>
      <c r="D12">
        <f>'GHG det, per kg milk'!J21+'GHG det, per kg milk'!K21</f>
        <v>7.8516242297054631E-2</v>
      </c>
      <c r="E12">
        <f>'GHG det, per kg milk'!L21+'GHG det, per kg milk'!N21</f>
        <v>1.5267153052270919E-2</v>
      </c>
      <c r="F12">
        <f>'GHG det, per kg milk'!O21+'GHG det, per kg milk'!Q21</f>
        <v>6.9433961354068166E-2</v>
      </c>
      <c r="G12" s="13">
        <f>'GHG det, per kg milk'!P21</f>
        <v>1.926756618640783E-2</v>
      </c>
      <c r="H12" s="13">
        <f>'GHG det, per kg milk'!R21</f>
        <v>6.4759271748519392E-2</v>
      </c>
      <c r="I12" s="13">
        <f>'GHG det, per kg milk'!S21</f>
        <v>0.49188536692162549</v>
      </c>
      <c r="J12" s="13">
        <f>'GHG det, per kg milk'!T21</f>
        <v>0.14962719663405472</v>
      </c>
      <c r="K12" s="13">
        <f>'GHG det, per kg milk'!W21</f>
        <v>0.10134181205413194</v>
      </c>
      <c r="L12" s="13">
        <f>'GHG det, per kg milk'!X21</f>
        <v>1.1094680431309463E-3</v>
      </c>
      <c r="M12">
        <f t="shared" si="0"/>
        <v>1.047263498007142</v>
      </c>
    </row>
    <row r="13" spans="1:13" ht="15" customHeight="1" x14ac:dyDescent="0.2">
      <c r="A13" s="12" t="s">
        <v>61</v>
      </c>
      <c r="B13" s="13">
        <f>'GHG det, per kg milk'!H56</f>
        <v>4.3062055848562396E-2</v>
      </c>
      <c r="C13" s="13">
        <f>'GHG det, per kg milk'!I56</f>
        <v>2.5099257045923619E-2</v>
      </c>
      <c r="D13">
        <f>'GHG det, per kg milk'!J56+'GHG det, per kg milk'!K56</f>
        <v>0.11916954680771739</v>
      </c>
      <c r="E13">
        <f>'GHG det, per kg milk'!L56+'GHG det, per kg milk'!N56</f>
        <v>3.2934436889214075E-2</v>
      </c>
      <c r="F13">
        <f>'GHG det, per kg milk'!O56+'GHG det, per kg milk'!Q56</f>
        <v>6.1858141275514575E-2</v>
      </c>
      <c r="G13" s="13">
        <f>'GHG det, per kg milk'!P56</f>
        <v>3.0633719351606019E-2</v>
      </c>
      <c r="H13" s="13">
        <f>'GHG det, per kg milk'!R56</f>
        <v>4.4707834106620485E-2</v>
      </c>
      <c r="I13" s="13">
        <f>'GHG det, per kg milk'!S56</f>
        <v>0.45374832887906391</v>
      </c>
      <c r="J13" s="13">
        <f>'GHG det, per kg milk'!T56</f>
        <v>0.14199358589311242</v>
      </c>
      <c r="K13" s="13">
        <f>'GHG det, per kg milk'!W56</f>
        <v>7.6050803936950115E-2</v>
      </c>
      <c r="L13" s="13">
        <f>'GHG det, per kg milk'!X56</f>
        <v>7.8114665833861868E-4</v>
      </c>
      <c r="M13">
        <f t="shared" si="0"/>
        <v>1.0300388566926237</v>
      </c>
    </row>
    <row r="14" spans="1:13" ht="15" customHeight="1" x14ac:dyDescent="0.2">
      <c r="A14" s="12" t="s">
        <v>88</v>
      </c>
      <c r="B14" s="13">
        <f>'GHG det, per kg milk'!H11</f>
        <v>4.8384710914389645E-2</v>
      </c>
      <c r="C14" s="13">
        <f>'GHG det, per kg milk'!I11</f>
        <v>2.1363862009870616E-2</v>
      </c>
      <c r="D14">
        <f>'GHG det, per kg milk'!J11+'GHG det, per kg milk'!K11</f>
        <v>0.10830012293741742</v>
      </c>
      <c r="E14">
        <f>'GHG det, per kg milk'!L11+'GHG det, per kg milk'!N11</f>
        <v>1.5187989845791739E-2</v>
      </c>
      <c r="F14">
        <f>'GHG det, per kg milk'!O11+'GHG det, per kg milk'!Q11</f>
        <v>5.631245870113008E-2</v>
      </c>
      <c r="G14" s="13">
        <f>'GHG det, per kg milk'!P11</f>
        <v>1.3241398513215171E-2</v>
      </c>
      <c r="H14" s="13">
        <f>'GHG det, per kg milk'!R11</f>
        <v>4.6081858098571932E-2</v>
      </c>
      <c r="I14" s="13">
        <f>'GHG det, per kg milk'!S11</f>
        <v>0.47343335142926746</v>
      </c>
      <c r="J14" s="13">
        <f>'GHG det, per kg milk'!T11</f>
        <v>0.22039861345067513</v>
      </c>
      <c r="K14" s="13">
        <f>'GHG det, per kg milk'!W11</f>
        <v>1.3171699439941688E-3</v>
      </c>
      <c r="L14" s="13">
        <f>'GHG det, per kg milk'!X11</f>
        <v>9.0100913715750934E-4</v>
      </c>
      <c r="M14">
        <f t="shared" si="0"/>
        <v>1.0049225449814809</v>
      </c>
    </row>
    <row r="15" spans="1:13" ht="15" customHeight="1" x14ac:dyDescent="0.2">
      <c r="A15" s="12" t="s">
        <v>45</v>
      </c>
      <c r="B15" s="13">
        <f>'GHG det, per kg milk'!H16</f>
        <v>3.6925368209545034E-2</v>
      </c>
      <c r="C15" s="13">
        <f>'GHG det, per kg milk'!I16</f>
        <v>2.7274826889625136E-2</v>
      </c>
      <c r="D15">
        <f>'GHG det, per kg milk'!J16+'GHG det, per kg milk'!K16</f>
        <v>0.11143153485964777</v>
      </c>
      <c r="E15">
        <f>'GHG det, per kg milk'!L16+'GHG det, per kg milk'!N16</f>
        <v>1.8533852071884467E-2</v>
      </c>
      <c r="F15">
        <f>'GHG det, per kg milk'!O16+'GHG det, per kg milk'!Q16</f>
        <v>6.8647117664376547E-2</v>
      </c>
      <c r="G15" s="13">
        <f>'GHG det, per kg milk'!P16</f>
        <v>1.5469464280855289E-2</v>
      </c>
      <c r="H15" s="13">
        <f>'GHG det, per kg milk'!R16</f>
        <v>5.8586096782643746E-2</v>
      </c>
      <c r="I15" s="13">
        <f>'GHG det, per kg milk'!S16</f>
        <v>0.52754027249218283</v>
      </c>
      <c r="J15" s="13">
        <f>'GHG det, per kg milk'!T16</f>
        <v>0.11656126527385957</v>
      </c>
      <c r="K15" s="13">
        <f>'GHG det, per kg milk'!W16</f>
        <v>1.9220520408721454E-2</v>
      </c>
      <c r="L15" s="13">
        <f>'GHG det, per kg milk'!X16</f>
        <v>5.0121823473094898E-4</v>
      </c>
      <c r="M15">
        <f t="shared" si="0"/>
        <v>1.0006915371680727</v>
      </c>
    </row>
    <row r="16" spans="1:13" ht="15" customHeight="1" x14ac:dyDescent="0.2">
      <c r="A16" s="14" t="s">
        <v>63</v>
      </c>
      <c r="B16" s="13">
        <f>'GHG det, per kg milk'!H61</f>
        <v>3.7642577546135939E-2</v>
      </c>
      <c r="C16" s="13">
        <f>'GHG det, per kg milk'!I61</f>
        <v>2.7315516968744544E-2</v>
      </c>
      <c r="D16">
        <f>'GHG det, per kg milk'!J61+'GHG det, per kg milk'!K61</f>
        <v>0.11183223189420832</v>
      </c>
      <c r="E16">
        <f>'GHG det, per kg milk'!L61+'GHG det, per kg milk'!N61</f>
        <v>2.4549871888896065E-2</v>
      </c>
      <c r="F16">
        <f>'GHG det, per kg milk'!O61+'GHG det, per kg milk'!Q61</f>
        <v>7.4151555719937493E-2</v>
      </c>
      <c r="G16" s="13">
        <f>'GHG det, per kg milk'!P61</f>
        <v>2.2203399224954276E-2</v>
      </c>
      <c r="H16" s="13">
        <f>'GHG det, per kg milk'!R61</f>
        <v>6.5425242180925297E-2</v>
      </c>
      <c r="I16" s="13">
        <f>'GHG det, per kg milk'!S61</f>
        <v>0.49785567353324683</v>
      </c>
      <c r="J16" s="13">
        <f>'GHG det, per kg milk'!T61</f>
        <v>7.7274085185607577E-2</v>
      </c>
      <c r="K16" s="13">
        <f>'GHG det, per kg milk'!W61</f>
        <v>1.2571318450752374E-2</v>
      </c>
      <c r="L16" s="13">
        <f>'GHG det, per kg milk'!X61</f>
        <v>3.9628936380740735E-4</v>
      </c>
      <c r="M16">
        <f t="shared" si="0"/>
        <v>0.95121776195721597</v>
      </c>
    </row>
    <row r="17" spans="1:13" ht="15" customHeight="1" x14ac:dyDescent="0.2">
      <c r="A17" s="12" t="s">
        <v>89</v>
      </c>
      <c r="B17" s="13">
        <f>'GHG det, per kg milk'!H36</f>
        <v>2.5856819090629292E-2</v>
      </c>
      <c r="C17" s="13">
        <f>'GHG det, per kg milk'!I36</f>
        <v>3.1647246177601319E-2</v>
      </c>
      <c r="D17">
        <f>'GHG det, per kg milk'!J36+'GHG det, per kg milk'!K36</f>
        <v>0.11129542690300503</v>
      </c>
      <c r="E17">
        <f>'GHG det, per kg milk'!L36+'GHG det, per kg milk'!N36</f>
        <v>1.7248603078618103E-2</v>
      </c>
      <c r="F17">
        <f>'GHG det, per kg milk'!O36+'GHG det, per kg milk'!Q36</f>
        <v>1.3414022996032178E-2</v>
      </c>
      <c r="G17" s="13">
        <f>'GHG det, per kg milk'!P36</f>
        <v>2.6265211744056294E-3</v>
      </c>
      <c r="H17" s="13">
        <f>'GHG det, per kg milk'!R36</f>
        <v>7.732807969664233E-3</v>
      </c>
      <c r="I17" s="13">
        <f>'GHG det, per kg milk'!S36</f>
        <v>0.55921983331970182</v>
      </c>
      <c r="J17" s="13">
        <f>'GHG det, per kg milk'!T36</f>
        <v>0.11943506919305245</v>
      </c>
      <c r="K17" s="13">
        <f>'GHG det, per kg milk'!W36</f>
        <v>4.9755033469304523E-2</v>
      </c>
      <c r="L17" s="13">
        <f>'GHG det, per kg milk'!X36</f>
        <v>1.1919296026597441E-3</v>
      </c>
      <c r="M17">
        <f t="shared" si="0"/>
        <v>0.93942331297467441</v>
      </c>
    </row>
    <row r="18" spans="1:13" ht="15" customHeight="1" x14ac:dyDescent="0.2">
      <c r="A18" s="11"/>
    </row>
    <row r="19" spans="1:13" ht="15" customHeight="1" x14ac:dyDescent="0.2">
      <c r="A19" s="10"/>
      <c r="C19" t="s">
        <v>90</v>
      </c>
      <c r="D19" t="s">
        <v>91</v>
      </c>
    </row>
    <row r="20" spans="1:13" ht="15" customHeight="1" x14ac:dyDescent="0.2">
      <c r="A20" t="s">
        <v>92</v>
      </c>
      <c r="B20" s="15">
        <f>I17</f>
        <v>0.55921983331970182</v>
      </c>
      <c r="C20" s="16">
        <f>B20/SUM($B$20:$B$23)</f>
        <v>0.59527991864385177</v>
      </c>
      <c r="D20">
        <f>1.15*0.41</f>
        <v>0.47149999999999992</v>
      </c>
      <c r="E20" s="16">
        <f>41/91</f>
        <v>0.45054945054945056</v>
      </c>
    </row>
    <row r="21" spans="1:13" x14ac:dyDescent="0.2">
      <c r="A21" t="s">
        <v>93</v>
      </c>
      <c r="B21" s="15">
        <f>SUM(B17:H17)</f>
        <v>0.20982144738995578</v>
      </c>
      <c r="C21" s="16">
        <f>B21/SUM($B$20:$B$23)</f>
        <v>0.22335133106880042</v>
      </c>
      <c r="D21">
        <f>1.15*0.33</f>
        <v>0.3795</v>
      </c>
      <c r="E21" s="16">
        <f>33/91</f>
        <v>0.36263736263736263</v>
      </c>
    </row>
    <row r="22" spans="1:13" x14ac:dyDescent="0.2">
      <c r="A22" t="s">
        <v>94</v>
      </c>
      <c r="B22" s="15">
        <f>J17</f>
        <v>0.11943506919305245</v>
      </c>
      <c r="C22" s="16">
        <f>B22/SUM($B$20:$B$23)</f>
        <v>0.12713658213874054</v>
      </c>
      <c r="D22">
        <f>1.15*0.1</f>
        <v>0.11499999999999999</v>
      </c>
      <c r="E22" s="16">
        <f>10/91</f>
        <v>0.10989010989010989</v>
      </c>
      <c r="I22" t="s">
        <v>95</v>
      </c>
    </row>
    <row r="23" spans="1:13" x14ac:dyDescent="0.2">
      <c r="A23" t="s">
        <v>96</v>
      </c>
      <c r="B23" s="15">
        <f>K17+L17</f>
        <v>5.0946963071964266E-2</v>
      </c>
      <c r="C23" s="16">
        <f>B23/SUM($B$20:$B$23)</f>
        <v>5.4232168148607283E-2</v>
      </c>
      <c r="D23">
        <f>1.15*0.05</f>
        <v>5.7499999999999996E-2</v>
      </c>
      <c r="E23" s="16">
        <f>7/91</f>
        <v>7.6923076923076927E-2</v>
      </c>
      <c r="F23" t="s">
        <v>97</v>
      </c>
      <c r="I23" t="s">
        <v>98</v>
      </c>
      <c r="K23">
        <f>0.17*0.092</f>
        <v>1.5640000000000001E-2</v>
      </c>
      <c r="L23" t="s">
        <v>99</v>
      </c>
    </row>
    <row r="24" spans="1:13" x14ac:dyDescent="0.2">
      <c r="B24" s="17">
        <f>SUM(B20:B23)</f>
        <v>0.9394233129746743</v>
      </c>
      <c r="D24" s="17">
        <f>SUM(D20:D23)</f>
        <v>1.0234999999999999</v>
      </c>
    </row>
    <row r="26" spans="1:13" x14ac:dyDescent="0.2">
      <c r="A26" t="s">
        <v>100</v>
      </c>
    </row>
    <row r="27" spans="1:13" x14ac:dyDescent="0.2">
      <c r="A27" t="s">
        <v>101</v>
      </c>
    </row>
    <row r="28" spans="1:13" x14ac:dyDescent="0.2">
      <c r="A28" t="s">
        <v>102</v>
      </c>
    </row>
    <row r="29" spans="1:13" x14ac:dyDescent="0.2">
      <c r="A29" t="s">
        <v>103</v>
      </c>
    </row>
    <row r="30" spans="1:13" x14ac:dyDescent="0.2">
      <c r="A30" t="s">
        <v>104</v>
      </c>
    </row>
    <row r="34" spans="1:28" x14ac:dyDescent="0.2">
      <c r="A34" s="4" t="s">
        <v>105</v>
      </c>
      <c r="Z34" t="s">
        <v>106</v>
      </c>
      <c r="AB34" t="s">
        <v>107</v>
      </c>
    </row>
    <row r="36" spans="1:28" x14ac:dyDescent="0.2">
      <c r="Z36" s="12" t="s">
        <v>47</v>
      </c>
      <c r="AB36" t="s">
        <v>59</v>
      </c>
    </row>
    <row r="37" spans="1:28" x14ac:dyDescent="0.2">
      <c r="Z37" s="12" t="s">
        <v>61</v>
      </c>
      <c r="AB37" t="s">
        <v>89</v>
      </c>
    </row>
    <row r="38" spans="1:28" x14ac:dyDescent="0.2">
      <c r="Z38" s="12" t="s">
        <v>87</v>
      </c>
      <c r="AB38" t="s">
        <v>51</v>
      </c>
    </row>
    <row r="39" spans="1:28" x14ac:dyDescent="0.2">
      <c r="Z39" s="12" t="s">
        <v>49</v>
      </c>
      <c r="AB39" t="s">
        <v>49</v>
      </c>
    </row>
    <row r="40" spans="1:28" x14ac:dyDescent="0.2">
      <c r="Z40" s="12" t="s">
        <v>55</v>
      </c>
      <c r="AB40" t="s">
        <v>87</v>
      </c>
    </row>
    <row r="41" spans="1:28" x14ac:dyDescent="0.2">
      <c r="Z41" s="12" t="s">
        <v>59</v>
      </c>
      <c r="AB41" t="s">
        <v>55</v>
      </c>
    </row>
    <row r="42" spans="1:28" x14ac:dyDescent="0.2">
      <c r="Z42" s="12" t="s">
        <v>89</v>
      </c>
      <c r="AB42" t="s">
        <v>61</v>
      </c>
    </row>
    <row r="43" spans="1:28" x14ac:dyDescent="0.2">
      <c r="Z43" s="12" t="s">
        <v>38</v>
      </c>
      <c r="AB43" t="s">
        <v>47</v>
      </c>
    </row>
    <row r="44" spans="1:28" x14ac:dyDescent="0.2">
      <c r="Z44" s="12" t="s">
        <v>86</v>
      </c>
      <c r="AB44" t="s">
        <v>45</v>
      </c>
    </row>
    <row r="45" spans="1:28" x14ac:dyDescent="0.2">
      <c r="L45" s="18"/>
      <c r="Z45" s="12" t="s">
        <v>45</v>
      </c>
      <c r="AB45" t="s">
        <v>108</v>
      </c>
    </row>
    <row r="46" spans="1:28" x14ac:dyDescent="0.2">
      <c r="Z46" s="14" t="s">
        <v>63</v>
      </c>
      <c r="AB46" t="s">
        <v>109</v>
      </c>
    </row>
    <row r="76" spans="2:8" ht="16.5" customHeight="1" x14ac:dyDescent="0.2">
      <c r="B76" s="19" t="s">
        <v>110</v>
      </c>
    </row>
    <row r="77" spans="2:8" x14ac:dyDescent="0.2">
      <c r="B77" s="20" t="s">
        <v>111</v>
      </c>
    </row>
    <row r="78" spans="2:8" x14ac:dyDescent="0.2">
      <c r="B78" t="s">
        <v>112</v>
      </c>
      <c r="H78" t="s">
        <v>113</v>
      </c>
    </row>
    <row r="79" spans="2:8" x14ac:dyDescent="0.2">
      <c r="B79" t="s">
        <v>114</v>
      </c>
    </row>
    <row r="80" spans="2:8" x14ac:dyDescent="0.2">
      <c r="B80" t="s">
        <v>115</v>
      </c>
      <c r="F80" t="s">
        <v>116</v>
      </c>
    </row>
    <row r="81" spans="2:3" x14ac:dyDescent="0.2">
      <c r="B81" t="s">
        <v>117</v>
      </c>
    </row>
    <row r="83" spans="2:3" x14ac:dyDescent="0.2">
      <c r="B83" s="20" t="s">
        <v>118</v>
      </c>
    </row>
    <row r="84" spans="2:3" x14ac:dyDescent="0.2">
      <c r="B84" t="s">
        <v>119</v>
      </c>
    </row>
    <row r="85" spans="2:3" x14ac:dyDescent="0.2">
      <c r="B85" t="s">
        <v>120</v>
      </c>
    </row>
    <row r="87" spans="2:3" x14ac:dyDescent="0.2">
      <c r="B87" s="21" t="s">
        <v>121</v>
      </c>
    </row>
    <row r="88" spans="2:3" x14ac:dyDescent="0.2">
      <c r="B88" t="s">
        <v>122</v>
      </c>
    </row>
    <row r="89" spans="2:3" x14ac:dyDescent="0.2">
      <c r="B89" t="s">
        <v>123</v>
      </c>
    </row>
    <row r="90" spans="2:3" x14ac:dyDescent="0.2">
      <c r="B90" t="s">
        <v>124</v>
      </c>
    </row>
    <row r="91" spans="2:3" x14ac:dyDescent="0.2">
      <c r="B91" t="s">
        <v>125</v>
      </c>
    </row>
    <row r="93" spans="2:3" x14ac:dyDescent="0.2">
      <c r="B93" t="s">
        <v>126</v>
      </c>
    </row>
    <row r="95" spans="2:3" x14ac:dyDescent="0.2">
      <c r="B95" t="s">
        <v>127</v>
      </c>
    </row>
    <row r="96" spans="2:3" x14ac:dyDescent="0.2">
      <c r="B96" s="22" t="s">
        <v>88</v>
      </c>
      <c r="C96" t="s">
        <v>128</v>
      </c>
    </row>
    <row r="97" spans="2:3" x14ac:dyDescent="0.2">
      <c r="B97" s="22" t="s">
        <v>129</v>
      </c>
      <c r="C97" t="s">
        <v>130</v>
      </c>
    </row>
    <row r="99" spans="2:3" x14ac:dyDescent="0.2">
      <c r="B99" t="s">
        <v>131</v>
      </c>
    </row>
    <row r="101" spans="2:3" x14ac:dyDescent="0.2">
      <c r="B101" s="21" t="s">
        <v>132</v>
      </c>
    </row>
    <row r="102" spans="2:3" x14ac:dyDescent="0.2">
      <c r="B102" t="s">
        <v>133</v>
      </c>
    </row>
    <row r="103" spans="2:3" x14ac:dyDescent="0.2">
      <c r="B103" s="15" t="s">
        <v>134</v>
      </c>
    </row>
    <row r="104" spans="2:3" x14ac:dyDescent="0.2">
      <c r="B104" s="15" t="s">
        <v>135</v>
      </c>
    </row>
    <row r="105" spans="2:3" x14ac:dyDescent="0.2">
      <c r="B105" t="s">
        <v>136</v>
      </c>
    </row>
    <row r="106" spans="2:3" x14ac:dyDescent="0.2">
      <c r="C106" t="s">
        <v>137</v>
      </c>
    </row>
    <row r="107" spans="2:3" x14ac:dyDescent="0.2">
      <c r="B107" t="s">
        <v>127</v>
      </c>
      <c r="C107" t="s">
        <v>138</v>
      </c>
    </row>
    <row r="108" spans="2:3" x14ac:dyDescent="0.2">
      <c r="B108" s="22" t="s">
        <v>61</v>
      </c>
    </row>
    <row r="109" spans="2:3" x14ac:dyDescent="0.2">
      <c r="B109" s="22" t="s">
        <v>49</v>
      </c>
    </row>
  </sheetData>
  <autoFilter ref="A6:M6" xr:uid="{00000000-0009-0000-0000-000001000000}">
    <sortState xmlns:xlrd2="http://schemas.microsoft.com/office/spreadsheetml/2017/richdata2" ref="A7:M17">
      <sortCondition descending="1" ref="M6"/>
    </sortState>
  </autoFilter>
  <hyperlinks>
    <hyperlink ref="A34" r:id="rId1" xr:uid="{00000000-0004-0000-0100-000000000000}"/>
  </hyperlinks>
  <pageMargins left="0.7" right="0.7" top="0.75" bottom="0.75" header="0.511811023622047" footer="0.511811023622047"/>
  <pageSetup paperSize="9" orientation="portrait" horizontalDpi="300" verticalDpi="30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E0B4"/>
  </sheetPr>
  <dimension ref="A2:V19"/>
  <sheetViews>
    <sheetView zoomScale="72" zoomScaleNormal="100" workbookViewId="0">
      <selection activeCell="C11" sqref="C11"/>
    </sheetView>
  </sheetViews>
  <sheetFormatPr baseColWidth="10" defaultColWidth="8.6640625" defaultRowHeight="15" x14ac:dyDescent="0.2"/>
  <cols>
    <col min="1" max="1" width="9.1640625" style="1" customWidth="1"/>
    <col min="2" max="2" width="17.5" customWidth="1"/>
    <col min="3" max="3" width="8.83203125" customWidth="1"/>
    <col min="4" max="4" width="12.6640625" customWidth="1"/>
    <col min="5" max="5" width="8.5" customWidth="1"/>
    <col min="6" max="11" width="10.5" customWidth="1"/>
    <col min="12" max="13" width="14.6640625" customWidth="1"/>
    <col min="14" max="14" width="14.6640625" style="23" customWidth="1"/>
    <col min="15" max="18" width="14.6640625" customWidth="1"/>
    <col min="19" max="19" width="8.5" customWidth="1"/>
    <col min="20" max="20" width="15.6640625" customWidth="1"/>
    <col min="21" max="21" width="18.5" customWidth="1"/>
  </cols>
  <sheetData>
    <row r="2" spans="1:21" ht="21" customHeight="1" x14ac:dyDescent="0.25">
      <c r="A2" s="2" t="s">
        <v>139</v>
      </c>
      <c r="M2" s="24"/>
    </row>
    <row r="3" spans="1:21" x14ac:dyDescent="0.2">
      <c r="L3" s="25"/>
      <c r="P3" s="25"/>
      <c r="R3" s="25"/>
      <c r="S3" s="26"/>
      <c r="T3" s="26"/>
      <c r="U3" s="26"/>
    </row>
    <row r="4" spans="1:21" x14ac:dyDescent="0.2">
      <c r="A4" s="27"/>
      <c r="B4" s="28"/>
      <c r="C4" s="28"/>
      <c r="D4" s="28"/>
      <c r="E4" s="28"/>
      <c r="F4" s="28"/>
      <c r="G4" s="28"/>
      <c r="H4" s="28"/>
      <c r="I4" s="28"/>
      <c r="J4" s="28"/>
      <c r="K4" s="28"/>
      <c r="L4" s="28"/>
      <c r="M4" s="28"/>
      <c r="N4" s="29"/>
      <c r="O4" s="28"/>
      <c r="P4" s="30"/>
      <c r="Q4" s="28"/>
      <c r="R4" s="30"/>
      <c r="S4" s="31"/>
      <c r="T4" s="31"/>
      <c r="U4" s="31"/>
    </row>
    <row r="5" spans="1:21" x14ac:dyDescent="0.2">
      <c r="A5" s="32" t="s">
        <v>5</v>
      </c>
      <c r="B5" s="33"/>
      <c r="C5" s="33"/>
      <c r="D5" s="34"/>
      <c r="E5" s="34"/>
      <c r="F5" s="35" t="s">
        <v>140</v>
      </c>
      <c r="G5" s="34"/>
      <c r="H5" s="34"/>
      <c r="I5" s="34"/>
      <c r="J5" s="34"/>
      <c r="K5" s="34"/>
      <c r="L5" s="36" t="s">
        <v>141</v>
      </c>
      <c r="M5" s="36" t="s">
        <v>132</v>
      </c>
      <c r="N5" s="36" t="s">
        <v>142</v>
      </c>
      <c r="O5" s="36" t="s">
        <v>143</v>
      </c>
      <c r="P5" s="37" t="s">
        <v>144</v>
      </c>
      <c r="Q5" s="37" t="s">
        <v>145</v>
      </c>
      <c r="R5" s="37" t="s">
        <v>146</v>
      </c>
      <c r="S5" s="37" t="s">
        <v>147</v>
      </c>
      <c r="T5" s="38" t="s">
        <v>148</v>
      </c>
      <c r="U5" s="38" t="s">
        <v>149</v>
      </c>
    </row>
    <row r="6" spans="1:21" s="50" customFormat="1" ht="57.75" customHeight="1" x14ac:dyDescent="0.2">
      <c r="A6" s="39" t="s">
        <v>13</v>
      </c>
      <c r="B6" s="40" t="s">
        <v>14</v>
      </c>
      <c r="C6" s="40" t="s">
        <v>15</v>
      </c>
      <c r="D6" s="41" t="s">
        <v>16</v>
      </c>
      <c r="E6" s="42" t="s">
        <v>17</v>
      </c>
      <c r="F6" s="43" t="s">
        <v>150</v>
      </c>
      <c r="G6" s="44" t="s">
        <v>151</v>
      </c>
      <c r="H6" s="43" t="s">
        <v>152</v>
      </c>
      <c r="I6" s="43" t="s">
        <v>153</v>
      </c>
      <c r="J6" s="43" t="s">
        <v>154</v>
      </c>
      <c r="K6" s="44" t="s">
        <v>155</v>
      </c>
      <c r="L6" s="45" t="s">
        <v>156</v>
      </c>
      <c r="M6" s="45" t="s">
        <v>157</v>
      </c>
      <c r="N6" s="45" t="s">
        <v>158</v>
      </c>
      <c r="O6" s="46" t="s">
        <v>159</v>
      </c>
      <c r="P6" s="47" t="s">
        <v>160</v>
      </c>
      <c r="Q6" s="48" t="s">
        <v>161</v>
      </c>
      <c r="R6" s="48" t="s">
        <v>162</v>
      </c>
      <c r="S6" s="48" t="s">
        <v>163</v>
      </c>
      <c r="T6" s="49" t="s">
        <v>164</v>
      </c>
      <c r="U6" s="49" t="s">
        <v>165</v>
      </c>
    </row>
    <row r="7" spans="1:21" x14ac:dyDescent="0.2">
      <c r="A7" s="51" t="s">
        <v>166</v>
      </c>
      <c r="B7" s="23" t="s">
        <v>167</v>
      </c>
      <c r="C7" s="18" t="s">
        <v>168</v>
      </c>
      <c r="D7" t="s">
        <v>88</v>
      </c>
      <c r="E7" t="s">
        <v>39</v>
      </c>
      <c r="F7" s="15">
        <f>'GHG det, per kg milk'!G11</f>
        <v>1.0049225449814809</v>
      </c>
      <c r="G7" s="15">
        <f>'GHG det, per kg milk'!G7</f>
        <v>0.14515622461493594</v>
      </c>
      <c r="H7" s="52">
        <f>'GHG det, per kg milk'!G8</f>
        <v>8.4506497022236672E-4</v>
      </c>
      <c r="I7" s="53">
        <f>'GHG det, per kg milk'!G9</f>
        <v>2.3283055639889229E-2</v>
      </c>
      <c r="J7" s="53">
        <f>'GHG det, per kg milk'!G10</f>
        <v>7.5436220504362364E-4</v>
      </c>
      <c r="L7" s="54">
        <f>'Footprints, absolute'!L7/Production!$B$9*AF_milk_DK</f>
        <v>0.94139375069065134</v>
      </c>
      <c r="M7" s="55">
        <f>'Footprints, absolute'!M7/Production!$B$9*AF_milk_DK</f>
        <v>1.2509012236359808E-2</v>
      </c>
      <c r="N7" s="55">
        <f>'Footprints, absolute'!N7/Production!$B$9*AF_milk_DK</f>
        <v>1.0269690184813759E-3</v>
      </c>
      <c r="O7" s="55">
        <f>'Footprints, absolute'!O7/Production!$B$9*AF_milk_DK</f>
        <v>7.5354670851181067E-3</v>
      </c>
      <c r="P7" s="55">
        <f>'Footprints, absolute'!P7/Production!$B$9*AF_milk_DK</f>
        <v>6.5874837323081969E-2</v>
      </c>
      <c r="Q7" s="56">
        <f>'Footprints, absolute'!Q7/Production!$B$9*AF_milk_DK</f>
        <v>1.0225270059049727E-11</v>
      </c>
      <c r="R7" s="56">
        <f>'Footprints, absolute'!R7/Production!$B$9*AF_milk_DK</f>
        <v>4.7317567304288146E-4</v>
      </c>
      <c r="S7" s="54"/>
      <c r="T7" s="52">
        <f>'Footprints, absolute'!T7*AF_milk_DK</f>
        <v>7.5099482045038858E-3</v>
      </c>
      <c r="U7" s="15">
        <f>'Footprints, absolute'!U7*AF_milk_DK</f>
        <v>0.73472176468192685</v>
      </c>
    </row>
    <row r="8" spans="1:21" x14ac:dyDescent="0.2">
      <c r="A8" s="51" t="s">
        <v>166</v>
      </c>
      <c r="B8" s="23" t="s">
        <v>167</v>
      </c>
      <c r="C8" s="18" t="s">
        <v>168</v>
      </c>
      <c r="D8" t="s">
        <v>45</v>
      </c>
      <c r="E8" t="s">
        <v>46</v>
      </c>
      <c r="F8" s="15">
        <f>'GHG det, per kg milk'!G16</f>
        <v>1.0006915371680729</v>
      </c>
      <c r="G8" s="15">
        <f>'GHG det, per kg milk'!G12</f>
        <v>0.18854037851415753</v>
      </c>
      <c r="H8" s="52">
        <f>'GHG det, per kg milk'!G13</f>
        <v>9.6964334734629708E-4</v>
      </c>
      <c r="I8" s="53">
        <f>'GHG det, per kg milk'!G14</f>
        <v>2.1746612997142846E-2</v>
      </c>
      <c r="J8" s="53">
        <f>'GHG det, per kg milk'!G15</f>
        <v>7.1830489370014179E-4</v>
      </c>
      <c r="L8" s="54">
        <f>'Footprints, absolute'!L8/Production!$C$9*AF_milk_FR</f>
        <v>1.0060224176186479</v>
      </c>
      <c r="M8" s="55">
        <f>'Footprints, absolute'!M8/Production!$C$9*AF_milk_FR</f>
        <v>1.4351878594895472E-2</v>
      </c>
      <c r="N8" s="55">
        <f>'Footprints, absolute'!N8/Production!$C$9*AF_milk_FR</f>
        <v>1.1800522071579813E-3</v>
      </c>
      <c r="O8" s="55">
        <f>'Footprints, absolute'!O8/Production!$C$9*AF_milk_FR</f>
        <v>1.0768766379006107E-2</v>
      </c>
      <c r="P8" s="55">
        <f>'Footprints, absolute'!P8/Production!$C$9*AF_milk_FR</f>
        <v>9.8987497254731896E-2</v>
      </c>
      <c r="Q8" s="56">
        <f>'Footprints, absolute'!Q8/Production!$C$9*AF_milk_FR</f>
        <v>2.124120008351136E-11</v>
      </c>
      <c r="R8" s="56">
        <f>'Footprints, absolute'!R8/Production!$C$9*AF_milk_FR</f>
        <v>6.2855266929684689E-4</v>
      </c>
      <c r="S8" s="57"/>
      <c r="T8" s="52">
        <f>'Footprints, absolute'!T8*AF_milk_FR</f>
        <v>7.0291999085258412E-3</v>
      </c>
      <c r="U8" s="15">
        <f>'Footprints, absolute'!U8*AF_milk_FR</f>
        <v>1.0217195771484235</v>
      </c>
    </row>
    <row r="9" spans="1:21" x14ac:dyDescent="0.2">
      <c r="A9" s="51" t="s">
        <v>166</v>
      </c>
      <c r="B9" s="23" t="s">
        <v>167</v>
      </c>
      <c r="C9" s="18" t="s">
        <v>168</v>
      </c>
      <c r="D9" t="s">
        <v>47</v>
      </c>
      <c r="E9" t="s">
        <v>48</v>
      </c>
      <c r="F9" s="15">
        <f>'GHG det, per kg milk'!G21</f>
        <v>1.047263498007142</v>
      </c>
      <c r="G9" s="15">
        <f>'GHG det, per kg milk'!G17</f>
        <v>0.26771039447361072</v>
      </c>
      <c r="H9" s="52">
        <f>'GHG det, per kg milk'!G18</f>
        <v>1.0654407325285564E-3</v>
      </c>
      <c r="I9" s="53">
        <f>'GHG det, per kg milk'!G19</f>
        <v>2.1556165764483975E-2</v>
      </c>
      <c r="J9" s="53">
        <f>'GHG det, per kg milk'!G20</f>
        <v>6.0727653502971825E-4</v>
      </c>
      <c r="L9" s="54">
        <f>'Footprints, absolute'!L9/Production!$D$9*AF_milk_DE</f>
        <v>0.6046323354912998</v>
      </c>
      <c r="M9" s="55">
        <f>'Footprints, absolute'!M9/Production!$D$9*AF_milk_DE</f>
        <v>1.0876000588743592E-2</v>
      </c>
      <c r="N9" s="55">
        <f>'Footprints, absolute'!N9/Production!$D$9*AF_milk_DE</f>
        <v>5.5324015753622764E-4</v>
      </c>
      <c r="O9" s="55">
        <f>'Footprints, absolute'!O9/Production!$D$9*AF_milk_DE</f>
        <v>5.354823976461893E-3</v>
      </c>
      <c r="P9" s="55">
        <f>'Footprints, absolute'!P9/Production!$D$9*AF_milk_DE</f>
        <v>3.8100834525630782E-2</v>
      </c>
      <c r="Q9" s="56">
        <f>'Footprints, absolute'!Q9/Production!$D$9*AF_milk_DE</f>
        <v>1.6922016269064921E-11</v>
      </c>
      <c r="R9" s="56">
        <f>'Footprints, absolute'!R9/Production!$D$9*AF_milk_DE</f>
        <v>3.1554147829794473E-4</v>
      </c>
      <c r="S9" s="57"/>
      <c r="T9" s="52">
        <f>'Footprints, absolute'!T9*AF_milk_DE</f>
        <v>8.5212815030112545E-3</v>
      </c>
      <c r="U9" s="15">
        <f>'Footprints, absolute'!U9*AF_milk_DE</f>
        <v>1.7736433669731124</v>
      </c>
    </row>
    <row r="10" spans="1:21" x14ac:dyDescent="0.2">
      <c r="A10" s="51" t="s">
        <v>166</v>
      </c>
      <c r="B10" s="23" t="s">
        <v>167</v>
      </c>
      <c r="C10" s="18" t="s">
        <v>168</v>
      </c>
      <c r="D10" t="s">
        <v>49</v>
      </c>
      <c r="E10" t="s">
        <v>50</v>
      </c>
      <c r="F10" s="15">
        <f>'GHG det, per kg milk'!G26</f>
        <v>1.2383486431937105</v>
      </c>
      <c r="G10" s="15">
        <f>'GHG det, per kg milk'!G22</f>
        <v>0.43306998196080509</v>
      </c>
      <c r="H10" s="52">
        <f>'GHG det, per kg milk'!G23</f>
        <v>1.0722308387032795E-3</v>
      </c>
      <c r="I10" s="53">
        <f>'GHG det, per kg milk'!G24</f>
        <v>1.949126063649009E-2</v>
      </c>
      <c r="J10" s="53">
        <f>'GHG det, per kg milk'!G25</f>
        <v>9.0498954232349951E-4</v>
      </c>
      <c r="L10" s="54">
        <f>'Footprints, absolute'!L10/Production!$E$9*AF_milk_GR</f>
        <v>1.6393958778943349</v>
      </c>
      <c r="M10" s="55">
        <f>'Footprints, absolute'!M10/Production!$E$9*AF_milk_GR</f>
        <v>2.3233588307488302E-2</v>
      </c>
      <c r="N10" s="55">
        <f>'Footprints, absolute'!N10/Production!$E$9*AF_milk_GR</f>
        <v>2.347007626534268E-3</v>
      </c>
      <c r="O10" s="55">
        <f>'Footprints, absolute'!O10/Production!$E$9*AF_milk_GR</f>
        <v>6.2020177439348373E-2</v>
      </c>
      <c r="P10" s="55">
        <f>'Footprints, absolute'!P10/Production!$E$9*AF_milk_GR</f>
        <v>7.8647889268888785E-2</v>
      </c>
      <c r="Q10" s="56">
        <f>'Footprints, absolute'!Q10/Production!$E$9*AF_milk_GR</f>
        <v>1.0070690429668671E-10</v>
      </c>
      <c r="R10" s="56">
        <f>'Footprints, absolute'!R10/Production!$E$9*AF_milk_GR</f>
        <v>1.7051508040608449E-3</v>
      </c>
      <c r="S10" s="57"/>
      <c r="T10" s="52">
        <f>'Footprints, absolute'!T10*AF_milk_GR</f>
        <v>1.0888635425168608E-2</v>
      </c>
      <c r="U10" s="15">
        <f>'Footprints, absolute'!U10*AF_milk_GR</f>
        <v>3.3993396378786391</v>
      </c>
    </row>
    <row r="11" spans="1:21" x14ac:dyDescent="0.2">
      <c r="A11" s="51" t="s">
        <v>166</v>
      </c>
      <c r="B11" s="23" t="s">
        <v>167</v>
      </c>
      <c r="C11" s="18" t="s">
        <v>168</v>
      </c>
      <c r="D11" t="s">
        <v>86</v>
      </c>
      <c r="E11" t="s">
        <v>52</v>
      </c>
      <c r="F11" s="15">
        <f>'GHG det, per kg milk'!G31</f>
        <v>1.2798904710546539</v>
      </c>
      <c r="G11" s="15">
        <f>'GHG det, per kg milk'!G27</f>
        <v>0.42042419902979966</v>
      </c>
      <c r="H11" s="52">
        <f>'GHG det, per kg milk'!G28</f>
        <v>1.2766861780550273E-3</v>
      </c>
      <c r="I11" s="53">
        <f>'GHG det, per kg milk'!G29</f>
        <v>2.1642644281902886E-2</v>
      </c>
      <c r="J11" s="53">
        <f>'GHG det, per kg milk'!G30</f>
        <v>8.6838691687705753E-4</v>
      </c>
      <c r="L11" s="54">
        <f>'Footprints, absolute'!L11/Production!$F$9*AF_milk_HU</f>
        <v>1.5375074148654551</v>
      </c>
      <c r="M11" s="55">
        <f>'Footprints, absolute'!M11/Production!$F$9*AF_milk_HU</f>
        <v>2.0866725421580384E-2</v>
      </c>
      <c r="N11" s="55">
        <f>'Footprints, absolute'!N11/Production!$F$9*AF_milk_HU</f>
        <v>2.2268577187130609E-3</v>
      </c>
      <c r="O11" s="55">
        <f>'Footprints, absolute'!O11/Production!$F$9*AF_milk_HU</f>
        <v>1.2409249609162717E-2</v>
      </c>
      <c r="P11" s="55">
        <f>'Footprints, absolute'!P11/Production!$F$9*AF_milk_HU</f>
        <v>0.10909139384619045</v>
      </c>
      <c r="Q11" s="56">
        <f>'Footprints, absolute'!Q11/Production!$F$9*AF_milk_HU</f>
        <v>3.2731815115161863E-11</v>
      </c>
      <c r="R11" s="56">
        <f>'Footprints, absolute'!R11/Production!$F$9*AF_milk_HU</f>
        <v>7.5959581105931287E-4</v>
      </c>
      <c r="S11" s="57"/>
      <c r="T11" s="52">
        <f>'Footprints, absolute'!T11*AF_milk_HU</f>
        <v>1.1034239180822141E-2</v>
      </c>
      <c r="U11" s="15">
        <f>'Footprints, absolute'!U11*AF_milk_HU</f>
        <v>2.62664701996589</v>
      </c>
    </row>
    <row r="12" spans="1:21" x14ac:dyDescent="0.2">
      <c r="A12" s="51" t="s">
        <v>166</v>
      </c>
      <c r="B12" s="23" t="s">
        <v>167</v>
      </c>
      <c r="C12" s="18" t="s">
        <v>168</v>
      </c>
      <c r="D12" t="s">
        <v>89</v>
      </c>
      <c r="E12" t="s">
        <v>54</v>
      </c>
      <c r="F12" s="15">
        <f>'GHG det, per kg milk'!G36</f>
        <v>0.93942331297467441</v>
      </c>
      <c r="G12" s="15">
        <f>'GHG det, per kg milk'!G32</f>
        <v>0.13988284398850387</v>
      </c>
      <c r="H12" s="52">
        <f>'GHG det, per kg milk'!G33</f>
        <v>1.9079909823461322E-4</v>
      </c>
      <c r="I12" s="53">
        <f>'GHG det, per kg milk'!G34</f>
        <v>2.3271935760252483E-2</v>
      </c>
      <c r="J12" s="53">
        <f>'GHG det, per kg milk'!G35</f>
        <v>6.0627249205846877E-4</v>
      </c>
      <c r="L12" s="54">
        <f>'Footprints, absolute'!L12/Production!$G$9*AF_milk_IE</f>
        <v>0.21858030109097606</v>
      </c>
      <c r="M12" s="55">
        <f>'Footprints, absolute'!M12/Production!$G$9*AF_milk_IE</f>
        <v>1.5554624340040724E-2</v>
      </c>
      <c r="N12" s="55">
        <f>'Footprints, absolute'!N12/Production!$G$9*AF_milk_IE</f>
        <v>5.0827233891818804E-4</v>
      </c>
      <c r="O12" s="55">
        <f>'Footprints, absolute'!O12/Production!$G$9*AF_milk_IE</f>
        <v>7.9779436433835005E-3</v>
      </c>
      <c r="P12" s="55">
        <f>'Footprints, absolute'!P12/Production!$G$9*AF_milk_IE</f>
        <v>7.24186072870944E-2</v>
      </c>
      <c r="Q12" s="56">
        <f>'Footprints, absolute'!Q12/Production!$G$9*AF_milk_IE</f>
        <v>5.468950154257319E-12</v>
      </c>
      <c r="R12" s="56">
        <f>'Footprints, absolute'!R12/Production!$G$9*AF_milk_IE</f>
        <v>4.9331299548280077E-4</v>
      </c>
      <c r="S12" s="57"/>
      <c r="T12" s="52">
        <f>'Footprints, absolute'!T12*AF_milk_IE</f>
        <v>6.7615109053261535E-3</v>
      </c>
      <c r="U12" s="15">
        <f>'Footprints, absolute'!U12*AF_milk_IE</f>
        <v>1.1141639272949888</v>
      </c>
    </row>
    <row r="13" spans="1:21" x14ac:dyDescent="0.2">
      <c r="A13" s="51" t="s">
        <v>166</v>
      </c>
      <c r="B13" s="23" t="s">
        <v>167</v>
      </c>
      <c r="C13" s="18" t="s">
        <v>168</v>
      </c>
      <c r="D13" t="s">
        <v>55</v>
      </c>
      <c r="E13" t="s">
        <v>56</v>
      </c>
      <c r="F13" s="15">
        <f>'GHG det, per kg milk'!G41</f>
        <v>1.2319993855958047</v>
      </c>
      <c r="G13" s="15">
        <f>'GHG det, per kg milk'!G37</f>
        <v>0.34128923063434696</v>
      </c>
      <c r="H13" s="52">
        <f>'GHG det, per kg milk'!G38</f>
        <v>1.5417531273863581E-3</v>
      </c>
      <c r="I13" s="53">
        <f>'GHG det, per kg milk'!G39</f>
        <v>2.4715089853343399E-2</v>
      </c>
      <c r="J13" s="53">
        <f>'GHG det, per kg milk'!G40</f>
        <v>6.5003108324202278E-4</v>
      </c>
      <c r="L13" s="54">
        <f>'Footprints, absolute'!L13/Production!$H$9*AF_milk_IT</f>
        <v>1.0329893130524848</v>
      </c>
      <c r="M13" s="55">
        <f>'Footprints, absolute'!M13/Production!$H$9*AF_milk_IT</f>
        <v>1.7967520291768731E-2</v>
      </c>
      <c r="N13" s="55">
        <f>'Footprints, absolute'!N13/Production!$H$9*AF_milk_IT</f>
        <v>1.1284835462467004E-3</v>
      </c>
      <c r="O13" s="55">
        <f>'Footprints, absolute'!O13/Production!$H$9*AF_milk_IT</f>
        <v>9.9575320308547266E-3</v>
      </c>
      <c r="P13" s="55">
        <f>'Footprints, absolute'!P13/Production!$H$9*AF_milk_IT</f>
        <v>6.0147557990797539E-2</v>
      </c>
      <c r="Q13" s="56">
        <f>'Footprints, absolute'!Q13/Production!$H$9*AF_milk_IT</f>
        <v>7.7871028116708138E-11</v>
      </c>
      <c r="R13" s="56">
        <f>'Footprints, absolute'!R13/Production!$H$9*AF_milk_IT</f>
        <v>8.2493602460942828E-4</v>
      </c>
      <c r="S13" s="57"/>
      <c r="T13" s="52">
        <f>'Footprints, absolute'!T13*AF_milk_IT</f>
        <v>9.3574917772769415E-3</v>
      </c>
      <c r="U13" s="15">
        <f>'Footprints, absolute'!U13*AF_milk_IT</f>
        <v>4.2239832100033361</v>
      </c>
    </row>
    <row r="14" spans="1:21" x14ac:dyDescent="0.2">
      <c r="A14" s="51" t="s">
        <v>166</v>
      </c>
      <c r="B14" s="23" t="s">
        <v>167</v>
      </c>
      <c r="C14" s="18" t="s">
        <v>168</v>
      </c>
      <c r="D14" t="s">
        <v>87</v>
      </c>
      <c r="E14" t="s">
        <v>58</v>
      </c>
      <c r="F14" s="15">
        <f>'GHG det, per kg milk'!G46</f>
        <v>1.1388790691834108</v>
      </c>
      <c r="G14" s="15">
        <f>'GHG det, per kg milk'!G42</f>
        <v>0.3221954959863837</v>
      </c>
      <c r="H14" s="52">
        <f>'GHG det, per kg milk'!G43</f>
        <v>8.3083678870035714E-4</v>
      </c>
      <c r="I14" s="53">
        <f>'GHG det, per kg milk'!G44</f>
        <v>2.0716864708999781E-2</v>
      </c>
      <c r="J14" s="53">
        <f>'GHG det, per kg milk'!G45</f>
        <v>8.5190216025920204E-4</v>
      </c>
      <c r="L14" s="54">
        <f>'Footprints, absolute'!L14/Production!$I$9*AF_milk_NL</f>
        <v>0.76641390292875344</v>
      </c>
      <c r="M14" s="55">
        <f>'Footprints, absolute'!M14/Production!$I$9*AF_milk_NL</f>
        <v>2.2073534348555347E-2</v>
      </c>
      <c r="N14" s="55">
        <f>'Footprints, absolute'!N14/Production!$I$9*AF_milk_NL</f>
        <v>8.4740289559051736E-4</v>
      </c>
      <c r="O14" s="55">
        <f>'Footprints, absolute'!O14/Production!$I$9*AF_milk_NL</f>
        <v>5.7908867695587139E-3</v>
      </c>
      <c r="P14" s="55">
        <f>'Footprints, absolute'!P14/Production!$I$9*AF_milk_NL</f>
        <v>7.0270297707824642E-2</v>
      </c>
      <c r="Q14" s="56">
        <f>'Footprints, absolute'!Q14/Production!$I$9*AF_milk_NL</f>
        <v>2.3868869332706121E-11</v>
      </c>
      <c r="R14" s="56">
        <f>'Footprints, absolute'!R14/Production!$I$9*AF_milk_NL</f>
        <v>8.5129052256145341E-4</v>
      </c>
      <c r="S14" s="57"/>
      <c r="T14" s="52">
        <f>'Footprints, absolute'!T14*AF_milk_NL</f>
        <v>7.5988152181638846E-3</v>
      </c>
      <c r="U14" s="15">
        <f>'Footprints, absolute'!U14*AF_milk_NL</f>
        <v>0.90415105293617715</v>
      </c>
    </row>
    <row r="15" spans="1:21" x14ac:dyDescent="0.2">
      <c r="A15" s="51" t="s">
        <v>166</v>
      </c>
      <c r="B15" s="23" t="s">
        <v>167</v>
      </c>
      <c r="C15" s="18" t="s">
        <v>168</v>
      </c>
      <c r="D15" t="s">
        <v>59</v>
      </c>
      <c r="E15" t="s">
        <v>60</v>
      </c>
      <c r="F15" s="15">
        <f>'GHG det, per kg milk'!G51</f>
        <v>1.3478302238426692</v>
      </c>
      <c r="G15" s="15">
        <f>'GHG det, per kg milk'!G47</f>
        <v>0.54193990299804273</v>
      </c>
      <c r="H15" s="52">
        <f>'GHG det, per kg milk'!G48</f>
        <v>1.1759613526084172E-3</v>
      </c>
      <c r="I15" s="53">
        <f>'GHG det, per kg milk'!G49</f>
        <v>2.0093091992375321E-2</v>
      </c>
      <c r="J15" s="53">
        <f>'GHG det, per kg milk'!G50</f>
        <v>8.3638530675004402E-4</v>
      </c>
      <c r="L15" s="54">
        <f>'Footprints, absolute'!L15/Production!$J$9*AF_milk_PL</f>
        <v>1.0326888336705804</v>
      </c>
      <c r="M15" s="55">
        <f>'Footprints, absolute'!M15/Production!$J$9*AF_milk_PL</f>
        <v>1.7150686386299952E-2</v>
      </c>
      <c r="N15" s="55">
        <f>'Footprints, absolute'!N15/Production!$J$9*AF_milk_PL</f>
        <v>1.6314221157854832E-3</v>
      </c>
      <c r="O15" s="55">
        <f>'Footprints, absolute'!O15/Production!$J$9*AF_milk_PL</f>
        <v>6.1497726679622606E-3</v>
      </c>
      <c r="P15" s="55">
        <f>'Footprints, absolute'!P15/Production!$J$9*AF_milk_PL</f>
        <v>7.9431334429440878E-2</v>
      </c>
      <c r="Q15" s="56">
        <f>'Footprints, absolute'!Q15/Production!$J$9*AF_milk_PL</f>
        <v>1.6328412124579537E-11</v>
      </c>
      <c r="R15" s="56">
        <f>'Footprints, absolute'!R15/Production!$J$9*AF_milk_PL</f>
        <v>7.0469438486211913E-4</v>
      </c>
      <c r="S15" s="57"/>
      <c r="T15" s="52">
        <f>'Footprints, absolute'!T15*AF_milk_PL</f>
        <v>8.8334873184639628E-3</v>
      </c>
      <c r="U15" s="15">
        <f>'Footprints, absolute'!U15*AF_milk_PL</f>
        <v>5.4535717002768651</v>
      </c>
    </row>
    <row r="16" spans="1:21" x14ac:dyDescent="0.2">
      <c r="A16" s="51" t="s">
        <v>166</v>
      </c>
      <c r="B16" s="23" t="s">
        <v>167</v>
      </c>
      <c r="C16" s="18" t="s">
        <v>168</v>
      </c>
      <c r="D16" t="s">
        <v>61</v>
      </c>
      <c r="E16" t="s">
        <v>62</v>
      </c>
      <c r="F16" s="15">
        <f>'GHG det, per kg milk'!G56</f>
        <v>1.0300388566926237</v>
      </c>
      <c r="G16" s="15">
        <f>'GHG det, per kg milk'!G52</f>
        <v>0.27884907182745344</v>
      </c>
      <c r="H16" s="52">
        <f>'GHG det, per kg milk'!G53</f>
        <v>7.7041441513269414E-4</v>
      </c>
      <c r="I16" s="53">
        <f>'GHG det, per kg milk'!G54</f>
        <v>1.9759469585125852E-2</v>
      </c>
      <c r="J16" s="53">
        <f>'GHG det, per kg milk'!G55</f>
        <v>7.1328115932534054E-4</v>
      </c>
      <c r="L16" s="54">
        <f>'Footprints, absolute'!L16/Production!$K$9*AF_milk_ES</f>
        <v>1.1170397082376229</v>
      </c>
      <c r="M16" s="55">
        <f>'Footprints, absolute'!M16/Production!$K$9*AF_milk_ES</f>
        <v>2.1005385170779274E-2</v>
      </c>
      <c r="N16" s="55">
        <f>'Footprints, absolute'!N16/Production!$K$9*AF_milk_ES</f>
        <v>1.8869002819796225E-3</v>
      </c>
      <c r="O16" s="55">
        <f>'Footprints, absolute'!O16/Production!$K$9*AF_milk_ES</f>
        <v>5.092977471284283E-2</v>
      </c>
      <c r="P16" s="55">
        <f>'Footprints, absolute'!P16/Production!$K$9*AF_milk_ES</f>
        <v>8.5598272208104495E-2</v>
      </c>
      <c r="Q16" s="56">
        <f>'Footprints, absolute'!Q16/Production!$K$9*AF_milk_ES</f>
        <v>3.2378152841887853E-11</v>
      </c>
      <c r="R16" s="56">
        <f>'Footprints, absolute'!R16/Production!$K$9*AF_milk_ES</f>
        <v>6.5346232278870771E-4</v>
      </c>
      <c r="S16" s="57"/>
      <c r="T16" s="52">
        <f>'Footprints, absolute'!T16*AF_milk_ES</f>
        <v>1.0688139875303655E-2</v>
      </c>
      <c r="U16" s="15">
        <f>'Footprints, absolute'!U16*AF_milk_ES</f>
        <v>2.9001292630514643</v>
      </c>
    </row>
    <row r="17" spans="1:22" x14ac:dyDescent="0.2">
      <c r="A17" s="51" t="s">
        <v>166</v>
      </c>
      <c r="B17" s="23" t="s">
        <v>167</v>
      </c>
      <c r="C17" s="18" t="s">
        <v>168</v>
      </c>
      <c r="D17" s="58" t="s">
        <v>63</v>
      </c>
      <c r="E17" s="58" t="s">
        <v>64</v>
      </c>
      <c r="F17" s="57">
        <f>'GHG det, per kg milk'!G61</f>
        <v>0.95121776195721597</v>
      </c>
      <c r="G17" s="15">
        <f>'GHG det, per kg milk'!G57</f>
        <v>0.1976017931290581</v>
      </c>
      <c r="H17" s="52">
        <f>'GHG det, per kg milk'!G58</f>
        <v>1.1064216464622151E-3</v>
      </c>
      <c r="I17" s="53">
        <f>'GHG det, per kg milk'!G59</f>
        <v>1.9524872574189851E-2</v>
      </c>
      <c r="J17" s="53">
        <f>'GHG det, per kg milk'!G60</f>
        <v>7.0869246981852742E-4</v>
      </c>
      <c r="K17" s="58"/>
      <c r="L17" s="54">
        <f>'Footprints, absolute'!L17/Production!$L$9*AF_milk_SE</f>
        <v>1.7743077981731372</v>
      </c>
      <c r="M17" s="55">
        <f>'Footprints, absolute'!M17/Production!$L$9*AF_milk_SE</f>
        <v>1.7658262393275812E-2</v>
      </c>
      <c r="N17" s="55">
        <f>'Footprints, absolute'!N17/Production!$L$9*AF_milk_SE</f>
        <v>8.8651878878317873E-4</v>
      </c>
      <c r="O17" s="55">
        <f>'Footprints, absolute'!O17/Production!$L$9*AF_milk_SE</f>
        <v>5.5745450231171291E-3</v>
      </c>
      <c r="P17" s="55">
        <f>'Footprints, absolute'!P17/Production!$L$9*AF_milk_SE</f>
        <v>4.3670453327803956E-2</v>
      </c>
      <c r="Q17" s="56">
        <f>'Footprints, absolute'!Q17/Production!$L$9*AF_milk_SE</f>
        <v>1.1111150296188307E-11</v>
      </c>
      <c r="R17" s="56">
        <f>'Footprints, absolute'!R17/Production!$L$9*AF_milk_SE</f>
        <v>5.1682884991259266E-4</v>
      </c>
      <c r="S17" s="57"/>
      <c r="T17" s="52">
        <f>'Footprints, absolute'!T17*AF_milk_SE</f>
        <v>7.0430532282751189E-3</v>
      </c>
      <c r="U17" s="15">
        <f>'Footprints, absolute'!U17*AF_milk_SE</f>
        <v>0.35178939148797611</v>
      </c>
      <c r="V17" s="58"/>
    </row>
    <row r="18" spans="1:22" x14ac:dyDescent="0.2">
      <c r="A18" s="23"/>
      <c r="B18" s="23"/>
      <c r="C18" s="18"/>
      <c r="T18" s="59"/>
    </row>
    <row r="19" spans="1:22" x14ac:dyDescent="0.2">
      <c r="F19" s="15"/>
      <c r="J19" s="53"/>
      <c r="M19" s="60"/>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4"/>
  </sheetPr>
  <dimension ref="A1:AA231"/>
  <sheetViews>
    <sheetView zoomScale="80" zoomScaleNormal="80" workbookViewId="0">
      <selection activeCell="A7" sqref="A7"/>
    </sheetView>
  </sheetViews>
  <sheetFormatPr baseColWidth="10" defaultColWidth="8.6640625" defaultRowHeight="15" x14ac:dyDescent="0.2"/>
  <cols>
    <col min="1" max="1" width="8.33203125" style="1" customWidth="1"/>
    <col min="2" max="2" width="22.5" customWidth="1"/>
    <col min="3" max="3" width="27.33203125" customWidth="1"/>
    <col min="4" max="5" width="10.33203125" customWidth="1"/>
    <col min="6" max="6" width="7.6640625" customWidth="1"/>
    <col min="7" max="7" width="9.33203125" style="23" customWidth="1"/>
    <col min="8" max="20" width="14.6640625" customWidth="1"/>
    <col min="21" max="22" width="14.6640625" style="26" customWidth="1"/>
    <col min="23" max="24" width="14.6640625" customWidth="1"/>
    <col min="26" max="26" width="16" customWidth="1"/>
    <col min="27" max="27" width="19.33203125" customWidth="1"/>
  </cols>
  <sheetData>
    <row r="1" spans="1:27" x14ac:dyDescent="0.2">
      <c r="H1" s="24"/>
      <c r="K1" s="24" t="s">
        <v>1</v>
      </c>
      <c r="N1" s="25"/>
    </row>
    <row r="2" spans="1:27" ht="21" customHeight="1" x14ac:dyDescent="0.25">
      <c r="A2" s="2" t="s">
        <v>169</v>
      </c>
      <c r="H2" s="24"/>
      <c r="M2" s="25"/>
      <c r="N2" s="25"/>
      <c r="S2" s="15"/>
      <c r="T2" s="13"/>
    </row>
    <row r="3" spans="1:27" x14ac:dyDescent="0.2">
      <c r="J3" s="25"/>
      <c r="L3" s="26"/>
      <c r="M3" s="26"/>
      <c r="N3" s="26"/>
      <c r="O3" s="26"/>
      <c r="P3" s="26"/>
      <c r="Q3" s="26"/>
      <c r="R3" s="26"/>
      <c r="S3" s="26"/>
      <c r="T3" s="26"/>
    </row>
    <row r="4" spans="1:27" x14ac:dyDescent="0.2">
      <c r="A4" s="61"/>
      <c r="B4" s="62"/>
      <c r="C4" s="62"/>
      <c r="D4" s="62"/>
      <c r="E4" s="62"/>
      <c r="F4" s="62"/>
      <c r="G4" s="62"/>
      <c r="H4" s="63"/>
      <c r="I4" s="63"/>
      <c r="J4" s="64"/>
      <c r="K4" s="64"/>
      <c r="L4" s="64"/>
      <c r="M4" s="64"/>
      <c r="N4" s="64"/>
      <c r="O4" s="64"/>
      <c r="P4" s="64"/>
      <c r="Q4" s="64"/>
      <c r="R4" s="64"/>
      <c r="S4" s="63" t="s">
        <v>2</v>
      </c>
      <c r="T4" s="63"/>
      <c r="U4" s="65"/>
      <c r="V4" s="65"/>
      <c r="W4" s="64" t="s">
        <v>3</v>
      </c>
      <c r="X4" s="64" t="s">
        <v>4</v>
      </c>
      <c r="Z4" s="63" t="s">
        <v>170</v>
      </c>
      <c r="AA4" s="63"/>
    </row>
    <row r="5" spans="1:27" x14ac:dyDescent="0.2">
      <c r="A5" s="32" t="s">
        <v>5</v>
      </c>
      <c r="B5" s="33"/>
      <c r="C5" s="33"/>
      <c r="D5" s="34"/>
      <c r="E5" s="34"/>
      <c r="F5" s="66"/>
      <c r="G5" s="67" t="s">
        <v>6</v>
      </c>
      <c r="H5" s="67" t="s">
        <v>7</v>
      </c>
      <c r="I5" s="68"/>
      <c r="J5" s="67" t="s">
        <v>8</v>
      </c>
      <c r="K5" s="69"/>
      <c r="L5" s="38" t="s">
        <v>9</v>
      </c>
      <c r="M5" s="69"/>
      <c r="N5" s="69"/>
      <c r="O5" s="69"/>
      <c r="P5" s="38" t="s">
        <v>10</v>
      </c>
      <c r="Q5" s="38" t="s">
        <v>11</v>
      </c>
      <c r="R5" s="38" t="s">
        <v>12</v>
      </c>
      <c r="S5" s="70"/>
      <c r="T5" s="70"/>
      <c r="U5" s="71"/>
      <c r="V5" s="71"/>
      <c r="W5" s="72"/>
      <c r="X5" s="72"/>
      <c r="Z5" s="67"/>
      <c r="AA5" s="67" t="s">
        <v>171</v>
      </c>
    </row>
    <row r="6" spans="1:27" ht="57.75" customHeight="1" x14ac:dyDescent="0.2">
      <c r="A6" s="39" t="s">
        <v>13</v>
      </c>
      <c r="B6" s="40" t="s">
        <v>14</v>
      </c>
      <c r="C6" s="40" t="s">
        <v>15</v>
      </c>
      <c r="D6" s="41" t="s">
        <v>16</v>
      </c>
      <c r="E6" s="42" t="s">
        <v>17</v>
      </c>
      <c r="F6" s="41" t="s">
        <v>18</v>
      </c>
      <c r="G6" s="42" t="s">
        <v>19</v>
      </c>
      <c r="H6" s="49" t="s">
        <v>20</v>
      </c>
      <c r="I6" s="49" t="s">
        <v>21</v>
      </c>
      <c r="J6" s="49" t="s">
        <v>22</v>
      </c>
      <c r="K6" s="49" t="s">
        <v>23</v>
      </c>
      <c r="L6" s="49" t="s">
        <v>24</v>
      </c>
      <c r="M6" s="49" t="s">
        <v>25</v>
      </c>
      <c r="N6" s="49" t="s">
        <v>26</v>
      </c>
      <c r="O6" s="49" t="s">
        <v>27</v>
      </c>
      <c r="P6" s="49" t="s">
        <v>28</v>
      </c>
      <c r="Q6" s="49" t="s">
        <v>11</v>
      </c>
      <c r="R6" s="49" t="s">
        <v>29</v>
      </c>
      <c r="S6" s="42" t="s">
        <v>30</v>
      </c>
      <c r="T6" s="42" t="s">
        <v>31</v>
      </c>
      <c r="U6" s="73" t="s">
        <v>32</v>
      </c>
      <c r="V6" s="73" t="s">
        <v>33</v>
      </c>
      <c r="W6" s="49" t="s">
        <v>34</v>
      </c>
      <c r="X6" s="49" t="s">
        <v>35</v>
      </c>
      <c r="Z6" s="42" t="s">
        <v>172</v>
      </c>
      <c r="AA6" s="42" t="s">
        <v>173</v>
      </c>
    </row>
    <row r="7" spans="1:27" x14ac:dyDescent="0.2">
      <c r="A7" s="540" t="s">
        <v>166</v>
      </c>
      <c r="B7" s="74" t="s">
        <v>167</v>
      </c>
      <c r="C7" s="75" t="s">
        <v>168</v>
      </c>
      <c r="D7" s="76" t="s">
        <v>38</v>
      </c>
      <c r="E7" s="76" t="s">
        <v>39</v>
      </c>
      <c r="F7" s="77" t="s">
        <v>40</v>
      </c>
      <c r="G7" s="78">
        <f>SUM(H7:X7)</f>
        <v>0.14515622461493594</v>
      </c>
      <c r="H7" s="78">
        <f>'GHG detailed, absolute'!H7/Production!$B$9*AF_milk_DK</f>
        <v>3.3773284583104322E-2</v>
      </c>
      <c r="I7" s="78">
        <f>'GHG detailed, absolute'!I7/Production!$B$9*AF_milk_DK</f>
        <v>1.9143690257855006E-2</v>
      </c>
      <c r="J7" s="78"/>
      <c r="K7" s="78"/>
      <c r="L7" s="78">
        <f>'GHG detailed, absolute'!L7/Production!$B$9*AF_milk_DK</f>
        <v>1.4849057710653949E-2</v>
      </c>
      <c r="M7" s="78"/>
      <c r="N7" s="78">
        <f>'GHG detailed, absolute'!N7/Production!$B$9*AF_milk_DK</f>
        <v>3.0598311160848309E-5</v>
      </c>
      <c r="O7" s="78">
        <f>'GHG detailed, absolute'!O7/Production!$B$9*AF_milk_DK</f>
        <v>9.9528167323499842E-3</v>
      </c>
      <c r="P7" s="78">
        <f>'GHG detailed, absolute'!P7/Production!$B$9*AF_milk_DK</f>
        <v>1.3241398513215171E-2</v>
      </c>
      <c r="Q7" s="78">
        <f>'GHG detailed, absolute'!Q7/Production!$B$9*AF_milk_DK</f>
        <v>2.6663838681912314E-2</v>
      </c>
      <c r="R7" s="78">
        <f>'GHG detailed, absolute'!R7/Production!$B$9*AF_milk_DK</f>
        <v>2.6663838681912314E-2</v>
      </c>
      <c r="S7" s="79"/>
      <c r="T7" s="80"/>
      <c r="U7" s="81"/>
      <c r="V7" s="81"/>
      <c r="W7" s="79">
        <f>'GHG detailed, absolute'!W7/Production!$B$9*AF_milk_DK</f>
        <v>0</v>
      </c>
      <c r="X7" s="82">
        <f>'GHG detailed, absolute'!X7/Production!$B$9*AF_milk_DK</f>
        <v>8.3770114277202841E-4</v>
      </c>
      <c r="Z7" s="83"/>
      <c r="AA7" s="83"/>
    </row>
    <row r="8" spans="1:27" x14ac:dyDescent="0.2">
      <c r="A8" s="23" t="s">
        <v>166</v>
      </c>
      <c r="B8" s="23" t="s">
        <v>167</v>
      </c>
      <c r="C8" s="18" t="s">
        <v>168</v>
      </c>
      <c r="D8" s="58" t="s">
        <v>38</v>
      </c>
      <c r="E8" s="58" t="s">
        <v>39</v>
      </c>
      <c r="F8" s="23" t="s">
        <v>41</v>
      </c>
      <c r="G8" s="83">
        <f>SUM(H8:X8)</f>
        <v>8.4506497022236672E-4</v>
      </c>
      <c r="H8" s="56">
        <f>'GHG detailed, absolute'!H8/Production!$B$9*AF_milk_DK</f>
        <v>3.7254044951679063E-5</v>
      </c>
      <c r="I8" s="56">
        <f>'GHG detailed, absolute'!I8/Production!$B$9*AF_milk_DK</f>
        <v>6.7357428685045414E-5</v>
      </c>
      <c r="J8" s="56"/>
      <c r="K8" s="56"/>
      <c r="L8" s="56">
        <f>'GHG detailed, absolute'!L8/Production!$B$9*AF_milk_DK</f>
        <v>6.5776318599748756E-6</v>
      </c>
      <c r="M8" s="56"/>
      <c r="N8" s="56">
        <f>'GHG detailed, absolute'!N8/Production!$B$9*AF_milk_DK</f>
        <v>1.0233489639395467E-7</v>
      </c>
      <c r="O8" s="56">
        <f>'GHG detailed, absolute'!O8/Production!$B$9*AF_milk_DK</f>
        <v>5.988855759729904E-6</v>
      </c>
      <c r="P8" s="56">
        <f>'GHG detailed, absolute'!P8/Production!$B$9*AF_milk_DK</f>
        <v>0</v>
      </c>
      <c r="Q8" s="56">
        <f>'GHG detailed, absolute'!Q8/Production!$B$9*AF_milk_DK</f>
        <v>3.4653895812492778E-4</v>
      </c>
      <c r="R8" s="56">
        <f>'GHG detailed, absolute'!R8/Production!$B$9*AF_milk_DK</f>
        <v>3.4653895812492778E-4</v>
      </c>
      <c r="W8" s="13">
        <f>'GHG detailed, absolute'!W8/Production!$B$9*AF_milk_DK</f>
        <v>3.2943072902391751E-5</v>
      </c>
      <c r="X8" s="53">
        <f>'GHG detailed, absolute'!X8/Production!$B$9*AF_milk_DK</f>
        <v>1.7636849172962383E-6</v>
      </c>
      <c r="Z8" s="84"/>
      <c r="AA8" s="84"/>
    </row>
    <row r="9" spans="1:27" x14ac:dyDescent="0.2">
      <c r="A9" s="23" t="s">
        <v>166</v>
      </c>
      <c r="B9" s="23" t="s">
        <v>167</v>
      </c>
      <c r="C9" s="18" t="s">
        <v>168</v>
      </c>
      <c r="D9" s="58" t="s">
        <v>38</v>
      </c>
      <c r="E9" s="58" t="s">
        <v>39</v>
      </c>
      <c r="F9" s="23" t="s">
        <v>42</v>
      </c>
      <c r="G9" s="83">
        <f>SUM(H9:T9)</f>
        <v>2.3283055639889229E-2</v>
      </c>
      <c r="H9" s="56"/>
      <c r="I9" s="56"/>
      <c r="J9" s="85"/>
      <c r="K9" s="56"/>
      <c r="L9" s="56"/>
      <c r="M9" s="56"/>
      <c r="N9" s="56"/>
      <c r="O9" s="56"/>
      <c r="P9" s="56"/>
      <c r="Q9" s="56"/>
      <c r="R9" s="56"/>
      <c r="S9" s="13">
        <f>'GHG detailed, absolute'!S9/Production!$B$9*AF_milk_DK</f>
        <v>1.7534568571454349E-2</v>
      </c>
      <c r="T9" s="53">
        <f>'GHG detailed, absolute'!T9/Production!$B$9*AF_milk_DK</f>
        <v>5.7484870684348776E-3</v>
      </c>
      <c r="U9" s="86">
        <f>'GHG detailed, absolute'!U9/Production!$B$9*AF_milk_DK</f>
        <v>5.7484870684348776E-3</v>
      </c>
      <c r="W9" s="13"/>
      <c r="X9" s="53"/>
      <c r="Z9" s="84"/>
      <c r="AA9" s="84"/>
    </row>
    <row r="10" spans="1:27" ht="15" customHeight="1" x14ac:dyDescent="0.2">
      <c r="A10" s="23" t="s">
        <v>166</v>
      </c>
      <c r="B10" s="23" t="s">
        <v>167</v>
      </c>
      <c r="C10" s="18" t="s">
        <v>168</v>
      </c>
      <c r="D10" s="58" t="s">
        <v>38</v>
      </c>
      <c r="E10" s="58" t="s">
        <v>39</v>
      </c>
      <c r="F10" s="87" t="s">
        <v>43</v>
      </c>
      <c r="G10" s="83">
        <f>SUM(H10:T10)+W10+X10</f>
        <v>7.5436220504362364E-4</v>
      </c>
      <c r="H10" s="56">
        <f>'GHG detailed, absolute'!H10/Production!$B$9*AF_milk_DK</f>
        <v>4.9455149420239155E-5</v>
      </c>
      <c r="I10" s="56">
        <f>'GHG detailed, absolute'!I10/Production!$B$9*AF_milk_DK</f>
        <v>7.7992812161631524E-7</v>
      </c>
      <c r="J10" s="56">
        <f>'GHG detailed, absolute'!J10/Production!$B$9*AF_milk_DK</f>
        <v>3.6063977002137002E-4</v>
      </c>
      <c r="K10" s="84">
        <f>'GHG detailed, absolute'!K10/Production!$B$9*AF_milk_DK</f>
        <v>3.6063977002137006E-5</v>
      </c>
      <c r="L10" s="56">
        <f>'GHG detailed, absolute'!L10/Production!$B$9*AF_milk_DK</f>
        <v>3.9899997009660253E-7</v>
      </c>
      <c r="M10" s="56"/>
      <c r="N10" s="56">
        <f>'GHG detailed, absolute'!N10/Production!$B$9*AF_milk_DK</f>
        <v>1.25942417867519E-9</v>
      </c>
      <c r="O10" s="56">
        <f>'GHG detailed, absolute'!O10/Production!$B$9*AF_milk_DK</f>
        <v>3.6379475666011718E-7</v>
      </c>
      <c r="P10" s="56">
        <f>'GHG detailed, absolute'!P10/Production!$B$9*AF_milk_DK</f>
        <v>0</v>
      </c>
      <c r="Q10" s="56">
        <f>'GHG detailed, absolute'!Q10/Production!$B$9*AF_milk_DK</f>
        <v>3.3300946756544943E-5</v>
      </c>
      <c r="R10" s="56">
        <f>'GHG detailed, absolute'!R10/Production!$B$9*AF_milk_DK</f>
        <v>3.3300946756544943E-5</v>
      </c>
      <c r="S10" s="13"/>
      <c r="T10" s="53">
        <f>'GHG detailed, absolute'!T10/Production!$B$9*AF_milk_DK</f>
        <v>2.3878924030378538E-4</v>
      </c>
      <c r="U10" s="88">
        <f>'GHG detailed, absolute'!U10/Production!$B$9*AF_milk_DK</f>
        <v>1.4070313852731548E-4</v>
      </c>
      <c r="V10" s="88">
        <f>'GHG detailed, absolute'!V10/Production!$B$9*AF_milk_DK</f>
        <v>9.8086101776469911E-5</v>
      </c>
      <c r="W10" s="13">
        <f>'GHG detailed, absolute'!W10/Production!$B$9*AF_milk_DK</f>
        <v>1.2288145476296503E-6</v>
      </c>
      <c r="X10" s="53">
        <f>'GHG detailed, absolute'!X10/Production!$B$9*AF_milk_DK</f>
        <v>3.9377962820707201E-8</v>
      </c>
      <c r="Z10" s="84"/>
      <c r="AA10" s="84"/>
    </row>
    <row r="11" spans="1:27" ht="15" customHeight="1" x14ac:dyDescent="0.2">
      <c r="A11" s="89" t="s">
        <v>166</v>
      </c>
      <c r="B11" s="89" t="s">
        <v>167</v>
      </c>
      <c r="C11" s="90" t="s">
        <v>168</v>
      </c>
      <c r="D11" s="91" t="s">
        <v>38</v>
      </c>
      <c r="E11" s="91" t="s">
        <v>39</v>
      </c>
      <c r="F11" s="92" t="s">
        <v>44</v>
      </c>
      <c r="G11" s="93">
        <f>SUM(H11:X11)</f>
        <v>1.0049225449814809</v>
      </c>
      <c r="H11" s="94">
        <f>SUMPRODUCT(H7:H10,'Parameters, general'!$B$24:$B$27)</f>
        <v>4.8384710914389645E-2</v>
      </c>
      <c r="I11" s="94">
        <f>SUMPRODUCT(I7:I10,'Parameters, general'!$B$24:$B$27)</f>
        <v>2.1363862009870616E-2</v>
      </c>
      <c r="J11" s="94">
        <f>SUMPRODUCT(J7:J10,'Parameters, general'!$B$24:$B$27)</f>
        <v>9.8454657215834018E-2</v>
      </c>
      <c r="K11" s="94">
        <f>SUMPRODUCT(K7:K10,'Parameters, general'!$B$24:$B$27)</f>
        <v>9.8454657215834018E-3</v>
      </c>
      <c r="L11" s="94">
        <f>SUMPRODUCT(L7:L10,'Parameters, general'!$B$24:$B$27)</f>
        <v>1.5153998131917572E-2</v>
      </c>
      <c r="M11" s="94">
        <f>SUMPRODUCT(M7:M10,'Parameters, general'!$B$24:$B$27)</f>
        <v>0</v>
      </c>
      <c r="N11" s="94">
        <f>SUMPRODUCT(N7:N10,'Parameters, general'!$B$24:$B$27)</f>
        <v>3.3991713874166486E-5</v>
      </c>
      <c r="O11" s="94">
        <f>SUMPRODUCT(O7:O10,'Parameters, general'!$B$24:$B$27)</f>
        <v>1.0230600602558149E-2</v>
      </c>
      <c r="P11" s="94">
        <f>SUMPRODUCT(P7:P10,'Parameters, general'!$B$24:$B$27)</f>
        <v>1.3241398513215171E-2</v>
      </c>
      <c r="Q11" s="94">
        <f>SUMPRODUCT(Q7:Q10,'Parameters, general'!$B$24:$B$27)</f>
        <v>4.6081858098571932E-2</v>
      </c>
      <c r="R11" s="94">
        <f>SUMPRODUCT(R7:R10,'Parameters, general'!$B$24:$B$27)</f>
        <v>4.6081858098571932E-2</v>
      </c>
      <c r="S11" s="94">
        <f>SUMPRODUCT(S7:S10,'Parameters, general'!$B$24:$B$27)</f>
        <v>0.47343335142926746</v>
      </c>
      <c r="T11" s="94">
        <f>SUMPRODUCT(T7:T10,'Parameters, general'!$B$24:$B$27)</f>
        <v>0.22039861345067513</v>
      </c>
      <c r="U11" s="94"/>
      <c r="V11" s="94"/>
      <c r="W11" s="94">
        <f>SUMPRODUCT(W7:W10,'Parameters, general'!$B$24:$B$27)</f>
        <v>1.3171699439941688E-3</v>
      </c>
      <c r="X11" s="94">
        <f>SUMPRODUCT(X7:X10,'Parameters, general'!$B$24:$B$27)</f>
        <v>9.0100913715750934E-4</v>
      </c>
      <c r="Z11" s="95">
        <f>SUM(H11:R11)</f>
        <v>0.3088724010203866</v>
      </c>
      <c r="AA11" s="96">
        <f>'CO2 per kg feed'!F20+'CH4 per kg feed'!F20*CF_GWP_CH4_fossil+'N2O per kg feed'!F20*CF_GWP_N2O</f>
        <v>0.32935234928678231</v>
      </c>
    </row>
    <row r="12" spans="1:27" ht="15" customHeight="1" x14ac:dyDescent="0.2">
      <c r="A12" s="74" t="s">
        <v>166</v>
      </c>
      <c r="B12" s="74" t="s">
        <v>167</v>
      </c>
      <c r="C12" s="75" t="s">
        <v>168</v>
      </c>
      <c r="D12" s="58" t="s">
        <v>45</v>
      </c>
      <c r="E12" s="58" t="s">
        <v>46</v>
      </c>
      <c r="F12" s="97" t="s">
        <v>40</v>
      </c>
      <c r="G12" s="78">
        <f>SUM(H12:X12)</f>
        <v>0.18854037851415753</v>
      </c>
      <c r="H12" s="78">
        <f>'GHG detailed, absolute'!H12/Production!$C$9*AF_milk_FR</f>
        <v>2.9547523853725055E-2</v>
      </c>
      <c r="I12" s="78">
        <f>'GHG detailed, absolute'!I12/Production!$C$9*AF_milk_FR</f>
        <v>2.4440376818121976E-2</v>
      </c>
      <c r="J12" s="78"/>
      <c r="K12" s="78"/>
      <c r="L12" s="78">
        <f>'GHG detailed, absolute'!L12/Production!$C$9*AF_milk_FR</f>
        <v>1.7772199770510807E-2</v>
      </c>
      <c r="M12" s="78"/>
      <c r="N12" s="78">
        <f>'GHG detailed, absolute'!N12/Production!$C$9*AF_milk_FR</f>
        <v>3.5893797719098875E-4</v>
      </c>
      <c r="O12" s="78">
        <f>'GHG detailed, absolute'!O12/Production!$C$9*AF_milk_FR</f>
        <v>9.7955658352808089E-3</v>
      </c>
      <c r="P12" s="78">
        <f>'GHG detailed, absolute'!P12/Production!$C$9*AF_milk_FR</f>
        <v>1.5469464280855289E-2</v>
      </c>
      <c r="Q12" s="78">
        <f>'GHG detailed, absolute'!Q12/Production!$C$9*AF_milk_FR</f>
        <v>3.6760688242475616E-2</v>
      </c>
      <c r="R12" s="78">
        <f>'GHG detailed, absolute'!R12/Production!$C$9*AF_milk_FR</f>
        <v>3.6760688242475616E-2</v>
      </c>
      <c r="S12" s="79"/>
      <c r="T12" s="80"/>
      <c r="U12" s="81"/>
      <c r="V12" s="81"/>
      <c r="W12" s="79">
        <f>'GHG detailed, absolute'!W12/Production!$C$9*AF_milk_FR</f>
        <v>1.719225777830586E-2</v>
      </c>
      <c r="X12" s="98">
        <f>'GHG detailed, absolute'!X12/Production!$C$9*AF_milk_FR</f>
        <v>4.4267571521552847E-4</v>
      </c>
      <c r="Z12" s="83"/>
      <c r="AA12" s="83"/>
    </row>
    <row r="13" spans="1:27" x14ac:dyDescent="0.2">
      <c r="A13" s="23" t="s">
        <v>166</v>
      </c>
      <c r="B13" s="23" t="s">
        <v>167</v>
      </c>
      <c r="C13" s="18" t="s">
        <v>168</v>
      </c>
      <c r="D13" s="58" t="s">
        <v>45</v>
      </c>
      <c r="E13" s="58" t="s">
        <v>46</v>
      </c>
      <c r="F13" s="23" t="s">
        <v>41</v>
      </c>
      <c r="G13" s="83">
        <f>SUM(H13:X13)</f>
        <v>9.6964334734629708E-4</v>
      </c>
      <c r="H13" s="56">
        <f>'GHG detailed, absolute'!H13/Production!$C$9*AF_milk_FR</f>
        <v>1.6520271595173683E-5</v>
      </c>
      <c r="I13" s="99">
        <f>'GHG detailed, absolute'!I13/Production!$C$9*AF_milk_FR</f>
        <v>8.5993918434132893E-5</v>
      </c>
      <c r="J13" s="99"/>
      <c r="K13" s="99"/>
      <c r="L13" s="99">
        <f>'GHG detailed, absolute'!L13/Production!$C$9*AF_milk_FR</f>
        <v>7.8724852250036656E-6</v>
      </c>
      <c r="M13" s="99"/>
      <c r="N13" s="99">
        <f>'GHG detailed, absolute'!N13/Production!$C$9*AF_milk_FR</f>
        <v>1.1281390939268356E-6</v>
      </c>
      <c r="O13" s="99">
        <f>'GHG detailed, absolute'!O13/Production!$C$9*AF_milk_FR</f>
        <v>5.5508610916440348E-6</v>
      </c>
      <c r="P13" s="99">
        <f>'GHG detailed, absolute'!P13/Production!$C$9*AF_milk_FR</f>
        <v>0</v>
      </c>
      <c r="Q13" s="99">
        <f>'GHG detailed, absolute'!Q13/Production!$C$9*AF_milk_FR</f>
        <v>3.9877597464387502E-4</v>
      </c>
      <c r="R13" s="99">
        <f>'GHG detailed, absolute'!R13/Production!$C$9*AF_milk_FR</f>
        <v>3.9877597464387502E-4</v>
      </c>
      <c r="W13" s="13">
        <f>'GHG detailed, absolute'!W13/Production!$C$9*AF_milk_FR</f>
        <v>5.3301299623609245E-5</v>
      </c>
      <c r="X13" s="15">
        <f>'GHG detailed, absolute'!X13/Production!$C$9*AF_milk_FR</f>
        <v>1.7244229950566505E-6</v>
      </c>
      <c r="Z13" s="84"/>
      <c r="AA13" s="84"/>
    </row>
    <row r="14" spans="1:27" x14ac:dyDescent="0.2">
      <c r="A14" s="23" t="s">
        <v>166</v>
      </c>
      <c r="B14" s="23" t="s">
        <v>167</v>
      </c>
      <c r="C14" s="18" t="s">
        <v>168</v>
      </c>
      <c r="D14" s="58" t="s">
        <v>45</v>
      </c>
      <c r="E14" s="58" t="s">
        <v>46</v>
      </c>
      <c r="F14" s="23" t="s">
        <v>42</v>
      </c>
      <c r="G14" s="83">
        <f>SUM(H14:T14)</f>
        <v>2.1746612997142846E-2</v>
      </c>
      <c r="H14" s="56"/>
      <c r="I14" s="99"/>
      <c r="J14" s="99"/>
      <c r="K14" s="99"/>
      <c r="L14" s="99"/>
      <c r="M14" s="99"/>
      <c r="N14" s="99"/>
      <c r="O14" s="99"/>
      <c r="P14" s="99"/>
      <c r="Q14" s="99"/>
      <c r="R14" s="99"/>
      <c r="S14" s="13">
        <f>'GHG detailed, absolute'!S14/Production!$C$9*AF_milk_FR</f>
        <v>1.9538528610821587E-2</v>
      </c>
      <c r="T14" s="53">
        <f>'GHG detailed, absolute'!T14/Production!$C$9*AF_milk_FR</f>
        <v>2.2080843863212605E-3</v>
      </c>
      <c r="U14" s="86">
        <f>'GHG detailed, absolute'!U14/Production!$C$9*AF_milk_FR</f>
        <v>2.2080843863212605E-3</v>
      </c>
      <c r="W14" s="13"/>
      <c r="X14" s="15"/>
      <c r="Z14" s="84"/>
      <c r="AA14" s="84"/>
    </row>
    <row r="15" spans="1:27" ht="15" customHeight="1" x14ac:dyDescent="0.2">
      <c r="A15" s="23" t="s">
        <v>166</v>
      </c>
      <c r="B15" s="23" t="s">
        <v>167</v>
      </c>
      <c r="C15" s="18" t="s">
        <v>168</v>
      </c>
      <c r="D15" s="58" t="s">
        <v>45</v>
      </c>
      <c r="E15" s="58" t="s">
        <v>46</v>
      </c>
      <c r="F15" s="87" t="s">
        <v>43</v>
      </c>
      <c r="G15" s="83">
        <f>SUM(H15:T15)+W15+X15</f>
        <v>7.1830489370014179E-4</v>
      </c>
      <c r="H15" s="56">
        <f>'GHG detailed, absolute'!H15/Production!$C$9*AF_milk_FR</f>
        <v>2.5221759202504769E-5</v>
      </c>
      <c r="I15" s="84">
        <f>'GHG detailed, absolute'!I15/Production!$C$9*AF_milk_FR</f>
        <v>9.9571905555311785E-7</v>
      </c>
      <c r="J15" s="84">
        <f>'GHG detailed, absolute'!J15/Production!$C$9*AF_milk_FR</f>
        <v>3.7106738215000922E-4</v>
      </c>
      <c r="K15" s="84">
        <f>'GHG detailed, absolute'!K15/Production!$C$9*AF_milk_FR</f>
        <v>3.7106738215000922E-5</v>
      </c>
      <c r="L15" s="84">
        <f>'GHG detailed, absolute'!L15/Production!$C$9*AF_milk_FR</f>
        <v>4.7754593693153397E-7</v>
      </c>
      <c r="M15" s="84"/>
      <c r="N15" s="84">
        <f>'GHG detailed, absolute'!N15/Production!$C$9*AF_milk_FR</f>
        <v>1.5112376176678527E-8</v>
      </c>
      <c r="O15" s="84">
        <f>'GHG detailed, absolute'!O15/Production!$C$9*AF_milk_FR</f>
        <v>3.6644463707325552E-7</v>
      </c>
      <c r="P15" s="84">
        <f>'GHG detailed, absolute'!P15/Production!$C$9*AF_milk_FR</f>
        <v>0</v>
      </c>
      <c r="Q15" s="84">
        <f>'GHG detailed, absolute'!Q15/Production!$C$9*AF_milk_FR</f>
        <v>3.6417159325203848E-5</v>
      </c>
      <c r="R15" s="84">
        <f>'GHG detailed, absolute'!R15/Production!$C$9*AF_milk_FR</f>
        <v>3.6417159325203848E-5</v>
      </c>
      <c r="S15" s="13"/>
      <c r="T15" s="53">
        <f>'GHG detailed, absolute'!T15/Production!$C$9*AF_milk_FR</f>
        <v>2.0858236938895802E-4</v>
      </c>
      <c r="U15" s="88">
        <f>'GHG detailed, absolute'!U15/Production!$C$9*AF_milk_FR</f>
        <v>1.4488173430084991E-4</v>
      </c>
      <c r="V15" s="88">
        <f>'GHG detailed, absolute'!V15/Production!$C$9*AF_milk_FR</f>
        <v>6.3700635088108096E-5</v>
      </c>
      <c r="W15" s="13">
        <f>'GHG detailed, absolute'!W15/Production!$C$9*AF_milk_FR</f>
        <v>1.6112963429744951E-6</v>
      </c>
      <c r="X15" s="15">
        <f>'GHG detailed, absolute'!X15/Production!$C$9*AF_milk_FR</f>
        <v>2.6207744552132924E-8</v>
      </c>
      <c r="Z15" s="84"/>
      <c r="AA15" s="84"/>
    </row>
    <row r="16" spans="1:27" ht="15" customHeight="1" x14ac:dyDescent="0.2">
      <c r="A16" s="89" t="s">
        <v>166</v>
      </c>
      <c r="B16" s="89" t="s">
        <v>167</v>
      </c>
      <c r="C16" s="90" t="s">
        <v>168</v>
      </c>
      <c r="D16" s="100" t="s">
        <v>45</v>
      </c>
      <c r="E16" s="100" t="s">
        <v>46</v>
      </c>
      <c r="F16" s="101" t="s">
        <v>44</v>
      </c>
      <c r="G16" s="102">
        <f>SUM(H16:X16)</f>
        <v>1.0006915371680729</v>
      </c>
      <c r="H16" s="94">
        <f>SUMPRODUCT(H12:H15,'Parameters, general'!$B$24:$B$27)</f>
        <v>3.6925368209545034E-2</v>
      </c>
      <c r="I16" s="94">
        <f>SUMPRODUCT(I12:I15,'Parameters, general'!$B$24:$B$27)</f>
        <v>2.7274826889625136E-2</v>
      </c>
      <c r="J16" s="94">
        <f>SUMPRODUCT(J12:J15,'Parameters, general'!$B$24:$B$27)</f>
        <v>0.10130139532695252</v>
      </c>
      <c r="K16" s="94">
        <f>SUMPRODUCT(K12:K15,'Parameters, general'!$B$24:$B$27)</f>
        <v>1.0130139532695252E-2</v>
      </c>
      <c r="L16" s="94">
        <f>SUMPRODUCT(L12:L15,'Parameters, general'!$B$24:$B$27)</f>
        <v>1.8137169870998227E-2</v>
      </c>
      <c r="M16" s="94">
        <f>SUMPRODUCT(M12:M15,'Parameters, general'!$B$24:$B$27)</f>
        <v>0</v>
      </c>
      <c r="N16" s="94">
        <f>SUMPRODUCT(N12:N15,'Parameters, general'!$B$24:$B$27)</f>
        <v>3.966822008862417E-4</v>
      </c>
      <c r="O16" s="94">
        <f>SUMPRODUCT(O12:O15,'Parameters, general'!$B$24:$B$27)</f>
        <v>1.00610208817328E-2</v>
      </c>
      <c r="P16" s="94">
        <f>SUMPRODUCT(P12:P15,'Parameters, general'!$B$24:$B$27)</f>
        <v>1.5469464280855289E-2</v>
      </c>
      <c r="Q16" s="94">
        <f>SUMPRODUCT(Q12:Q15,'Parameters, general'!$B$24:$B$27)</f>
        <v>5.8586096782643746E-2</v>
      </c>
      <c r="R16" s="94">
        <f>SUMPRODUCT(R12:R15,'Parameters, general'!$B$24:$B$27)</f>
        <v>5.8586096782643746E-2</v>
      </c>
      <c r="S16" s="94">
        <f>SUMPRODUCT(S12:S15,'Parameters, general'!$B$24:$B$27)</f>
        <v>0.52754027249218283</v>
      </c>
      <c r="T16" s="94">
        <f>SUMPRODUCT(T12:T15,'Parameters, general'!$B$24:$B$27)</f>
        <v>0.11656126527385957</v>
      </c>
      <c r="U16" s="94"/>
      <c r="V16" s="94"/>
      <c r="W16" s="94">
        <f>SUMPRODUCT(W12:W15,'Parameters, general'!$B$24:$B$27)</f>
        <v>1.9220520408721454E-2</v>
      </c>
      <c r="X16" s="94">
        <f>SUMPRODUCT(X12:X15,'Parameters, general'!$B$24:$B$27)</f>
        <v>5.0121823473094898E-4</v>
      </c>
      <c r="Z16" s="95">
        <f>SUM(H16:R16)</f>
        <v>0.33686826075857801</v>
      </c>
      <c r="AA16" s="96">
        <f>'CO2 per kg feed'!F36+'CH4 per kg feed'!F36*CF_GWP_CH4_fossil+'N2O per kg feed'!F36*CF_GWP_N2O</f>
        <v>0.26766924244036094</v>
      </c>
    </row>
    <row r="17" spans="1:27" ht="15" customHeight="1" x14ac:dyDescent="0.2">
      <c r="A17" s="74" t="s">
        <v>166</v>
      </c>
      <c r="B17" s="74" t="s">
        <v>167</v>
      </c>
      <c r="C17" s="75" t="s">
        <v>168</v>
      </c>
      <c r="D17" s="76" t="s">
        <v>47</v>
      </c>
      <c r="E17" s="76" t="s">
        <v>48</v>
      </c>
      <c r="F17" s="77" t="s">
        <v>40</v>
      </c>
      <c r="G17" s="78">
        <f>SUM(H17:X17)</f>
        <v>0.26771039447361072</v>
      </c>
      <c r="H17" s="78">
        <f>'GHG detailed, absolute'!H17/Production!$D$9*AF_milk_DE</f>
        <v>2.1714728309023681E-2</v>
      </c>
      <c r="I17" s="78">
        <f>'GHG detailed, absolute'!I17/Production!$D$9*AF_milk_DE</f>
        <v>2.3669298866511312E-2</v>
      </c>
      <c r="J17" s="78"/>
      <c r="K17" s="78"/>
      <c r="L17" s="78">
        <f>'GHG detailed, absolute'!L17/Production!$D$9*AF_milk_DE</f>
        <v>1.4925581531493783E-2</v>
      </c>
      <c r="M17" s="78"/>
      <c r="N17" s="78">
        <f>'GHG detailed, absolute'!N17/Production!$D$9*AF_milk_DE</f>
        <v>3.1603201456609819E-5</v>
      </c>
      <c r="O17" s="78">
        <f>'GHG detailed, absolute'!O17/Production!$D$9*AF_milk_DE</f>
        <v>4.5394945477113171E-3</v>
      </c>
      <c r="P17" s="78">
        <f>'GHG detailed, absolute'!P17/Production!$D$9*AF_milk_DE</f>
        <v>1.926756618640783E-2</v>
      </c>
      <c r="Q17" s="78">
        <f>'GHG detailed, absolute'!Q17/Production!$D$9*AF_milk_DE</f>
        <v>4.3879089867115445E-2</v>
      </c>
      <c r="R17" s="78">
        <f>'GHG detailed, absolute'!R17/Production!$D$9*AF_milk_DE</f>
        <v>4.3879089867115445E-2</v>
      </c>
      <c r="S17" s="79"/>
      <c r="T17" s="80"/>
      <c r="U17" s="81"/>
      <c r="V17" s="81"/>
      <c r="W17" s="79">
        <f>'GHG detailed, absolute'!W17/Production!$D$9*AF_milk_DE</f>
        <v>9.4780089772217899E-2</v>
      </c>
      <c r="X17" s="82">
        <f>'GHG detailed, absolute'!X17/Production!$D$9*AF_milk_DE</f>
        <v>1.0238523245574176E-3</v>
      </c>
      <c r="Z17" s="83"/>
      <c r="AA17" s="83"/>
    </row>
    <row r="18" spans="1:27" x14ac:dyDescent="0.2">
      <c r="A18" s="23" t="s">
        <v>166</v>
      </c>
      <c r="B18" s="23" t="s">
        <v>167</v>
      </c>
      <c r="C18" s="18" t="s">
        <v>168</v>
      </c>
      <c r="D18" s="58" t="s">
        <v>47</v>
      </c>
      <c r="E18" s="58" t="s">
        <v>48</v>
      </c>
      <c r="F18" s="23" t="s">
        <v>41</v>
      </c>
      <c r="G18" s="83">
        <f>SUM(H18:X18)</f>
        <v>1.0654407325285564E-3</v>
      </c>
      <c r="H18" s="56">
        <f>'GHG detailed, absolute'!H18/Production!$D$9*AF_milk_DE</f>
        <v>2.0074241482107996E-5</v>
      </c>
      <c r="I18" s="56">
        <f>'GHG detailed, absolute'!I18/Production!$D$9*AF_milk_DE</f>
        <v>8.3280866382169432E-5</v>
      </c>
      <c r="J18" s="56"/>
      <c r="K18" s="56"/>
      <c r="L18" s="56">
        <f>'GHG detailed, absolute'!L18/Production!$D$9*AF_milk_DE</f>
        <v>6.6115293322462624E-6</v>
      </c>
      <c r="M18" s="56"/>
      <c r="N18" s="56">
        <f>'GHG detailed, absolute'!N18/Production!$D$9*AF_milk_DE</f>
        <v>1.039972845722319E-7</v>
      </c>
      <c r="O18" s="56">
        <f>'GHG detailed, absolute'!O18/Production!$D$9*AF_milk_DE</f>
        <v>3.0476255730082422E-6</v>
      </c>
      <c r="P18" s="56">
        <f>'GHG detailed, absolute'!P18/Production!$D$9*AF_milk_DE</f>
        <v>0</v>
      </c>
      <c r="Q18" s="56">
        <f>'GHG detailed, absolute'!Q18/Production!$D$9*AF_milk_DE</f>
        <v>3.8427142258365697E-4</v>
      </c>
      <c r="R18" s="56">
        <f>'GHG detailed, absolute'!R18/Production!$D$9*AF_milk_DE</f>
        <v>3.8427142258365697E-4</v>
      </c>
      <c r="W18" s="13">
        <f>'GHG detailed, absolute'!W18/Production!$D$9*AF_milk_DE</f>
        <v>1.8130389710117986E-4</v>
      </c>
      <c r="X18" s="53">
        <f>'GHG detailed, absolute'!X18/Production!$D$9*AF_milk_DE</f>
        <v>2.4757302059585618E-6</v>
      </c>
      <c r="Z18" s="84"/>
      <c r="AA18" s="84"/>
    </row>
    <row r="19" spans="1:27" x14ac:dyDescent="0.2">
      <c r="A19" s="23" t="s">
        <v>166</v>
      </c>
      <c r="B19" s="23" t="s">
        <v>167</v>
      </c>
      <c r="C19" s="18" t="s">
        <v>168</v>
      </c>
      <c r="D19" s="58" t="s">
        <v>47</v>
      </c>
      <c r="E19" s="58" t="s">
        <v>48</v>
      </c>
      <c r="F19" s="23" t="s">
        <v>42</v>
      </c>
      <c r="G19" s="83">
        <f>SUM(H19:T19)</f>
        <v>2.1556165764483975E-2</v>
      </c>
      <c r="H19" s="56"/>
      <c r="I19" s="56"/>
      <c r="J19" s="85"/>
      <c r="K19" s="56"/>
      <c r="L19" s="56"/>
      <c r="M19" s="56"/>
      <c r="N19" s="56"/>
      <c r="O19" s="56"/>
      <c r="P19" s="56"/>
      <c r="Q19" s="56"/>
      <c r="R19" s="56"/>
      <c r="S19" s="13">
        <f>'GHG detailed, absolute'!S19/Production!$D$9*AF_milk_DE</f>
        <v>1.8217976552652795E-2</v>
      </c>
      <c r="T19" s="53">
        <f>'GHG detailed, absolute'!T19/Production!$D$9*AF_milk_DE</f>
        <v>3.3381892118311799E-3</v>
      </c>
      <c r="U19" s="86">
        <f>'GHG detailed, absolute'!U19/Production!$D$9*AF_milk_DE</f>
        <v>3.3381892118311799E-3</v>
      </c>
      <c r="W19" s="13"/>
      <c r="X19" s="53"/>
      <c r="Z19" s="84"/>
      <c r="AA19" s="84"/>
    </row>
    <row r="20" spans="1:27" ht="15" customHeight="1" x14ac:dyDescent="0.2">
      <c r="A20" s="23" t="s">
        <v>166</v>
      </c>
      <c r="B20" s="23" t="s">
        <v>167</v>
      </c>
      <c r="C20" s="18" t="s">
        <v>168</v>
      </c>
      <c r="D20" s="58" t="s">
        <v>47</v>
      </c>
      <c r="E20" s="58" t="s">
        <v>48</v>
      </c>
      <c r="F20" s="87" t="s">
        <v>43</v>
      </c>
      <c r="G20" s="83">
        <f>SUM(H20:T20)+W20+X20</f>
        <v>6.0727653502971825E-4</v>
      </c>
      <c r="H20" s="56">
        <f>'GHG detailed, absolute'!H20/Production!$D$9*AF_milk_DE</f>
        <v>2.6843205582967361E-5</v>
      </c>
      <c r="I20" s="56">
        <f>'GHG detailed, absolute'!I20/Production!$D$9*AF_milk_DE</f>
        <v>9.643047686356463E-7</v>
      </c>
      <c r="J20" s="56">
        <f>'GHG detailed, absolute'!J20/Production!$D$9*AF_milk_DE</f>
        <v>2.6145934830854023E-4</v>
      </c>
      <c r="K20" s="84">
        <f>'GHG detailed, absolute'!K20/Production!$D$9*AF_milk_DE</f>
        <v>2.6145934830854021E-5</v>
      </c>
      <c r="L20" s="56">
        <f>'GHG detailed, absolute'!L20/Production!$D$9*AF_milk_DE</f>
        <v>4.0105619499798923E-7</v>
      </c>
      <c r="M20" s="56"/>
      <c r="N20" s="56">
        <f>'GHG detailed, absolute'!N20/Production!$D$9*AF_milk_DE</f>
        <v>1.3087359153246325E-9</v>
      </c>
      <c r="O20" s="56">
        <f>'GHG detailed, absolute'!O20/Production!$D$9*AF_milk_DE</f>
        <v>1.6254877568428921E-7</v>
      </c>
      <c r="P20" s="56">
        <f>'GHG detailed, absolute'!P20/Production!$D$9*AF_milk_DE</f>
        <v>0</v>
      </c>
      <c r="Q20" s="56">
        <f>'GHG detailed, absolute'!Q20/Production!$D$9*AF_milk_DE</f>
        <v>3.4538071386120797E-5</v>
      </c>
      <c r="R20" s="56">
        <f>'GHG detailed, absolute'!R20/Production!$D$9*AF_milk_DE</f>
        <v>3.4538071386120797E-5</v>
      </c>
      <c r="S20" s="13"/>
      <c r="T20" s="53">
        <f>'GHG detailed, absolute'!T20/Production!$D$9*AF_milk_DE</f>
        <v>2.1793438796561493E-4</v>
      </c>
      <c r="U20" s="88">
        <f>'GHG detailed, absolute'!U20/Production!$D$9*AF_milk_DE</f>
        <v>1.3026640169864866E-4</v>
      </c>
      <c r="V20" s="88">
        <f>'GHG detailed, absolute'!V20/Production!$D$9*AF_milk_DE</f>
        <v>8.7667986266966316E-5</v>
      </c>
      <c r="W20" s="13">
        <f>'GHG detailed, absolute'!W20/Production!$D$9*AF_milk_DE</f>
        <v>4.2449309461497656E-6</v>
      </c>
      <c r="X20" s="53">
        <f>'GHG detailed, absolute'!X20/Production!$D$9*AF_milk_DE</f>
        <v>4.3366148117082301E-8</v>
      </c>
      <c r="Z20" s="84"/>
      <c r="AA20" s="84"/>
    </row>
    <row r="21" spans="1:27" ht="15" customHeight="1" x14ac:dyDescent="0.2">
      <c r="A21" s="89" t="s">
        <v>166</v>
      </c>
      <c r="B21" s="89" t="s">
        <v>167</v>
      </c>
      <c r="C21" s="90" t="s">
        <v>168</v>
      </c>
      <c r="D21" s="91" t="s">
        <v>47</v>
      </c>
      <c r="E21" s="91" t="s">
        <v>48</v>
      </c>
      <c r="F21" s="92" t="s">
        <v>44</v>
      </c>
      <c r="G21" s="102">
        <f>SUM(H21:X21)</f>
        <v>1.047263498007142</v>
      </c>
      <c r="H21" s="94">
        <f>SUMPRODUCT(H17:H20,'Parameters, general'!$B$24:$B$27)</f>
        <v>2.9641135829340588E-2</v>
      </c>
      <c r="I21" s="94">
        <f>SUMPRODUCT(I17:I20,'Parameters, general'!$B$24:$B$27)</f>
        <v>2.6414323886537493E-2</v>
      </c>
      <c r="J21" s="94">
        <f>SUMPRODUCT(J17:J20,'Parameters, general'!$B$24:$B$27)</f>
        <v>7.1378402088231485E-2</v>
      </c>
      <c r="K21" s="94">
        <f>SUMPRODUCT(K17:K20,'Parameters, general'!$B$24:$B$27)</f>
        <v>7.1378402088231475E-3</v>
      </c>
      <c r="L21" s="94">
        <f>SUMPRODUCT(L17:L20,'Parameters, general'!$B$24:$B$27)</f>
        <v>1.5232093446829173E-2</v>
      </c>
      <c r="M21" s="94">
        <f>SUMPRODUCT(M17:M20,'Parameters, general'!$B$24:$B$27)</f>
        <v>0</v>
      </c>
      <c r="N21" s="94">
        <f>SUMPRODUCT(N17:N20,'Parameters, general'!$B$24:$B$27)</f>
        <v>3.5059605441745957E-5</v>
      </c>
      <c r="O21" s="94">
        <f>SUMPRODUCT(O17:O20,'Parameters, general'!$B$24:$B$27)</f>
        <v>4.6746896055487736E-3</v>
      </c>
      <c r="P21" s="94">
        <f>SUMPRODUCT(P17:P20,'Parameters, general'!$B$24:$B$27)</f>
        <v>1.926756618640783E-2</v>
      </c>
      <c r="Q21" s="94">
        <f>SUMPRODUCT(Q17:Q20,'Parameters, general'!$B$24:$B$27)</f>
        <v>6.4759271748519392E-2</v>
      </c>
      <c r="R21" s="94">
        <f>SUMPRODUCT(R17:R20,'Parameters, general'!$B$24:$B$27)</f>
        <v>6.4759271748519392E-2</v>
      </c>
      <c r="S21" s="94">
        <f>SUMPRODUCT(S17:S20,'Parameters, general'!$B$24:$B$27)</f>
        <v>0.49188536692162549</v>
      </c>
      <c r="T21" s="94">
        <f>SUMPRODUCT(T17:T20,'Parameters, general'!$B$24:$B$27)</f>
        <v>0.14962719663405472</v>
      </c>
      <c r="U21" s="94"/>
      <c r="V21" s="94"/>
      <c r="W21" s="94">
        <f>SUMPRODUCT(W17:W20,'Parameters, general'!$B$24:$B$27)</f>
        <v>0.10134181205413194</v>
      </c>
      <c r="X21" s="94">
        <f>SUMPRODUCT(X17:X20,'Parameters, general'!$B$24:$B$27)</f>
        <v>1.1094680431309463E-3</v>
      </c>
      <c r="Z21" s="95">
        <f>SUM(H21:R21)</f>
        <v>0.30329965435419903</v>
      </c>
      <c r="AA21" s="96">
        <f>'CO2 per kg feed'!F52+'CH4 per kg feed'!F52*CF_GWP_CH4_fossil+'N2O per kg feed'!F52*CF_GWP_N2O</f>
        <v>0.25510783728508007</v>
      </c>
    </row>
    <row r="22" spans="1:27" ht="15" customHeight="1" x14ac:dyDescent="0.2">
      <c r="A22" s="74" t="s">
        <v>166</v>
      </c>
      <c r="B22" s="74" t="s">
        <v>167</v>
      </c>
      <c r="C22" s="75" t="s">
        <v>168</v>
      </c>
      <c r="D22" s="58" t="s">
        <v>49</v>
      </c>
      <c r="E22" s="58" t="s">
        <v>50</v>
      </c>
      <c r="F22" s="97" t="s">
        <v>40</v>
      </c>
      <c r="G22" s="78">
        <f>SUM(H22:X22)</f>
        <v>0.43306998196080509</v>
      </c>
      <c r="H22" s="78">
        <f>'GHG detailed, absolute'!H22/Production!$E$9*AF_milk_GR</f>
        <v>5.7680424275432615E-2</v>
      </c>
      <c r="I22" s="78">
        <f>'GHG detailed, absolute'!I22/Production!$E$9*AF_milk_GR</f>
        <v>2.4171613054920476E-2</v>
      </c>
      <c r="J22" s="78"/>
      <c r="K22" s="78"/>
      <c r="L22" s="78">
        <f>'GHG detailed, absolute'!L22/Production!$E$9*AF_milk_GR</f>
        <v>3.1904428897856524E-2</v>
      </c>
      <c r="M22" s="78"/>
      <c r="N22" s="78">
        <f>'GHG detailed, absolute'!N22/Production!$E$9*AF_milk_GR</f>
        <v>4.0057675237806494E-3</v>
      </c>
      <c r="O22" s="78">
        <f>'GHG detailed, absolute'!O22/Production!$E$9*AF_milk_GR</f>
        <v>1.9621094024977193E-2</v>
      </c>
      <c r="P22" s="78">
        <f>'GHG detailed, absolute'!P22/Production!$E$9*AF_milk_GR</f>
        <v>2.5821298036887503E-2</v>
      </c>
      <c r="Q22" s="78">
        <f>'GHG detailed, absolute'!Q22/Production!$E$9*AF_milk_GR</f>
        <v>5.3472637505026052E-2</v>
      </c>
      <c r="R22" s="78">
        <f>'GHG detailed, absolute'!R22/Production!$E$9*AF_milk_GR</f>
        <v>5.3472637505026052E-2</v>
      </c>
      <c r="S22" s="79"/>
      <c r="T22" s="80"/>
      <c r="U22" s="81"/>
      <c r="V22" s="81"/>
      <c r="W22" s="79">
        <f>'GHG detailed, absolute'!W22/Production!$E$9*AF_milk_GR</f>
        <v>0.1614290937773096</v>
      </c>
      <c r="X22" s="82">
        <f>'GHG detailed, absolute'!X22/Production!$E$9*AF_milk_GR</f>
        <v>1.4909873595883544E-3</v>
      </c>
      <c r="Z22" s="83"/>
      <c r="AA22" s="83"/>
    </row>
    <row r="23" spans="1:27" x14ac:dyDescent="0.2">
      <c r="A23" s="23" t="s">
        <v>166</v>
      </c>
      <c r="B23" s="23" t="s">
        <v>167</v>
      </c>
      <c r="C23" s="18" t="s">
        <v>168</v>
      </c>
      <c r="D23" s="58" t="s">
        <v>49</v>
      </c>
      <c r="E23" s="58" t="s">
        <v>50</v>
      </c>
      <c r="F23" s="23" t="s">
        <v>41</v>
      </c>
      <c r="G23" s="83">
        <f>SUM(H23:X23)</f>
        <v>1.0722308387032795E-3</v>
      </c>
      <c r="H23" s="56">
        <f>'GHG detailed, absolute'!H23/Production!$E$9*AF_milk_GR</f>
        <v>1.2116123511410685E-6</v>
      </c>
      <c r="I23" s="56">
        <f>'GHG detailed, absolute'!I23/Production!$E$9*AF_milk_GR</f>
        <v>8.5048268156201714E-5</v>
      </c>
      <c r="J23" s="56"/>
      <c r="K23" s="56"/>
      <c r="L23" s="56">
        <f>'GHG detailed, absolute'!L23/Production!$E$9*AF_milk_GR</f>
        <v>1.4132586193821336E-5</v>
      </c>
      <c r="M23" s="56"/>
      <c r="N23" s="56">
        <f>'GHG detailed, absolute'!N23/Production!$E$9*AF_milk_GR</f>
        <v>1.2197881700604625E-5</v>
      </c>
      <c r="O23" s="56">
        <f>'GHG detailed, absolute'!O23/Production!$E$9*AF_milk_GR</f>
        <v>1.6098129272695217E-5</v>
      </c>
      <c r="P23" s="56">
        <f>'GHG detailed, absolute'!P23/Production!$E$9*AF_milk_GR</f>
        <v>0</v>
      </c>
      <c r="Q23" s="56">
        <f>'GHG detailed, absolute'!Q23/Production!$E$9*AF_milk_GR</f>
        <v>3.0978140350136223E-4</v>
      </c>
      <c r="R23" s="56">
        <f>'GHG detailed, absolute'!R23/Production!$E$9*AF_milk_GR</f>
        <v>3.0978140350136223E-4</v>
      </c>
      <c r="W23" s="13">
        <f>'GHG detailed, absolute'!W23/Production!$E$9*AF_milk_GR</f>
        <v>3.2045938042290519E-4</v>
      </c>
      <c r="X23" s="53">
        <f>'GHG detailed, absolute'!X23/Production!$E$9*AF_milk_GR</f>
        <v>3.5201736031860273E-6</v>
      </c>
      <c r="Z23" s="84"/>
      <c r="AA23" s="84"/>
    </row>
    <row r="24" spans="1:27" x14ac:dyDescent="0.2">
      <c r="A24" s="23" t="s">
        <v>166</v>
      </c>
      <c r="B24" s="23" t="s">
        <v>167</v>
      </c>
      <c r="C24" s="18" t="s">
        <v>168</v>
      </c>
      <c r="D24" s="58" t="s">
        <v>49</v>
      </c>
      <c r="E24" s="58" t="s">
        <v>50</v>
      </c>
      <c r="F24" s="23" t="s">
        <v>42</v>
      </c>
      <c r="G24" s="83">
        <f>SUM(H24:T24)</f>
        <v>1.949126063649009E-2</v>
      </c>
      <c r="H24" s="56"/>
      <c r="I24" s="56"/>
      <c r="J24" s="85"/>
      <c r="K24" s="56"/>
      <c r="L24" s="56"/>
      <c r="M24" s="56"/>
      <c r="N24" s="56"/>
      <c r="O24" s="56"/>
      <c r="P24" s="56"/>
      <c r="Q24" s="56"/>
      <c r="R24" s="56"/>
      <c r="S24" s="13">
        <f>'GHG detailed, absolute'!S24/Production!$E$9*AF_milk_GR</f>
        <v>1.7815051291187236E-2</v>
      </c>
      <c r="T24" s="53">
        <f>'GHG detailed, absolute'!T24/Production!$E$9*AF_milk_GR</f>
        <v>1.6762093453028539E-3</v>
      </c>
      <c r="U24" s="86">
        <f>'GHG detailed, absolute'!U24/Production!$E$9*AF_milk_GR</f>
        <v>1.6762093453028539E-3</v>
      </c>
      <c r="W24" s="13"/>
      <c r="X24" s="53"/>
      <c r="Z24" s="84"/>
      <c r="AA24" s="84"/>
    </row>
    <row r="25" spans="1:27" ht="15" customHeight="1" x14ac:dyDescent="0.2">
      <c r="A25" s="23" t="s">
        <v>166</v>
      </c>
      <c r="B25" s="23" t="s">
        <v>167</v>
      </c>
      <c r="C25" s="18" t="s">
        <v>168</v>
      </c>
      <c r="D25" s="58" t="s">
        <v>49</v>
      </c>
      <c r="E25" s="58" t="s">
        <v>50</v>
      </c>
      <c r="F25" s="87" t="s">
        <v>43</v>
      </c>
      <c r="G25" s="83">
        <f>SUM(H25:T25)+W25+X25</f>
        <v>9.0498954232349951E-4</v>
      </c>
      <c r="H25" s="56">
        <f>'GHG detailed, absolute'!H25/Production!$E$9*AF_milk_GR</f>
        <v>6.6610741626739982E-6</v>
      </c>
      <c r="I25" s="56">
        <f>'GHG detailed, absolute'!I25/Production!$E$9*AF_milk_GR</f>
        <v>9.847694207560198E-7</v>
      </c>
      <c r="J25" s="56">
        <f>'GHG detailed, absolute'!J25/Production!$E$9*AF_milk_GR</f>
        <v>4.7961453634261919E-4</v>
      </c>
      <c r="K25" s="84">
        <f>'GHG detailed, absolute'!K25/Production!$E$9*AF_milk_GR</f>
        <v>4.7961453634261919E-5</v>
      </c>
      <c r="L25" s="56">
        <f>'GHG detailed, absolute'!L25/Production!$E$9*AF_milk_GR</f>
        <v>8.5728444351458547E-7</v>
      </c>
      <c r="M25" s="56"/>
      <c r="N25" s="56">
        <f>'GHG detailed, absolute'!N25/Production!$E$9*AF_milk_GR</f>
        <v>1.7049093565748377E-7</v>
      </c>
      <c r="O25" s="56">
        <f>'GHG detailed, absolute'!O25/Production!$E$9*AF_milk_GR</f>
        <v>6.9282968619300934E-7</v>
      </c>
      <c r="P25" s="56">
        <f>'GHG detailed, absolute'!P25/Production!$E$9*AF_milk_GR</f>
        <v>0</v>
      </c>
      <c r="Q25" s="56">
        <f>'GHG detailed, absolute'!Q25/Production!$E$9*AF_milk_GR</f>
        <v>2.4293189186123672E-5</v>
      </c>
      <c r="R25" s="56">
        <f>'GHG detailed, absolute'!R25/Production!$E$9*AF_milk_GR</f>
        <v>2.4293189186123672E-5</v>
      </c>
      <c r="S25" s="13"/>
      <c r="T25" s="53">
        <f>'GHG detailed, absolute'!T25/Production!$E$9*AF_milk_GR</f>
        <v>3.1385470531517526E-4</v>
      </c>
      <c r="U25" s="88">
        <f>'GHG detailed, absolute'!U25/Production!$E$9*AF_milk_GR</f>
        <v>2.3593319090558476E-4</v>
      </c>
      <c r="V25" s="88">
        <f>'GHG detailed, absolute'!V25/Production!$E$9*AF_milk_GR</f>
        <v>7.792151440959046E-5</v>
      </c>
      <c r="W25" s="13">
        <f>'GHG detailed, absolute'!W25/Production!$E$9*AF_milk_GR</f>
        <v>5.555188318857985E-6</v>
      </c>
      <c r="X25" s="53">
        <f>'GHG detailed, absolute'!X25/Production!$E$9*AF_milk_GR</f>
        <v>5.0831691542829249E-8</v>
      </c>
      <c r="Z25" s="84"/>
      <c r="AA25" s="84"/>
    </row>
    <row r="26" spans="1:27" ht="15" customHeight="1" x14ac:dyDescent="0.2">
      <c r="A26" s="89" t="s">
        <v>166</v>
      </c>
      <c r="B26" s="89" t="s">
        <v>167</v>
      </c>
      <c r="C26" s="90" t="s">
        <v>168</v>
      </c>
      <c r="D26" s="100" t="s">
        <v>49</v>
      </c>
      <c r="E26" s="100" t="s">
        <v>50</v>
      </c>
      <c r="F26" s="92" t="s">
        <v>44</v>
      </c>
      <c r="G26" s="102">
        <f>SUM(H26:X26)</f>
        <v>1.2383486431937105</v>
      </c>
      <c r="H26" s="94">
        <f>SUMPRODUCT(H22:H25,'Parameters, general'!$B$24:$B$27)</f>
        <v>5.9535003569906625E-2</v>
      </c>
      <c r="I26" s="94">
        <f>SUMPRODUCT(I22:I25,'Parameters, general'!$B$24:$B$27)</f>
        <v>2.6974893497841681E-2</v>
      </c>
      <c r="J26" s="94">
        <f>SUMPRODUCT(J22:J25,'Parameters, general'!$B$24:$B$27)</f>
        <v>0.13093476842153504</v>
      </c>
      <c r="K26" s="94">
        <f>SUMPRODUCT(K22:K25,'Parameters, general'!$B$24:$B$27)</f>
        <v>1.3093476842153505E-2</v>
      </c>
      <c r="L26" s="94">
        <f>SUMPRODUCT(L22:L25,'Parameters, general'!$B$24:$B$27)</f>
        <v>3.2559618619511885E-2</v>
      </c>
      <c r="M26" s="94">
        <f>SUMPRODUCT(M22:M25,'Parameters, general'!$B$24:$B$27)</f>
        <v>0</v>
      </c>
      <c r="N26" s="94">
        <f>SUMPRODUCT(N22:N25,'Parameters, general'!$B$24:$B$27)</f>
        <v>4.4158084238931604E-3</v>
      </c>
      <c r="O26" s="94">
        <f>SUMPRODUCT(O22:O25,'Parameters, general'!$B$24:$B$27)</f>
        <v>2.0289960781634201E-2</v>
      </c>
      <c r="P26" s="94">
        <f>SUMPRODUCT(P22:P25,'Parameters, general'!$B$24:$B$27)</f>
        <v>2.5821298036887503E-2</v>
      </c>
      <c r="Q26" s="94">
        <f>SUMPRODUCT(Q22:Q25,'Parameters, general'!$B$24:$B$27)</f>
        <v>6.9336163977178414E-2</v>
      </c>
      <c r="R26" s="94">
        <f>SUMPRODUCT(R22:R25,'Parameters, general'!$B$24:$B$27)</f>
        <v>6.9336163977178414E-2</v>
      </c>
      <c r="S26" s="94">
        <f>SUMPRODUCT(S22:S25,'Parameters, general'!$B$24:$B$27)</f>
        <v>0.48100638486205538</v>
      </c>
      <c r="T26" s="94">
        <f>SUMPRODUCT(T22:T25,'Parameters, general'!$B$24:$B$27)</f>
        <v>0.1309399868742199</v>
      </c>
      <c r="U26" s="94"/>
      <c r="V26" s="94"/>
      <c r="W26" s="94">
        <f>SUMPRODUCT(W22:W25,'Parameters, general'!$B$24:$B$27)</f>
        <v>0.17249534972496039</v>
      </c>
      <c r="X26" s="94">
        <f>SUMPRODUCT(X22:X25,'Parameters, general'!$B$24:$B$27)</f>
        <v>1.6097655847544905E-3</v>
      </c>
      <c r="Z26" s="95">
        <f>SUM(H26:R26)</f>
        <v>0.45229715614772037</v>
      </c>
      <c r="AA26" s="96">
        <f>'CO2 per kg feed'!F68+'CH4 per kg feed'!F68*CF_GWP_CH4_fossil+'N2O per kg feed'!F68*CF_GWP_N2O</f>
        <v>0.41434258645591121</v>
      </c>
    </row>
    <row r="27" spans="1:27" ht="15" customHeight="1" x14ac:dyDescent="0.2">
      <c r="A27" s="74" t="s">
        <v>166</v>
      </c>
      <c r="B27" s="74" t="s">
        <v>167</v>
      </c>
      <c r="C27" s="75" t="s">
        <v>168</v>
      </c>
      <c r="D27" s="76" t="s">
        <v>51</v>
      </c>
      <c r="E27" s="76" t="s">
        <v>52</v>
      </c>
      <c r="F27" s="77" t="s">
        <v>40</v>
      </c>
      <c r="G27" s="78">
        <f>SUM(H27:X27)</f>
        <v>0.42042419902979966</v>
      </c>
      <c r="H27" s="78">
        <f>'GHG detailed, absolute'!H27/Production!$F$9*AF_milk_HU</f>
        <v>3.3344591247985902E-2</v>
      </c>
      <c r="I27" s="78">
        <f>'GHG detailed, absolute'!I27/Production!$F$9*AF_milk_HU</f>
        <v>2.2096344159203096E-2</v>
      </c>
      <c r="J27" s="78"/>
      <c r="K27" s="78"/>
      <c r="L27" s="78">
        <f>'GHG detailed, absolute'!L27/Production!$F$9*AF_milk_HU</f>
        <v>2.5864673148537572E-2</v>
      </c>
      <c r="M27" s="78"/>
      <c r="N27" s="78">
        <f>'GHG detailed, absolute'!N27/Production!$F$9*AF_milk_HU</f>
        <v>1.0882726947002134E-4</v>
      </c>
      <c r="O27" s="78">
        <f>'GHG detailed, absolute'!O27/Production!$F$9*AF_milk_HU</f>
        <v>1.5977849173199988E-2</v>
      </c>
      <c r="P27" s="78">
        <f>'GHG detailed, absolute'!P27/Production!$F$9*AF_milk_HU</f>
        <v>3.5692685790726951E-2</v>
      </c>
      <c r="Q27" s="78">
        <f>'GHG detailed, absolute'!Q27/Production!$F$9*AF_milk_HU</f>
        <v>9.9569604956279256E-2</v>
      </c>
      <c r="R27" s="78">
        <f>'GHG detailed, absolute'!R27/Production!$F$9*AF_milk_HU</f>
        <v>9.9569604956279256E-2</v>
      </c>
      <c r="S27" s="79"/>
      <c r="T27" s="80"/>
      <c r="U27" s="81"/>
      <c r="V27" s="81"/>
      <c r="W27" s="79">
        <f>'GHG detailed, absolute'!W27/Production!$F$9*AF_milk_HU</f>
        <v>8.7052366268748405E-2</v>
      </c>
      <c r="X27" s="82">
        <f>'GHG detailed, absolute'!X27/Production!$F$9*AF_milk_HU</f>
        <v>1.1476520593692177E-3</v>
      </c>
      <c r="Z27" s="83"/>
      <c r="AA27" s="83"/>
    </row>
    <row r="28" spans="1:27" x14ac:dyDescent="0.2">
      <c r="A28" s="23" t="s">
        <v>166</v>
      </c>
      <c r="B28" s="23" t="s">
        <v>167</v>
      </c>
      <c r="C28" s="18" t="s">
        <v>168</v>
      </c>
      <c r="D28" s="58" t="s">
        <v>51</v>
      </c>
      <c r="E28" s="58" t="s">
        <v>52</v>
      </c>
      <c r="F28" s="23" t="s">
        <v>41</v>
      </c>
      <c r="G28" s="83">
        <f>SUM(H28:X28)</f>
        <v>1.2766861780550273E-3</v>
      </c>
      <c r="H28" s="56">
        <f>'GHG detailed, absolute'!H28/Production!$F$9*AF_milk_HU</f>
        <v>1.7628713710874493E-6</v>
      </c>
      <c r="I28" s="56">
        <f>'GHG detailed, absolute'!I28/Production!$F$9*AF_milk_HU</f>
        <v>7.7746396115714567E-5</v>
      </c>
      <c r="J28" s="56"/>
      <c r="K28" s="56"/>
      <c r="L28" s="56">
        <f>'GHG detailed, absolute'!L28/Production!$F$9*AF_milk_HU</f>
        <v>1.1457178055654885E-5</v>
      </c>
      <c r="M28" s="56"/>
      <c r="N28" s="56">
        <f>'GHG detailed, absolute'!N28/Production!$F$9*AF_milk_HU</f>
        <v>3.2957773482356394E-7</v>
      </c>
      <c r="O28" s="56">
        <f>'GHG detailed, absolute'!O28/Production!$F$9*AF_milk_HU</f>
        <v>1.3018592093226129E-5</v>
      </c>
      <c r="P28" s="56">
        <f>'GHG detailed, absolute'!P28/Production!$F$9*AF_milk_HU</f>
        <v>0</v>
      </c>
      <c r="Q28" s="56">
        <f>'GHG detailed, absolute'!Q28/Production!$F$9*AF_milk_HU</f>
        <v>4.746067732645555E-4</v>
      </c>
      <c r="R28" s="56">
        <f>'GHG detailed, absolute'!R28/Production!$F$9*AF_milk_HU</f>
        <v>4.746067732645555E-4</v>
      </c>
      <c r="W28" s="13">
        <f>'GHG detailed, absolute'!W28/Production!$F$9*AF_milk_HU</f>
        <v>2.1979558996412798E-4</v>
      </c>
      <c r="X28" s="53">
        <f>'GHG detailed, absolute'!X28/Production!$F$9*AF_milk_HU</f>
        <v>3.3624261912816372E-6</v>
      </c>
      <c r="Z28" s="84"/>
      <c r="AA28" s="84"/>
    </row>
    <row r="29" spans="1:27" x14ac:dyDescent="0.2">
      <c r="A29" s="23" t="s">
        <v>166</v>
      </c>
      <c r="B29" s="23" t="s">
        <v>167</v>
      </c>
      <c r="C29" s="18" t="s">
        <v>168</v>
      </c>
      <c r="D29" s="58" t="s">
        <v>51</v>
      </c>
      <c r="E29" s="58" t="s">
        <v>52</v>
      </c>
      <c r="F29" s="23" t="s">
        <v>42</v>
      </c>
      <c r="G29" s="83">
        <f>SUM(H29:T29)</f>
        <v>2.1642644281902886E-2</v>
      </c>
      <c r="H29" s="56"/>
      <c r="I29" s="56"/>
      <c r="J29" s="85"/>
      <c r="K29" s="56"/>
      <c r="L29" s="56"/>
      <c r="M29" s="56"/>
      <c r="N29" s="56"/>
      <c r="O29" s="56"/>
      <c r="P29" s="56"/>
      <c r="Q29" s="56"/>
      <c r="R29" s="56"/>
      <c r="S29" s="13">
        <f>'GHG detailed, absolute'!S29/Production!$F$9*AF_milk_HU</f>
        <v>1.8460353129748565E-2</v>
      </c>
      <c r="T29" s="53">
        <f>'GHG detailed, absolute'!T29/Production!$F$9*AF_milk_HU</f>
        <v>3.182291152154322E-3</v>
      </c>
      <c r="U29" s="86">
        <f>'GHG detailed, absolute'!U29/Production!$F$9*AF_milk_HU</f>
        <v>3.182291152154322E-3</v>
      </c>
      <c r="W29" s="13"/>
      <c r="X29" s="53"/>
      <c r="Z29" s="84"/>
      <c r="AA29" s="84"/>
    </row>
    <row r="30" spans="1:27" ht="15" customHeight="1" x14ac:dyDescent="0.2">
      <c r="A30" s="23" t="s">
        <v>166</v>
      </c>
      <c r="B30" s="23" t="s">
        <v>167</v>
      </c>
      <c r="C30" s="18" t="s">
        <v>168</v>
      </c>
      <c r="D30" s="58" t="s">
        <v>51</v>
      </c>
      <c r="E30" s="58" t="s">
        <v>52</v>
      </c>
      <c r="F30" s="87" t="s">
        <v>43</v>
      </c>
      <c r="G30" s="83">
        <f>SUM(H30:T30)+W30+X30</f>
        <v>8.6838691687705753E-4</v>
      </c>
      <c r="H30" s="56">
        <f>'GHG detailed, absolute'!H30/Production!$F$9*AF_milk_HU</f>
        <v>1.4524636435088373E-5</v>
      </c>
      <c r="I30" s="56">
        <f>'GHG detailed, absolute'!I30/Production!$F$9*AF_milk_HU</f>
        <v>9.0022142870827412E-7</v>
      </c>
      <c r="J30" s="56">
        <f>'GHG detailed, absolute'!J30/Production!$F$9*AF_milk_HU</f>
        <v>3.9724193079944989E-4</v>
      </c>
      <c r="K30" s="84">
        <f>'GHG detailed, absolute'!K30/Production!$F$9*AF_milk_HU</f>
        <v>3.9724193079944991E-5</v>
      </c>
      <c r="L30" s="56">
        <f>'GHG detailed, absolute'!L30/Production!$F$9*AF_milk_HU</f>
        <v>6.949938517257202E-7</v>
      </c>
      <c r="M30" s="56"/>
      <c r="N30" s="56">
        <f>'GHG detailed, absolute'!N30/Production!$F$9*AF_milk_HU</f>
        <v>4.6403099143196115E-9</v>
      </c>
      <c r="O30" s="56">
        <f>'GHG detailed, absolute'!O30/Production!$F$9*AF_milk_HU</f>
        <v>5.690502881087051E-7</v>
      </c>
      <c r="P30" s="56">
        <f>'GHG detailed, absolute'!P30/Production!$F$9*AF_milk_HU</f>
        <v>0</v>
      </c>
      <c r="Q30" s="56">
        <f>'GHG detailed, absolute'!Q30/Production!$F$9*AF_milk_HU</f>
        <v>2.9592662369195287E-5</v>
      </c>
      <c r="R30" s="56">
        <f>'GHG detailed, absolute'!R30/Production!$F$9*AF_milk_HU</f>
        <v>2.9592662369195287E-5</v>
      </c>
      <c r="S30" s="13"/>
      <c r="T30" s="53">
        <f>'GHG detailed, absolute'!T30/Production!$F$9*AF_milk_HU</f>
        <v>3.5245237396061926E-4</v>
      </c>
      <c r="U30" s="88">
        <f>'GHG detailed, absolute'!U30/Production!$F$9*AF_milk_HU</f>
        <v>2.5817282064915186E-4</v>
      </c>
      <c r="V30" s="88">
        <f>'GHG detailed, absolute'!V30/Production!$F$9*AF_milk_HU</f>
        <v>9.4279553311467468E-5</v>
      </c>
      <c r="W30" s="13">
        <f>'GHG detailed, absolute'!W30/Production!$F$9*AF_milk_HU</f>
        <v>3.0499909593638789E-6</v>
      </c>
      <c r="X30" s="53">
        <f>'GHG detailed, absolute'!X30/Production!$F$9*AF_milk_HU</f>
        <v>3.9561025743497368E-8</v>
      </c>
      <c r="Z30" s="84"/>
      <c r="AA30" s="84"/>
    </row>
    <row r="31" spans="1:27" ht="15" customHeight="1" x14ac:dyDescent="0.2">
      <c r="A31" s="89" t="s">
        <v>166</v>
      </c>
      <c r="B31" s="89" t="s">
        <v>167</v>
      </c>
      <c r="C31" s="90" t="s">
        <v>168</v>
      </c>
      <c r="D31" s="91" t="s">
        <v>51</v>
      </c>
      <c r="E31" s="91" t="s">
        <v>52</v>
      </c>
      <c r="F31" s="92" t="s">
        <v>44</v>
      </c>
      <c r="G31" s="102">
        <f>SUM(H31:X31)</f>
        <v>1.2798904710546539</v>
      </c>
      <c r="H31" s="94">
        <f>SUMPRODUCT(H27:H30,'Parameters, general'!$B$24:$B$27)</f>
        <v>3.7362350561623438E-2</v>
      </c>
      <c r="I31" s="94">
        <f>SUMPRODUCT(I27:I30,'Parameters, general'!$B$24:$B$27)</f>
        <v>2.4658947213488748E-2</v>
      </c>
      <c r="J31" s="94">
        <f>SUMPRODUCT(J27:J30,'Parameters, general'!$B$24:$B$27)</f>
        <v>0.10844704710824982</v>
      </c>
      <c r="K31" s="94">
        <f>SUMPRODUCT(K27:K30,'Parameters, general'!$B$24:$B$27)</f>
        <v>1.0844704710824982E-2</v>
      </c>
      <c r="L31" s="94">
        <f>SUMPRODUCT(L27:L30,'Parameters, general'!$B$24:$B$27)</f>
        <v>2.6395830376117212E-2</v>
      </c>
      <c r="M31" s="94">
        <f>SUMPRODUCT(M27:M30,'Parameters, general'!$B$24:$B$27)</f>
        <v>0</v>
      </c>
      <c r="N31" s="94">
        <f>SUMPRODUCT(N27:N30,'Parameters, general'!$B$24:$B$27)</f>
        <v>1.199154905743728E-4</v>
      </c>
      <c r="O31" s="94">
        <f>SUMPRODUCT(O27:O30,'Parameters, general'!$B$24:$B$27)</f>
        <v>1.6521153946231805E-2</v>
      </c>
      <c r="P31" s="94">
        <f>SUMPRODUCT(P27:P30,'Parameters, general'!$B$24:$B$27)</f>
        <v>3.5692685790726951E-2</v>
      </c>
      <c r="Q31" s="94">
        <f>SUMPRODUCT(Q27:Q30,'Parameters, general'!$B$24:$B$27)</f>
        <v>0.12179168362635333</v>
      </c>
      <c r="R31" s="94">
        <f>SUMPRODUCT(R27:R30,'Parameters, general'!$B$24:$B$27)</f>
        <v>0.12179168362635333</v>
      </c>
      <c r="S31" s="94">
        <f>SUMPRODUCT(S27:S30,'Parameters, general'!$B$24:$B$27)</f>
        <v>0.49842953450321126</v>
      </c>
      <c r="T31" s="94">
        <f>SUMPRODUCT(T27:T30,'Parameters, general'!$B$24:$B$27)</f>
        <v>0.18214135919941576</v>
      </c>
      <c r="U31" s="94"/>
      <c r="V31" s="94"/>
      <c r="W31" s="94">
        <f>SUMPRODUCT(W27:W30,'Parameters, general'!$B$24:$B$27)</f>
        <v>9.4434922381585767E-2</v>
      </c>
      <c r="X31" s="94">
        <f>SUMPRODUCT(X27:X30,'Parameters, general'!$B$24:$B$27)</f>
        <v>1.2586525198973854E-3</v>
      </c>
      <c r="Z31" s="95">
        <f>SUM(H31:R31)</f>
        <v>0.50362600245054401</v>
      </c>
      <c r="AA31" s="96">
        <f>'CO2 per kg feed'!F84+'CH4 per kg feed'!F84*CF_GWP_CH4_fossil+'N2O per kg feed'!F84*CF_GWP_N2O</f>
        <v>0.41909611704687277</v>
      </c>
    </row>
    <row r="32" spans="1:27" ht="15" customHeight="1" x14ac:dyDescent="0.2">
      <c r="A32" s="74" t="s">
        <v>166</v>
      </c>
      <c r="B32" s="74" t="s">
        <v>167</v>
      </c>
      <c r="C32" s="75" t="s">
        <v>168</v>
      </c>
      <c r="D32" s="76" t="s">
        <v>53</v>
      </c>
      <c r="E32" s="76" t="s">
        <v>54</v>
      </c>
      <c r="F32" s="77" t="s">
        <v>40</v>
      </c>
      <c r="G32" s="78">
        <f>SUM(H32:X32)</f>
        <v>0.13988284398850387</v>
      </c>
      <c r="H32" s="78">
        <f>'GHG detailed, absolute'!H32/Production!$G$9*AF_milk_IE</f>
        <v>2.3357645423086753E-2</v>
      </c>
      <c r="I32" s="78">
        <f>'GHG detailed, absolute'!I32/Production!$G$9*AF_milk_IE</f>
        <v>2.8358406268406463E-2</v>
      </c>
      <c r="J32" s="78"/>
      <c r="K32" s="78"/>
      <c r="L32" s="78">
        <f>'GHG detailed, absolute'!L32/Production!$G$9*AF_milk_IE</f>
        <v>1.6829335353134026E-2</v>
      </c>
      <c r="M32" s="78"/>
      <c r="N32" s="78">
        <f>'GHG detailed, absolute'!N32/Production!$G$9*AF_milk_IE</f>
        <v>6.6962263799300804E-5</v>
      </c>
      <c r="O32" s="78">
        <f>'GHG detailed, absolute'!O32/Production!$G$9*AF_milk_IE</f>
        <v>5.5404202066424843E-3</v>
      </c>
      <c r="P32" s="78">
        <f>'GHG detailed, absolute'!P32/Production!$G$9*AF_milk_IE</f>
        <v>2.6265211744056294E-3</v>
      </c>
      <c r="Q32" s="78">
        <f>'GHG detailed, absolute'!Q32/Production!$G$9*AF_milk_IE</f>
        <v>7.1204915249448797E-3</v>
      </c>
      <c r="R32" s="78">
        <f>'GHG detailed, absolute'!R32/Production!$G$9*AF_milk_IE</f>
        <v>7.1204915249448797E-3</v>
      </c>
      <c r="S32" s="79"/>
      <c r="T32" s="80"/>
      <c r="U32" s="81"/>
      <c r="V32" s="81"/>
      <c r="W32" s="79">
        <f>'GHG detailed, absolute'!W32/Production!$G$9*AF_milk_IE</f>
        <v>4.7742951940475481E-2</v>
      </c>
      <c r="X32" s="82">
        <f>'GHG detailed, absolute'!X32/Production!$G$9*AF_milk_IE</f>
        <v>1.1196183086639572E-3</v>
      </c>
      <c r="Z32" s="83"/>
      <c r="AA32" s="83"/>
    </row>
    <row r="33" spans="1:27" x14ac:dyDescent="0.2">
      <c r="A33" s="23" t="s">
        <v>166</v>
      </c>
      <c r="B33" s="23" t="s">
        <v>167</v>
      </c>
      <c r="C33" s="18" t="s">
        <v>168</v>
      </c>
      <c r="D33" s="58" t="s">
        <v>53</v>
      </c>
      <c r="E33" s="58" t="s">
        <v>54</v>
      </c>
      <c r="F33" s="23" t="s">
        <v>41</v>
      </c>
      <c r="G33" s="83">
        <f>SUM(H33:X33)</f>
        <v>1.9079909823461322E-4</v>
      </c>
      <c r="H33" s="56">
        <f>'GHG detailed, absolute'!H33/Production!$G$9*AF_milk_IE</f>
        <v>9.4555392780746258E-7</v>
      </c>
      <c r="I33" s="56">
        <f>'GHG detailed, absolute'!I33/Production!$G$9*AF_milk_IE</f>
        <v>9.9779577611059793E-5</v>
      </c>
      <c r="J33" s="56"/>
      <c r="K33" s="56"/>
      <c r="L33" s="56">
        <f>'GHG detailed, absolute'!L33/Production!$G$9*AF_milk_IE</f>
        <v>7.4548280812157171E-6</v>
      </c>
      <c r="M33" s="56"/>
      <c r="N33" s="56">
        <f>'GHG detailed, absolute'!N33/Production!$G$9*AF_milk_IE</f>
        <v>1.984220427644786E-7</v>
      </c>
      <c r="O33" s="56">
        <f>'GHG detailed, absolute'!O33/Production!$G$9*AF_milk_IE</f>
        <v>2.8963123025061598E-6</v>
      </c>
      <c r="P33" s="56">
        <f>'GHG detailed, absolute'!P33/Production!$G$9*AF_milk_IE</f>
        <v>0</v>
      </c>
      <c r="Q33" s="56">
        <f>'GHG detailed, absolute'!Q33/Production!$G$9*AF_milk_IE</f>
        <v>1.3006337395253191E-5</v>
      </c>
      <c r="R33" s="56">
        <f>'GHG detailed, absolute'!R33/Production!$G$9*AF_milk_IE</f>
        <v>1.3006337395253191E-5</v>
      </c>
      <c r="W33" s="13">
        <f>'GHG detailed, absolute'!W33/Production!$G$9*AF_milk_IE</f>
        <v>5.145179735572434E-5</v>
      </c>
      <c r="X33" s="53">
        <f>'GHG detailed, absolute'!X33/Production!$G$9*AF_milk_IE</f>
        <v>2.0599321230289509E-6</v>
      </c>
      <c r="Z33" s="84"/>
      <c r="AA33" s="84"/>
    </row>
    <row r="34" spans="1:27" x14ac:dyDescent="0.2">
      <c r="A34" s="23" t="s">
        <v>166</v>
      </c>
      <c r="B34" s="23" t="s">
        <v>167</v>
      </c>
      <c r="C34" s="18" t="s">
        <v>168</v>
      </c>
      <c r="D34" s="58" t="s">
        <v>53</v>
      </c>
      <c r="E34" s="58" t="s">
        <v>54</v>
      </c>
      <c r="F34" s="23" t="s">
        <v>42</v>
      </c>
      <c r="G34" s="83">
        <f>SUM(H34:T34)</f>
        <v>2.3271935760252483E-2</v>
      </c>
      <c r="H34" s="56"/>
      <c r="I34" s="56"/>
      <c r="J34" s="85"/>
      <c r="K34" s="56"/>
      <c r="L34" s="56"/>
      <c r="M34" s="56"/>
      <c r="N34" s="56"/>
      <c r="O34" s="56"/>
      <c r="P34" s="56"/>
      <c r="Q34" s="56"/>
      <c r="R34" s="56"/>
      <c r="S34" s="13">
        <f>'GHG detailed, absolute'!S34/Production!$G$9*AF_milk_IE</f>
        <v>2.0711845678507475E-2</v>
      </c>
      <c r="T34" s="53">
        <f>'GHG detailed, absolute'!T34/Production!$G$9*AF_milk_IE</f>
        <v>2.560090081745008E-3</v>
      </c>
      <c r="U34" s="86">
        <f>'GHG detailed, absolute'!U34/Production!$G$9*AF_milk_IE</f>
        <v>2.560090081745008E-3</v>
      </c>
      <c r="W34" s="13"/>
      <c r="X34" s="53"/>
      <c r="Z34" s="84"/>
      <c r="AA34" s="84"/>
    </row>
    <row r="35" spans="1:27" ht="15" customHeight="1" x14ac:dyDescent="0.2">
      <c r="A35" s="23" t="s">
        <v>166</v>
      </c>
      <c r="B35" s="23" t="s">
        <v>167</v>
      </c>
      <c r="C35" s="18" t="s">
        <v>168</v>
      </c>
      <c r="D35" s="58" t="s">
        <v>53</v>
      </c>
      <c r="E35" s="58" t="s">
        <v>54</v>
      </c>
      <c r="F35" s="87" t="s">
        <v>43</v>
      </c>
      <c r="G35" s="83">
        <f>SUM(H35:T35)+W35+X35</f>
        <v>6.0627249205846877E-4</v>
      </c>
      <c r="H35" s="56">
        <f>'GHG detailed, absolute'!H35/Production!$G$9*AF_milk_IE</f>
        <v>9.0512679871570595E-6</v>
      </c>
      <c r="I35" s="56">
        <f>'GHG detailed, absolute'!I35/Production!$G$9*AF_milk_IE</f>
        <v>1.1553424776017449E-6</v>
      </c>
      <c r="J35" s="56">
        <f>'GHG detailed, absolute'!J35/Production!$G$9*AF_milk_IE</f>
        <v>3.7061414220114898E-4</v>
      </c>
      <c r="K35" s="84">
        <f>'GHG detailed, absolute'!K35/Production!$G$9*AF_milk_IE</f>
        <v>3.7061414220114897E-5</v>
      </c>
      <c r="L35" s="56">
        <f>'GHG detailed, absolute'!L35/Production!$G$9*AF_milk_IE</f>
        <v>4.5221080242878549E-7</v>
      </c>
      <c r="M35" s="56"/>
      <c r="N35" s="56">
        <f>'GHG detailed, absolute'!N35/Production!$G$9*AF_milk_IE</f>
        <v>2.8756737256708292E-9</v>
      </c>
      <c r="O35" s="56">
        <f>'GHG detailed, absolute'!O35/Production!$G$9*AF_milk_IE</f>
        <v>1.9957770370247692E-7</v>
      </c>
      <c r="P35" s="56">
        <f>'GHG detailed, absolute'!P35/Production!$G$9*AF_milk_IE</f>
        <v>0</v>
      </c>
      <c r="Q35" s="56">
        <f>'GHG detailed, absolute'!Q35/Production!$G$9*AF_milk_IE</f>
        <v>8.2317798659636804E-7</v>
      </c>
      <c r="R35" s="56">
        <f>'GHG detailed, absolute'!R35/Production!$G$9*AF_milk_IE</f>
        <v>8.2317798659636804E-7</v>
      </c>
      <c r="S35" s="13"/>
      <c r="T35" s="53">
        <f>'GHG detailed, absolute'!T35/Production!$G$9*AF_milk_IE</f>
        <v>1.842953735748617E-4</v>
      </c>
      <c r="U35" s="88">
        <f>'GHG detailed, absolute'!U35/Production!$G$9*AF_milk_IE</f>
        <v>1.2886322271673541E-4</v>
      </c>
      <c r="V35" s="88">
        <f>'GHG detailed, absolute'!V35/Production!$G$9*AF_milk_IE</f>
        <v>5.5432150858126291E-5</v>
      </c>
      <c r="W35" s="13">
        <f>'GHG detailed, absolute'!W35/Production!$G$9*AF_milk_IE</f>
        <v>1.7539119693350117E-6</v>
      </c>
      <c r="X35" s="53">
        <f>'GHG detailed, absolute'!X35/Production!$G$9*AF_milk_IE</f>
        <v>4.0019475199722354E-8</v>
      </c>
      <c r="Z35" s="84"/>
      <c r="AA35" s="84"/>
    </row>
    <row r="36" spans="1:27" ht="15" customHeight="1" x14ac:dyDescent="0.2">
      <c r="A36" s="89" t="s">
        <v>166</v>
      </c>
      <c r="B36" s="89" t="s">
        <v>167</v>
      </c>
      <c r="C36" s="90" t="s">
        <v>168</v>
      </c>
      <c r="D36" s="100" t="s">
        <v>53</v>
      </c>
      <c r="E36" s="100" t="s">
        <v>54</v>
      </c>
      <c r="F36" s="92" t="s">
        <v>44</v>
      </c>
      <c r="G36" s="102">
        <f>SUM(H36:X36)</f>
        <v>0.93942331297467441</v>
      </c>
      <c r="H36" s="94">
        <f>SUMPRODUCT(H32:H35,'Parameters, general'!$B$24:$B$27)</f>
        <v>2.5856819090629292E-2</v>
      </c>
      <c r="I36" s="94">
        <f>SUMPRODUCT(I32:I35,'Parameters, general'!$B$24:$B$27)</f>
        <v>3.1647246177601319E-2</v>
      </c>
      <c r="J36" s="94">
        <f>SUMPRODUCT(J32:J35,'Parameters, general'!$B$24:$B$27)</f>
        <v>0.10117766082091367</v>
      </c>
      <c r="K36" s="94">
        <f>SUMPRODUCT(K32:K35,'Parameters, general'!$B$24:$B$27)</f>
        <v>1.0117766082091367E-2</v>
      </c>
      <c r="L36" s="94">
        <f>SUMPRODUCT(L32:L35,'Parameters, general'!$B$24:$B$27)</f>
        <v>1.7174942779017311E-2</v>
      </c>
      <c r="M36" s="94">
        <f>SUMPRODUCT(M32:M35,'Parameters, general'!$B$24:$B$27)</f>
        <v>0</v>
      </c>
      <c r="N36" s="94">
        <f>SUMPRODUCT(N32:N35,'Parameters, general'!$B$24:$B$27)</f>
        <v>7.3660299600790394E-5</v>
      </c>
      <c r="O36" s="94">
        <f>SUMPRODUCT(O32:O35,'Parameters, general'!$B$24:$B$27)</f>
        <v>5.6812150263679442E-3</v>
      </c>
      <c r="P36" s="94">
        <f>SUMPRODUCT(P32:P35,'Parameters, general'!$B$24:$B$27)</f>
        <v>2.6265211744056294E-3</v>
      </c>
      <c r="Q36" s="94">
        <f>SUMPRODUCT(Q32:Q35,'Parameters, general'!$B$24:$B$27)</f>
        <v>7.732807969664233E-3</v>
      </c>
      <c r="R36" s="94">
        <f>SUMPRODUCT(R32:R35,'Parameters, general'!$B$24:$B$27)</f>
        <v>7.732807969664233E-3</v>
      </c>
      <c r="S36" s="94">
        <f>SUMPRODUCT(S32:S35,'Parameters, general'!$B$24:$B$27)</f>
        <v>0.55921983331970182</v>
      </c>
      <c r="T36" s="94">
        <f>SUMPRODUCT(T32:T35,'Parameters, general'!$B$24:$B$27)</f>
        <v>0.11943506919305245</v>
      </c>
      <c r="U36" s="94"/>
      <c r="V36" s="94"/>
      <c r="W36" s="94">
        <f>SUMPRODUCT(W32:W35,'Parameters, general'!$B$24:$B$27)</f>
        <v>4.9755033469304523E-2</v>
      </c>
      <c r="X36" s="94">
        <f>SUMPRODUCT(X32:X35,'Parameters, general'!$B$24:$B$27)</f>
        <v>1.1919296026597441E-3</v>
      </c>
      <c r="Z36" s="95">
        <f>SUM(H36:R36)</f>
        <v>0.20982144738995581</v>
      </c>
      <c r="AA36" s="96">
        <f>'CO2 per kg feed'!F100+'CH4 per kg feed'!F100*CF_GWP_CH4_fossil+'N2O per kg feed'!F100*CF_GWP_N2O</f>
        <v>0.13884603052089586</v>
      </c>
    </row>
    <row r="37" spans="1:27" ht="15" customHeight="1" x14ac:dyDescent="0.2">
      <c r="A37" s="74" t="s">
        <v>166</v>
      </c>
      <c r="B37" s="74" t="s">
        <v>167</v>
      </c>
      <c r="C37" s="75" t="s">
        <v>168</v>
      </c>
      <c r="D37" s="76" t="s">
        <v>55</v>
      </c>
      <c r="E37" s="76" t="s">
        <v>56</v>
      </c>
      <c r="F37" s="77" t="s">
        <v>40</v>
      </c>
      <c r="G37" s="78">
        <f>SUM(H37:X37)</f>
        <v>0.34128923063434696</v>
      </c>
      <c r="H37" s="78">
        <f>'GHG detailed, absolute'!H37/Production!$H$9*AF_milk_IT</f>
        <v>1.9822745177860989E-2</v>
      </c>
      <c r="I37" s="78">
        <f>'GHG detailed, absolute'!I37/Production!$H$9*AF_milk_IT</f>
        <v>2.1540831879400851E-2</v>
      </c>
      <c r="J37" s="78"/>
      <c r="K37" s="78"/>
      <c r="L37" s="78">
        <f>'GHG detailed, absolute'!L37/Production!$H$9*AF_milk_IT</f>
        <v>1.4071747973671958E-2</v>
      </c>
      <c r="M37" s="78"/>
      <c r="N37" s="78">
        <f>'GHG detailed, absolute'!N37/Production!$H$9*AF_milk_IT</f>
        <v>2.300634826724668E-4</v>
      </c>
      <c r="O37" s="78">
        <f>'GHG detailed, absolute'!O37/Production!$H$9*AF_milk_IT</f>
        <v>5.1846824274218379E-3</v>
      </c>
      <c r="P37" s="78">
        <f>'GHG detailed, absolute'!P37/Production!$H$9*AF_milk_IT</f>
        <v>3.554266692632152E-2</v>
      </c>
      <c r="Q37" s="78">
        <f>'GHG detailed, absolute'!Q37/Production!$H$9*AF_milk_IT</f>
        <v>7.4949403020679123E-2</v>
      </c>
      <c r="R37" s="78">
        <f>'GHG detailed, absolute'!R37/Production!$H$9*AF_milk_IT</f>
        <v>7.4949403020679123E-2</v>
      </c>
      <c r="S37" s="79"/>
      <c r="T37" s="80"/>
      <c r="U37" s="81"/>
      <c r="V37" s="81"/>
      <c r="W37" s="79">
        <f>'GHG detailed, absolute'!W37/Production!$H$9*AF_milk_IT</f>
        <v>9.3961900016211727E-2</v>
      </c>
      <c r="X37" s="82">
        <f>'GHG detailed, absolute'!X37/Production!$H$9*AF_milk_IT</f>
        <v>1.0357867094273937E-3</v>
      </c>
      <c r="Z37" s="83"/>
      <c r="AA37" s="83"/>
    </row>
    <row r="38" spans="1:27" x14ac:dyDescent="0.2">
      <c r="A38" s="23" t="s">
        <v>166</v>
      </c>
      <c r="B38" s="23" t="s">
        <v>167</v>
      </c>
      <c r="C38" s="18" t="s">
        <v>168</v>
      </c>
      <c r="D38" s="58" t="s">
        <v>55</v>
      </c>
      <c r="E38" s="58" t="s">
        <v>56</v>
      </c>
      <c r="F38" s="23" t="s">
        <v>41</v>
      </c>
      <c r="G38" s="83">
        <f>SUM(H38:X38)</f>
        <v>1.5417531273863581E-3</v>
      </c>
      <c r="H38" s="56">
        <f>'GHG detailed, absolute'!H38/Production!$H$9*AF_milk_IT</f>
        <v>3.0269552738954136E-6</v>
      </c>
      <c r="I38" s="56">
        <f>'GHG detailed, absolute'!I38/Production!$H$9*AF_milk_IT</f>
        <v>7.5791815871965954E-5</v>
      </c>
      <c r="J38" s="56"/>
      <c r="K38" s="56"/>
      <c r="L38" s="56">
        <f>'GHG detailed, absolute'!L38/Production!$H$9*AF_milk_IT</f>
        <v>6.2333098571468405E-6</v>
      </c>
      <c r="M38" s="56"/>
      <c r="N38" s="56">
        <f>'GHG detailed, absolute'!N38/Production!$H$9*AF_milk_IT</f>
        <v>7.4416453003611461E-7</v>
      </c>
      <c r="O38" s="56">
        <f>'GHG detailed, absolute'!O38/Production!$H$9*AF_milk_IT</f>
        <v>4.5275143744630764E-6</v>
      </c>
      <c r="P38" s="56">
        <f>'GHG detailed, absolute'!P38/Production!$H$9*AF_milk_IT</f>
        <v>0</v>
      </c>
      <c r="Q38" s="56">
        <f>'GHG detailed, absolute'!Q38/Production!$H$9*AF_milk_IT</f>
        <v>5.1920655060558785E-4</v>
      </c>
      <c r="R38" s="56">
        <f>'GHG detailed, absolute'!R38/Production!$H$9*AF_milk_IT</f>
        <v>5.1920655060558785E-4</v>
      </c>
      <c r="W38" s="13">
        <f>'GHG detailed, absolute'!W38/Production!$H$9*AF_milk_IT</f>
        <v>4.0847358791222126E-4</v>
      </c>
      <c r="X38" s="53">
        <f>'GHG detailed, absolute'!X38/Production!$H$9*AF_milk_IT</f>
        <v>4.5426783554538242E-6</v>
      </c>
      <c r="Z38" s="84"/>
      <c r="AA38" s="84"/>
    </row>
    <row r="39" spans="1:27" x14ac:dyDescent="0.2">
      <c r="A39" s="23" t="s">
        <v>166</v>
      </c>
      <c r="B39" s="23" t="s">
        <v>167</v>
      </c>
      <c r="C39" s="18" t="s">
        <v>168</v>
      </c>
      <c r="D39" s="58" t="s">
        <v>55</v>
      </c>
      <c r="E39" s="58" t="s">
        <v>56</v>
      </c>
      <c r="F39" s="23" t="s">
        <v>42</v>
      </c>
      <c r="G39" s="83">
        <f>SUM(H39:T39)</f>
        <v>2.4715089853343399E-2</v>
      </c>
      <c r="H39" s="56"/>
      <c r="I39" s="56"/>
      <c r="J39" s="85"/>
      <c r="K39" s="56"/>
      <c r="L39" s="56"/>
      <c r="M39" s="56"/>
      <c r="N39" s="56"/>
      <c r="O39" s="56"/>
      <c r="P39" s="56"/>
      <c r="Q39" s="56"/>
      <c r="R39" s="56"/>
      <c r="S39" s="13">
        <f>'GHG detailed, absolute'!S39/Production!$H$9*AF_milk_IT</f>
        <v>1.9963522158270203E-2</v>
      </c>
      <c r="T39" s="53">
        <f>'GHG detailed, absolute'!T39/Production!$H$9*AF_milk_IT</f>
        <v>4.7515676950731969E-3</v>
      </c>
      <c r="U39" s="86">
        <f>'GHG detailed, absolute'!U39/Production!$H$9*AF_milk_IT</f>
        <v>4.7515676950731969E-3</v>
      </c>
      <c r="W39" s="13"/>
      <c r="X39" s="53"/>
      <c r="Z39" s="84"/>
      <c r="AA39" s="84"/>
    </row>
    <row r="40" spans="1:27" ht="15" customHeight="1" x14ac:dyDescent="0.2">
      <c r="A40" s="23" t="s">
        <v>166</v>
      </c>
      <c r="B40" s="23" t="s">
        <v>167</v>
      </c>
      <c r="C40" s="18" t="s">
        <v>168</v>
      </c>
      <c r="D40" s="58" t="s">
        <v>55</v>
      </c>
      <c r="E40" s="58" t="s">
        <v>56</v>
      </c>
      <c r="F40" s="87" t="s">
        <v>43</v>
      </c>
      <c r="G40" s="83">
        <f>SUM(H40:T40)+W40+X40</f>
        <v>6.5003108324202278E-4</v>
      </c>
      <c r="H40" s="56">
        <f>'GHG detailed, absolute'!H40/Production!$H$9*AF_milk_IT</f>
        <v>4.1284171326657247E-6</v>
      </c>
      <c r="I40" s="56">
        <f>'GHG detailed, absolute'!I40/Production!$H$9*AF_milk_IT</f>
        <v>8.7758944693855318E-7</v>
      </c>
      <c r="J40" s="56">
        <f>'GHG detailed, absolute'!J40/Production!$H$9*AF_milk_IT</f>
        <v>2.5616827961909695E-4</v>
      </c>
      <c r="K40" s="84">
        <f>'GHG detailed, absolute'!K40/Production!$H$9*AF_milk_IT</f>
        <v>2.5616827961909692E-5</v>
      </c>
      <c r="L40" s="56">
        <f>'GHG detailed, absolute'!L40/Production!$H$9*AF_milk_IT</f>
        <v>3.7811335440319836E-7</v>
      </c>
      <c r="M40" s="56"/>
      <c r="N40" s="56">
        <f>'GHG detailed, absolute'!N40/Production!$H$9*AF_milk_IT</f>
        <v>9.5877063281005151E-9</v>
      </c>
      <c r="O40" s="56">
        <f>'GHG detailed, absolute'!O40/Production!$H$9*AF_milk_IT</f>
        <v>1.9062930368768484E-7</v>
      </c>
      <c r="P40" s="56">
        <f>'GHG detailed, absolute'!P40/Production!$H$9*AF_milk_IT</f>
        <v>0</v>
      </c>
      <c r="Q40" s="56">
        <f>'GHG detailed, absolute'!Q40/Production!$H$9*AF_milk_IT</f>
        <v>3.0526233702059595E-5</v>
      </c>
      <c r="R40" s="56">
        <f>'GHG detailed, absolute'!R40/Production!$H$9*AF_milk_IT</f>
        <v>3.0526233702059595E-5</v>
      </c>
      <c r="S40" s="13"/>
      <c r="T40" s="53">
        <f>'GHG detailed, absolute'!T40/Production!$H$9*AF_milk_IT</f>
        <v>2.9747781546119617E-4</v>
      </c>
      <c r="U40" s="88">
        <f>'GHG detailed, absolute'!U40/Production!$H$9*AF_milk_IT</f>
        <v>1.9581165191297792E-4</v>
      </c>
      <c r="V40" s="88">
        <f>'GHG detailed, absolute'!V40/Production!$H$9*AF_milk_IT</f>
        <v>1.0166616354821829E-4</v>
      </c>
      <c r="W40" s="13">
        <f>'GHG detailed, absolute'!W40/Production!$H$9*AF_milk_IT</f>
        <v>4.0889398682025376E-6</v>
      </c>
      <c r="X40" s="53">
        <f>'GHG detailed, absolute'!X40/Production!$H$9*AF_milk_IT</f>
        <v>4.2415983474865509E-8</v>
      </c>
      <c r="Z40" s="84"/>
      <c r="AA40" s="84"/>
    </row>
    <row r="41" spans="1:27" ht="15" customHeight="1" x14ac:dyDescent="0.2">
      <c r="A41" s="89" t="s">
        <v>166</v>
      </c>
      <c r="B41" s="89" t="s">
        <v>167</v>
      </c>
      <c r="C41" s="90" t="s">
        <v>168</v>
      </c>
      <c r="D41" s="91" t="s">
        <v>55</v>
      </c>
      <c r="E41" s="91" t="s">
        <v>56</v>
      </c>
      <c r="F41" s="92" t="s">
        <v>44</v>
      </c>
      <c r="G41" s="102">
        <f>SUM(H41:X41)</f>
        <v>1.2319993855958047</v>
      </c>
      <c r="H41" s="94">
        <f>SUMPRODUCT(H37:H40,'Parameters, general'!$B$24:$B$27)</f>
        <v>2.1040006322240817E-2</v>
      </c>
      <c r="I41" s="94">
        <f>SUMPRODUCT(I37:I40,'Parameters, general'!$B$24:$B$27)</f>
        <v>2.4039009911399661E-2</v>
      </c>
      <c r="J41" s="94">
        <f>SUMPRODUCT(J37:J40,'Parameters, general'!$B$24:$B$27)</f>
        <v>6.9933940336013467E-2</v>
      </c>
      <c r="K41" s="94">
        <f>SUMPRODUCT(K37:K40,'Parameters, general'!$B$24:$B$27)</f>
        <v>6.9933940336013457E-3</v>
      </c>
      <c r="L41" s="94">
        <f>SUMPRODUCT(L37:L40,'Parameters, general'!$B$24:$B$27)</f>
        <v>1.4360725553167007E-2</v>
      </c>
      <c r="M41" s="94">
        <f>SUMPRODUCT(M37:M40,'Parameters, general'!$B$24:$B$27)</f>
        <v>0</v>
      </c>
      <c r="N41" s="94">
        <f>SUMPRODUCT(N37:N40,'Parameters, general'!$B$24:$B$27)</f>
        <v>2.5485702949511446E-4</v>
      </c>
      <c r="O41" s="94">
        <f>SUMPRODUCT(O37:O40,'Parameters, general'!$B$24:$B$27)</f>
        <v>5.3716441556875758E-3</v>
      </c>
      <c r="P41" s="94">
        <f>SUMPRODUCT(P37:P40,'Parameters, general'!$B$24:$B$27)</f>
        <v>3.554266692632152E-2</v>
      </c>
      <c r="Q41" s="94">
        <f>SUMPRODUCT(Q37:Q40,'Parameters, general'!$B$24:$B$27)</f>
        <v>9.8755420029387905E-2</v>
      </c>
      <c r="R41" s="94">
        <f>SUMPRODUCT(R37:R40,'Parameters, general'!$B$24:$B$27)</f>
        <v>9.8755420029387905E-2</v>
      </c>
      <c r="S41" s="94">
        <f>SUMPRODUCT(S37:S40,'Parameters, general'!$B$24:$B$27)</f>
        <v>0.53901509827329552</v>
      </c>
      <c r="T41" s="94">
        <f>SUMPRODUCT(T37:T40,'Parameters, general'!$B$24:$B$27)</f>
        <v>0.2095037713878829</v>
      </c>
      <c r="U41" s="94"/>
      <c r="V41" s="94"/>
      <c r="W41" s="94">
        <f>SUMPRODUCT(W37:W40,'Parameters, general'!$B$24:$B$27)</f>
        <v>0.10725069352001521</v>
      </c>
      <c r="X41" s="94">
        <f>SUMPRODUCT(X37:X40,'Parameters, general'!$B$24:$B$27)</f>
        <v>1.1827380879085559E-3</v>
      </c>
      <c r="Z41" s="95">
        <f>SUM(H41:R41)</f>
        <v>0.37504708432670236</v>
      </c>
      <c r="AA41" s="96">
        <f>'CO2 per kg feed'!F116+'CH4 per kg feed'!F116*CF_GWP_CH4_fossil+'N2O per kg feed'!F116*CF_GWP_N2O</f>
        <v>0.29263759769242137</v>
      </c>
    </row>
    <row r="42" spans="1:27" ht="15" customHeight="1" x14ac:dyDescent="0.2">
      <c r="A42" s="74" t="s">
        <v>166</v>
      </c>
      <c r="B42" s="74" t="s">
        <v>167</v>
      </c>
      <c r="C42" s="75" t="s">
        <v>168</v>
      </c>
      <c r="D42" t="s">
        <v>57</v>
      </c>
      <c r="E42" s="58" t="s">
        <v>58</v>
      </c>
      <c r="F42" s="77" t="s">
        <v>40</v>
      </c>
      <c r="G42" s="78">
        <f>SUM(H42:X42)</f>
        <v>0.3221954959863837</v>
      </c>
      <c r="H42" s="78">
        <f>'GHG detailed, absolute'!H42/Production!$I$9*AF_milk_NL</f>
        <v>4.9980877698059686E-2</v>
      </c>
      <c r="I42" s="78">
        <f>'GHG detailed, absolute'!I42/Production!$I$9*AF_milk_NL</f>
        <v>2.238973523625324E-2</v>
      </c>
      <c r="J42" s="78"/>
      <c r="K42" s="78"/>
      <c r="L42" s="78">
        <f>'GHG detailed, absolute'!L42/Production!$I$9*AF_milk_NL</f>
        <v>1.9541520060915123E-2</v>
      </c>
      <c r="M42" s="78"/>
      <c r="N42" s="78">
        <f>'GHG detailed, absolute'!N42/Production!$I$9*AF_milk_NL</f>
        <v>7.7900020781723926E-5</v>
      </c>
      <c r="O42" s="78">
        <f>'GHG detailed, absolute'!O42/Production!$I$9*AF_milk_NL</f>
        <v>1.0162777064803268E-2</v>
      </c>
      <c r="P42" s="78">
        <f>'GHG detailed, absolute'!P42/Production!$I$9*AF_milk_NL</f>
        <v>3.2935739093535164E-2</v>
      </c>
      <c r="Q42" s="78">
        <f>'GHG detailed, absolute'!Q42/Production!$I$9*AF_milk_NL</f>
        <v>2.8320642210912236E-2</v>
      </c>
      <c r="R42" s="78">
        <f>'GHG detailed, absolute'!R42/Production!$I$9*AF_milk_NL</f>
        <v>2.8320642210912236E-2</v>
      </c>
      <c r="S42" s="79"/>
      <c r="T42" s="80"/>
      <c r="U42" s="81"/>
      <c r="V42" s="81"/>
      <c r="W42" s="79">
        <f>'GHG detailed, absolute'!W42/Production!$I$9*AF_milk_NL</f>
        <v>0.12945732596889128</v>
      </c>
      <c r="X42" s="82">
        <f>'GHG detailed, absolute'!X42/Production!$I$9*AF_milk_NL</f>
        <v>1.0083364213197071E-3</v>
      </c>
      <c r="Z42" s="83"/>
      <c r="AA42" s="83"/>
    </row>
    <row r="43" spans="1:27" x14ac:dyDescent="0.2">
      <c r="A43" s="23" t="s">
        <v>166</v>
      </c>
      <c r="B43" s="23" t="s">
        <v>167</v>
      </c>
      <c r="C43" s="18" t="s">
        <v>168</v>
      </c>
      <c r="D43" t="s">
        <v>57</v>
      </c>
      <c r="E43" s="58" t="s">
        <v>58</v>
      </c>
      <c r="F43" s="23" t="s">
        <v>41</v>
      </c>
      <c r="G43" s="83">
        <f>SUM(H43:X43)</f>
        <v>8.3083678870035714E-4</v>
      </c>
      <c r="H43" s="56">
        <f>'GHG detailed, absolute'!H43/Production!$I$9*AF_milk_NL</f>
        <v>2.6048509041711336E-5</v>
      </c>
      <c r="I43" s="56">
        <f>'GHG detailed, absolute'!I43/Production!$I$9*AF_milk_NL</f>
        <v>7.8778698053483612E-5</v>
      </c>
      <c r="J43" s="56"/>
      <c r="K43" s="56"/>
      <c r="L43" s="56">
        <f>'GHG detailed, absolute'!L43/Production!$I$9*AF_milk_NL</f>
        <v>8.6562344526946257E-6</v>
      </c>
      <c r="M43" s="56"/>
      <c r="N43" s="56">
        <f>'GHG detailed, absolute'!N43/Production!$I$9*AF_milk_NL</f>
        <v>2.4958645015219487E-7</v>
      </c>
      <c r="O43" s="56">
        <f>'GHG detailed, absolute'!O43/Production!$I$9*AF_milk_NL</f>
        <v>7.1892578553138351E-6</v>
      </c>
      <c r="P43" s="56">
        <f>'GHG detailed, absolute'!P43/Production!$I$9*AF_milk_NL</f>
        <v>0</v>
      </c>
      <c r="Q43" s="56">
        <f>'GHG detailed, absolute'!Q43/Production!$I$9*AF_milk_NL</f>
        <v>2.2556911168328112E-4</v>
      </c>
      <c r="R43" s="56">
        <f>'GHG detailed, absolute'!R43/Production!$I$9*AF_milk_NL</f>
        <v>2.2556911168328112E-4</v>
      </c>
      <c r="W43" s="13">
        <f>'GHG detailed, absolute'!W43/Production!$I$9*AF_milk_NL</f>
        <v>2.5631072956117497E-4</v>
      </c>
      <c r="X43" s="53">
        <f>'GHG detailed, absolute'!X43/Production!$I$9*AF_milk_NL</f>
        <v>2.4655499192643368E-6</v>
      </c>
      <c r="Z43" s="84"/>
      <c r="AA43" s="84"/>
    </row>
    <row r="44" spans="1:27" x14ac:dyDescent="0.2">
      <c r="A44" s="23" t="s">
        <v>166</v>
      </c>
      <c r="B44" s="23" t="s">
        <v>167</v>
      </c>
      <c r="C44" s="18" t="s">
        <v>168</v>
      </c>
      <c r="D44" t="s">
        <v>57</v>
      </c>
      <c r="E44" s="58" t="s">
        <v>58</v>
      </c>
      <c r="F44" s="23" t="s">
        <v>42</v>
      </c>
      <c r="G44" s="83">
        <f>SUM(H44:T44)</f>
        <v>2.0716864708999781E-2</v>
      </c>
      <c r="H44" s="56"/>
      <c r="I44" s="56"/>
      <c r="J44" s="85"/>
      <c r="K44" s="56"/>
      <c r="L44" s="56"/>
      <c r="M44" s="56"/>
      <c r="N44" s="56"/>
      <c r="O44" s="56"/>
      <c r="P44" s="56"/>
      <c r="Q44" s="56"/>
      <c r="R44" s="56"/>
      <c r="S44" s="13">
        <f>'GHG detailed, absolute'!S44/Production!$I$9*AF_milk_NL</f>
        <v>1.7170627801271335E-2</v>
      </c>
      <c r="T44" s="53">
        <f>'GHG detailed, absolute'!T44/Production!$I$9*AF_milk_NL</f>
        <v>3.5462369077284466E-3</v>
      </c>
      <c r="U44" s="86">
        <f>'GHG detailed, absolute'!U44/Production!$I$9*AF_milk_NL</f>
        <v>3.5462369077284466E-3</v>
      </c>
      <c r="W44" s="13"/>
      <c r="X44" s="53"/>
      <c r="Z44" s="84"/>
      <c r="AA44" s="84"/>
    </row>
    <row r="45" spans="1:27" ht="15" customHeight="1" x14ac:dyDescent="0.2">
      <c r="A45" s="23" t="s">
        <v>166</v>
      </c>
      <c r="B45" s="23" t="s">
        <v>167</v>
      </c>
      <c r="C45" s="18" t="s">
        <v>168</v>
      </c>
      <c r="D45" t="s">
        <v>57</v>
      </c>
      <c r="E45" s="58" t="s">
        <v>58</v>
      </c>
      <c r="F45" s="87" t="s">
        <v>43</v>
      </c>
      <c r="G45" s="83">
        <f>SUM(H45:T45)+W45+X45</f>
        <v>8.5190216025920204E-4</v>
      </c>
      <c r="H45" s="56">
        <f>'GHG detailed, absolute'!H45/Production!$I$9*AF_milk_NL</f>
        <v>4.4542904004336911E-5</v>
      </c>
      <c r="I45" s="56">
        <f>'GHG detailed, absolute'!I45/Production!$I$9*AF_milk_NL</f>
        <v>9.121743985140209E-7</v>
      </c>
      <c r="J45" s="56">
        <f>'GHG detailed, absolute'!J45/Production!$I$9*AF_milk_NL</f>
        <v>5.0908221884058975E-4</v>
      </c>
      <c r="K45" s="84">
        <f>'GHG detailed, absolute'!K45/Production!$I$9*AF_milk_NL</f>
        <v>5.0908221884058979E-5</v>
      </c>
      <c r="L45" s="56">
        <f>'GHG detailed, absolute'!L45/Production!$I$9*AF_milk_NL</f>
        <v>5.2508826296452695E-7</v>
      </c>
      <c r="M45" s="56"/>
      <c r="N45" s="56">
        <f>'GHG detailed, absolute'!N45/Production!$I$9*AF_milk_NL</f>
        <v>3.2576041096400097E-9</v>
      </c>
      <c r="O45" s="56">
        <f>'GHG detailed, absolute'!O45/Production!$I$9*AF_milk_NL</f>
        <v>3.667044381689264E-7</v>
      </c>
      <c r="P45" s="56">
        <f>'GHG detailed, absolute'!P45/Production!$I$9*AF_milk_NL</f>
        <v>0</v>
      </c>
      <c r="Q45" s="56">
        <f>'GHG detailed, absolute'!Q45/Production!$I$9*AF_milk_NL</f>
        <v>2.0353059706625545E-5</v>
      </c>
      <c r="R45" s="56">
        <f>'GHG detailed, absolute'!R45/Production!$I$9*AF_milk_NL</f>
        <v>2.0353059706625545E-5</v>
      </c>
      <c r="S45" s="13"/>
      <c r="T45" s="53">
        <f>'GHG detailed, absolute'!T45/Production!$I$9*AF_milk_NL</f>
        <v>1.9961908991312184E-4</v>
      </c>
      <c r="U45" s="88">
        <f>'GHG detailed, absolute'!U45/Production!$I$9*AF_milk_NL</f>
        <v>1.0894459434285795E-4</v>
      </c>
      <c r="V45" s="88">
        <f>'GHG detailed, absolute'!V45/Production!$I$9*AF_milk_NL</f>
        <v>9.0674495570263895E-5</v>
      </c>
      <c r="W45" s="13">
        <f>'GHG detailed, absolute'!W45/Production!$I$9*AF_milk_NL</f>
        <v>5.1973589008318278E-6</v>
      </c>
      <c r="X45" s="53">
        <f>'GHG detailed, absolute'!X45/Production!$I$9*AF_milk_NL</f>
        <v>3.9022599254400753E-8</v>
      </c>
      <c r="Z45" s="84"/>
      <c r="AA45" s="84"/>
    </row>
    <row r="46" spans="1:27" ht="15" customHeight="1" x14ac:dyDescent="0.2">
      <c r="A46" s="89" t="s">
        <v>166</v>
      </c>
      <c r="B46" s="89" t="s">
        <v>167</v>
      </c>
      <c r="C46" s="90" t="s">
        <v>168</v>
      </c>
      <c r="D46" s="103" t="s">
        <v>57</v>
      </c>
      <c r="E46" s="91" t="s">
        <v>58</v>
      </c>
      <c r="F46" s="92" t="s">
        <v>44</v>
      </c>
      <c r="G46" s="102">
        <f>SUM(H46:X46)</f>
        <v>1.1388790691834108</v>
      </c>
      <c r="H46" s="94">
        <f>SUMPRODUCT(H42:H45,'Parameters, general'!$B$24:$B$27)</f>
        <v>6.2917336060686654E-2</v>
      </c>
      <c r="I46" s="94">
        <f>SUMPRODUCT(I42:I45,'Parameters, general'!$B$24:$B$27)</f>
        <v>2.4986364049041383E-2</v>
      </c>
      <c r="J46" s="94">
        <f>SUMPRODUCT(J42:J45,'Parameters, general'!$B$24:$B$27)</f>
        <v>0.13897944574348101</v>
      </c>
      <c r="K46" s="94">
        <f>SUMPRODUCT(K42:K45,'Parameters, general'!$B$24:$B$27)</f>
        <v>1.3897944574348101E-2</v>
      </c>
      <c r="L46" s="94">
        <f>SUMPRODUCT(L42:L45,'Parameters, general'!$B$24:$B$27)</f>
        <v>1.9942824943394739E-2</v>
      </c>
      <c r="M46" s="94">
        <f>SUMPRODUCT(M42:M45,'Parameters, general'!$B$24:$B$27)</f>
        <v>0</v>
      </c>
      <c r="N46" s="94">
        <f>SUMPRODUCT(N42:N45,'Parameters, general'!$B$24:$B$27)</f>
        <v>8.6227022918191053E-5</v>
      </c>
      <c r="O46" s="94">
        <f>SUMPRODUCT(O42:O45,'Parameters, general'!$B$24:$B$27)</f>
        <v>1.0477127260511738E-2</v>
      </c>
      <c r="P46" s="94">
        <f>SUMPRODUCT(P42:P45,'Parameters, general'!$B$24:$B$27)</f>
        <v>3.2935739093535164E-2</v>
      </c>
      <c r="Q46" s="94">
        <f>SUMPRODUCT(Q42:Q45,'Parameters, general'!$B$24:$B$27)</f>
        <v>4.0598987038982792E-2</v>
      </c>
      <c r="R46" s="94">
        <f>SUMPRODUCT(R42:R45,'Parameters, general'!$B$24:$B$27)</f>
        <v>4.0598987038982792E-2</v>
      </c>
      <c r="S46" s="94">
        <f>SUMPRODUCT(S42:S45,'Parameters, general'!$B$24:$B$27)</f>
        <v>0.46360695063432605</v>
      </c>
      <c r="T46" s="94">
        <f>SUMPRODUCT(T42:T45,'Parameters, general'!$B$24:$B$27)</f>
        <v>0.15024440805495032</v>
      </c>
      <c r="U46" s="94"/>
      <c r="V46" s="94"/>
      <c r="W46" s="94">
        <f>SUMPRODUCT(W42:W45,'Parameters, general'!$B$24:$B$27)</f>
        <v>0.1385142646897414</v>
      </c>
      <c r="X46" s="94">
        <f>SUMPRODUCT(X42:X45,'Parameters, general'!$B$24:$B$27)</f>
        <v>1.0924629785102357E-3</v>
      </c>
      <c r="Z46" s="95">
        <f>SUM(H46:R46)</f>
        <v>0.38542098282588255</v>
      </c>
      <c r="AA46" s="96">
        <f>'CO2 per kg feed'!F132+'CH4 per kg feed'!F132*CF_GWP_CH4_fossil+'N2O per kg feed'!F132*CF_GWP_N2O</f>
        <v>0.39773469528811939</v>
      </c>
    </row>
    <row r="47" spans="1:27" ht="15" customHeight="1" x14ac:dyDescent="0.2">
      <c r="A47" s="74" t="s">
        <v>166</v>
      </c>
      <c r="B47" s="74" t="s">
        <v>167</v>
      </c>
      <c r="C47" s="75" t="s">
        <v>168</v>
      </c>
      <c r="D47" t="s">
        <v>59</v>
      </c>
      <c r="E47" s="58" t="s">
        <v>60</v>
      </c>
      <c r="F47" s="77" t="s">
        <v>40</v>
      </c>
      <c r="G47" s="78">
        <f>SUM(H47:X47)</f>
        <v>0.54193990299804273</v>
      </c>
      <c r="H47" s="78">
        <f>'GHG detailed, absolute'!H47/Production!$J$9*AF_milk_PL</f>
        <v>6.4294129601703706E-2</v>
      </c>
      <c r="I47" s="78">
        <f>'GHG detailed, absolute'!I47/Production!$J$9*AF_milk_PL</f>
        <v>2.4762495354454489E-2</v>
      </c>
      <c r="J47" s="78"/>
      <c r="K47" s="78"/>
      <c r="L47" s="78">
        <f>'GHG detailed, absolute'!L47/Production!$J$9*AF_milk_PL</f>
        <v>3.0457072116177285E-2</v>
      </c>
      <c r="M47" s="78"/>
      <c r="N47" s="78">
        <f>'GHG detailed, absolute'!N47/Production!$J$9*AF_milk_PL</f>
        <v>1.7317497329554917E-4</v>
      </c>
      <c r="O47" s="78">
        <f>'GHG detailed, absolute'!O47/Production!$J$9*AF_milk_PL</f>
        <v>2.2636395149997213E-2</v>
      </c>
      <c r="P47" s="78">
        <f>'GHG detailed, absolute'!P47/Production!$J$9*AF_milk_PL</f>
        <v>2.5194434848400789E-2</v>
      </c>
      <c r="Q47" s="78">
        <f>'GHG detailed, absolute'!Q47/Production!$J$9*AF_milk_PL</f>
        <v>7.1028558660400046E-2</v>
      </c>
      <c r="R47" s="78">
        <f>'GHG detailed, absolute'!R47/Production!$J$9*AF_milk_PL</f>
        <v>7.1028558660400046E-2</v>
      </c>
      <c r="S47" s="79"/>
      <c r="T47" s="80"/>
      <c r="U47" s="81"/>
      <c r="V47" s="81"/>
      <c r="W47" s="79">
        <f>'GHG detailed, absolute'!W47/Production!$J$9*AF_milk_PL</f>
        <v>0.23011567449002313</v>
      </c>
      <c r="X47" s="82">
        <f>'GHG detailed, absolute'!X47/Production!$J$9*AF_milk_PL</f>
        <v>2.2494091431904464E-3</v>
      </c>
      <c r="Z47" s="83"/>
      <c r="AA47" s="83"/>
    </row>
    <row r="48" spans="1:27" x14ac:dyDescent="0.2">
      <c r="A48" s="23" t="s">
        <v>166</v>
      </c>
      <c r="B48" s="23" t="s">
        <v>167</v>
      </c>
      <c r="C48" s="18" t="s">
        <v>168</v>
      </c>
      <c r="D48" t="s">
        <v>59</v>
      </c>
      <c r="E48" s="58" t="s">
        <v>60</v>
      </c>
      <c r="F48" s="23" t="s">
        <v>41</v>
      </c>
      <c r="G48" s="83">
        <f>SUM(H48:X48)</f>
        <v>1.1759613526084172E-3</v>
      </c>
      <c r="H48" s="56">
        <f>'GHG detailed, absolute'!H48/Production!$J$9*AF_milk_PL</f>
        <v>6.0548899188869336E-6</v>
      </c>
      <c r="I48" s="56">
        <f>'GHG detailed, absolute'!I48/Production!$J$9*AF_milk_PL</f>
        <v>8.7127298469376907E-5</v>
      </c>
      <c r="J48" s="56"/>
      <c r="K48" s="56"/>
      <c r="L48" s="56">
        <f>'GHG detailed, absolute'!L48/Production!$J$9*AF_milk_PL</f>
        <v>1.3491455943981075E-5</v>
      </c>
      <c r="M48" s="56"/>
      <c r="N48" s="56">
        <f>'GHG detailed, absolute'!N48/Production!$J$9*AF_milk_PL</f>
        <v>5.1873580587156808E-7</v>
      </c>
      <c r="O48" s="56">
        <f>'GHG detailed, absolute'!O48/Production!$J$9*AF_milk_PL</f>
        <v>1.978781072919735E-5</v>
      </c>
      <c r="P48" s="56">
        <f>'GHG detailed, absolute'!P48/Production!$J$9*AF_milk_PL</f>
        <v>0</v>
      </c>
      <c r="Q48" s="56">
        <f>'GHG detailed, absolute'!Q48/Production!$J$9*AF_milk_PL</f>
        <v>3.0034277554009676E-4</v>
      </c>
      <c r="R48" s="56">
        <f>'GHG detailed, absolute'!R48/Production!$J$9*AF_milk_PL</f>
        <v>3.0034277554009676E-4</v>
      </c>
      <c r="W48" s="13">
        <f>'GHG detailed, absolute'!W48/Production!$J$9*AF_milk_PL</f>
        <v>4.4336369551207236E-4</v>
      </c>
      <c r="X48" s="53">
        <f>'GHG detailed, absolute'!X48/Production!$J$9*AF_milk_PL</f>
        <v>4.9319151488373705E-6</v>
      </c>
      <c r="Z48" s="84"/>
      <c r="AA48" s="84"/>
    </row>
    <row r="49" spans="1:27" x14ac:dyDescent="0.2">
      <c r="A49" s="23" t="s">
        <v>166</v>
      </c>
      <c r="B49" s="23" t="s">
        <v>167</v>
      </c>
      <c r="C49" s="18" t="s">
        <v>168</v>
      </c>
      <c r="D49" t="s">
        <v>59</v>
      </c>
      <c r="E49" s="58" t="s">
        <v>60</v>
      </c>
      <c r="F49" s="23" t="s">
        <v>42</v>
      </c>
      <c r="G49" s="83">
        <f>SUM(H49:T49)</f>
        <v>2.0093091992375321E-2</v>
      </c>
      <c r="H49" s="56"/>
      <c r="I49" s="56"/>
      <c r="J49" s="85"/>
      <c r="K49" s="56"/>
      <c r="L49" s="56"/>
      <c r="M49" s="56"/>
      <c r="N49" s="56"/>
      <c r="O49" s="56"/>
      <c r="P49" s="56"/>
      <c r="Q49" s="56"/>
      <c r="R49" s="56"/>
      <c r="S49" s="13">
        <f>'GHG detailed, absolute'!S49/Production!$J$9*AF_milk_PL</f>
        <v>1.8775408325487318E-2</v>
      </c>
      <c r="T49" s="53">
        <f>'GHG detailed, absolute'!T49/Production!$J$9*AF_milk_PL</f>
        <v>1.3176836668880045E-3</v>
      </c>
      <c r="U49" s="86">
        <f>'GHG detailed, absolute'!U49/Production!$J$9*AF_milk_PL</f>
        <v>1.3176836668880045E-3</v>
      </c>
      <c r="W49" s="13"/>
      <c r="X49" s="53"/>
      <c r="Z49" s="84"/>
      <c r="AA49" s="84"/>
    </row>
    <row r="50" spans="1:27" ht="15" customHeight="1" x14ac:dyDescent="0.2">
      <c r="A50" s="23" t="s">
        <v>166</v>
      </c>
      <c r="B50" s="23" t="s">
        <v>167</v>
      </c>
      <c r="C50" s="18" t="s">
        <v>168</v>
      </c>
      <c r="D50" t="s">
        <v>59</v>
      </c>
      <c r="E50" s="58" t="s">
        <v>60</v>
      </c>
      <c r="F50" s="87" t="s">
        <v>43</v>
      </c>
      <c r="G50" s="83">
        <f>SUM(H50:T50)+W50+X50</f>
        <v>8.3638530675004402E-4</v>
      </c>
      <c r="H50" s="56">
        <f>'GHG detailed, absolute'!H50/Production!$J$9*AF_milk_PL</f>
        <v>1.9895455838304347E-5</v>
      </c>
      <c r="I50" s="56">
        <f>'GHG detailed, absolute'!I50/Production!$J$9*AF_milk_PL</f>
        <v>1.0088424033296277E-6</v>
      </c>
      <c r="J50" s="56">
        <f>'GHG detailed, absolute'!J50/Production!$J$9*AF_milk_PL</f>
        <v>3.890450123776476E-4</v>
      </c>
      <c r="K50" s="84">
        <f>'GHG detailed, absolute'!K50/Production!$J$9*AF_milk_PL</f>
        <v>3.890450123776476E-5</v>
      </c>
      <c r="L50" s="56">
        <f>'GHG detailed, absolute'!L50/Production!$J$9*AF_milk_PL</f>
        <v>8.1839340248948442E-7</v>
      </c>
      <c r="M50" s="56"/>
      <c r="N50" s="56">
        <f>'GHG detailed, absolute'!N50/Production!$J$9*AF_milk_PL</f>
        <v>7.41080120047969E-9</v>
      </c>
      <c r="O50" s="56">
        <f>'GHG detailed, absolute'!O50/Production!$J$9*AF_milk_PL</f>
        <v>7.3381711469195996E-7</v>
      </c>
      <c r="P50" s="56">
        <f>'GHG detailed, absolute'!P50/Production!$J$9*AF_milk_PL</f>
        <v>0</v>
      </c>
      <c r="Q50" s="56">
        <f>'GHG detailed, absolute'!Q50/Production!$J$9*AF_milk_PL</f>
        <v>1.9540398181216544E-5</v>
      </c>
      <c r="R50" s="56">
        <f>'GHG detailed, absolute'!R50/Production!$J$9*AF_milk_PL</f>
        <v>1.9540398181216544E-5</v>
      </c>
      <c r="S50" s="13"/>
      <c r="T50" s="53">
        <f>'GHG detailed, absolute'!T50/Production!$J$9*AF_milk_PL</f>
        <v>3.4269512908921898E-4</v>
      </c>
      <c r="U50" s="88">
        <f>'GHG detailed, absolute'!U50/Production!$J$9*AF_milk_PL</f>
        <v>2.5565264525428212E-4</v>
      </c>
      <c r="V50" s="88">
        <f>'GHG detailed, absolute'!V50/Production!$J$9*AF_milk_PL</f>
        <v>8.7042483834936875E-5</v>
      </c>
      <c r="W50" s="13">
        <f>'GHG detailed, absolute'!W50/Production!$J$9*AF_milk_PL</f>
        <v>4.1520784423711537E-6</v>
      </c>
      <c r="X50" s="53">
        <f>'GHG detailed, absolute'!X50/Production!$J$9*AF_milk_PL</f>
        <v>4.3869680592568341E-8</v>
      </c>
      <c r="Z50" s="84"/>
      <c r="AA50" s="84"/>
    </row>
    <row r="51" spans="1:27" ht="15" customHeight="1" x14ac:dyDescent="0.2">
      <c r="A51" s="89" t="s">
        <v>166</v>
      </c>
      <c r="B51" s="89" t="s">
        <v>167</v>
      </c>
      <c r="C51" s="90" t="s">
        <v>168</v>
      </c>
      <c r="D51" s="103" t="s">
        <v>59</v>
      </c>
      <c r="E51" s="100" t="s">
        <v>60</v>
      </c>
      <c r="F51" s="92" t="s">
        <v>44</v>
      </c>
      <c r="G51" s="102">
        <f>SUM(H51:X51)</f>
        <v>1.3478302238426692</v>
      </c>
      <c r="H51" s="94">
        <f>SUMPRODUCT(H47:H50,'Parameters, general'!$B$24:$B$27)</f>
        <v>6.9906024765143626E-2</v>
      </c>
      <c r="I51" s="94">
        <f>SUMPRODUCT(I47:I50,'Parameters, general'!$B$24:$B$27)</f>
        <v>2.7634302824950909E-2</v>
      </c>
      <c r="J51" s="94">
        <f>SUMPRODUCT(J47:J50,'Parameters, general'!$B$24:$B$27)</f>
        <v>0.10620928837909779</v>
      </c>
      <c r="K51" s="94">
        <f>SUMPRODUCT(K47:K50,'Parameters, general'!$B$24:$B$27)</f>
        <v>1.062092883790978E-2</v>
      </c>
      <c r="L51" s="94">
        <f>SUMPRODUCT(L47:L50,'Parameters, general'!$B$24:$B$27)</f>
        <v>3.108253890218755E-2</v>
      </c>
      <c r="M51" s="94">
        <f>SUMPRODUCT(M47:M50,'Parameters, general'!$B$24:$B$27)</f>
        <v>0</v>
      </c>
      <c r="N51" s="94">
        <f>SUMPRODUCT(N47:N50,'Parameters, general'!$B$24:$B$27)</f>
        <v>1.9065644903825286E-4</v>
      </c>
      <c r="O51" s="94">
        <f>SUMPRODUCT(O47:O50,'Parameters, general'!$B$24:$B$27)</f>
        <v>2.3426403982038199E-2</v>
      </c>
      <c r="P51" s="94">
        <f>SUMPRODUCT(P47:P50,'Parameters, general'!$B$24:$B$27)</f>
        <v>2.5194434848400789E-2</v>
      </c>
      <c r="Q51" s="94">
        <f>SUMPRODUCT(Q47:Q50,'Parameters, general'!$B$24:$B$27)</f>
        <v>8.5313302074967054E-2</v>
      </c>
      <c r="R51" s="94">
        <f>SUMPRODUCT(R47:R50,'Parameters, general'!$B$24:$B$27)</f>
        <v>8.5313302074967054E-2</v>
      </c>
      <c r="S51" s="94">
        <f>SUMPRODUCT(S47:S50,'Parameters, general'!$B$24:$B$27)</f>
        <v>0.50693602478815758</v>
      </c>
      <c r="T51" s="94">
        <f>SUMPRODUCT(T47:T50,'Parameters, general'!$B$24:$B$27)</f>
        <v>0.12913322924733289</v>
      </c>
      <c r="U51" s="94"/>
      <c r="V51" s="94"/>
      <c r="W51" s="94">
        <f>SUMPRODUCT(W47:W50,'Parameters, general'!$B$24:$B$27)</f>
        <v>0.24446143003105023</v>
      </c>
      <c r="X51" s="94">
        <f>SUMPRODUCT(X47:X50,'Parameters, general'!$B$24:$B$27)</f>
        <v>2.4083566374275716E-3</v>
      </c>
      <c r="Z51" s="95">
        <f>SUM(H51:R51)</f>
        <v>0.46489118313870104</v>
      </c>
      <c r="AA51" s="96">
        <f>'CO2 per kg feed'!F148+'CH4 per kg feed'!F148*CF_GWP_CH4_fossil+'N2O per kg feed'!F148*CF_GWP_N2O</f>
        <v>0.377266920852313</v>
      </c>
    </row>
    <row r="52" spans="1:27" ht="15" customHeight="1" x14ac:dyDescent="0.2">
      <c r="A52" s="74" t="s">
        <v>166</v>
      </c>
      <c r="B52" s="74" t="s">
        <v>167</v>
      </c>
      <c r="C52" s="75" t="s">
        <v>168</v>
      </c>
      <c r="D52" t="s">
        <v>61</v>
      </c>
      <c r="E52" s="76" t="s">
        <v>62</v>
      </c>
      <c r="F52" s="77" t="s">
        <v>40</v>
      </c>
      <c r="G52" s="78">
        <f>SUM(H52:X52)</f>
        <v>0.27884907182745344</v>
      </c>
      <c r="H52" s="78">
        <f>'GHG detailed, absolute'!H52/Production!$K$9*AF_milk_ES</f>
        <v>3.9752198847841008E-2</v>
      </c>
      <c r="I52" s="78">
        <f>'GHG detailed, absolute'!I52/Production!$K$9*AF_milk_ES</f>
        <v>2.2490896185691882E-2</v>
      </c>
      <c r="J52" s="78"/>
      <c r="K52" s="78"/>
      <c r="L52" s="78">
        <f>'GHG detailed, absolute'!L52/Production!$K$9*AF_milk_ES</f>
        <v>2.8389898131313197E-2</v>
      </c>
      <c r="M52" s="78"/>
      <c r="N52" s="78">
        <f>'GHG detailed, absolute'!N52/Production!$K$9*AF_milk_ES</f>
        <v>3.599479518611969E-3</v>
      </c>
      <c r="O52" s="78">
        <f>'GHG detailed, absolute'!O52/Production!$K$9*AF_milk_ES</f>
        <v>1.6610221309074174E-2</v>
      </c>
      <c r="P52" s="78">
        <f>'GHG detailed, absolute'!P52/Production!$K$9*AF_milk_ES</f>
        <v>3.0633719351606019E-2</v>
      </c>
      <c r="Q52" s="78">
        <f>'GHG detailed, absolute'!Q52/Production!$K$9*AF_milk_ES</f>
        <v>3.3907858634429223E-2</v>
      </c>
      <c r="R52" s="78">
        <f>'GHG detailed, absolute'!R52/Production!$K$9*AF_milk_ES</f>
        <v>3.3907858634429223E-2</v>
      </c>
      <c r="S52" s="79"/>
      <c r="T52" s="80"/>
      <c r="U52" s="81"/>
      <c r="V52" s="81"/>
      <c r="W52" s="79">
        <f>'GHG detailed, absolute'!W52/Production!$K$9*AF_milk_ES</f>
        <v>6.8856933735205197E-2</v>
      </c>
      <c r="X52" s="82">
        <f>'GHG detailed, absolute'!X52/Production!$K$9*AF_milk_ES</f>
        <v>7.0000747925152735E-4</v>
      </c>
      <c r="Z52" s="83"/>
      <c r="AA52" s="83"/>
    </row>
    <row r="53" spans="1:27" x14ac:dyDescent="0.2">
      <c r="A53" s="23" t="s">
        <v>166</v>
      </c>
      <c r="B53" s="23" t="s">
        <v>167</v>
      </c>
      <c r="C53" s="18" t="s">
        <v>168</v>
      </c>
      <c r="D53" t="s">
        <v>61</v>
      </c>
      <c r="E53" s="58" t="s">
        <v>62</v>
      </c>
      <c r="F53" s="23" t="s">
        <v>41</v>
      </c>
      <c r="G53" s="83">
        <f>SUM(H53:X53)</f>
        <v>7.7041441513269414E-4</v>
      </c>
      <c r="H53" s="56">
        <f>'GHG detailed, absolute'!H53/Production!$K$9*AF_milk_ES</f>
        <v>4.794893728221027E-6</v>
      </c>
      <c r="I53" s="56">
        <f>'GHG detailed, absolute'!I53/Production!$K$9*AF_milk_ES</f>
        <v>7.9134634727434395E-5</v>
      </c>
      <c r="J53" s="56"/>
      <c r="K53" s="56"/>
      <c r="L53" s="56">
        <f>'GHG detailed, absolute'!L53/Production!$K$9*AF_milk_ES</f>
        <v>1.2575767573183128E-5</v>
      </c>
      <c r="M53" s="56"/>
      <c r="N53" s="56">
        <f>'GHG detailed, absolute'!N53/Production!$K$9*AF_milk_ES</f>
        <v>1.0736026060679504E-5</v>
      </c>
      <c r="O53" s="56">
        <f>'GHG detailed, absolute'!O53/Production!$K$9*AF_milk_ES</f>
        <v>1.2533397894497464E-5</v>
      </c>
      <c r="P53" s="56">
        <f>'GHG detailed, absolute'!P53/Production!$K$9*AF_milk_ES</f>
        <v>0</v>
      </c>
      <c r="Q53" s="56">
        <f>'GHG detailed, absolute'!Q53/Production!$K$9*AF_milk_ES</f>
        <v>2.1766767861414144E-4</v>
      </c>
      <c r="R53" s="56">
        <f>'GHG detailed, absolute'!R53/Production!$K$9*AF_milk_ES</f>
        <v>2.1766767861414144E-4</v>
      </c>
      <c r="W53" s="13">
        <f>'GHG detailed, absolute'!W53/Production!$K$9*AF_milk_ES</f>
        <v>2.1284733952528227E-4</v>
      </c>
      <c r="X53" s="53">
        <f>'GHG detailed, absolute'!X53/Production!$K$9*AF_milk_ES</f>
        <v>2.4569983951135475E-6</v>
      </c>
      <c r="Z53" s="84"/>
      <c r="AA53" s="84"/>
    </row>
    <row r="54" spans="1:27" x14ac:dyDescent="0.2">
      <c r="A54" s="23" t="s">
        <v>166</v>
      </c>
      <c r="B54" s="23" t="s">
        <v>167</v>
      </c>
      <c r="C54" s="18" t="s">
        <v>168</v>
      </c>
      <c r="D54" t="s">
        <v>61</v>
      </c>
      <c r="E54" s="58" t="s">
        <v>62</v>
      </c>
      <c r="F54" s="23" t="s">
        <v>42</v>
      </c>
      <c r="G54" s="83">
        <f>SUM(H54:T54)</f>
        <v>1.9759469585125852E-2</v>
      </c>
      <c r="H54" s="56"/>
      <c r="I54" s="56"/>
      <c r="J54" s="85"/>
      <c r="K54" s="56"/>
      <c r="L54" s="56"/>
      <c r="M54" s="56"/>
      <c r="N54" s="56"/>
      <c r="O54" s="56"/>
      <c r="P54" s="56"/>
      <c r="Q54" s="56"/>
      <c r="R54" s="56"/>
      <c r="S54" s="13">
        <f>'GHG detailed, absolute'!S54/Production!$K$9*AF_milk_ES</f>
        <v>1.6805493662187553E-2</v>
      </c>
      <c r="T54" s="53">
        <f>'GHG detailed, absolute'!T54/Production!$K$9*AF_milk_ES</f>
        <v>2.953975922938298E-3</v>
      </c>
      <c r="U54" s="86">
        <f>'GHG detailed, absolute'!U54/Production!$K$9*AF_milk_ES</f>
        <v>2.953975922938298E-3</v>
      </c>
      <c r="W54" s="13"/>
      <c r="X54" s="53"/>
      <c r="Z54" s="84"/>
      <c r="AA54" s="84"/>
    </row>
    <row r="55" spans="1:27" ht="15" customHeight="1" x14ac:dyDescent="0.2">
      <c r="A55" s="23" t="s">
        <v>166</v>
      </c>
      <c r="B55" s="23" t="s">
        <v>167</v>
      </c>
      <c r="C55" s="18" t="s">
        <v>168</v>
      </c>
      <c r="D55" t="s">
        <v>61</v>
      </c>
      <c r="E55" s="58" t="s">
        <v>62</v>
      </c>
      <c r="F55" s="87" t="s">
        <v>43</v>
      </c>
      <c r="G55" s="83">
        <f>SUM(H55:T55)+W55+X55</f>
        <v>7.1328115932534054E-4</v>
      </c>
      <c r="H55" s="56">
        <f>'GHG detailed, absolute'!H55/Production!$K$9*AF_milk_ES</f>
        <v>1.1600619661613185E-5</v>
      </c>
      <c r="I55" s="56">
        <f>'GHG detailed, absolute'!I55/Production!$K$9*AF_milk_ES</f>
        <v>9.1629577052818786E-7</v>
      </c>
      <c r="J55" s="56">
        <f>'GHG detailed, absolute'!J55/Production!$K$9*AF_milk_ES</f>
        <v>3.9683498770468664E-4</v>
      </c>
      <c r="K55" s="84">
        <f>'GHG detailed, absolute'!K55/Production!$K$9*AF_milk_ES</f>
        <v>3.9683498770468665E-5</v>
      </c>
      <c r="L55" s="56">
        <f>'GHG detailed, absolute'!L55/Production!$K$9*AF_milk_ES</f>
        <v>7.6284763155794199E-7</v>
      </c>
      <c r="M55" s="56"/>
      <c r="N55" s="56">
        <f>'GHG detailed, absolute'!N55/Production!$K$9*AF_milk_ES</f>
        <v>1.5425049664646637E-7</v>
      </c>
      <c r="O55" s="56">
        <f>'GHG detailed, absolute'!O55/Production!$K$9*AF_milk_ES</f>
        <v>6.1022198741351728E-7</v>
      </c>
      <c r="P55" s="56">
        <f>'GHG detailed, absolute'!P55/Production!$K$9*AF_milk_ES</f>
        <v>0</v>
      </c>
      <c r="Q55" s="56">
        <f>'GHG detailed, absolute'!Q55/Production!$K$9*AF_milk_ES</f>
        <v>1.58002880933694E-5</v>
      </c>
      <c r="R55" s="56">
        <f>'GHG detailed, absolute'!R55/Production!$K$9*AF_milk_ES</f>
        <v>1.58002880933694E-5</v>
      </c>
      <c r="S55" s="13"/>
      <c r="T55" s="53">
        <f>'GHG detailed, absolute'!T55/Production!$K$9*AF_milk_ES</f>
        <v>2.2797156034351057E-4</v>
      </c>
      <c r="U55" s="88">
        <f>'GHG detailed, absolute'!U55/Production!$K$9*AF_milk_ES</f>
        <v>1.5692948005458518E-4</v>
      </c>
      <c r="V55" s="88">
        <f>'GHG detailed, absolute'!V55/Production!$K$9*AF_milk_ES</f>
        <v>7.1042080288925385E-5</v>
      </c>
      <c r="W55" s="13">
        <f>'GHG detailed, absolute'!W55/Production!$K$9*AF_milk_ES</f>
        <v>3.1172874867820587E-6</v>
      </c>
      <c r="X55" s="53">
        <f>'GHG detailed, absolute'!X55/Production!$K$9*AF_milk_ES</f>
        <v>2.9013285394533403E-8</v>
      </c>
      <c r="Z55" s="84"/>
      <c r="AA55" s="84"/>
    </row>
    <row r="56" spans="1:27" ht="15" customHeight="1" x14ac:dyDescent="0.2">
      <c r="A56" s="89" t="s">
        <v>166</v>
      </c>
      <c r="B56" s="89" t="s">
        <v>167</v>
      </c>
      <c r="C56" s="90" t="s">
        <v>168</v>
      </c>
      <c r="D56" s="103" t="s">
        <v>61</v>
      </c>
      <c r="E56" s="91" t="s">
        <v>62</v>
      </c>
      <c r="F56" s="92" t="s">
        <v>44</v>
      </c>
      <c r="G56" s="102">
        <f>SUM(H56:X56)</f>
        <v>1.0300388566926237</v>
      </c>
      <c r="H56" s="94">
        <f>SUMPRODUCT(H52:H55,'Parameters, general'!$B$24:$B$27)</f>
        <v>4.3062055848562396E-2</v>
      </c>
      <c r="I56" s="94">
        <f>SUMPRODUCT(I52:I55,'Parameters, general'!$B$24:$B$27)</f>
        <v>2.5099257045923619E-2</v>
      </c>
      <c r="J56" s="94">
        <f>SUMPRODUCT(J52:J55,'Parameters, general'!$B$24:$B$27)</f>
        <v>0.10833595164337945</v>
      </c>
      <c r="K56" s="94">
        <f>SUMPRODUCT(K52:K55,'Parameters, general'!$B$24:$B$27)</f>
        <v>1.0833595164337946E-2</v>
      </c>
      <c r="L56" s="94">
        <f>SUMPRODUCT(L52:L55,'Parameters, general'!$B$24:$B$27)</f>
        <v>2.8972913408409372E-2</v>
      </c>
      <c r="M56" s="94">
        <f>SUMPRODUCT(M52:M55,'Parameters, general'!$B$24:$B$27)</f>
        <v>0</v>
      </c>
      <c r="N56" s="94">
        <f>SUMPRODUCT(N52:N55,'Parameters, general'!$B$24:$B$27)</f>
        <v>3.9615234808047031E-3</v>
      </c>
      <c r="O56" s="94">
        <f>SUMPRODUCT(O52:O55,'Parameters, general'!$B$24:$B$27)</f>
        <v>1.7150307168894086E-2</v>
      </c>
      <c r="P56" s="94">
        <f>SUMPRODUCT(P52:P55,'Parameters, general'!$B$24:$B$27)</f>
        <v>3.0633719351606019E-2</v>
      </c>
      <c r="Q56" s="94">
        <f>SUMPRODUCT(Q52:Q55,'Parameters, general'!$B$24:$B$27)</f>
        <v>4.4707834106620485E-2</v>
      </c>
      <c r="R56" s="94">
        <f>SUMPRODUCT(R52:R55,'Parameters, general'!$B$24:$B$27)</f>
        <v>4.4707834106620485E-2</v>
      </c>
      <c r="S56" s="94">
        <f>SUMPRODUCT(S52:S55,'Parameters, general'!$B$24:$B$27)</f>
        <v>0.45374832887906391</v>
      </c>
      <c r="T56" s="94">
        <f>SUMPRODUCT(T52:T55,'Parameters, general'!$B$24:$B$27)</f>
        <v>0.14199358589311242</v>
      </c>
      <c r="U56" s="94"/>
      <c r="V56" s="94"/>
      <c r="W56" s="94">
        <f>SUMPRODUCT(W52:W55,'Parameters, general'!$B$24:$B$27)</f>
        <v>7.6050803936950115E-2</v>
      </c>
      <c r="X56" s="94">
        <f>SUMPRODUCT(X52:X55,'Parameters, general'!$B$24:$B$27)</f>
        <v>7.8114665833861868E-4</v>
      </c>
      <c r="Z56" s="95">
        <f>SUM(H56:R56)</f>
        <v>0.35746499132515858</v>
      </c>
      <c r="AA56" s="96">
        <f>'CO2 per kg feed'!F164+'CH4 per kg feed'!F164*CF_GWP_CH4_fossil+'N2O per kg feed'!F164*CF_GWP_N2O</f>
        <v>0.36944906666758809</v>
      </c>
    </row>
    <row r="57" spans="1:27" ht="15" customHeight="1" x14ac:dyDescent="0.2">
      <c r="A57" s="74" t="s">
        <v>166</v>
      </c>
      <c r="B57" s="74" t="s">
        <v>167</v>
      </c>
      <c r="C57" s="75" t="s">
        <v>168</v>
      </c>
      <c r="D57" s="58" t="s">
        <v>63</v>
      </c>
      <c r="E57" s="58" t="s">
        <v>64</v>
      </c>
      <c r="F57" s="97" t="s">
        <v>40</v>
      </c>
      <c r="G57" s="78">
        <f>SUM(H57:X57)</f>
        <v>0.1976017931290581</v>
      </c>
      <c r="H57" s="78">
        <f>'GHG detailed, absolute'!H57/Production!$L$9*AF_milk_SE</f>
        <v>3.0155557435256632E-2</v>
      </c>
      <c r="I57" s="83">
        <f>'GHG detailed, absolute'!I57/Production!$L$9*AF_milk_SE</f>
        <v>2.4476838309535356E-2</v>
      </c>
      <c r="J57" s="83"/>
      <c r="K57" s="83"/>
      <c r="L57" s="78">
        <f>'GHG detailed, absolute'!L57/Production!$L$9*AF_milk_SE</f>
        <v>2.399195333248717E-2</v>
      </c>
      <c r="M57" s="78"/>
      <c r="N57" s="78">
        <f>'GHG detailed, absolute'!N57/Production!$L$9*AF_milk_SE</f>
        <v>5.9132911770002302E-5</v>
      </c>
      <c r="O57" s="78">
        <f>'GHG detailed, absolute'!O57/Production!$L$9*AF_milk_SE</f>
        <v>8.5094410220185653E-3</v>
      </c>
      <c r="P57" s="78">
        <f>'GHG detailed, absolute'!P57/Production!$L$9*AF_milk_SE</f>
        <v>2.2203399224954276E-2</v>
      </c>
      <c r="Q57" s="78">
        <f>'GHG detailed, absolute'!Q57/Production!$L$9*AF_milk_SE</f>
        <v>3.798435061266487E-2</v>
      </c>
      <c r="R57" s="78">
        <f>'GHG detailed, absolute'!R57/Production!$L$9*AF_milk_SE</f>
        <v>3.798435061266487E-2</v>
      </c>
      <c r="S57" s="79"/>
      <c r="U57" s="81"/>
      <c r="V57" s="81"/>
      <c r="W57" s="79">
        <f>'GHG detailed, absolute'!W57/Production!$L$9*AF_milk_SE</f>
        <v>1.1878390448191733E-2</v>
      </c>
      <c r="X57" s="82">
        <f>'GHG detailed, absolute'!X57/Production!$L$9*AF_milk_SE</f>
        <v>3.5837921951465258E-4</v>
      </c>
    </row>
    <row r="58" spans="1:27" x14ac:dyDescent="0.2">
      <c r="A58" s="23" t="s">
        <v>166</v>
      </c>
      <c r="B58" s="23" t="s">
        <v>167</v>
      </c>
      <c r="C58" s="18" t="s">
        <v>168</v>
      </c>
      <c r="D58" s="58" t="s">
        <v>63</v>
      </c>
      <c r="E58" s="58" t="s">
        <v>64</v>
      </c>
      <c r="F58" s="23" t="s">
        <v>41</v>
      </c>
      <c r="G58" s="83">
        <f>SUM(H58:X58)</f>
        <v>1.1064216464622151E-3</v>
      </c>
      <c r="H58" s="56">
        <f>'GHG detailed, absolute'!H58/Production!$L$9*AF_milk_SE</f>
        <v>1.1692455979136116E-5</v>
      </c>
      <c r="I58" s="99">
        <f>'GHG detailed, absolute'!I58/Production!$L$9*AF_milk_SE</f>
        <v>8.6122208866883668E-5</v>
      </c>
      <c r="J58" s="99"/>
      <c r="K58" s="99"/>
      <c r="L58" s="56">
        <f>'GHG detailed, absolute'!L58/Production!$L$9*AF_milk_SE</f>
        <v>1.0627626324704213E-5</v>
      </c>
      <c r="M58" s="56"/>
      <c r="N58" s="56">
        <f>'GHG detailed, absolute'!N58/Production!$L$9*AF_milk_SE</f>
        <v>1.8124290876781984E-7</v>
      </c>
      <c r="O58" s="56">
        <f>'GHG detailed, absolute'!O58/Production!$L$9*AF_milk_SE</f>
        <v>4.3575195581090769E-6</v>
      </c>
      <c r="P58" s="56">
        <f>'GHG detailed, absolute'!P58/Production!$L$9*AF_milk_SE</f>
        <v>0</v>
      </c>
      <c r="Q58" s="56">
        <f>'GHG detailed, absolute'!Q58/Production!$L$9*AF_milk_SE</f>
        <v>4.8958168968640174E-4</v>
      </c>
      <c r="R58" s="56">
        <f>'GHG detailed, absolute'!R58/Production!$L$9*AF_milk_SE</f>
        <v>4.8958168968640174E-4</v>
      </c>
      <c r="W58" s="13">
        <f>'GHG detailed, absolute'!W58/Production!$L$9*AF_milk_SE</f>
        <v>1.3198264440823185E-5</v>
      </c>
      <c r="X58" s="53">
        <f>'GHG detailed, absolute'!X58/Production!$L$9*AF_milk_SE</f>
        <v>1.078949010987491E-6</v>
      </c>
    </row>
    <row r="59" spans="1:27" x14ac:dyDescent="0.2">
      <c r="A59" s="23" t="s">
        <v>166</v>
      </c>
      <c r="B59" s="23" t="s">
        <v>167</v>
      </c>
      <c r="C59" s="18" t="s">
        <v>168</v>
      </c>
      <c r="D59" s="58" t="s">
        <v>63</v>
      </c>
      <c r="E59" s="58" t="s">
        <v>64</v>
      </c>
      <c r="F59" s="23" t="s">
        <v>42</v>
      </c>
      <c r="G59" s="83">
        <f>SUM(H59:T59)</f>
        <v>1.9524872574189851E-2</v>
      </c>
      <c r="H59" s="56"/>
      <c r="I59" s="99"/>
      <c r="J59" s="99"/>
      <c r="K59" s="99"/>
      <c r="L59" s="56"/>
      <c r="M59" s="56"/>
      <c r="N59" s="56"/>
      <c r="O59" s="56"/>
      <c r="P59" s="56"/>
      <c r="Q59" s="56"/>
      <c r="R59" s="56"/>
      <c r="S59" s="13">
        <f>'GHG detailed, absolute'!S59/Production!$L$9*AF_milk_SE</f>
        <v>1.8439099019749883E-2</v>
      </c>
      <c r="T59" s="52">
        <f>'GHG detailed, absolute'!T59/Production!$L$9*AF_milk_SE</f>
        <v>1.0857735544399683E-3</v>
      </c>
      <c r="U59" s="86">
        <f>'GHG detailed, absolute'!U59/Production!$L$9*AF_milk_SE</f>
        <v>1.0857735544399683E-3</v>
      </c>
      <c r="W59" s="13"/>
      <c r="X59" s="53"/>
      <c r="Z59" s="84"/>
      <c r="AA59" s="84"/>
    </row>
    <row r="60" spans="1:27" ht="15" customHeight="1" x14ac:dyDescent="0.2">
      <c r="A60" s="23" t="s">
        <v>166</v>
      </c>
      <c r="B60" s="23" t="s">
        <v>167</v>
      </c>
      <c r="C60" s="18" t="s">
        <v>168</v>
      </c>
      <c r="D60" s="58" t="s">
        <v>63</v>
      </c>
      <c r="E60" s="58" t="s">
        <v>64</v>
      </c>
      <c r="F60" s="87" t="s">
        <v>43</v>
      </c>
      <c r="G60" s="83">
        <f>SUM(H60:T60)+W60+X60</f>
        <v>7.0869246981852742E-4</v>
      </c>
      <c r="H60" s="56">
        <f>'GHG detailed, absolute'!H60/Production!$L$9*AF_milk_SE</f>
        <v>2.6148662720516669E-5</v>
      </c>
      <c r="I60" s="84">
        <f>'GHG detailed, absolute'!I60/Production!$L$9*AF_milk_SE</f>
        <v>9.9720452372181072E-7</v>
      </c>
      <c r="J60" s="84">
        <f>'GHG detailed, absolute'!J60/Production!$L$9*AF_milk_SE</f>
        <v>3.724017046094183E-4</v>
      </c>
      <c r="K60" s="84">
        <f>'GHG detailed, absolute'!K60/Production!$L$9*AF_milk_SE</f>
        <v>3.7240170460941833E-5</v>
      </c>
      <c r="L60" s="56">
        <f>'GHG detailed, absolute'!L60/Production!$L$9*AF_milk_SE</f>
        <v>6.4467314012478714E-7</v>
      </c>
      <c r="M60" s="56"/>
      <c r="N60" s="56">
        <f>'GHG detailed, absolute'!N60/Production!$L$9*AF_milk_SE</f>
        <v>2.5112609060811479E-9</v>
      </c>
      <c r="O60" s="56">
        <f>'GHG detailed, absolute'!O60/Production!$L$9*AF_milk_SE</f>
        <v>3.1874884308417221E-7</v>
      </c>
      <c r="P60" s="56">
        <f>'GHG detailed, absolute'!P60/Production!$L$9*AF_milk_SE</f>
        <v>0</v>
      </c>
      <c r="Q60" s="56">
        <f>'GHG detailed, absolute'!Q60/Production!$L$9*AF_milk_SE</f>
        <v>4.7074568555332043E-5</v>
      </c>
      <c r="R60" s="56">
        <f>'GHG detailed, absolute'!R60/Production!$L$9*AF_milk_SE</f>
        <v>4.7074568555332043E-5</v>
      </c>
      <c r="S60" s="13"/>
      <c r="T60" s="53">
        <f>'GHG detailed, absolute'!T60/Production!$L$9*AF_milk_SE</f>
        <v>1.7567105939827264E-4</v>
      </c>
      <c r="U60" s="88">
        <f>'GHG detailed, absolute'!U60/Production!$L$9*AF_milk_SE</f>
        <v>9.8896567572283317E-5</v>
      </c>
      <c r="V60" s="88">
        <f>'GHG detailed, absolute'!V60/Production!$L$9*AF_milk_SE</f>
        <v>7.6774491825989325E-5</v>
      </c>
      <c r="W60" s="13">
        <f>'GHG detailed, absolute'!W60/Production!$L$9*AF_milk_SE</f>
        <v>1.09750814001506E-6</v>
      </c>
      <c r="X60" s="53">
        <f>'GHG detailed, absolute'!X60/Production!$L$9*AF_milk_SE</f>
        <v>2.1089610862005674E-8</v>
      </c>
    </row>
    <row r="61" spans="1:27" ht="15" customHeight="1" x14ac:dyDescent="0.2">
      <c r="A61" s="89" t="s">
        <v>166</v>
      </c>
      <c r="B61" s="89" t="s">
        <v>167</v>
      </c>
      <c r="C61" s="90" t="s">
        <v>168</v>
      </c>
      <c r="D61" s="91" t="s">
        <v>63</v>
      </c>
      <c r="E61" s="91" t="s">
        <v>64</v>
      </c>
      <c r="F61" s="92" t="s">
        <v>44</v>
      </c>
      <c r="G61" s="104">
        <f>SUM(H61:X61)</f>
        <v>0.95121776195721597</v>
      </c>
      <c r="H61" s="105">
        <f>SUMPRODUCT(H57:H60,'Parameters, general'!$B$24:$B$27)</f>
        <v>3.7642577546135939E-2</v>
      </c>
      <c r="I61" s="94">
        <f>SUMPRODUCT(I57:I60,'Parameters, general'!$B$24:$B$27)</f>
        <v>2.7315516968744544E-2</v>
      </c>
      <c r="J61" s="94">
        <f>SUMPRODUCT(J57:J60,'Parameters, general'!$B$24:$B$27)</f>
        <v>0.1016656653583712</v>
      </c>
      <c r="K61" s="94">
        <f>SUMPRODUCT(K57:K60,'Parameters, general'!$B$24:$B$27)</f>
        <v>1.016656653583712E-2</v>
      </c>
      <c r="L61" s="94">
        <f>SUMPRODUCT(L57:L60,'Parameters, general'!$B$24:$B$27)</f>
        <v>2.4484652364217423E-2</v>
      </c>
      <c r="M61" s="94">
        <f>SUMPRODUCT(M57:M60,'Parameters, general'!$B$24:$B$27)</f>
        <v>0</v>
      </c>
      <c r="N61" s="94">
        <f>SUMPRODUCT(N57:N60,'Parameters, general'!$B$24:$B$27)</f>
        <v>6.5219524678643496E-5</v>
      </c>
      <c r="O61" s="94">
        <f>SUMPRODUCT(O57:O60,'Parameters, general'!$B$24:$B$27)</f>
        <v>8.7263135390121937E-3</v>
      </c>
      <c r="P61" s="94">
        <f>SUMPRODUCT(P57:P60,'Parameters, general'!$B$24:$B$27)</f>
        <v>2.2203399224954276E-2</v>
      </c>
      <c r="Q61" s="94">
        <f>SUMPRODUCT(Q57:Q60,'Parameters, general'!$B$24:$B$27)</f>
        <v>6.5425242180925297E-2</v>
      </c>
      <c r="R61" s="94">
        <f>SUMPRODUCT(R57:R60,'Parameters, general'!$B$24:$B$27)</f>
        <v>6.5425242180925297E-2</v>
      </c>
      <c r="S61" s="94">
        <f>SUMPRODUCT(S57:S60,'Parameters, general'!$B$24:$B$27)</f>
        <v>0.49785567353324683</v>
      </c>
      <c r="T61" s="94">
        <f>SUMPRODUCT(T57:T60,'Parameters, general'!$B$24:$B$27)</f>
        <v>7.7274085185607577E-2</v>
      </c>
      <c r="U61" s="94"/>
      <c r="V61" s="94"/>
      <c r="W61" s="94">
        <f>SUMPRODUCT(W57:W60,'Parameters, general'!$B$24:$B$27)</f>
        <v>1.2571318450752374E-2</v>
      </c>
      <c r="X61" s="94">
        <f>SUMPRODUCT(X57:X60,'Parameters, general'!$B$24:$B$27)</f>
        <v>3.9628936380740735E-4</v>
      </c>
      <c r="Z61" s="95">
        <f>SUM(H61:R61)</f>
        <v>0.36312039542380192</v>
      </c>
      <c r="AA61" s="106">
        <f>'CO2 per kg feed'!F180+'CH4 per kg feed'!F180*CF_GWP_CH4_fossil+'N2O per kg feed'!F180*CF_GWP_N2O</f>
        <v>0.31750016262303116</v>
      </c>
    </row>
    <row r="62" spans="1:27" x14ac:dyDescent="0.2">
      <c r="T62" s="53"/>
      <c r="U62" s="53"/>
    </row>
    <row r="63" spans="1:27" x14ac:dyDescent="0.2">
      <c r="T63" s="53"/>
      <c r="U63" s="53"/>
    </row>
    <row r="64" spans="1:27" x14ac:dyDescent="0.2">
      <c r="T64" s="53"/>
      <c r="U64" s="53"/>
    </row>
    <row r="65" spans="20:21" x14ac:dyDescent="0.2">
      <c r="T65" s="53"/>
      <c r="U65" s="53"/>
    </row>
    <row r="66" spans="20:21" x14ac:dyDescent="0.2">
      <c r="T66" s="53"/>
      <c r="U66" s="53"/>
    </row>
    <row r="67" spans="20:21" x14ac:dyDescent="0.2">
      <c r="T67" s="53"/>
      <c r="U67" s="53"/>
    </row>
    <row r="68" spans="20:21" x14ac:dyDescent="0.2">
      <c r="T68" s="53"/>
      <c r="U68" s="53"/>
    </row>
    <row r="69" spans="20:21" x14ac:dyDescent="0.2">
      <c r="T69" s="53"/>
      <c r="U69" s="53"/>
    </row>
    <row r="70" spans="20:21" x14ac:dyDescent="0.2">
      <c r="T70" s="53"/>
      <c r="U70" s="53"/>
    </row>
    <row r="71" spans="20:21" x14ac:dyDescent="0.2">
      <c r="T71" s="53"/>
      <c r="U71" s="53"/>
    </row>
    <row r="72" spans="20:21" x14ac:dyDescent="0.2">
      <c r="T72" s="53"/>
      <c r="U72" s="53"/>
    </row>
    <row r="73" spans="20:21" x14ac:dyDescent="0.2">
      <c r="T73" s="53"/>
      <c r="U73" s="53"/>
    </row>
    <row r="74" spans="20:21" x14ac:dyDescent="0.2">
      <c r="T74" s="53"/>
      <c r="U74" s="53"/>
    </row>
    <row r="75" spans="20:21" x14ac:dyDescent="0.2">
      <c r="T75" s="53"/>
      <c r="U75" s="53"/>
    </row>
    <row r="76" spans="20:21" x14ac:dyDescent="0.2">
      <c r="T76" s="53"/>
      <c r="U76" s="53"/>
    </row>
    <row r="77" spans="20:21" x14ac:dyDescent="0.2">
      <c r="T77" s="53"/>
      <c r="U77" s="53"/>
    </row>
    <row r="78" spans="20:21" x14ac:dyDescent="0.2">
      <c r="T78" s="53"/>
      <c r="U78" s="53"/>
    </row>
    <row r="79" spans="20:21" x14ac:dyDescent="0.2">
      <c r="T79" s="53"/>
      <c r="U79" s="53"/>
    </row>
    <row r="80" spans="20:21" x14ac:dyDescent="0.2">
      <c r="T80" s="53"/>
      <c r="U80" s="53"/>
    </row>
    <row r="81" spans="20:21" x14ac:dyDescent="0.2">
      <c r="T81" s="53"/>
      <c r="U81" s="53"/>
    </row>
    <row r="82" spans="20:21" x14ac:dyDescent="0.2">
      <c r="T82" s="53"/>
      <c r="U82" s="53"/>
    </row>
    <row r="83" spans="20:21" x14ac:dyDescent="0.2">
      <c r="T83" s="53"/>
      <c r="U83" s="53"/>
    </row>
    <row r="84" spans="20:21" x14ac:dyDescent="0.2">
      <c r="T84" s="53"/>
      <c r="U84" s="53"/>
    </row>
    <row r="85" spans="20:21" x14ac:dyDescent="0.2">
      <c r="T85" s="53"/>
      <c r="U85" s="53"/>
    </row>
    <row r="86" spans="20:21" x14ac:dyDescent="0.2">
      <c r="T86" s="53"/>
      <c r="U86" s="53"/>
    </row>
    <row r="87" spans="20:21" x14ac:dyDescent="0.2">
      <c r="T87" s="53"/>
      <c r="U87" s="53"/>
    </row>
    <row r="88" spans="20:21" x14ac:dyDescent="0.2">
      <c r="T88" s="53"/>
      <c r="U88" s="53"/>
    </row>
    <row r="89" spans="20:21" x14ac:dyDescent="0.2">
      <c r="T89" s="53"/>
      <c r="U89" s="53"/>
    </row>
    <row r="90" spans="20:21" x14ac:dyDescent="0.2">
      <c r="T90" s="53"/>
      <c r="U90" s="53"/>
    </row>
    <row r="91" spans="20:21" x14ac:dyDescent="0.2">
      <c r="T91" s="53"/>
      <c r="U91" s="53"/>
    </row>
    <row r="92" spans="20:21" x14ac:dyDescent="0.2">
      <c r="T92" s="53"/>
      <c r="U92" s="53"/>
    </row>
    <row r="93" spans="20:21" x14ac:dyDescent="0.2">
      <c r="T93" s="53"/>
      <c r="U93" s="53"/>
    </row>
    <row r="94" spans="20:21" x14ac:dyDescent="0.2">
      <c r="T94" s="53"/>
      <c r="U94" s="53"/>
    </row>
    <row r="95" spans="20:21" x14ac:dyDescent="0.2">
      <c r="T95" s="53"/>
      <c r="U95" s="53"/>
    </row>
    <row r="96" spans="20:21" x14ac:dyDescent="0.2">
      <c r="T96" s="53"/>
      <c r="U96" s="53"/>
    </row>
    <row r="97" spans="20:21" x14ac:dyDescent="0.2">
      <c r="T97" s="53"/>
      <c r="U97" s="53"/>
    </row>
    <row r="98" spans="20:21" x14ac:dyDescent="0.2">
      <c r="T98" s="53"/>
      <c r="U98" s="53"/>
    </row>
    <row r="99" spans="20:21" x14ac:dyDescent="0.2">
      <c r="T99" s="53"/>
      <c r="U99" s="53"/>
    </row>
    <row r="100" spans="20:21" x14ac:dyDescent="0.2">
      <c r="T100" s="53"/>
      <c r="U100" s="53"/>
    </row>
    <row r="101" spans="20:21" x14ac:dyDescent="0.2">
      <c r="T101" s="53"/>
      <c r="U101" s="53"/>
    </row>
    <row r="102" spans="20:21" x14ac:dyDescent="0.2">
      <c r="T102" s="53"/>
      <c r="U102" s="53"/>
    </row>
    <row r="103" spans="20:21" x14ac:dyDescent="0.2">
      <c r="T103" s="53"/>
      <c r="U103" s="53"/>
    </row>
    <row r="104" spans="20:21" x14ac:dyDescent="0.2">
      <c r="T104" s="53"/>
      <c r="U104" s="53"/>
    </row>
    <row r="105" spans="20:21" x14ac:dyDescent="0.2">
      <c r="T105" s="53"/>
      <c r="U105" s="53"/>
    </row>
    <row r="106" spans="20:21" x14ac:dyDescent="0.2">
      <c r="T106" s="53"/>
      <c r="U106" s="53"/>
    </row>
    <row r="107" spans="20:21" x14ac:dyDescent="0.2">
      <c r="T107" s="53"/>
      <c r="U107" s="53"/>
    </row>
    <row r="108" spans="20:21" x14ac:dyDescent="0.2">
      <c r="T108" s="53"/>
      <c r="U108" s="53"/>
    </row>
    <row r="109" spans="20:21" x14ac:dyDescent="0.2">
      <c r="T109" s="53"/>
      <c r="U109" s="53"/>
    </row>
    <row r="110" spans="20:21" x14ac:dyDescent="0.2">
      <c r="T110" s="53"/>
      <c r="U110" s="53"/>
    </row>
    <row r="111" spans="20:21" x14ac:dyDescent="0.2">
      <c r="T111" s="53"/>
      <c r="U111" s="53"/>
    </row>
    <row r="112" spans="20:21" x14ac:dyDescent="0.2">
      <c r="T112" s="53"/>
      <c r="U112" s="53"/>
    </row>
    <row r="113" spans="20:21" x14ac:dyDescent="0.2">
      <c r="T113" s="53"/>
      <c r="U113" s="53"/>
    </row>
    <row r="114" spans="20:21" x14ac:dyDescent="0.2">
      <c r="T114" s="53"/>
      <c r="U114" s="53"/>
    </row>
    <row r="115" spans="20:21" x14ac:dyDescent="0.2">
      <c r="T115" s="53"/>
      <c r="U115" s="53"/>
    </row>
    <row r="116" spans="20:21" x14ac:dyDescent="0.2">
      <c r="T116" s="53"/>
      <c r="U116" s="53"/>
    </row>
    <row r="117" spans="20:21" x14ac:dyDescent="0.2">
      <c r="T117" s="53"/>
      <c r="U117" s="53"/>
    </row>
    <row r="118" spans="20:21" x14ac:dyDescent="0.2">
      <c r="T118" s="53"/>
      <c r="U118" s="53"/>
    </row>
    <row r="119" spans="20:21" x14ac:dyDescent="0.2">
      <c r="T119" s="53"/>
      <c r="U119" s="53"/>
    </row>
    <row r="120" spans="20:21" x14ac:dyDescent="0.2">
      <c r="T120" s="53"/>
      <c r="U120" s="53"/>
    </row>
    <row r="121" spans="20:21" x14ac:dyDescent="0.2">
      <c r="T121" s="53"/>
      <c r="U121" s="53"/>
    </row>
    <row r="122" spans="20:21" x14ac:dyDescent="0.2">
      <c r="T122" s="53"/>
      <c r="U122" s="53"/>
    </row>
    <row r="123" spans="20:21" x14ac:dyDescent="0.2">
      <c r="T123" s="53"/>
      <c r="U123" s="53"/>
    </row>
    <row r="124" spans="20:21" x14ac:dyDescent="0.2">
      <c r="T124" s="53"/>
      <c r="U124" s="53"/>
    </row>
    <row r="125" spans="20:21" x14ac:dyDescent="0.2">
      <c r="T125" s="53"/>
      <c r="U125" s="53"/>
    </row>
    <row r="126" spans="20:21" x14ac:dyDescent="0.2">
      <c r="T126" s="53"/>
      <c r="U126" s="53"/>
    </row>
    <row r="127" spans="20:21" x14ac:dyDescent="0.2">
      <c r="T127" s="53"/>
      <c r="U127" s="53"/>
    </row>
    <row r="128" spans="20:21" x14ac:dyDescent="0.2">
      <c r="T128" s="53"/>
      <c r="U128" s="53"/>
    </row>
    <row r="129" spans="20:21" x14ac:dyDescent="0.2">
      <c r="T129" s="53"/>
      <c r="U129" s="53"/>
    </row>
    <row r="130" spans="20:21" x14ac:dyDescent="0.2">
      <c r="T130" s="53"/>
      <c r="U130" s="53"/>
    </row>
    <row r="131" spans="20:21" x14ac:dyDescent="0.2">
      <c r="T131" s="53"/>
      <c r="U131" s="53"/>
    </row>
    <row r="132" spans="20:21" x14ac:dyDescent="0.2">
      <c r="T132" s="53"/>
      <c r="U132" s="53"/>
    </row>
    <row r="133" spans="20:21" x14ac:dyDescent="0.2">
      <c r="T133" s="53"/>
      <c r="U133" s="53"/>
    </row>
    <row r="134" spans="20:21" x14ac:dyDescent="0.2">
      <c r="T134" s="53"/>
      <c r="U134" s="53"/>
    </row>
    <row r="135" spans="20:21" x14ac:dyDescent="0.2">
      <c r="T135" s="53"/>
      <c r="U135" s="53"/>
    </row>
    <row r="136" spans="20:21" x14ac:dyDescent="0.2">
      <c r="T136" s="53"/>
      <c r="U136" s="53"/>
    </row>
    <row r="137" spans="20:21" x14ac:dyDescent="0.2">
      <c r="T137" s="53"/>
      <c r="U137" s="53"/>
    </row>
    <row r="138" spans="20:21" x14ac:dyDescent="0.2">
      <c r="T138" s="53"/>
      <c r="U138" s="53"/>
    </row>
    <row r="139" spans="20:21" x14ac:dyDescent="0.2">
      <c r="T139" s="53"/>
      <c r="U139" s="53"/>
    </row>
    <row r="140" spans="20:21" x14ac:dyDescent="0.2">
      <c r="T140" s="53"/>
      <c r="U140" s="53"/>
    </row>
    <row r="141" spans="20:21" x14ac:dyDescent="0.2">
      <c r="T141" s="53"/>
      <c r="U141" s="53"/>
    </row>
    <row r="142" spans="20:21" x14ac:dyDescent="0.2">
      <c r="T142" s="53"/>
      <c r="U142" s="53"/>
    </row>
    <row r="143" spans="20:21" x14ac:dyDescent="0.2">
      <c r="T143" s="53"/>
      <c r="U143" s="53"/>
    </row>
    <row r="144" spans="20:21" x14ac:dyDescent="0.2">
      <c r="T144" s="53"/>
      <c r="U144" s="53"/>
    </row>
    <row r="145" spans="20:21" x14ac:dyDescent="0.2">
      <c r="T145" s="53"/>
      <c r="U145" s="53"/>
    </row>
    <row r="146" spans="20:21" x14ac:dyDescent="0.2">
      <c r="T146" s="53"/>
      <c r="U146" s="53"/>
    </row>
    <row r="147" spans="20:21" x14ac:dyDescent="0.2">
      <c r="T147" s="53"/>
      <c r="U147" s="53"/>
    </row>
    <row r="148" spans="20:21" x14ac:dyDescent="0.2">
      <c r="T148" s="53"/>
      <c r="U148" s="53"/>
    </row>
    <row r="149" spans="20:21" x14ac:dyDescent="0.2">
      <c r="T149" s="53"/>
      <c r="U149" s="53"/>
    </row>
    <row r="150" spans="20:21" x14ac:dyDescent="0.2">
      <c r="T150" s="53"/>
      <c r="U150" s="53"/>
    </row>
    <row r="151" spans="20:21" x14ac:dyDescent="0.2">
      <c r="T151" s="53"/>
      <c r="U151" s="53"/>
    </row>
    <row r="152" spans="20:21" x14ac:dyDescent="0.2">
      <c r="T152" s="53"/>
      <c r="U152" s="53"/>
    </row>
    <row r="153" spans="20:21" x14ac:dyDescent="0.2">
      <c r="T153" s="53"/>
      <c r="U153" s="53"/>
    </row>
    <row r="154" spans="20:21" x14ac:dyDescent="0.2">
      <c r="T154" s="53"/>
      <c r="U154" s="53"/>
    </row>
    <row r="155" spans="20:21" x14ac:dyDescent="0.2">
      <c r="T155" s="53"/>
      <c r="U155" s="53"/>
    </row>
    <row r="156" spans="20:21" x14ac:dyDescent="0.2">
      <c r="T156" s="53"/>
      <c r="U156" s="53"/>
    </row>
    <row r="157" spans="20:21" x14ac:dyDescent="0.2">
      <c r="T157" s="53"/>
      <c r="U157" s="53"/>
    </row>
    <row r="158" spans="20:21" x14ac:dyDescent="0.2">
      <c r="T158" s="53"/>
      <c r="U158" s="53"/>
    </row>
    <row r="159" spans="20:21" x14ac:dyDescent="0.2">
      <c r="T159" s="53"/>
      <c r="U159" s="53"/>
    </row>
    <row r="160" spans="20:21" x14ac:dyDescent="0.2">
      <c r="T160" s="53"/>
      <c r="U160" s="53"/>
    </row>
    <row r="161" spans="20:21" x14ac:dyDescent="0.2">
      <c r="T161" s="53"/>
      <c r="U161" s="53"/>
    </row>
    <row r="162" spans="20:21" x14ac:dyDescent="0.2">
      <c r="T162" s="53"/>
      <c r="U162" s="53"/>
    </row>
    <row r="163" spans="20:21" x14ac:dyDescent="0.2">
      <c r="T163" s="53"/>
      <c r="U163" s="53"/>
    </row>
    <row r="164" spans="20:21" x14ac:dyDescent="0.2">
      <c r="T164" s="53"/>
      <c r="U164" s="53"/>
    </row>
    <row r="165" spans="20:21" x14ac:dyDescent="0.2">
      <c r="T165" s="53"/>
      <c r="U165" s="53"/>
    </row>
    <row r="166" spans="20:21" x14ac:dyDescent="0.2">
      <c r="T166" s="53"/>
      <c r="U166" s="53"/>
    </row>
    <row r="167" spans="20:21" x14ac:dyDescent="0.2">
      <c r="T167" s="53"/>
      <c r="U167" s="53"/>
    </row>
    <row r="168" spans="20:21" x14ac:dyDescent="0.2">
      <c r="T168" s="53"/>
      <c r="U168" s="53"/>
    </row>
    <row r="169" spans="20:21" x14ac:dyDescent="0.2">
      <c r="T169" s="53"/>
      <c r="U169" s="53"/>
    </row>
    <row r="170" spans="20:21" x14ac:dyDescent="0.2">
      <c r="T170" s="53"/>
      <c r="U170" s="53"/>
    </row>
    <row r="171" spans="20:21" x14ac:dyDescent="0.2">
      <c r="T171" s="53"/>
      <c r="U171" s="53"/>
    </row>
    <row r="172" spans="20:21" x14ac:dyDescent="0.2">
      <c r="T172" s="53"/>
      <c r="U172" s="53"/>
    </row>
    <row r="173" spans="20:21" x14ac:dyDescent="0.2">
      <c r="T173" s="53"/>
      <c r="U173" s="53"/>
    </row>
    <row r="174" spans="20:21" x14ac:dyDescent="0.2">
      <c r="T174" s="53"/>
      <c r="U174" s="53"/>
    </row>
    <row r="175" spans="20:21" x14ac:dyDescent="0.2">
      <c r="T175" s="53"/>
      <c r="U175" s="53"/>
    </row>
    <row r="176" spans="20:21" x14ac:dyDescent="0.2">
      <c r="T176" s="53"/>
      <c r="U176" s="53"/>
    </row>
    <row r="177" spans="20:21" x14ac:dyDescent="0.2">
      <c r="T177" s="53"/>
      <c r="U177" s="53"/>
    </row>
    <row r="178" spans="20:21" x14ac:dyDescent="0.2">
      <c r="T178" s="53"/>
      <c r="U178" s="53"/>
    </row>
    <row r="179" spans="20:21" x14ac:dyDescent="0.2">
      <c r="T179" s="53"/>
      <c r="U179" s="53"/>
    </row>
    <row r="180" spans="20:21" x14ac:dyDescent="0.2">
      <c r="T180" s="53"/>
      <c r="U180" s="53"/>
    </row>
    <row r="181" spans="20:21" x14ac:dyDescent="0.2">
      <c r="T181" s="53"/>
      <c r="U181" s="53"/>
    </row>
    <row r="182" spans="20:21" x14ac:dyDescent="0.2">
      <c r="T182" s="53"/>
      <c r="U182" s="53"/>
    </row>
    <row r="183" spans="20:21" x14ac:dyDescent="0.2">
      <c r="T183" s="53"/>
      <c r="U183" s="53"/>
    </row>
    <row r="184" spans="20:21" x14ac:dyDescent="0.2">
      <c r="T184" s="53"/>
      <c r="U184" s="53"/>
    </row>
    <row r="185" spans="20:21" x14ac:dyDescent="0.2">
      <c r="T185" s="53"/>
      <c r="U185" s="53"/>
    </row>
    <row r="186" spans="20:21" x14ac:dyDescent="0.2">
      <c r="T186" s="53"/>
      <c r="U186" s="53"/>
    </row>
    <row r="187" spans="20:21" x14ac:dyDescent="0.2">
      <c r="T187" s="53"/>
      <c r="U187" s="53"/>
    </row>
    <row r="188" spans="20:21" x14ac:dyDescent="0.2">
      <c r="T188" s="53"/>
      <c r="U188" s="53"/>
    </row>
    <row r="189" spans="20:21" x14ac:dyDescent="0.2">
      <c r="T189" s="53"/>
      <c r="U189" s="53"/>
    </row>
    <row r="190" spans="20:21" x14ac:dyDescent="0.2">
      <c r="T190" s="53"/>
      <c r="U190" s="53"/>
    </row>
    <row r="191" spans="20:21" x14ac:dyDescent="0.2">
      <c r="T191" s="53"/>
      <c r="U191" s="53"/>
    </row>
    <row r="192" spans="20:21" x14ac:dyDescent="0.2">
      <c r="T192" s="53"/>
      <c r="U192" s="53"/>
    </row>
    <row r="193" spans="20:21" x14ac:dyDescent="0.2">
      <c r="T193" s="53"/>
      <c r="U193" s="53"/>
    </row>
    <row r="194" spans="20:21" x14ac:dyDescent="0.2">
      <c r="T194" s="53"/>
      <c r="U194" s="53"/>
    </row>
    <row r="195" spans="20:21" x14ac:dyDescent="0.2">
      <c r="T195" s="53"/>
      <c r="U195" s="53"/>
    </row>
    <row r="196" spans="20:21" x14ac:dyDescent="0.2">
      <c r="T196" s="53"/>
      <c r="U196" s="53"/>
    </row>
    <row r="197" spans="20:21" x14ac:dyDescent="0.2">
      <c r="T197" s="53"/>
      <c r="U197" s="53"/>
    </row>
    <row r="198" spans="20:21" x14ac:dyDescent="0.2">
      <c r="T198" s="53"/>
      <c r="U198" s="53"/>
    </row>
    <row r="199" spans="20:21" x14ac:dyDescent="0.2">
      <c r="T199" s="53"/>
      <c r="U199" s="53"/>
    </row>
    <row r="200" spans="20:21" x14ac:dyDescent="0.2">
      <c r="T200" s="53"/>
      <c r="U200" s="53"/>
    </row>
    <row r="201" spans="20:21" x14ac:dyDescent="0.2">
      <c r="T201" s="53"/>
      <c r="U201" s="53"/>
    </row>
    <row r="202" spans="20:21" x14ac:dyDescent="0.2">
      <c r="T202" s="53"/>
      <c r="U202" s="53"/>
    </row>
    <row r="203" spans="20:21" x14ac:dyDescent="0.2">
      <c r="T203" s="53"/>
      <c r="U203" s="53"/>
    </row>
    <row r="204" spans="20:21" x14ac:dyDescent="0.2">
      <c r="T204" s="53"/>
      <c r="U204" s="53"/>
    </row>
    <row r="205" spans="20:21" x14ac:dyDescent="0.2">
      <c r="T205" s="53"/>
      <c r="U205" s="53"/>
    </row>
    <row r="206" spans="20:21" x14ac:dyDescent="0.2">
      <c r="T206" s="53"/>
      <c r="U206" s="53"/>
    </row>
    <row r="207" spans="20:21" x14ac:dyDescent="0.2">
      <c r="T207" s="53"/>
      <c r="U207" s="53"/>
    </row>
    <row r="208" spans="20:21" x14ac:dyDescent="0.2">
      <c r="T208" s="53"/>
      <c r="U208" s="53"/>
    </row>
    <row r="209" spans="20:21" x14ac:dyDescent="0.2">
      <c r="T209" s="53"/>
      <c r="U209" s="53"/>
    </row>
    <row r="210" spans="20:21" x14ac:dyDescent="0.2">
      <c r="T210" s="53"/>
      <c r="U210" s="53"/>
    </row>
    <row r="211" spans="20:21" x14ac:dyDescent="0.2">
      <c r="T211" s="53"/>
      <c r="U211" s="53"/>
    </row>
    <row r="212" spans="20:21" x14ac:dyDescent="0.2">
      <c r="T212" s="53"/>
      <c r="U212" s="53"/>
    </row>
    <row r="213" spans="20:21" x14ac:dyDescent="0.2">
      <c r="T213" s="53"/>
      <c r="U213" s="53"/>
    </row>
    <row r="214" spans="20:21" x14ac:dyDescent="0.2">
      <c r="T214" s="53"/>
      <c r="U214" s="53"/>
    </row>
    <row r="215" spans="20:21" x14ac:dyDescent="0.2">
      <c r="T215" s="53"/>
      <c r="U215" s="53"/>
    </row>
    <row r="216" spans="20:21" x14ac:dyDescent="0.2">
      <c r="T216" s="53"/>
      <c r="U216" s="53"/>
    </row>
    <row r="217" spans="20:21" x14ac:dyDescent="0.2">
      <c r="T217" s="53"/>
      <c r="U217" s="53"/>
    </row>
    <row r="218" spans="20:21" x14ac:dyDescent="0.2">
      <c r="T218" s="53"/>
      <c r="U218" s="53"/>
    </row>
    <row r="219" spans="20:21" x14ac:dyDescent="0.2">
      <c r="T219" s="53"/>
      <c r="U219" s="53"/>
    </row>
    <row r="220" spans="20:21" x14ac:dyDescent="0.2">
      <c r="T220" s="53"/>
      <c r="U220" s="53"/>
    </row>
    <row r="221" spans="20:21" x14ac:dyDescent="0.2">
      <c r="T221" s="53"/>
      <c r="U221" s="53"/>
    </row>
    <row r="222" spans="20:21" x14ac:dyDescent="0.2">
      <c r="T222" s="53"/>
      <c r="U222" s="53"/>
    </row>
    <row r="223" spans="20:21" x14ac:dyDescent="0.2">
      <c r="T223" s="53"/>
      <c r="U223" s="53"/>
    </row>
    <row r="224" spans="20:21" x14ac:dyDescent="0.2">
      <c r="T224" s="53"/>
      <c r="U224" s="53"/>
    </row>
    <row r="225" spans="20:21" x14ac:dyDescent="0.2">
      <c r="T225" s="53"/>
      <c r="U225" s="53"/>
    </row>
    <row r="226" spans="20:21" x14ac:dyDescent="0.2">
      <c r="T226" s="53"/>
      <c r="U226" s="53"/>
    </row>
    <row r="227" spans="20:21" x14ac:dyDescent="0.2">
      <c r="T227" s="53"/>
      <c r="U227" s="53"/>
    </row>
    <row r="228" spans="20:21" x14ac:dyDescent="0.2">
      <c r="T228" s="53"/>
      <c r="U228" s="53"/>
    </row>
    <row r="229" spans="20:21" x14ac:dyDescent="0.2">
      <c r="T229" s="53"/>
      <c r="U229" s="53"/>
    </row>
    <row r="230" spans="20:21" x14ac:dyDescent="0.2">
      <c r="T230" s="53"/>
      <c r="U230" s="53"/>
    </row>
    <row r="231" spans="20:21" x14ac:dyDescent="0.2">
      <c r="T231" s="53"/>
      <c r="U231" s="53"/>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4B183"/>
  </sheetPr>
  <dimension ref="A2:U19"/>
  <sheetViews>
    <sheetView zoomScale="62" zoomScaleNormal="100" workbookViewId="0">
      <selection activeCell="C8" sqref="C8:C18"/>
    </sheetView>
  </sheetViews>
  <sheetFormatPr baseColWidth="10" defaultColWidth="8.6640625" defaultRowHeight="15" x14ac:dyDescent="0.2"/>
  <cols>
    <col min="1" max="1" width="13" style="1" customWidth="1"/>
    <col min="2" max="2" width="26.1640625" customWidth="1"/>
    <col min="3" max="3" width="8.83203125" customWidth="1"/>
    <col min="4" max="4" width="12.6640625" customWidth="1"/>
    <col min="5" max="5" width="8.5" customWidth="1"/>
    <col min="6" max="11" width="10.5" customWidth="1"/>
    <col min="12" max="13" width="14.6640625" customWidth="1"/>
    <col min="14" max="14" width="14.6640625" style="23" customWidth="1"/>
    <col min="15" max="18" width="14.6640625" customWidth="1"/>
    <col min="19" max="19" width="8.5" customWidth="1"/>
    <col min="20" max="20" width="15.6640625" customWidth="1"/>
    <col min="21" max="21" width="18.5" customWidth="1"/>
  </cols>
  <sheetData>
    <row r="2" spans="1:21" ht="21" customHeight="1" x14ac:dyDescent="0.25">
      <c r="A2" s="2" t="s">
        <v>174</v>
      </c>
      <c r="M2" s="24"/>
    </row>
    <row r="3" spans="1:21" x14ac:dyDescent="0.2">
      <c r="L3" s="25"/>
      <c r="P3" s="25"/>
      <c r="R3" s="25"/>
      <c r="S3" s="26"/>
      <c r="T3" s="26"/>
      <c r="U3" s="26"/>
    </row>
    <row r="4" spans="1:21" x14ac:dyDescent="0.2">
      <c r="A4" s="107"/>
      <c r="B4" s="108"/>
      <c r="C4" s="108"/>
      <c r="D4" s="108"/>
      <c r="E4" s="108"/>
      <c r="F4" s="108"/>
      <c r="G4" s="108"/>
      <c r="H4" s="108"/>
      <c r="I4" s="108"/>
      <c r="J4" s="108"/>
      <c r="K4" s="108"/>
      <c r="L4" s="108"/>
      <c r="M4" s="108"/>
      <c r="N4" s="109"/>
      <c r="O4" s="108"/>
      <c r="P4" s="110"/>
      <c r="Q4" s="108"/>
      <c r="R4" s="110"/>
      <c r="S4" s="111"/>
      <c r="T4" s="111"/>
      <c r="U4" s="111"/>
    </row>
    <row r="5" spans="1:21" x14ac:dyDescent="0.2">
      <c r="A5" s="112" t="s">
        <v>5</v>
      </c>
      <c r="B5" s="113"/>
      <c r="C5" s="113"/>
      <c r="D5" s="114"/>
      <c r="E5" s="114"/>
      <c r="F5" s="115" t="s">
        <v>140</v>
      </c>
      <c r="G5" s="114"/>
      <c r="H5" s="114"/>
      <c r="I5" s="114"/>
      <c r="J5" s="114"/>
      <c r="K5" s="114"/>
      <c r="L5" s="116" t="s">
        <v>141</v>
      </c>
      <c r="M5" s="116" t="s">
        <v>132</v>
      </c>
      <c r="N5" s="116" t="s">
        <v>142</v>
      </c>
      <c r="O5" s="116" t="s">
        <v>143</v>
      </c>
      <c r="P5" s="117" t="s">
        <v>144</v>
      </c>
      <c r="Q5" s="117" t="s">
        <v>145</v>
      </c>
      <c r="R5" s="117" t="s">
        <v>146</v>
      </c>
      <c r="S5" s="117" t="s">
        <v>147</v>
      </c>
      <c r="T5" s="118" t="s">
        <v>148</v>
      </c>
      <c r="U5" s="118" t="s">
        <v>149</v>
      </c>
    </row>
    <row r="6" spans="1:21" s="50" customFormat="1" ht="57.75" customHeight="1" x14ac:dyDescent="0.2">
      <c r="A6" s="119" t="s">
        <v>13</v>
      </c>
      <c r="B6" s="120" t="s">
        <v>14</v>
      </c>
      <c r="C6" s="120" t="s">
        <v>15</v>
      </c>
      <c r="D6" s="121" t="s">
        <v>16</v>
      </c>
      <c r="E6" s="122" t="s">
        <v>17</v>
      </c>
      <c r="F6" s="123" t="s">
        <v>150</v>
      </c>
      <c r="G6" s="124" t="s">
        <v>151</v>
      </c>
      <c r="H6" s="123" t="s">
        <v>152</v>
      </c>
      <c r="I6" s="123" t="s">
        <v>153</v>
      </c>
      <c r="J6" s="123" t="s">
        <v>154</v>
      </c>
      <c r="K6" s="124" t="s">
        <v>155</v>
      </c>
      <c r="L6" s="125" t="s">
        <v>156</v>
      </c>
      <c r="M6" s="125" t="s">
        <v>157</v>
      </c>
      <c r="N6" s="125" t="s">
        <v>158</v>
      </c>
      <c r="O6" s="126" t="s">
        <v>159</v>
      </c>
      <c r="P6" s="127" t="s">
        <v>160</v>
      </c>
      <c r="Q6" s="128" t="s">
        <v>161</v>
      </c>
      <c r="R6" s="128" t="s">
        <v>162</v>
      </c>
      <c r="S6" s="128" t="s">
        <v>163</v>
      </c>
      <c r="T6" s="129" t="s">
        <v>175</v>
      </c>
      <c r="U6" s="129" t="s">
        <v>165</v>
      </c>
    </row>
    <row r="7" spans="1:21" x14ac:dyDescent="0.2">
      <c r="A7" s="51" t="s">
        <v>36</v>
      </c>
      <c r="B7" s="23" t="s">
        <v>176</v>
      </c>
      <c r="C7" s="18" t="s">
        <v>722</v>
      </c>
      <c r="D7" t="s">
        <v>88</v>
      </c>
      <c r="E7" t="s">
        <v>39</v>
      </c>
      <c r="F7" s="15">
        <f>'GHG det, per kg meat'!G11</f>
        <v>14.76698625049327</v>
      </c>
      <c r="G7" s="15">
        <f>'GHG det, per kg meat'!G7</f>
        <v>2.1330200857437958</v>
      </c>
      <c r="H7" s="52">
        <f>'GHG det, per kg meat'!G8</f>
        <v>1.2417934952665594E-2</v>
      </c>
      <c r="I7" s="53">
        <f>'GHG det, per kg meat'!G9</f>
        <v>0.34213638077952574</v>
      </c>
      <c r="J7" s="53">
        <f>'GHG det, per kg meat'!G10</f>
        <v>1.1085089458288807E-2</v>
      </c>
      <c r="L7" s="54">
        <f>'Footprints, absolute'!L7/Production!$B$17*AF_beef_DK</f>
        <v>13.833452779194362</v>
      </c>
      <c r="M7" s="55">
        <f>'Footprints, absolute'!M7/Production!$B$17*AF_beef_DK</f>
        <v>0.18381557128363704</v>
      </c>
      <c r="N7" s="55">
        <f>'Footprints, absolute'!N7/Production!$B$17*AF_beef_DK</f>
        <v>1.5090951488083608E-2</v>
      </c>
      <c r="O7" s="55">
        <f>'Footprints, absolute'!O7/Production!$B$17*AF_beef_DK</f>
        <v>0.11073106021224186</v>
      </c>
      <c r="P7" s="55">
        <f>'Footprints, absolute'!P7/Production!$B$17*AF_beef_DK</f>
        <v>0.96800775528561656</v>
      </c>
      <c r="Q7" s="56">
        <f>'Footprints, absolute'!Q7/Production!$B$17*AF_beef_DK</f>
        <v>1.5025677662784493E-10</v>
      </c>
      <c r="R7" s="56">
        <f>'Footprints, absolute'!R7/Production!$B$17*AF_beef_DK</f>
        <v>6.953151457081596E-3</v>
      </c>
      <c r="S7" s="54"/>
      <c r="T7" s="130">
        <v>0</v>
      </c>
      <c r="U7" s="130">
        <v>0</v>
      </c>
    </row>
    <row r="8" spans="1:21" x14ac:dyDescent="0.2">
      <c r="A8" s="51" t="s">
        <v>36</v>
      </c>
      <c r="B8" s="23" t="s">
        <v>176</v>
      </c>
      <c r="C8" s="18" t="s">
        <v>722</v>
      </c>
      <c r="D8" t="s">
        <v>45</v>
      </c>
      <c r="E8" t="s">
        <v>46</v>
      </c>
      <c r="F8" s="15">
        <f>'GHG det, per kg meat'!G16</f>
        <v>14.704813066581391</v>
      </c>
      <c r="G8" s="15">
        <f>'GHG det, per kg meat'!G12</f>
        <v>2.7705350935605382</v>
      </c>
      <c r="H8" s="52">
        <f>'GHG det, per kg meat'!G13</f>
        <v>1.4248570747717586E-2</v>
      </c>
      <c r="I8" s="53">
        <f>'GHG det, per kg meat'!G14</f>
        <v>0.31955889210299743</v>
      </c>
      <c r="J8" s="53">
        <f>'GHG det, per kg meat'!G15</f>
        <v>1.0555239845999771E-2</v>
      </c>
      <c r="L8" s="54">
        <f>'Footprints, absolute'!L8/Production!$C$17*AF_beef_FR</f>
        <v>14.783148495226905</v>
      </c>
      <c r="M8" s="55">
        <f>'Footprints, absolute'!M8/Production!$C$17*AF_beef_FR</f>
        <v>0.2108958495736363</v>
      </c>
      <c r="N8" s="55">
        <f>'Footprints, absolute'!N8/Production!$C$17*AF_beef_FR</f>
        <v>1.7340455545543833E-2</v>
      </c>
      <c r="O8" s="55">
        <f>'Footprints, absolute'!O8/Production!$C$17*AF_beef_FR</f>
        <v>0.15824326546130768</v>
      </c>
      <c r="P8" s="55">
        <f>'Footprints, absolute'!P8/Production!$C$17*AF_beef_FR</f>
        <v>1.4545867422631102</v>
      </c>
      <c r="Q8" s="56">
        <f>'Footprints, absolute'!Q8/Production!$C$17*AF_beef_FR</f>
        <v>3.121320256408112E-10</v>
      </c>
      <c r="R8" s="56">
        <f>'Footprints, absolute'!R8/Production!$C$17*AF_beef_FR</f>
        <v>9.2363622167402279E-3</v>
      </c>
      <c r="S8" s="57"/>
      <c r="T8" s="130">
        <v>0</v>
      </c>
      <c r="U8" s="130">
        <v>0</v>
      </c>
    </row>
    <row r="9" spans="1:21" x14ac:dyDescent="0.2">
      <c r="A9" s="51" t="s">
        <v>36</v>
      </c>
      <c r="B9" s="23" t="s">
        <v>176</v>
      </c>
      <c r="C9" s="18" t="s">
        <v>722</v>
      </c>
      <c r="D9" t="s">
        <v>47</v>
      </c>
      <c r="E9" t="s">
        <v>48</v>
      </c>
      <c r="F9" s="15">
        <f>'GHG det, per kg meat'!G21</f>
        <v>15.389171785373717</v>
      </c>
      <c r="G9" s="15">
        <f>'GHG det, per kg meat'!G17</f>
        <v>3.9339108611388465</v>
      </c>
      <c r="H9" s="52">
        <f>'GHG det, per kg meat'!G18</f>
        <v>1.5656279905885293E-2</v>
      </c>
      <c r="I9" s="53">
        <f>'GHG det, per kg meat'!G19</f>
        <v>0.31676033645294993</v>
      </c>
      <c r="J9" s="53">
        <f>'GHG det, per kg meat'!G20</f>
        <v>8.9237168454572822E-3</v>
      </c>
      <c r="L9" s="54">
        <f>'Footprints, absolute'!L9/Production!$D$17*AF_beef_DE</f>
        <v>8.8848612556186595</v>
      </c>
      <c r="M9" s="55">
        <f>'Footprints, absolute'!M9/Production!$D$17*AF_beef_DE</f>
        <v>0.1598190347667969</v>
      </c>
      <c r="N9" s="55">
        <f>'Footprints, absolute'!N9/Production!$D$17*AF_beef_DE</f>
        <v>8.129671127747224E-3</v>
      </c>
      <c r="O9" s="55">
        <f>'Footprints, absolute'!O9/Production!$D$17*AF_beef_DE</f>
        <v>7.8687270406180107E-2</v>
      </c>
      <c r="P9" s="55">
        <f>'Footprints, absolute'!P9/Production!$D$17*AF_beef_DE</f>
        <v>0.55987847260673951</v>
      </c>
      <c r="Q9" s="56">
        <f>'Footprints, absolute'!Q9/Production!$D$17*AF_beef_DE</f>
        <v>2.4866312615218531E-10</v>
      </c>
      <c r="R9" s="56">
        <f>'Footprints, absolute'!R9/Production!$D$17*AF_beef_DE</f>
        <v>4.6367719529786635E-3</v>
      </c>
      <c r="S9" s="57"/>
      <c r="T9" s="130">
        <v>0</v>
      </c>
      <c r="U9" s="130">
        <v>0</v>
      </c>
    </row>
    <row r="10" spans="1:21" x14ac:dyDescent="0.2">
      <c r="A10" s="51" t="s">
        <v>36</v>
      </c>
      <c r="B10" s="23" t="s">
        <v>176</v>
      </c>
      <c r="C10" s="18" t="s">
        <v>722</v>
      </c>
      <c r="D10" t="s">
        <v>49</v>
      </c>
      <c r="E10" t="s">
        <v>50</v>
      </c>
      <c r="F10" s="15">
        <f>'GHG det, per kg meat'!G26</f>
        <v>18.197101337492146</v>
      </c>
      <c r="G10" s="15">
        <f>'GHG det, per kg meat'!G22</f>
        <v>6.3638123167337524</v>
      </c>
      <c r="H10" s="52">
        <f>'GHG det, per kg meat'!G23</f>
        <v>1.5756058147524177E-2</v>
      </c>
      <c r="I10" s="53">
        <f>'GHG det, per kg meat'!G24</f>
        <v>0.28641727589974009</v>
      </c>
      <c r="J10" s="53">
        <f>'GHG det, per kg meat'!G25</f>
        <v>1.3298505636150882E-2</v>
      </c>
      <c r="L10" s="54">
        <f>'Footprints, absolute'!L10/Production!$E$17*AF_beef_GR</f>
        <v>24.090350553760459</v>
      </c>
      <c r="M10" s="55">
        <f>'Footprints, absolute'!M10/Production!$E$17*AF_beef_GR</f>
        <v>0.34140947558562679</v>
      </c>
      <c r="N10" s="55">
        <f>'Footprints, absolute'!N10/Production!$E$17*AF_beef_GR</f>
        <v>3.4488458363199595E-2</v>
      </c>
      <c r="O10" s="55">
        <f>'Footprints, absolute'!O10/Production!$E$17*AF_beef_GR</f>
        <v>0.91136487291852708</v>
      </c>
      <c r="P10" s="55">
        <f>'Footprints, absolute'!P10/Production!$E$17*AF_beef_GR</f>
        <v>1.1557032979943747</v>
      </c>
      <c r="Q10" s="56">
        <f>'Footprints, absolute'!Q10/Production!$E$17*AF_beef_GR</f>
        <v>1.4798528289623749E-9</v>
      </c>
      <c r="R10" s="56">
        <f>'Footprints, absolute'!R10/Production!$E$17*AF_beef_GR</f>
        <v>2.5056596256428962E-2</v>
      </c>
      <c r="S10" s="57"/>
      <c r="T10" s="130">
        <v>0</v>
      </c>
      <c r="U10" s="130">
        <v>0</v>
      </c>
    </row>
    <row r="11" spans="1:21" x14ac:dyDescent="0.2">
      <c r="A11" s="51" t="s">
        <v>36</v>
      </c>
      <c r="B11" s="23" t="s">
        <v>176</v>
      </c>
      <c r="C11" s="18" t="s">
        <v>722</v>
      </c>
      <c r="D11" t="s">
        <v>86</v>
      </c>
      <c r="E11" t="s">
        <v>52</v>
      </c>
      <c r="F11" s="15">
        <f>'GHG det, per kg meat'!G31</f>
        <v>18.807544006836597</v>
      </c>
      <c r="G11" s="15">
        <f>'GHG det, per kg meat'!G27</f>
        <v>6.1779869478021396</v>
      </c>
      <c r="H11" s="52">
        <f>'GHG det, per kg meat'!G28</f>
        <v>1.8760458038963403E-2</v>
      </c>
      <c r="I11" s="53">
        <f>'GHG det, per kg meat'!G29</f>
        <v>0.31803110810004398</v>
      </c>
      <c r="J11" s="53">
        <f>'GHG det, per kg meat'!G30</f>
        <v>1.2760642823341243E-2</v>
      </c>
      <c r="L11" s="54">
        <f>'Footprints, absolute'!L11/Production!$F$17*AF_beef_HU</f>
        <v>22.593135131392668</v>
      </c>
      <c r="M11" s="55">
        <f>'Footprints, absolute'!M11/Production!$F$17*AF_beef_HU</f>
        <v>0.30662925111205896</v>
      </c>
      <c r="N11" s="55">
        <f>'Footprints, absolute'!N11/Production!$F$17*AF_beef_HU</f>
        <v>3.2722897379764297E-2</v>
      </c>
      <c r="O11" s="55">
        <f>'Footprints, absolute'!O11/Production!$F$17*AF_beef_HU</f>
        <v>0.18234959427726022</v>
      </c>
      <c r="P11" s="55">
        <f>'Footprints, absolute'!P11/Production!$F$17*AF_beef_HU</f>
        <v>1.6030599781235155</v>
      </c>
      <c r="Q11" s="56">
        <f>'Footprints, absolute'!Q11/Production!$F$17*AF_beef_HU</f>
        <v>4.8098260524963179E-10</v>
      </c>
      <c r="R11" s="56">
        <f>'Footprints, absolute'!R11/Production!$F$17*AF_beef_HU</f>
        <v>1.1161995473046001E-2</v>
      </c>
      <c r="S11" s="57"/>
      <c r="T11" s="130">
        <v>0</v>
      </c>
      <c r="U11" s="130">
        <v>0</v>
      </c>
    </row>
    <row r="12" spans="1:21" x14ac:dyDescent="0.2">
      <c r="A12" s="51" t="s">
        <v>36</v>
      </c>
      <c r="B12" s="23" t="s">
        <v>176</v>
      </c>
      <c r="C12" s="18" t="s">
        <v>722</v>
      </c>
      <c r="D12" t="s">
        <v>89</v>
      </c>
      <c r="E12" t="s">
        <v>54</v>
      </c>
      <c r="F12" s="15">
        <f>'GHG det, per kg meat'!G36</f>
        <v>13.804497884307592</v>
      </c>
      <c r="G12" s="15">
        <f>'GHG det, per kg meat'!G32</f>
        <v>2.0555295969563492</v>
      </c>
      <c r="H12" s="52">
        <f>'GHG det, per kg meat'!G33</f>
        <v>2.8037261919414617E-3</v>
      </c>
      <c r="I12" s="53">
        <f>'GHG det, per kg meat'!G34</f>
        <v>0.34197297802722115</v>
      </c>
      <c r="J12" s="53">
        <f>'GHG det, per kg meat'!G35</f>
        <v>8.9089627842359603E-3</v>
      </c>
      <c r="L12" s="54">
        <f>'Footprints, absolute'!L12/Production!$G$17*AF_beef_IE</f>
        <v>3.2119612769744417</v>
      </c>
      <c r="M12" s="55">
        <f>'Footprints, absolute'!M12/Production!$G$17*AF_beef_IE</f>
        <v>0.22856977874369644</v>
      </c>
      <c r="N12" s="55">
        <f>'Footprints, absolute'!N12/Production!$G$17*AF_beef_IE</f>
        <v>7.468884719318598E-3</v>
      </c>
      <c r="O12" s="55">
        <f>'Footprints, absolute'!O12/Production!$G$17*AF_beef_IE</f>
        <v>0.11723309888646735</v>
      </c>
      <c r="P12" s="55">
        <f>'Footprints, absolute'!P12/Production!$G$17*AF_beef_IE</f>
        <v>1.0641661722377842</v>
      </c>
      <c r="Q12" s="56">
        <f>'Footprints, absolute'!Q12/Production!$G$17*AF_beef_IE</f>
        <v>8.0364314778149563E-11</v>
      </c>
      <c r="R12" s="56">
        <f>'Footprints, absolute'!R12/Production!$G$17*AF_beef_IE</f>
        <v>7.249062385816428E-3</v>
      </c>
      <c r="S12" s="57"/>
      <c r="T12" s="130">
        <v>0</v>
      </c>
      <c r="U12" s="130">
        <v>0</v>
      </c>
    </row>
    <row r="13" spans="1:21" x14ac:dyDescent="0.2">
      <c r="A13" s="51" t="s">
        <v>36</v>
      </c>
      <c r="B13" s="23" t="s">
        <v>176</v>
      </c>
      <c r="C13" s="18" t="s">
        <v>722</v>
      </c>
      <c r="D13" t="s">
        <v>55</v>
      </c>
      <c r="E13" t="s">
        <v>56</v>
      </c>
      <c r="F13" s="15">
        <f>'GHG det, per kg meat'!G41</f>
        <v>18.103801211907989</v>
      </c>
      <c r="G13" s="15">
        <f>'GHG det, per kg meat'!G37</f>
        <v>5.0151261919511443</v>
      </c>
      <c r="H13" s="52">
        <f>'GHG det, per kg meat'!G38</f>
        <v>2.2655524395851726E-2</v>
      </c>
      <c r="I13" s="53">
        <f>'GHG det, per kg meat'!G39</f>
        <v>0.36317962400848847</v>
      </c>
      <c r="J13" s="53">
        <f>'GHG det, per kg meat'!G40</f>
        <v>9.5519800173306767E-3</v>
      </c>
      <c r="L13" s="54">
        <f>'Footprints, absolute'!L13/Production!$H$17*AF_beef_IT</f>
        <v>15.179417616741432</v>
      </c>
      <c r="M13" s="55">
        <f>'Footprints, absolute'!M13/Production!$H$17*AF_beef_IT</f>
        <v>0.26402644306173578</v>
      </c>
      <c r="N13" s="55">
        <f>'Footprints, absolute'!N13/Production!$H$17*AF_beef_IT</f>
        <v>1.6582672062193615E-2</v>
      </c>
      <c r="O13" s="55">
        <f>'Footprints, absolute'!O13/Production!$H$17*AF_beef_IT</f>
        <v>0.14632245969880972</v>
      </c>
      <c r="P13" s="55">
        <f>'Footprints, absolute'!P13/Production!$H$17*AF_beef_IT</f>
        <v>0.88384738334955126</v>
      </c>
      <c r="Q13" s="56">
        <f>'Footprints, absolute'!Q13/Production!$H$17*AF_beef_IT</f>
        <v>1.1442875943562346E-9</v>
      </c>
      <c r="R13" s="56">
        <f>'Footprints, absolute'!R13/Production!$H$17*AF_beef_IT</f>
        <v>1.2122147118481148E-2</v>
      </c>
      <c r="S13" s="57"/>
      <c r="T13" s="130">
        <v>0</v>
      </c>
      <c r="U13" s="130">
        <v>0</v>
      </c>
    </row>
    <row r="14" spans="1:21" x14ac:dyDescent="0.2">
      <c r="A14" s="51" t="s">
        <v>36</v>
      </c>
      <c r="B14" s="23" t="s">
        <v>176</v>
      </c>
      <c r="C14" s="18" t="s">
        <v>722</v>
      </c>
      <c r="D14" t="s">
        <v>87</v>
      </c>
      <c r="E14" t="s">
        <v>58</v>
      </c>
      <c r="F14" s="15">
        <f>'GHG det, per kg meat'!G46</f>
        <v>16.735430645469222</v>
      </c>
      <c r="G14" s="15">
        <f>'GHG det, per kg meat'!G42</f>
        <v>4.7345504217834682</v>
      </c>
      <c r="H14" s="52">
        <f>'GHG det, per kg meat'!G43</f>
        <v>1.2208856788428658E-2</v>
      </c>
      <c r="I14" s="53">
        <f>'GHG det, per kg meat'!G44</f>
        <v>0.30442710021673042</v>
      </c>
      <c r="J14" s="53">
        <f>'GHG det, per kg meat'!G45</f>
        <v>1.2518405075233911E-2</v>
      </c>
      <c r="L14" s="54">
        <f>'Footprints, absolute'!L14/Production!$I$17*AF_beef_NL</f>
        <v>11.262184954706488</v>
      </c>
      <c r="M14" s="55">
        <f>'Footprints, absolute'!M14/Production!$I$17*AF_beef_NL</f>
        <v>0.3243628873217434</v>
      </c>
      <c r="N14" s="55">
        <f>'Footprints, absolute'!N14/Production!$I$17*AF_beef_NL</f>
        <v>1.2452289950410018E-2</v>
      </c>
      <c r="O14" s="55">
        <f>'Footprints, absolute'!O14/Production!$I$17*AF_beef_NL</f>
        <v>8.5095061038572686E-2</v>
      </c>
      <c r="P14" s="55">
        <f>'Footprints, absolute'!P14/Production!$I$17*AF_beef_NL</f>
        <v>1.0325975123671227</v>
      </c>
      <c r="Q14" s="56">
        <f>'Footprints, absolute'!Q14/Production!$I$17*AF_beef_NL</f>
        <v>3.5074470864556755E-10</v>
      </c>
      <c r="R14" s="56">
        <f>'Footprints, absolute'!R14/Production!$I$17*AF_beef_NL</f>
        <v>1.250941727262361E-2</v>
      </c>
      <c r="S14" s="57"/>
      <c r="T14" s="130">
        <v>0</v>
      </c>
      <c r="U14" s="130">
        <v>0</v>
      </c>
    </row>
    <row r="15" spans="1:21" x14ac:dyDescent="0.2">
      <c r="A15" s="51" t="s">
        <v>36</v>
      </c>
      <c r="B15" s="23" t="s">
        <v>176</v>
      </c>
      <c r="C15" s="18" t="s">
        <v>722</v>
      </c>
      <c r="D15" t="s">
        <v>59</v>
      </c>
      <c r="E15" t="s">
        <v>60</v>
      </c>
      <c r="F15" s="15">
        <f>'GHG det, per kg meat'!G51</f>
        <v>19.805894974573143</v>
      </c>
      <c r="G15" s="15">
        <f>'GHG det, per kg meat'!G47</f>
        <v>7.9636178291862612</v>
      </c>
      <c r="H15" s="52">
        <f>'GHG det, per kg meat'!G48</f>
        <v>1.7280341864954359E-2</v>
      </c>
      <c r="I15" s="53">
        <f>'GHG det, per kg meat'!G49</f>
        <v>0.29526097773711585</v>
      </c>
      <c r="J15" s="53">
        <f>'GHG det, per kg meat'!G50</f>
        <v>1.2290390325674409E-2</v>
      </c>
      <c r="L15" s="54">
        <f>'Footprints, absolute'!L15/Production!$J$17*AF_beef_PL</f>
        <v>15.175002177040838</v>
      </c>
      <c r="M15" s="55">
        <f>'Footprints, absolute'!M15/Production!$J$17*AF_beef_PL</f>
        <v>0.25202335375775731</v>
      </c>
      <c r="N15" s="55">
        <f>'Footprints, absolute'!N15/Production!$J$17*AF_beef_PL</f>
        <v>2.397317890106529E-2</v>
      </c>
      <c r="O15" s="55">
        <f>'Footprints, absolute'!O15/Production!$J$17*AF_beef_PL</f>
        <v>9.0368764125131229E-2</v>
      </c>
      <c r="P15" s="55">
        <f>'Footprints, absolute'!P15/Production!$J$17*AF_beef_PL</f>
        <v>1.1672157513388279</v>
      </c>
      <c r="Q15" s="56">
        <f>'Footprints, absolute'!Q15/Production!$J$17*AF_beef_PL</f>
        <v>2.3994032031642515E-10</v>
      </c>
      <c r="R15" s="56">
        <f>'Footprints, absolute'!R15/Production!$J$17*AF_beef_PL</f>
        <v>1.035523816639072E-2</v>
      </c>
      <c r="S15" s="57"/>
      <c r="T15" s="130">
        <v>0</v>
      </c>
      <c r="U15" s="130">
        <v>0</v>
      </c>
    </row>
    <row r="16" spans="1:21" x14ac:dyDescent="0.2">
      <c r="A16" s="51" t="s">
        <v>36</v>
      </c>
      <c r="B16" s="23" t="s">
        <v>176</v>
      </c>
      <c r="C16" s="18" t="s">
        <v>722</v>
      </c>
      <c r="D16" t="s">
        <v>61</v>
      </c>
      <c r="E16" t="s">
        <v>62</v>
      </c>
      <c r="F16" s="15">
        <f>'GHG det, per kg meat'!G56</f>
        <v>15.136061689743546</v>
      </c>
      <c r="G16" s="15">
        <f>'GHG det, per kg meat'!G52</f>
        <v>4.0975898393390091</v>
      </c>
      <c r="H16" s="52">
        <f>'GHG det, per kg meat'!G53</f>
        <v>1.1320971086041227E-2</v>
      </c>
      <c r="I16" s="53">
        <f>'GHG det, per kg meat'!G54</f>
        <v>0.29035851284038072</v>
      </c>
      <c r="J16" s="53">
        <f>'GHG det, per kg meat'!G55</f>
        <v>1.048141782179572E-2</v>
      </c>
      <c r="L16" s="54">
        <f>'Footprints, absolute'!L16/Production!$K$17*AF_beef_ES</f>
        <v>16.414508854614237</v>
      </c>
      <c r="M16" s="55">
        <f>'Footprints, absolute'!M16/Production!$K$17*AF_beef_ES</f>
        <v>0.30866680775773525</v>
      </c>
      <c r="N16" s="55">
        <f>'Footprints, absolute'!N16/Production!$K$17*AF_beef_ES</f>
        <v>2.7727341434616186E-2</v>
      </c>
      <c r="O16" s="55">
        <f>'Footprints, absolute'!O16/Production!$K$17*AF_beef_ES</f>
        <v>0.74839527352740354</v>
      </c>
      <c r="P16" s="55">
        <f>'Footprints, absolute'!P16/Production!$K$17*AF_beef_ES</f>
        <v>1.2578367507779948</v>
      </c>
      <c r="Q16" s="56">
        <f>'Footprints, absolute'!Q16/Production!$K$17*AF_beef_ES</f>
        <v>4.7578566151219015E-10</v>
      </c>
      <c r="R16" s="56">
        <f>'Footprints, absolute'!R16/Production!$K$17*AF_beef_ES</f>
        <v>9.6024008855469262E-3</v>
      </c>
      <c r="S16" s="57"/>
      <c r="T16" s="130">
        <v>0</v>
      </c>
      <c r="U16" s="130">
        <v>0</v>
      </c>
    </row>
    <row r="17" spans="1:21" x14ac:dyDescent="0.2">
      <c r="A17" s="51" t="s">
        <v>36</v>
      </c>
      <c r="B17" s="23" t="s">
        <v>176</v>
      </c>
      <c r="C17" s="18" t="s">
        <v>722</v>
      </c>
      <c r="D17" s="58" t="s">
        <v>63</v>
      </c>
      <c r="E17" s="58" t="s">
        <v>64</v>
      </c>
      <c r="F17" s="57">
        <f>'GHG det, per kg meat'!G61</f>
        <v>13.977813197838094</v>
      </c>
      <c r="G17" s="15">
        <f>'GHG det, per kg meat'!G57</f>
        <v>2.9036894204253225</v>
      </c>
      <c r="H17" s="52">
        <f>'GHG det, per kg meat'!G58</f>
        <v>1.6258480140732386E-2</v>
      </c>
      <c r="I17" s="53">
        <f>'GHG det, per kg meat'!G59</f>
        <v>0.28691119159935652</v>
      </c>
      <c r="J17" s="53">
        <f>'GHG det, per kg meat'!G60</f>
        <v>1.0413988630169671E-2</v>
      </c>
      <c r="K17" s="58"/>
      <c r="L17" s="54">
        <f>'Footprints, absolute'!L17/Production!$L$17*AF_beef_SE</f>
        <v>26.072834160814402</v>
      </c>
      <c r="M17" s="55">
        <f>'Footprints, absolute'!M17/Production!$L$17*AF_beef_SE</f>
        <v>0.25948200612208544</v>
      </c>
      <c r="N17" s="55">
        <f>'Footprints, absolute'!N17/Production!$L$17*AF_beef_SE</f>
        <v>1.3027084356044971E-2</v>
      </c>
      <c r="O17" s="55">
        <f>'Footprints, absolute'!O17/Production!$L$17*AF_beef_SE</f>
        <v>8.1915994541294071E-2</v>
      </c>
      <c r="P17" s="55">
        <f>'Footprints, absolute'!P17/Production!$L$17*AF_beef_SE</f>
        <v>0.64172207804968007</v>
      </c>
      <c r="Q17" s="56">
        <f>'Footprints, absolute'!Q17/Production!$L$17*AF_beef_SE</f>
        <v>1.6327447769021903E-10</v>
      </c>
      <c r="R17" s="56">
        <f>'Footprints, absolute'!R17/Production!$L$17*AF_beef_SE</f>
        <v>7.5946196636061634E-3</v>
      </c>
      <c r="S17" s="57"/>
      <c r="T17" s="130">
        <v>0</v>
      </c>
      <c r="U17" s="130">
        <v>0</v>
      </c>
    </row>
    <row r="18" spans="1:21" x14ac:dyDescent="0.2">
      <c r="A18" s="131" t="s">
        <v>36</v>
      </c>
      <c r="B18" s="132" t="s">
        <v>176</v>
      </c>
      <c r="C18" s="18" t="s">
        <v>722</v>
      </c>
      <c r="D18" s="100" t="s">
        <v>65</v>
      </c>
      <c r="E18" s="100" t="s">
        <v>66</v>
      </c>
      <c r="F18" s="106">
        <f>F12</f>
        <v>13.804497884307592</v>
      </c>
      <c r="G18" s="106">
        <f>G12</f>
        <v>2.0555295969563492</v>
      </c>
      <c r="H18" s="134">
        <f>H12</f>
        <v>2.8037261919414617E-3</v>
      </c>
      <c r="I18" s="135">
        <f>I12</f>
        <v>0.34197297802722115</v>
      </c>
      <c r="J18" s="135">
        <f>J12</f>
        <v>8.9089627842359603E-3</v>
      </c>
      <c r="K18" s="106"/>
      <c r="L18" s="136">
        <f t="shared" ref="L18:R18" si="0">L12</f>
        <v>3.2119612769744417</v>
      </c>
      <c r="M18" s="134">
        <f t="shared" si="0"/>
        <v>0.22856977874369644</v>
      </c>
      <c r="N18" s="134">
        <f t="shared" si="0"/>
        <v>7.468884719318598E-3</v>
      </c>
      <c r="O18" s="134">
        <f t="shared" si="0"/>
        <v>0.11723309888646735</v>
      </c>
      <c r="P18" s="134">
        <f t="shared" si="0"/>
        <v>1.0641661722377842</v>
      </c>
      <c r="Q18" s="137">
        <f t="shared" si="0"/>
        <v>8.0364314778149563E-11</v>
      </c>
      <c r="R18" s="137">
        <f t="shared" si="0"/>
        <v>7.249062385816428E-3</v>
      </c>
      <c r="S18" s="106"/>
      <c r="T18" s="138">
        <f>T12</f>
        <v>0</v>
      </c>
      <c r="U18" s="138">
        <f>U12</f>
        <v>0</v>
      </c>
    </row>
    <row r="19" spans="1:21" x14ac:dyDescent="0.2">
      <c r="J19" s="53"/>
      <c r="M19" s="60"/>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4B183"/>
  </sheetPr>
  <dimension ref="A1:AB231"/>
  <sheetViews>
    <sheetView tabSelected="1" zoomScale="80" zoomScaleNormal="80" workbookViewId="0">
      <selection activeCell="C15" sqref="C15"/>
    </sheetView>
  </sheetViews>
  <sheetFormatPr baseColWidth="10" defaultColWidth="8.6640625" defaultRowHeight="15" x14ac:dyDescent="0.2"/>
  <cols>
    <col min="1" max="1" width="13.6640625" style="1" customWidth="1"/>
    <col min="2" max="2" width="22.5" customWidth="1"/>
    <col min="3" max="3" width="27.33203125" customWidth="1"/>
    <col min="4" max="5" width="10.33203125" customWidth="1"/>
    <col min="6" max="6" width="7.6640625" customWidth="1"/>
    <col min="7" max="7" width="9.33203125" style="23" customWidth="1"/>
    <col min="8" max="20" width="14.6640625" customWidth="1"/>
    <col min="21" max="22" width="14.6640625" style="26" customWidth="1"/>
    <col min="23" max="24" width="14.6640625" customWidth="1"/>
    <col min="26" max="26" width="16" customWidth="1"/>
    <col min="27" max="27" width="19.33203125" customWidth="1"/>
  </cols>
  <sheetData>
    <row r="1" spans="1:27" x14ac:dyDescent="0.2">
      <c r="H1" s="24"/>
      <c r="N1" s="25"/>
    </row>
    <row r="2" spans="1:27" ht="21" customHeight="1" x14ac:dyDescent="0.25">
      <c r="A2" s="2" t="s">
        <v>178</v>
      </c>
      <c r="H2" s="24"/>
      <c r="M2" s="25"/>
      <c r="N2" s="25"/>
      <c r="S2" s="15"/>
      <c r="T2" s="13"/>
    </row>
    <row r="3" spans="1:27" x14ac:dyDescent="0.2">
      <c r="J3" s="25"/>
      <c r="K3" s="24" t="s">
        <v>1</v>
      </c>
      <c r="L3" s="26"/>
      <c r="M3" s="26"/>
      <c r="N3" s="26"/>
      <c r="O3" s="26"/>
      <c r="P3" s="26"/>
      <c r="Q3" s="26"/>
      <c r="R3" s="26"/>
      <c r="S3" s="26"/>
      <c r="T3" s="26"/>
    </row>
    <row r="4" spans="1:27" x14ac:dyDescent="0.2">
      <c r="A4" s="139"/>
      <c r="B4" s="140"/>
      <c r="C4" s="140"/>
      <c r="D4" s="140"/>
      <c r="E4" s="140"/>
      <c r="F4" s="140"/>
      <c r="G4" s="140"/>
      <c r="H4" s="141"/>
      <c r="I4" s="141"/>
      <c r="J4" s="142"/>
      <c r="K4" s="142"/>
      <c r="L4" s="142"/>
      <c r="M4" s="142"/>
      <c r="N4" s="142"/>
      <c r="O4" s="142"/>
      <c r="P4" s="142"/>
      <c r="Q4" s="142"/>
      <c r="R4" s="142"/>
      <c r="S4" s="141" t="s">
        <v>2</v>
      </c>
      <c r="T4" s="141"/>
      <c r="U4" s="143"/>
      <c r="V4" s="143"/>
      <c r="W4" s="142" t="s">
        <v>3</v>
      </c>
      <c r="X4" s="142" t="s">
        <v>4</v>
      </c>
      <c r="Z4" s="63" t="s">
        <v>170</v>
      </c>
      <c r="AA4" s="63"/>
    </row>
    <row r="5" spans="1:27" x14ac:dyDescent="0.2">
      <c r="A5" s="112" t="s">
        <v>5</v>
      </c>
      <c r="B5" s="113"/>
      <c r="C5" s="113"/>
      <c r="D5" s="114"/>
      <c r="E5" s="114"/>
      <c r="F5" s="144"/>
      <c r="G5" s="145" t="s">
        <v>6</v>
      </c>
      <c r="H5" s="145" t="s">
        <v>7</v>
      </c>
      <c r="I5" s="146"/>
      <c r="J5" s="145" t="s">
        <v>8</v>
      </c>
      <c r="K5" s="147"/>
      <c r="L5" s="118" t="s">
        <v>9</v>
      </c>
      <c r="M5" s="147"/>
      <c r="N5" s="147"/>
      <c r="O5" s="147"/>
      <c r="P5" s="118" t="s">
        <v>10</v>
      </c>
      <c r="Q5" s="118" t="s">
        <v>11</v>
      </c>
      <c r="R5" s="118" t="s">
        <v>12</v>
      </c>
      <c r="S5" s="148"/>
      <c r="T5" s="148"/>
      <c r="U5" s="149"/>
      <c r="V5" s="149"/>
      <c r="W5" s="150"/>
      <c r="X5" s="150"/>
      <c r="Z5" s="67"/>
      <c r="AA5" s="67" t="s">
        <v>171</v>
      </c>
    </row>
    <row r="6" spans="1:27" ht="57.75" customHeight="1" x14ac:dyDescent="0.2">
      <c r="A6" s="119" t="s">
        <v>13</v>
      </c>
      <c r="B6" s="120" t="s">
        <v>14</v>
      </c>
      <c r="C6" s="120" t="s">
        <v>15</v>
      </c>
      <c r="D6" s="121" t="s">
        <v>16</v>
      </c>
      <c r="E6" s="122" t="s">
        <v>17</v>
      </c>
      <c r="F6" s="121" t="s">
        <v>18</v>
      </c>
      <c r="G6" s="122" t="s">
        <v>19</v>
      </c>
      <c r="H6" s="129" t="s">
        <v>20</v>
      </c>
      <c r="I6" s="129" t="s">
        <v>21</v>
      </c>
      <c r="J6" s="129" t="s">
        <v>22</v>
      </c>
      <c r="K6" s="129" t="s">
        <v>23</v>
      </c>
      <c r="L6" s="129" t="s">
        <v>24</v>
      </c>
      <c r="M6" s="129" t="s">
        <v>25</v>
      </c>
      <c r="N6" s="129" t="s">
        <v>26</v>
      </c>
      <c r="O6" s="129" t="s">
        <v>27</v>
      </c>
      <c r="P6" s="129" t="s">
        <v>28</v>
      </c>
      <c r="Q6" s="129" t="s">
        <v>11</v>
      </c>
      <c r="R6" s="129" t="s">
        <v>29</v>
      </c>
      <c r="S6" s="122" t="s">
        <v>30</v>
      </c>
      <c r="T6" s="122" t="s">
        <v>31</v>
      </c>
      <c r="U6" s="151" t="s">
        <v>32</v>
      </c>
      <c r="V6" s="151" t="s">
        <v>33</v>
      </c>
      <c r="W6" s="129" t="s">
        <v>34</v>
      </c>
      <c r="X6" s="129" t="s">
        <v>35</v>
      </c>
      <c r="Z6" s="42" t="s">
        <v>172</v>
      </c>
      <c r="AA6" s="42" t="s">
        <v>173</v>
      </c>
    </row>
    <row r="7" spans="1:27" x14ac:dyDescent="0.2">
      <c r="A7" s="540" t="s">
        <v>36</v>
      </c>
      <c r="B7" s="74" t="s">
        <v>176</v>
      </c>
      <c r="C7" s="75" t="s">
        <v>722</v>
      </c>
      <c r="D7" s="76" t="s">
        <v>38</v>
      </c>
      <c r="E7" s="76" t="s">
        <v>39</v>
      </c>
      <c r="F7" s="77" t="s">
        <v>40</v>
      </c>
      <c r="G7" s="78">
        <f>SUM(H7:X7)</f>
        <v>2.1330200857437958</v>
      </c>
      <c r="H7" s="78">
        <f>'GHG detailed, absolute'!H7/Production!$B$17*AF_beef_DK</f>
        <v>0.49628663578434162</v>
      </c>
      <c r="I7" s="78">
        <f>'GHG detailed, absolute'!I7/Production!$B$17*AF_beef_DK</f>
        <v>0.2813098504289766</v>
      </c>
      <c r="J7" s="78"/>
      <c r="K7" s="78"/>
      <c r="L7" s="78">
        <f>'GHG detailed, absolute'!L7/Production!$B$17*AF_beef_DK</f>
        <v>0.21820172324828166</v>
      </c>
      <c r="M7" s="78"/>
      <c r="N7" s="78">
        <f>'GHG detailed, absolute'!N7/Production!$B$17*AF_beef_DK</f>
        <v>4.4963150887304302E-4</v>
      </c>
      <c r="O7" s="78">
        <f>'GHG detailed, absolute'!O7/Production!$B$17*AF_beef_DK</f>
        <v>0.14625317003212426</v>
      </c>
      <c r="P7" s="78">
        <f>'GHG detailed, absolute'!P7/Production!$B$17*AF_beef_DK</f>
        <v>0.19457773214308161</v>
      </c>
      <c r="Q7" s="78">
        <f>'GHG detailed, absolute'!Q7/Production!$B$17*AF_beef_DK</f>
        <v>0.3918158082605519</v>
      </c>
      <c r="R7" s="78">
        <f>'GHG detailed, absolute'!R7/Production!$B$17*AF_beef_DK</f>
        <v>0.3918158082605519</v>
      </c>
      <c r="S7" s="79"/>
      <c r="T7" s="80"/>
      <c r="U7" s="81"/>
      <c r="V7" s="81"/>
      <c r="W7" s="79">
        <f>'GHG detailed, absolute'!W7/Production!$B$17*AF_beef_DK</f>
        <v>0</v>
      </c>
      <c r="X7" s="82">
        <f>'GHG detailed, absolute'!X7/Production!$B$17*AF_beef_DK</f>
        <v>1.230972607701324E-2</v>
      </c>
      <c r="Z7" s="83"/>
      <c r="AA7" s="83"/>
    </row>
    <row r="8" spans="1:27" x14ac:dyDescent="0.2">
      <c r="A8" s="23" t="s">
        <v>36</v>
      </c>
      <c r="B8" s="23" t="s">
        <v>176</v>
      </c>
      <c r="C8" s="18" t="s">
        <v>722</v>
      </c>
      <c r="D8" s="58" t="s">
        <v>38</v>
      </c>
      <c r="E8" s="58" t="s">
        <v>39</v>
      </c>
      <c r="F8" s="23" t="s">
        <v>41</v>
      </c>
      <c r="G8" s="83">
        <f>SUM(H8:X8)</f>
        <v>1.2417934952665594E-2</v>
      </c>
      <c r="H8" s="56">
        <f>'GHG detailed, absolute'!H8/Production!$B$17*AF_beef_DK</f>
        <v>5.4743519520386618E-4</v>
      </c>
      <c r="I8" s="56">
        <f>'GHG detailed, absolute'!I8/Production!$B$17*AF_beef_DK</f>
        <v>9.8979391817602879E-4</v>
      </c>
      <c r="J8" s="56"/>
      <c r="K8" s="56"/>
      <c r="L8" s="56">
        <f>'GHG detailed, absolute'!L8/Production!$B$17*AF_beef_DK</f>
        <v>9.6656005701260743E-5</v>
      </c>
      <c r="M8" s="56"/>
      <c r="N8" s="56">
        <f>'GHG detailed, absolute'!N8/Production!$B$17*AF_beef_DK</f>
        <v>1.5037756049378219E-6</v>
      </c>
      <c r="O8" s="56">
        <f>'GHG detailed, absolute'!O8/Production!$B$17*AF_beef_DK</f>
        <v>8.8004146291442494E-5</v>
      </c>
      <c r="P8" s="56">
        <f>'GHG detailed, absolute'!P8/Production!$B$17*AF_beef_DK</f>
        <v>0</v>
      </c>
      <c r="Q8" s="56">
        <f>'GHG detailed, absolute'!Q8/Production!$B$17*AF_beef_DK</f>
        <v>5.0922691061582029E-3</v>
      </c>
      <c r="R8" s="56">
        <f>'GHG detailed, absolute'!R8/Production!$B$17*AF_beef_DK</f>
        <v>5.0922691061582029E-3</v>
      </c>
      <c r="W8" s="13">
        <f>'GHG detailed, absolute'!W8/Production!$B$17*AF_beef_DK</f>
        <v>4.8408696473973656E-4</v>
      </c>
      <c r="X8" s="53">
        <f>'GHG detailed, absolute'!X8/Production!$B$17*AF_beef_DK</f>
        <v>2.5916734631917199E-5</v>
      </c>
      <c r="Z8" s="84"/>
      <c r="AA8" s="84"/>
    </row>
    <row r="9" spans="1:27" x14ac:dyDescent="0.2">
      <c r="A9" s="23" t="s">
        <v>36</v>
      </c>
      <c r="B9" s="23" t="s">
        <v>176</v>
      </c>
      <c r="C9" s="18" t="s">
        <v>722</v>
      </c>
      <c r="D9" s="58" t="s">
        <v>38</v>
      </c>
      <c r="E9" s="58" t="s">
        <v>39</v>
      </c>
      <c r="F9" s="23" t="s">
        <v>42</v>
      </c>
      <c r="G9" s="83">
        <f>SUM(H9:T9)</f>
        <v>0.34213638077952574</v>
      </c>
      <c r="H9" s="56"/>
      <c r="I9" s="56"/>
      <c r="J9" s="85"/>
      <c r="K9" s="56"/>
      <c r="L9" s="56"/>
      <c r="M9" s="56"/>
      <c r="N9" s="56"/>
      <c r="O9" s="56"/>
      <c r="P9" s="56"/>
      <c r="Q9" s="56"/>
      <c r="R9" s="56"/>
      <c r="S9" s="13">
        <f>'GHG detailed, absolute'!S9/Production!$B$17*AF_beef_DK</f>
        <v>0.25766436855864305</v>
      </c>
      <c r="T9" s="53">
        <f>'GHG detailed, absolute'!T9/Production!$B$17*AF_beef_DK</f>
        <v>8.44720122208827E-2</v>
      </c>
      <c r="U9" s="86">
        <f>'GHG detailed, absolute'!U9/Production!$B$17*AF_beef_DK</f>
        <v>8.44720122208827E-2</v>
      </c>
      <c r="W9" s="13"/>
      <c r="X9" s="53"/>
      <c r="Z9" s="84"/>
      <c r="AA9" s="84"/>
    </row>
    <row r="10" spans="1:27" ht="15" customHeight="1" x14ac:dyDescent="0.2">
      <c r="A10" s="23" t="s">
        <v>36</v>
      </c>
      <c r="B10" s="23" t="s">
        <v>176</v>
      </c>
      <c r="C10" s="18" t="s">
        <v>722</v>
      </c>
      <c r="D10" s="58" t="s">
        <v>38</v>
      </c>
      <c r="E10" s="58" t="s">
        <v>39</v>
      </c>
      <c r="F10" s="87" t="s">
        <v>43</v>
      </c>
      <c r="G10" s="83">
        <f>SUM(H10:T10)+W10+X10</f>
        <v>1.1085089458288807E-2</v>
      </c>
      <c r="H10" s="56">
        <f>'GHG detailed, absolute'!H10/Production!$B$17*AF_beef_DK</f>
        <v>7.2672616924742209E-4</v>
      </c>
      <c r="I10" s="56">
        <f>'GHG detailed, absolute'!I10/Production!$B$17*AF_beef_DK</f>
        <v>1.1460771684143493E-5</v>
      </c>
      <c r="J10" s="56">
        <f>'GHG detailed, absolute'!J10/Production!$B$17*AF_beef_DK</f>
        <v>5.2994756181778844E-3</v>
      </c>
      <c r="K10" s="84">
        <f>'GHG detailed, absolute'!K10/Production!$B$17*AF_beef_DK</f>
        <v>5.2994756181778849E-4</v>
      </c>
      <c r="L10" s="56">
        <f>'GHG detailed, absolute'!L10/Production!$B$17*AF_beef_DK</f>
        <v>5.8631653770613101E-6</v>
      </c>
      <c r="M10" s="56"/>
      <c r="N10" s="56">
        <f>'GHG detailed, absolute'!N10/Production!$B$17*AF_beef_DK</f>
        <v>1.8506798979595026E-8</v>
      </c>
      <c r="O10" s="56">
        <f>'GHG detailed, absolute'!O10/Production!$B$17*AF_beef_DK</f>
        <v>5.3458370462775274E-6</v>
      </c>
      <c r="P10" s="56">
        <f>'GHG detailed, absolute'!P10/Production!$B$17*AF_beef_DK</f>
        <v>0</v>
      </c>
      <c r="Q10" s="56">
        <f>'GHG detailed, absolute'!Q10/Production!$B$17*AF_beef_DK</f>
        <v>4.8934579618906831E-4</v>
      </c>
      <c r="R10" s="56">
        <f>'GHG detailed, absolute'!R10/Production!$B$17*AF_beef_DK</f>
        <v>4.8934579618906831E-4</v>
      </c>
      <c r="S10" s="13"/>
      <c r="T10" s="53">
        <f>'GHG detailed, absolute'!T10/Production!$B$17*AF_beef_DK</f>
        <v>3.508924589204748E-3</v>
      </c>
      <c r="U10" s="88">
        <f>'GHG detailed, absolute'!U10/Production!$B$17*AF_beef_DK</f>
        <v>2.0675835390601247E-3</v>
      </c>
      <c r="V10" s="88">
        <f>'GHG detailed, absolute'!V10/Production!$B$17*AF_beef_DK</f>
        <v>1.4413410501446231E-3</v>
      </c>
      <c r="W10" s="13">
        <f>'GHG detailed, absolute'!W10/Production!$B$17*AF_beef_DK</f>
        <v>1.8057001128965174E-5</v>
      </c>
      <c r="X10" s="53">
        <f>'GHG detailed, absolute'!X10/Production!$B$17*AF_beef_DK</f>
        <v>5.7864542740110821E-7</v>
      </c>
      <c r="Z10" s="84"/>
      <c r="AA10" s="84"/>
    </row>
    <row r="11" spans="1:27" ht="15" customHeight="1" x14ac:dyDescent="0.2">
      <c r="A11" s="89" t="s">
        <v>36</v>
      </c>
      <c r="B11" s="89" t="s">
        <v>176</v>
      </c>
      <c r="C11" s="90" t="s">
        <v>722</v>
      </c>
      <c r="D11" s="91" t="s">
        <v>38</v>
      </c>
      <c r="E11" s="91" t="s">
        <v>39</v>
      </c>
      <c r="F11" s="92" t="s">
        <v>44</v>
      </c>
      <c r="G11" s="93">
        <f>SUM(H11:X11)</f>
        <v>14.76698625049327</v>
      </c>
      <c r="H11" s="94">
        <f>SUMPRODUCT(H7:H10,'Parameters, general'!$B$24:$B$27)</f>
        <v>0.71099644880596313</v>
      </c>
      <c r="I11" s="94">
        <f>SUMPRODUCT(I7:I10,'Parameters, general'!$B$24:$B$27)</f>
        <v>0.31393449986039346</v>
      </c>
      <c r="J11" s="94">
        <f>SUMPRODUCT(J7:J10,'Parameters, general'!$B$24:$B$27)</f>
        <v>1.4467568437625624</v>
      </c>
      <c r="K11" s="94">
        <f>SUMPRODUCT(K7:K10,'Parameters, general'!$B$24:$B$27)</f>
        <v>0.14467568437625625</v>
      </c>
      <c r="L11" s="94">
        <f>SUMPRODUCT(L7:L10,'Parameters, general'!$B$24:$B$27)</f>
        <v>0.22268271636611697</v>
      </c>
      <c r="M11" s="94">
        <f>SUMPRODUCT(M7:M10,'Parameters, general'!$B$24:$B$27)</f>
        <v>0</v>
      </c>
      <c r="N11" s="94">
        <f>SUMPRODUCT(N7:N10,'Parameters, general'!$B$24:$B$27)</f>
        <v>4.9949637802161953E-4</v>
      </c>
      <c r="O11" s="94">
        <f>SUMPRODUCT(O7:O10,'Parameters, general'!$B$24:$B$27)</f>
        <v>0.150335107105243</v>
      </c>
      <c r="P11" s="94">
        <f>SUMPRODUCT(P7:P10,'Parameters, general'!$B$24:$B$27)</f>
        <v>0.19457773214308161</v>
      </c>
      <c r="Q11" s="94">
        <f>SUMPRODUCT(Q7:Q10,'Parameters, general'!$B$24:$B$27)</f>
        <v>0.67715682998368198</v>
      </c>
      <c r="R11" s="94">
        <f>SUMPRODUCT(R7:R10,'Parameters, general'!$B$24:$B$27)</f>
        <v>0.67715682998368198</v>
      </c>
      <c r="S11" s="94">
        <f>SUMPRODUCT(S7:S10,'Parameters, general'!$B$24:$B$27)</f>
        <v>6.9569379510833622</v>
      </c>
      <c r="T11" s="94">
        <f>SUMPRODUCT(T7:T10,'Parameters, general'!$B$24:$B$27)</f>
        <v>3.2386807428167295</v>
      </c>
      <c r="U11" s="94"/>
      <c r="V11" s="94"/>
      <c r="W11" s="94">
        <f>SUMPRODUCT(W7:W10,'Parameters, general'!$B$24:$B$27)</f>
        <v>1.9355352857451644E-2</v>
      </c>
      <c r="X11" s="94">
        <f>SUMPRODUCT(X7:X10,'Parameters, general'!$B$24:$B$27)</f>
        <v>1.3240014970724875E-2</v>
      </c>
      <c r="Z11" s="95">
        <f>SUM(H11:R11)</f>
        <v>4.5387721887650025</v>
      </c>
      <c r="AA11" s="96">
        <f>'CO2 per kg feed'!F20+'CH4 per kg feed'!F20*CF_GWP_CH4_fossil+'N2O per kg feed'!F20*CF_GWP_N2O</f>
        <v>0.32935234928678231</v>
      </c>
    </row>
    <row r="12" spans="1:27" ht="15" customHeight="1" x14ac:dyDescent="0.2">
      <c r="A12" s="74" t="s">
        <v>36</v>
      </c>
      <c r="B12" s="74" t="s">
        <v>176</v>
      </c>
      <c r="C12" s="75" t="s">
        <v>722</v>
      </c>
      <c r="D12" s="58" t="s">
        <v>45</v>
      </c>
      <c r="E12" s="58" t="s">
        <v>46</v>
      </c>
      <c r="F12" s="97" t="s">
        <v>40</v>
      </c>
      <c r="G12" s="78">
        <f>SUM(H12:X12)</f>
        <v>2.7705350935605382</v>
      </c>
      <c r="H12" s="78">
        <f>'GHG detailed, absolute'!H12/Production!$C$17*AF_beef_FR</f>
        <v>0.43419055594192152</v>
      </c>
      <c r="I12" s="78">
        <f>'GHG detailed, absolute'!I12/Production!$C$17*AF_beef_FR</f>
        <v>0.35914281178429802</v>
      </c>
      <c r="J12" s="78"/>
      <c r="K12" s="78"/>
      <c r="L12" s="78">
        <f>'GHG detailed, absolute'!L12/Production!$C$17*AF_beef_FR</f>
        <v>0.26115627613567882</v>
      </c>
      <c r="M12" s="78"/>
      <c r="N12" s="78">
        <f>'GHG detailed, absolute'!N12/Production!$C$17*AF_beef_FR</f>
        <v>5.2744683661733113E-3</v>
      </c>
      <c r="O12" s="78">
        <f>'GHG detailed, absolute'!O12/Production!$C$17*AF_beef_FR</f>
        <v>0.14394242295366058</v>
      </c>
      <c r="P12" s="78">
        <f>'GHG detailed, absolute'!P12/Production!$C$17*AF_beef_FR</f>
        <v>0.22731838138042426</v>
      </c>
      <c r="Q12" s="78">
        <f>'GHG detailed, absolute'!Q12/Production!$C$17*AF_beef_FR</f>
        <v>0.54018549046017361</v>
      </c>
      <c r="R12" s="78">
        <f>'GHG detailed, absolute'!R12/Production!$C$17*AF_beef_FR</f>
        <v>0.54018549046017361</v>
      </c>
      <c r="S12" s="79"/>
      <c r="T12" s="80"/>
      <c r="U12" s="81"/>
      <c r="V12" s="81"/>
      <c r="W12" s="79">
        <f>'GHG detailed, absolute'!W12/Production!$C$17*AF_beef_FR</f>
        <v>0.25263423086189907</v>
      </c>
      <c r="X12" s="98">
        <f>'GHG detailed, absolute'!X12/Production!$C$17*AF_beef_FR</f>
        <v>6.5049652161355883E-3</v>
      </c>
      <c r="Z12" s="83"/>
      <c r="AA12" s="83"/>
    </row>
    <row r="13" spans="1:27" x14ac:dyDescent="0.2">
      <c r="A13" s="23" t="s">
        <v>36</v>
      </c>
      <c r="B13" s="23" t="s">
        <v>176</v>
      </c>
      <c r="C13" s="18" t="s">
        <v>722</v>
      </c>
      <c r="D13" s="58" t="s">
        <v>45</v>
      </c>
      <c r="E13" s="58" t="s">
        <v>46</v>
      </c>
      <c r="F13" s="23" t="s">
        <v>41</v>
      </c>
      <c r="G13" s="83">
        <f>SUM(H13:X13)</f>
        <v>1.4248570747717586E-2</v>
      </c>
      <c r="H13" s="56">
        <f>'GHG detailed, absolute'!H13/Production!$C$17*AF_beef_FR</f>
        <v>2.4275962831029929E-4</v>
      </c>
      <c r="I13" s="99">
        <f>'GHG detailed, absolute'!I13/Production!$C$17*AF_beef_FR</f>
        <v>1.2636506340558634E-3</v>
      </c>
      <c r="J13" s="99"/>
      <c r="K13" s="99"/>
      <c r="L13" s="99">
        <f>'GHG detailed, absolute'!L13/Production!$C$17*AF_beef_FR</f>
        <v>1.1568342421552787E-4</v>
      </c>
      <c r="M13" s="99"/>
      <c r="N13" s="99">
        <f>'GHG detailed, absolute'!N13/Production!$C$17*AF_beef_FR</f>
        <v>1.6577610455508806E-5</v>
      </c>
      <c r="O13" s="99">
        <f>'GHG detailed, absolute'!O13/Production!$C$17*AF_beef_FR</f>
        <v>8.1567967429983467E-5</v>
      </c>
      <c r="P13" s="99">
        <f>'GHG detailed, absolute'!P13/Production!$C$17*AF_beef_FR</f>
        <v>0</v>
      </c>
      <c r="Q13" s="99">
        <f>'GHG detailed, absolute'!Q13/Production!$C$17*AF_beef_FR</f>
        <v>5.8598738420200091E-3</v>
      </c>
      <c r="R13" s="99">
        <f>'GHG detailed, absolute'!R13/Production!$C$17*AF_beef_FR</f>
        <v>5.8598738420200091E-3</v>
      </c>
      <c r="W13" s="13">
        <f>'GHG detailed, absolute'!W13/Production!$C$17*AF_beef_FR</f>
        <v>7.83244004830009E-4</v>
      </c>
      <c r="X13" s="15">
        <f>'GHG detailed, absolute'!X13/Production!$C$17*AF_beef_FR</f>
        <v>2.5339794380377097E-5</v>
      </c>
      <c r="Z13" s="84"/>
      <c r="AA13" s="84"/>
    </row>
    <row r="14" spans="1:27" x14ac:dyDescent="0.2">
      <c r="A14" s="23" t="s">
        <v>36</v>
      </c>
      <c r="B14" s="23" t="s">
        <v>176</v>
      </c>
      <c r="C14" s="18" t="s">
        <v>722</v>
      </c>
      <c r="D14" s="58" t="s">
        <v>45</v>
      </c>
      <c r="E14" s="58" t="s">
        <v>46</v>
      </c>
      <c r="F14" s="23" t="s">
        <v>42</v>
      </c>
      <c r="G14" s="83">
        <f>SUM(H14:T14)</f>
        <v>0.31955889210299743</v>
      </c>
      <c r="H14" s="56"/>
      <c r="I14" s="99"/>
      <c r="J14" s="99"/>
      <c r="K14" s="99"/>
      <c r="L14" s="99"/>
      <c r="M14" s="99"/>
      <c r="N14" s="99"/>
      <c r="O14" s="99"/>
      <c r="P14" s="99"/>
      <c r="Q14" s="99"/>
      <c r="R14" s="99"/>
      <c r="S14" s="13">
        <f>'GHG detailed, absolute'!S14/Production!$C$17*AF_beef_FR</f>
        <v>0.2871118622940127</v>
      </c>
      <c r="T14" s="53">
        <f>'GHG detailed, absolute'!T14/Production!$C$17*AF_beef_FR</f>
        <v>3.2447029808984743E-2</v>
      </c>
      <c r="U14" s="86">
        <f>'GHG detailed, absolute'!U14/Production!$C$17*AF_beef_FR</f>
        <v>3.2447029808984743E-2</v>
      </c>
      <c r="W14" s="13"/>
      <c r="X14" s="15"/>
      <c r="Z14" s="84"/>
      <c r="AA14" s="84"/>
    </row>
    <row r="15" spans="1:27" ht="15" customHeight="1" x14ac:dyDescent="0.2">
      <c r="A15" s="23" t="s">
        <v>36</v>
      </c>
      <c r="B15" s="23" t="s">
        <v>176</v>
      </c>
      <c r="C15" s="18" t="s">
        <v>722</v>
      </c>
      <c r="D15" s="58" t="s">
        <v>45</v>
      </c>
      <c r="E15" s="58" t="s">
        <v>46</v>
      </c>
      <c r="F15" s="87" t="s">
        <v>43</v>
      </c>
      <c r="G15" s="83">
        <f>SUM(H15:T15)+W15+X15</f>
        <v>1.0555239845999771E-2</v>
      </c>
      <c r="H15" s="56">
        <f>'GHG detailed, absolute'!H15/Production!$C$17*AF_beef_FR</f>
        <v>3.7062495335250307E-4</v>
      </c>
      <c r="I15" s="84">
        <f>'GHG detailed, absolute'!I15/Production!$C$17*AF_beef_FR</f>
        <v>1.4631744183804735E-5</v>
      </c>
      <c r="J15" s="84">
        <f>'GHG detailed, absolute'!J15/Production!$C$17*AF_beef_FR</f>
        <v>5.4527057409351851E-3</v>
      </c>
      <c r="K15" s="84">
        <f>'GHG detailed, absolute'!K15/Production!$C$17*AF_beef_FR</f>
        <v>5.4527057409351853E-4</v>
      </c>
      <c r="L15" s="84">
        <f>'GHG detailed, absolute'!L15/Production!$C$17*AF_beef_FR</f>
        <v>7.0173709604423736E-6</v>
      </c>
      <c r="M15" s="84"/>
      <c r="N15" s="84">
        <f>'GHG detailed, absolute'!N15/Production!$C$17*AF_beef_FR</f>
        <v>2.2207109625290218E-7</v>
      </c>
      <c r="O15" s="84">
        <f>'GHG detailed, absolute'!O15/Production!$C$17*AF_beef_FR</f>
        <v>5.3847761145884957E-6</v>
      </c>
      <c r="P15" s="84">
        <f>'GHG detailed, absolute'!P15/Production!$C$17*AF_beef_FR</f>
        <v>0</v>
      </c>
      <c r="Q15" s="84">
        <f>'GHG detailed, absolute'!Q15/Production!$C$17*AF_beef_FR</f>
        <v>5.3513745285435729E-4</v>
      </c>
      <c r="R15" s="84">
        <f>'GHG detailed, absolute'!R15/Production!$C$17*AF_beef_FR</f>
        <v>5.3513745285435729E-4</v>
      </c>
      <c r="S15" s="13"/>
      <c r="T15" s="53">
        <f>'GHG detailed, absolute'!T15/Production!$C$17*AF_beef_FR</f>
        <v>3.0650451582005388E-3</v>
      </c>
      <c r="U15" s="88">
        <f>'GHG detailed, absolute'!U15/Production!$C$17*AF_beef_FR</f>
        <v>2.1289865463289979E-3</v>
      </c>
      <c r="V15" s="88">
        <f>'GHG detailed, absolute'!V15/Production!$C$17*AF_beef_FR</f>
        <v>9.3605861187154109E-4</v>
      </c>
      <c r="W15" s="13">
        <f>'GHG detailed, absolute'!W15/Production!$C$17*AF_beef_FR</f>
        <v>2.3677437690098734E-5</v>
      </c>
      <c r="X15" s="15">
        <f>'GHG detailed, absolute'!X15/Production!$C$17*AF_beef_FR</f>
        <v>3.8511366412315763E-7</v>
      </c>
      <c r="Z15" s="84"/>
      <c r="AA15" s="84"/>
    </row>
    <row r="16" spans="1:27" ht="15" customHeight="1" x14ac:dyDescent="0.2">
      <c r="A16" s="89" t="s">
        <v>36</v>
      </c>
      <c r="B16" s="89" t="s">
        <v>176</v>
      </c>
      <c r="C16" s="90" t="s">
        <v>722</v>
      </c>
      <c r="D16" s="100" t="s">
        <v>45</v>
      </c>
      <c r="E16" s="100" t="s">
        <v>46</v>
      </c>
      <c r="F16" s="101" t="s">
        <v>44</v>
      </c>
      <c r="G16" s="102">
        <f>SUM(H16:X16)</f>
        <v>14.704813066581391</v>
      </c>
      <c r="H16" s="94">
        <f>SUMPRODUCT(H12:H15,'Parameters, general'!$B$24:$B$27)</f>
        <v>0.5426054051308018</v>
      </c>
      <c r="I16" s="94">
        <f>SUMPRODUCT(I12:I15,'Parameters, general'!$B$24:$B$27)</f>
        <v>0.40079406684134145</v>
      </c>
      <c r="J16" s="94">
        <f>SUMPRODUCT(J12:J15,'Parameters, general'!$B$24:$B$27)</f>
        <v>1.4885886672753055</v>
      </c>
      <c r="K16" s="94">
        <f>SUMPRODUCT(K12:K15,'Parameters, general'!$B$24:$B$27)</f>
        <v>0.14885886672753057</v>
      </c>
      <c r="L16" s="94">
        <f>SUMPRODUCT(L12:L15,'Parameters, general'!$B$24:$B$27)</f>
        <v>0.26651938444950229</v>
      </c>
      <c r="M16" s="94">
        <f>SUMPRODUCT(M12:M15,'Parameters, general'!$B$24:$B$27)</f>
        <v>0</v>
      </c>
      <c r="N16" s="94">
        <f>SUMPRODUCT(N12:N15,'Parameters, general'!$B$24:$B$27)</f>
        <v>5.8291065670245164E-3</v>
      </c>
      <c r="O16" s="94">
        <f>SUMPRODUCT(O12:O15,'Parameters, general'!$B$24:$B$27)</f>
        <v>0.14784319226235673</v>
      </c>
      <c r="P16" s="94">
        <f>SUMPRODUCT(P12:P15,'Parameters, general'!$B$24:$B$27)</f>
        <v>0.22731838138042426</v>
      </c>
      <c r="Q16" s="94">
        <f>SUMPRODUCT(Q12:Q15,'Parameters, general'!$B$24:$B$27)</f>
        <v>0.86090225558160949</v>
      </c>
      <c r="R16" s="94">
        <f>SUMPRODUCT(R12:R15,'Parameters, general'!$B$24:$B$27)</f>
        <v>0.86090225558160949</v>
      </c>
      <c r="S16" s="94">
        <f>SUMPRODUCT(S12:S15,'Parameters, general'!$B$24:$B$27)</f>
        <v>7.7520202819383428</v>
      </c>
      <c r="T16" s="94">
        <f>SUMPRODUCT(T12:T15,'Parameters, general'!$B$24:$B$27)</f>
        <v>1.7128271330313352</v>
      </c>
      <c r="U16" s="94"/>
      <c r="V16" s="94"/>
      <c r="W16" s="94">
        <f>SUMPRODUCT(W12:W15,'Parameters, general'!$B$24:$B$27)</f>
        <v>0.28243884269523029</v>
      </c>
      <c r="X16" s="94">
        <f>SUMPRODUCT(X12:X15,'Parameters, general'!$B$24:$B$27)</f>
        <v>7.3652271189764478E-3</v>
      </c>
      <c r="Z16" s="95">
        <f>SUM(H16:R16)</f>
        <v>4.9501615817975058</v>
      </c>
      <c r="AA16" s="96">
        <f>'CO2 per kg feed'!F36+'CH4 per kg feed'!F36*CF_GWP_CH4_fossil+'N2O per kg feed'!F36*CF_GWP_N2O</f>
        <v>0.26766924244036094</v>
      </c>
    </row>
    <row r="17" spans="1:27" ht="15" customHeight="1" x14ac:dyDescent="0.2">
      <c r="A17" s="74" t="s">
        <v>36</v>
      </c>
      <c r="B17" s="74" t="s">
        <v>176</v>
      </c>
      <c r="C17" s="75" t="s">
        <v>722</v>
      </c>
      <c r="D17" s="76" t="s">
        <v>47</v>
      </c>
      <c r="E17" s="76" t="s">
        <v>48</v>
      </c>
      <c r="F17" s="77" t="s">
        <v>40</v>
      </c>
      <c r="G17" s="78">
        <f>SUM(H17:X17)</f>
        <v>3.9339108611388465</v>
      </c>
      <c r="H17" s="78">
        <f>'GHG detailed, absolute'!H17/Production!$D$17*AF_beef_DE</f>
        <v>0.3190903577334499</v>
      </c>
      <c r="I17" s="78">
        <f>'GHG detailed, absolute'!I17/Production!$D$17*AF_beef_DE</f>
        <v>0.34781209026117499</v>
      </c>
      <c r="J17" s="78"/>
      <c r="K17" s="78"/>
      <c r="L17" s="78">
        <f>'GHG detailed, absolute'!L17/Production!$D$17*AF_beef_DE</f>
        <v>0.21932621410165171</v>
      </c>
      <c r="M17" s="78"/>
      <c r="N17" s="78">
        <f>'GHG detailed, absolute'!N17/Production!$D$17*AF_beef_DE</f>
        <v>4.6439802123249833E-4</v>
      </c>
      <c r="O17" s="78">
        <f>'GHG detailed, absolute'!O17/Production!$D$17*AF_beef_DE</f>
        <v>6.6706288862767554E-2</v>
      </c>
      <c r="P17" s="78">
        <f>'GHG detailed, absolute'!P17/Production!$D$17*AF_beef_DE</f>
        <v>0.28313016398731183</v>
      </c>
      <c r="Q17" s="78">
        <f>'GHG detailed, absolute'!Q17/Production!$D$17*AF_beef_DE</f>
        <v>0.6447879192159961</v>
      </c>
      <c r="R17" s="78">
        <f>'GHG detailed, absolute'!R17/Production!$D$17*AF_beef_DE</f>
        <v>0.6447879192159961</v>
      </c>
      <c r="S17" s="79"/>
      <c r="T17" s="80"/>
      <c r="U17" s="81"/>
      <c r="V17" s="81"/>
      <c r="W17" s="79">
        <f>'GHG detailed, absolute'!W17/Production!$D$17*AF_beef_DE</f>
        <v>1.3927603569811959</v>
      </c>
      <c r="X17" s="82">
        <f>'GHG detailed, absolute'!X17/Production!$D$17*AF_beef_DE</f>
        <v>1.5045152758070104E-2</v>
      </c>
      <c r="Z17" s="83"/>
      <c r="AA17" s="83"/>
    </row>
    <row r="18" spans="1:27" x14ac:dyDescent="0.2">
      <c r="A18" s="23" t="s">
        <v>36</v>
      </c>
      <c r="B18" s="23" t="s">
        <v>176</v>
      </c>
      <c r="C18" s="18" t="s">
        <v>722</v>
      </c>
      <c r="D18" s="58" t="s">
        <v>47</v>
      </c>
      <c r="E18" s="58" t="s">
        <v>48</v>
      </c>
      <c r="F18" s="23" t="s">
        <v>41</v>
      </c>
      <c r="G18" s="83">
        <f>SUM(H18:X18)</f>
        <v>1.5656279905885293E-2</v>
      </c>
      <c r="H18" s="56">
        <f>'GHG detailed, absolute'!H18/Production!$D$17*AF_beef_DE</f>
        <v>2.949839760643774E-4</v>
      </c>
      <c r="I18" s="56">
        <f>'GHG detailed, absolute'!I18/Production!$D$17*AF_beef_DE</f>
        <v>1.2237832805485785E-3</v>
      </c>
      <c r="J18" s="56"/>
      <c r="K18" s="56"/>
      <c r="L18" s="56">
        <f>'GHG detailed, absolute'!L18/Production!$D$17*AF_beef_DE</f>
        <v>9.715411723180388E-5</v>
      </c>
      <c r="M18" s="56"/>
      <c r="N18" s="56">
        <f>'GHG detailed, absolute'!N18/Production!$D$17*AF_beef_DE</f>
        <v>1.5282038193252848E-6</v>
      </c>
      <c r="O18" s="56">
        <f>'GHG detailed, absolute'!O18/Production!$D$17*AF_beef_DE</f>
        <v>4.478379468946409E-5</v>
      </c>
      <c r="P18" s="56">
        <f>'GHG detailed, absolute'!P18/Production!$D$17*AF_beef_DE</f>
        <v>0</v>
      </c>
      <c r="Q18" s="56">
        <f>'GHG detailed, absolute'!Q18/Production!$D$17*AF_beef_DE</f>
        <v>5.6467345091306747E-3</v>
      </c>
      <c r="R18" s="56">
        <f>'GHG detailed, absolute'!R18/Production!$D$17*AF_beef_DE</f>
        <v>5.6467345091306747E-3</v>
      </c>
      <c r="W18" s="13">
        <f>'GHG detailed, absolute'!W18/Production!$D$17*AF_beef_DE</f>
        <v>2.6641975235049665E-3</v>
      </c>
      <c r="X18" s="53">
        <f>'GHG detailed, absolute'!X18/Production!$D$17*AF_beef_DE</f>
        <v>3.6379991765429721E-5</v>
      </c>
      <c r="Z18" s="84"/>
      <c r="AA18" s="84"/>
    </row>
    <row r="19" spans="1:27" x14ac:dyDescent="0.2">
      <c r="A19" s="23" t="s">
        <v>36</v>
      </c>
      <c r="B19" s="23" t="s">
        <v>176</v>
      </c>
      <c r="C19" s="18" t="s">
        <v>722</v>
      </c>
      <c r="D19" s="58" t="s">
        <v>47</v>
      </c>
      <c r="E19" s="58" t="s">
        <v>48</v>
      </c>
      <c r="F19" s="23" t="s">
        <v>42</v>
      </c>
      <c r="G19" s="83">
        <f>SUM(H19:T19)</f>
        <v>0.31676033645294993</v>
      </c>
      <c r="H19" s="56"/>
      <c r="I19" s="56"/>
      <c r="J19" s="85"/>
      <c r="K19" s="56"/>
      <c r="L19" s="56"/>
      <c r="M19" s="56"/>
      <c r="N19" s="56"/>
      <c r="O19" s="56"/>
      <c r="P19" s="56"/>
      <c r="Q19" s="56"/>
      <c r="R19" s="56"/>
      <c r="S19" s="13">
        <f>'GHG detailed, absolute'!S19/Production!$D$17*AF_beef_DE</f>
        <v>0.26770681044855082</v>
      </c>
      <c r="T19" s="53">
        <f>'GHG detailed, absolute'!T19/Production!$D$17*AF_beef_DE</f>
        <v>4.9053526004399092E-2</v>
      </c>
      <c r="U19" s="86">
        <f>'GHG detailed, absolute'!U19/Production!$D$17*AF_beef_DE</f>
        <v>4.9053526004399092E-2</v>
      </c>
      <c r="W19" s="13"/>
      <c r="X19" s="53"/>
      <c r="Z19" s="84"/>
      <c r="AA19" s="84"/>
    </row>
    <row r="20" spans="1:27" ht="15" customHeight="1" x14ac:dyDescent="0.2">
      <c r="A20" s="23" t="s">
        <v>36</v>
      </c>
      <c r="B20" s="23" t="s">
        <v>176</v>
      </c>
      <c r="C20" s="18" t="s">
        <v>722</v>
      </c>
      <c r="D20" s="58" t="s">
        <v>47</v>
      </c>
      <c r="E20" s="58" t="s">
        <v>48</v>
      </c>
      <c r="F20" s="87" t="s">
        <v>43</v>
      </c>
      <c r="G20" s="83">
        <f>SUM(H20:T20)+W20+X20</f>
        <v>8.9237168454572822E-3</v>
      </c>
      <c r="H20" s="56">
        <f>'GHG detailed, absolute'!H20/Production!$D$17*AF_beef_DE</f>
        <v>3.9445154230284297E-4</v>
      </c>
      <c r="I20" s="56">
        <f>'GHG detailed, absolute'!I20/Production!$D$17*AF_beef_DE</f>
        <v>1.4170122195825647E-5</v>
      </c>
      <c r="J20" s="56">
        <f>'GHG detailed, absolute'!J20/Production!$D$17*AF_beef_DE</f>
        <v>3.8420539183010327E-3</v>
      </c>
      <c r="K20" s="84">
        <f>'GHG detailed, absolute'!K20/Production!$D$17*AF_beef_DE</f>
        <v>3.8420539183010323E-4</v>
      </c>
      <c r="L20" s="56">
        <f>'GHG detailed, absolute'!L20/Production!$D$17*AF_beef_DE</f>
        <v>5.8933808847124579E-6</v>
      </c>
      <c r="M20" s="56"/>
      <c r="N20" s="56">
        <f>'GHG detailed, absolute'!N20/Production!$D$17*AF_beef_DE</f>
        <v>1.9231417748202396E-8</v>
      </c>
      <c r="O20" s="56">
        <f>'GHG detailed, absolute'!O20/Production!$D$17*AF_beef_DE</f>
        <v>2.3885975566491524E-6</v>
      </c>
      <c r="P20" s="56">
        <f>'GHG detailed, absolute'!P20/Production!$D$17*AF_beef_DE</f>
        <v>0</v>
      </c>
      <c r="Q20" s="56">
        <f>'GHG detailed, absolute'!Q20/Production!$D$17*AF_beef_DE</f>
        <v>5.0752491107341991E-4</v>
      </c>
      <c r="R20" s="56">
        <f>'GHG detailed, absolute'!R20/Production!$D$17*AF_beef_DE</f>
        <v>5.0752491107341991E-4</v>
      </c>
      <c r="S20" s="13"/>
      <c r="T20" s="53">
        <f>'GHG detailed, absolute'!T20/Production!$D$17*AF_beef_DE</f>
        <v>3.2024698089116997E-3</v>
      </c>
      <c r="U20" s="88">
        <f>'GHG detailed, absolute'!U20/Production!$D$17*AF_beef_DE</f>
        <v>1.9142193320188946E-3</v>
      </c>
      <c r="V20" s="88">
        <f>'GHG detailed, absolute'!V20/Production!$D$17*AF_beef_DE</f>
        <v>1.2882504768928053E-3</v>
      </c>
      <c r="W20" s="13">
        <f>'GHG detailed, absolute'!W20/Production!$D$17*AF_beef_DE</f>
        <v>6.2377779490699122E-5</v>
      </c>
      <c r="X20" s="53">
        <f>'GHG detailed, absolute'!X20/Production!$D$17*AF_beef_DE</f>
        <v>6.3725041912917798E-7</v>
      </c>
      <c r="Z20" s="84"/>
      <c r="AA20" s="84"/>
    </row>
    <row r="21" spans="1:27" ht="15" customHeight="1" x14ac:dyDescent="0.2">
      <c r="A21" s="89" t="s">
        <v>36</v>
      </c>
      <c r="B21" s="89" t="s">
        <v>176</v>
      </c>
      <c r="C21" s="90" t="s">
        <v>722</v>
      </c>
      <c r="D21" s="91" t="s">
        <v>47</v>
      </c>
      <c r="E21" s="91" t="s">
        <v>48</v>
      </c>
      <c r="F21" s="92" t="s">
        <v>44</v>
      </c>
      <c r="G21" s="102">
        <f>SUM(H21:X21)</f>
        <v>15.389171785373717</v>
      </c>
      <c r="H21" s="94">
        <f>SUMPRODUCT(H17:H20,'Parameters, general'!$B$24:$B$27)</f>
        <v>0.43556615126884451</v>
      </c>
      <c r="I21" s="94">
        <f>SUMPRODUCT(I17:I20,'Parameters, general'!$B$24:$B$27)</f>
        <v>0.38814927538098304</v>
      </c>
      <c r="J21" s="94">
        <f>SUMPRODUCT(J17:J20,'Parameters, general'!$B$24:$B$27)</f>
        <v>1.048880719696182</v>
      </c>
      <c r="K21" s="94">
        <f>SUMPRODUCT(K17:K20,'Parameters, general'!$B$24:$B$27)</f>
        <v>0.10488807196961818</v>
      </c>
      <c r="L21" s="94">
        <f>SUMPRODUCT(L17:L20,'Parameters, general'!$B$24:$B$27)</f>
        <v>0.22383029977668595</v>
      </c>
      <c r="M21" s="94">
        <f>SUMPRODUCT(M17:M20,'Parameters, general'!$B$24:$B$27)</f>
        <v>0</v>
      </c>
      <c r="N21" s="94">
        <f>SUMPRODUCT(N17:N20,'Parameters, general'!$B$24:$B$27)</f>
        <v>5.1518867209365111E-4</v>
      </c>
      <c r="O21" s="94">
        <f>SUMPRODUCT(O17:O20,'Parameters, general'!$B$24:$B$27)</f>
        <v>6.8692933077478799E-2</v>
      </c>
      <c r="P21" s="94">
        <f>SUMPRODUCT(P17:P20,'Parameters, general'!$B$24:$B$27)</f>
        <v>0.28313016398731183</v>
      </c>
      <c r="Q21" s="94">
        <f>SUMPRODUCT(Q17:Q20,'Parameters, general'!$B$24:$B$27)</f>
        <v>0.95161490831113382</v>
      </c>
      <c r="R21" s="94">
        <f>SUMPRODUCT(R17:R20,'Parameters, general'!$B$24:$B$27)</f>
        <v>0.95161490831113382</v>
      </c>
      <c r="S21" s="94">
        <f>SUMPRODUCT(S17:S20,'Parameters, general'!$B$24:$B$27)</f>
        <v>7.2280838821108722</v>
      </c>
      <c r="T21" s="94">
        <f>SUMPRODUCT(T17:T20,'Parameters, general'!$B$24:$B$27)</f>
        <v>2.1987194599516697</v>
      </c>
      <c r="U21" s="94"/>
      <c r="V21" s="94"/>
      <c r="W21" s="94">
        <f>SUMPRODUCT(W17:W20,'Parameters, general'!$B$24:$B$27)</f>
        <v>1.4891825769826048</v>
      </c>
      <c r="X21" s="94">
        <f>SUMPRODUCT(X17:X20,'Parameters, general'!$B$24:$B$27)</f>
        <v>1.6303245877102177E-2</v>
      </c>
      <c r="Z21" s="95">
        <f>SUM(H21:R21)</f>
        <v>4.4568826204514664</v>
      </c>
      <c r="AA21" s="96">
        <f>'CO2 per kg feed'!F52+'CH4 per kg feed'!F52*CF_GWP_CH4_fossil+'N2O per kg feed'!F52*CF_GWP_N2O</f>
        <v>0.25510783728508007</v>
      </c>
    </row>
    <row r="22" spans="1:27" ht="15" customHeight="1" x14ac:dyDescent="0.2">
      <c r="A22" s="74" t="s">
        <v>36</v>
      </c>
      <c r="B22" s="74" t="s">
        <v>176</v>
      </c>
      <c r="C22" s="75" t="s">
        <v>722</v>
      </c>
      <c r="D22" s="58" t="s">
        <v>49</v>
      </c>
      <c r="E22" s="58" t="s">
        <v>50</v>
      </c>
      <c r="F22" s="97" t="s">
        <v>40</v>
      </c>
      <c r="G22" s="78">
        <f>SUM(H22:X22)</f>
        <v>6.3638123167337524</v>
      </c>
      <c r="H22" s="78">
        <f>'GHG detailed, absolute'!H22/Production!$E$17*AF_beef_GR</f>
        <v>0.84759371401467387</v>
      </c>
      <c r="I22" s="78">
        <f>'GHG detailed, absolute'!I22/Production!$E$17*AF_beef_GR</f>
        <v>0.35519342203715026</v>
      </c>
      <c r="J22" s="78"/>
      <c r="K22" s="78"/>
      <c r="L22" s="78">
        <f>'GHG detailed, absolute'!L22/Production!$E$17*AF_beef_GR</f>
        <v>0.4688244534041871</v>
      </c>
      <c r="M22" s="78"/>
      <c r="N22" s="78">
        <f>'GHG detailed, absolute'!N22/Production!$E$17*AF_beef_GR</f>
        <v>5.8863356426570576E-2</v>
      </c>
      <c r="O22" s="78">
        <f>'GHG detailed, absolute'!O22/Production!$E$17*AF_beef_GR</f>
        <v>0.28832513225366374</v>
      </c>
      <c r="P22" s="78">
        <f>'GHG detailed, absolute'!P22/Production!$E$17*AF_beef_GR</f>
        <v>0.37943496738610172</v>
      </c>
      <c r="Q22" s="78">
        <f>'GHG detailed, absolute'!Q22/Production!$E$17*AF_beef_GR</f>
        <v>0.78576175522948599</v>
      </c>
      <c r="R22" s="78">
        <f>'GHG detailed, absolute'!R22/Production!$E$17*AF_beef_GR</f>
        <v>0.78576175522948599</v>
      </c>
      <c r="S22" s="79"/>
      <c r="T22" s="80"/>
      <c r="U22" s="81"/>
      <c r="V22" s="81"/>
      <c r="W22" s="79">
        <f>'GHG detailed, absolute'!W22/Production!$E$17*AF_beef_GR</f>
        <v>2.3721442216057054</v>
      </c>
      <c r="X22" s="82">
        <f>'GHG detailed, absolute'!X22/Production!$E$17*AF_beef_GR</f>
        <v>2.1909539146727209E-2</v>
      </c>
      <c r="Z22" s="83"/>
      <c r="AA22" s="83"/>
    </row>
    <row r="23" spans="1:27" x14ac:dyDescent="0.2">
      <c r="A23" s="23" t="s">
        <v>36</v>
      </c>
      <c r="B23" s="23" t="s">
        <v>176</v>
      </c>
      <c r="C23" s="18" t="s">
        <v>722</v>
      </c>
      <c r="D23" s="58" t="s">
        <v>49</v>
      </c>
      <c r="E23" s="58" t="s">
        <v>50</v>
      </c>
      <c r="F23" s="23" t="s">
        <v>41</v>
      </c>
      <c r="G23" s="83">
        <f>SUM(H23:X23)</f>
        <v>1.5756058147524177E-2</v>
      </c>
      <c r="H23" s="56">
        <f>'GHG detailed, absolute'!H23/Production!$E$17*AF_beef_GR</f>
        <v>1.7804220852222697E-5</v>
      </c>
      <c r="I23" s="56">
        <f>'GHG detailed, absolute'!I23/Production!$E$17*AF_beef_GR</f>
        <v>1.2497546330936774E-3</v>
      </c>
      <c r="J23" s="56"/>
      <c r="K23" s="56"/>
      <c r="L23" s="56">
        <f>'GHG detailed, absolute'!L23/Production!$E$17*AF_beef_GR</f>
        <v>2.076734242358117E-4</v>
      </c>
      <c r="M23" s="56"/>
      <c r="N23" s="56">
        <f>'GHG detailed, absolute'!N23/Production!$E$17*AF_beef_GR</f>
        <v>1.792436165926513E-4</v>
      </c>
      <c r="O23" s="56">
        <f>'GHG detailed, absolute'!O23/Production!$E$17*AF_beef_GR</f>
        <v>2.3655639413775343E-4</v>
      </c>
      <c r="P23" s="56">
        <f>'GHG detailed, absolute'!P23/Production!$E$17*AF_beef_GR</f>
        <v>0</v>
      </c>
      <c r="Q23" s="56">
        <f>'GHG detailed, absolute'!Q23/Production!$E$17*AF_beef_GR</f>
        <v>4.5521296631348077E-3</v>
      </c>
      <c r="R23" s="56">
        <f>'GHG detailed, absolute'!R23/Production!$E$17*AF_beef_GR</f>
        <v>4.5521296631348077E-3</v>
      </c>
      <c r="W23" s="13">
        <f>'GHG detailed, absolute'!W23/Production!$E$17*AF_beef_GR</f>
        <v>4.7090388091888613E-3</v>
      </c>
      <c r="X23" s="53">
        <f>'GHG detailed, absolute'!X23/Production!$E$17*AF_beef_GR</f>
        <v>5.1727723153584298E-5</v>
      </c>
      <c r="Z23" s="84"/>
      <c r="AA23" s="84"/>
    </row>
    <row r="24" spans="1:27" x14ac:dyDescent="0.2">
      <c r="A24" s="23" t="s">
        <v>36</v>
      </c>
      <c r="B24" s="23" t="s">
        <v>176</v>
      </c>
      <c r="C24" s="18" t="s">
        <v>722</v>
      </c>
      <c r="D24" s="58" t="s">
        <v>49</v>
      </c>
      <c r="E24" s="58" t="s">
        <v>50</v>
      </c>
      <c r="F24" s="23" t="s">
        <v>42</v>
      </c>
      <c r="G24" s="83">
        <f>SUM(H24:T24)</f>
        <v>0.28641727589974009</v>
      </c>
      <c r="H24" s="56"/>
      <c r="I24" s="56"/>
      <c r="J24" s="85"/>
      <c r="K24" s="56"/>
      <c r="L24" s="56"/>
      <c r="M24" s="56"/>
      <c r="N24" s="56"/>
      <c r="O24" s="56"/>
      <c r="P24" s="56"/>
      <c r="Q24" s="56"/>
      <c r="R24" s="56"/>
      <c r="S24" s="13">
        <f>'GHG detailed, absolute'!S24/Production!$E$17*AF_beef_GR</f>
        <v>0.26178596428408546</v>
      </c>
      <c r="T24" s="53">
        <f>'GHG detailed, absolute'!T24/Production!$E$17*AF_beef_GR</f>
        <v>2.4631311615654631E-2</v>
      </c>
      <c r="U24" s="86">
        <f>'GHG detailed, absolute'!U24/Production!$E$17*AF_beef_GR</f>
        <v>2.4631311615654631E-2</v>
      </c>
      <c r="W24" s="13"/>
      <c r="X24" s="53"/>
      <c r="Z24" s="84"/>
      <c r="AA24" s="84"/>
    </row>
    <row r="25" spans="1:27" ht="15" customHeight="1" x14ac:dyDescent="0.2">
      <c r="A25" s="23" t="s">
        <v>36</v>
      </c>
      <c r="B25" s="23" t="s">
        <v>176</v>
      </c>
      <c r="C25" s="18" t="s">
        <v>722</v>
      </c>
      <c r="D25" s="58" t="s">
        <v>49</v>
      </c>
      <c r="E25" s="58" t="s">
        <v>50</v>
      </c>
      <c r="F25" s="87" t="s">
        <v>43</v>
      </c>
      <c r="G25" s="83">
        <f>SUM(H25:T25)+W25+X25</f>
        <v>1.3298505636150882E-2</v>
      </c>
      <c r="H25" s="56">
        <f>'GHG detailed, absolute'!H25/Production!$E$17*AF_beef_GR</f>
        <v>9.7882161232172953E-5</v>
      </c>
      <c r="I25" s="56">
        <f>'GHG detailed, absolute'!I25/Production!$E$17*AF_beef_GR</f>
        <v>1.4470843120032054E-5</v>
      </c>
      <c r="J25" s="56">
        <f>'GHG detailed, absolute'!J25/Production!$E$17*AF_beef_GR</f>
        <v>7.0477683071969287E-3</v>
      </c>
      <c r="K25" s="84">
        <f>'GHG detailed, absolute'!K25/Production!$E$17*AF_beef_GR</f>
        <v>7.0477683071969296E-4</v>
      </c>
      <c r="L25" s="56">
        <f>'GHG detailed, absolute'!L25/Production!$E$17*AF_beef_GR</f>
        <v>1.2597495850165199E-5</v>
      </c>
      <c r="M25" s="56"/>
      <c r="N25" s="56">
        <f>'GHG detailed, absolute'!N25/Production!$E$17*AF_beef_GR</f>
        <v>2.5053048269846422E-6</v>
      </c>
      <c r="O25" s="56">
        <f>'GHG detailed, absolute'!O25/Production!$E$17*AF_beef_GR</f>
        <v>1.0180890558221357E-5</v>
      </c>
      <c r="P25" s="56">
        <f>'GHG detailed, absolute'!P25/Production!$E$17*AF_beef_GR</f>
        <v>0</v>
      </c>
      <c r="Q25" s="56">
        <f>'GHG detailed, absolute'!Q25/Production!$E$17*AF_beef_GR</f>
        <v>3.5697994087567311E-4</v>
      </c>
      <c r="R25" s="56">
        <f>'GHG detailed, absolute'!R25/Production!$E$17*AF_beef_GR</f>
        <v>3.5697994087567311E-4</v>
      </c>
      <c r="S25" s="13"/>
      <c r="T25" s="53">
        <f>'GHG detailed, absolute'!T25/Production!$E$17*AF_beef_GR</f>
        <v>4.6119854123953599E-3</v>
      </c>
      <c r="U25" s="88">
        <f>'GHG detailed, absolute'!U25/Production!$E$17*AF_beef_GR</f>
        <v>3.4669559395763961E-3</v>
      </c>
      <c r="V25" s="88">
        <f>'GHG detailed, absolute'!V25/Production!$E$17*AF_beef_GR</f>
        <v>1.1450294728189625E-3</v>
      </c>
      <c r="W25" s="13">
        <f>'GHG detailed, absolute'!W25/Production!$E$17*AF_beef_GR</f>
        <v>8.1631554524421991E-5</v>
      </c>
      <c r="X25" s="53">
        <f>'GHG detailed, absolute'!X25/Production!$E$17*AF_beef_GR</f>
        <v>7.4695397555849183E-7</v>
      </c>
      <c r="Z25" s="84"/>
      <c r="AA25" s="84"/>
    </row>
    <row r="26" spans="1:27" ht="15" customHeight="1" x14ac:dyDescent="0.2">
      <c r="A26" s="89" t="s">
        <v>36</v>
      </c>
      <c r="B26" s="89" t="s">
        <v>176</v>
      </c>
      <c r="C26" s="90" t="s">
        <v>722</v>
      </c>
      <c r="D26" s="100" t="s">
        <v>49</v>
      </c>
      <c r="E26" s="100" t="s">
        <v>50</v>
      </c>
      <c r="F26" s="92" t="s">
        <v>44</v>
      </c>
      <c r="G26" s="102">
        <f>SUM(H26:X26)</f>
        <v>18.197101337492146</v>
      </c>
      <c r="H26" s="94">
        <f>SUMPRODUCT(H22:H25,'Parameters, general'!$B$24:$B$27)</f>
        <v>0.87484610981245325</v>
      </c>
      <c r="I26" s="94">
        <f>SUMPRODUCT(I22:I25,'Parameters, general'!$B$24:$B$27)</f>
        <v>0.39638665027511061</v>
      </c>
      <c r="J26" s="94">
        <f>SUMPRODUCT(J22:J25,'Parameters, general'!$B$24:$B$27)</f>
        <v>1.9240407478647616</v>
      </c>
      <c r="K26" s="94">
        <f>SUMPRODUCT(K22:K25,'Parameters, general'!$B$24:$B$27)</f>
        <v>0.19240407478647617</v>
      </c>
      <c r="L26" s="94">
        <f>SUMPRODUCT(L22:L25,'Parameters, general'!$B$24:$B$27)</f>
        <v>0.47845223781350937</v>
      </c>
      <c r="M26" s="94">
        <f>SUMPRODUCT(M22:M25,'Parameters, general'!$B$24:$B$27)</f>
        <v>0</v>
      </c>
      <c r="N26" s="94">
        <f>SUMPRODUCT(N22:N25,'Parameters, general'!$B$24:$B$27)</f>
        <v>6.4888764418798386E-2</v>
      </c>
      <c r="O26" s="94">
        <f>SUMPRODUCT(O22:O25,'Parameters, general'!$B$24:$B$27)</f>
        <v>0.29815389592136327</v>
      </c>
      <c r="P26" s="94">
        <f>SUMPRODUCT(P22:P25,'Parameters, general'!$B$24:$B$27)</f>
        <v>0.37943496738610172</v>
      </c>
      <c r="Q26" s="94">
        <f>SUMPRODUCT(Q22:Q25,'Parameters, general'!$B$24:$B$27)</f>
        <v>1.0188707430499622</v>
      </c>
      <c r="R26" s="94">
        <f>SUMPRODUCT(R22:R25,'Parameters, general'!$B$24:$B$27)</f>
        <v>1.0188707430499622</v>
      </c>
      <c r="S26" s="94">
        <f>SUMPRODUCT(S22:S25,'Parameters, general'!$B$24:$B$27)</f>
        <v>7.068221035670307</v>
      </c>
      <c r="T26" s="94">
        <f>SUMPRODUCT(T22:T25,'Parameters, general'!$B$24:$B$27)</f>
        <v>1.9241174312066081</v>
      </c>
      <c r="U26" s="94"/>
      <c r="V26" s="94"/>
      <c r="W26" s="94">
        <f>SUMPRODUCT(W22:W25,'Parameters, general'!$B$24:$B$27)</f>
        <v>2.5347589925047007</v>
      </c>
      <c r="X26" s="94">
        <f>SUMPRODUCT(X22:X25,'Parameters, general'!$B$24:$B$27)</f>
        <v>2.3654943732031492E-2</v>
      </c>
      <c r="Z26" s="95">
        <f>SUM(H26:R26)</f>
        <v>6.6463489343784996</v>
      </c>
      <c r="AA26" s="96">
        <f>'CO2 per kg feed'!F68+'CH4 per kg feed'!F68*CF_GWP_CH4_fossil+'N2O per kg feed'!F68*CF_GWP_N2O</f>
        <v>0.41434258645591121</v>
      </c>
    </row>
    <row r="27" spans="1:27" ht="15" customHeight="1" x14ac:dyDescent="0.2">
      <c r="A27" s="74" t="s">
        <v>36</v>
      </c>
      <c r="B27" s="74" t="s">
        <v>176</v>
      </c>
      <c r="C27" s="75" t="s">
        <v>722</v>
      </c>
      <c r="D27" s="76" t="s">
        <v>51</v>
      </c>
      <c r="E27" s="76" t="s">
        <v>52</v>
      </c>
      <c r="F27" s="77" t="s">
        <v>40</v>
      </c>
      <c r="G27" s="78">
        <f>SUM(H27:X27)</f>
        <v>6.1779869478021396</v>
      </c>
      <c r="H27" s="78">
        <f>'GHG detailed, absolute'!H27/Production!$F$17*AF_beef_HU</f>
        <v>0.48998713676624706</v>
      </c>
      <c r="I27" s="78">
        <f>'GHG detailed, absolute'!I27/Production!$F$17*AF_beef_HU</f>
        <v>0.3246980695324459</v>
      </c>
      <c r="J27" s="78"/>
      <c r="K27" s="78"/>
      <c r="L27" s="78">
        <f>'GHG detailed, absolute'!L27/Production!$F$17*AF_beef_HU</f>
        <v>0.38007234952122143</v>
      </c>
      <c r="M27" s="78"/>
      <c r="N27" s="78">
        <f>'GHG detailed, absolute'!N27/Production!$F$17*AF_beef_HU</f>
        <v>1.5991787625504472E-3</v>
      </c>
      <c r="O27" s="78">
        <f>'GHG detailed, absolute'!O27/Production!$F$17*AF_beef_HU</f>
        <v>0.2347889200330833</v>
      </c>
      <c r="P27" s="78">
        <f>'GHG detailed, absolute'!P27/Production!$F$17*AF_beef_HU</f>
        <v>0.52449156698395538</v>
      </c>
      <c r="Q27" s="78">
        <f>'GHG detailed, absolute'!Q27/Production!$F$17*AF_beef_HU</f>
        <v>1.4631406118802104</v>
      </c>
      <c r="R27" s="78">
        <f>'GHG detailed, absolute'!R27/Production!$F$17*AF_beef_HU</f>
        <v>1.4631406118802104</v>
      </c>
      <c r="S27" s="79"/>
      <c r="T27" s="80"/>
      <c r="U27" s="81"/>
      <c r="V27" s="81"/>
      <c r="W27" s="79">
        <f>'GHG detailed, absolute'!W27/Production!$F$17*AF_beef_HU</f>
        <v>1.279204155766255</v>
      </c>
      <c r="X27" s="82">
        <f>'GHG detailed, absolute'!X27/Production!$F$17*AF_beef_HU</f>
        <v>1.6864346675959822E-2</v>
      </c>
      <c r="Z27" s="83"/>
      <c r="AA27" s="83"/>
    </row>
    <row r="28" spans="1:27" x14ac:dyDescent="0.2">
      <c r="A28" s="23" t="s">
        <v>36</v>
      </c>
      <c r="B28" s="23" t="s">
        <v>176</v>
      </c>
      <c r="C28" s="18" t="s">
        <v>722</v>
      </c>
      <c r="D28" s="58" t="s">
        <v>51</v>
      </c>
      <c r="E28" s="58" t="s">
        <v>52</v>
      </c>
      <c r="F28" s="23" t="s">
        <v>41</v>
      </c>
      <c r="G28" s="83">
        <f>SUM(H28:X28)</f>
        <v>1.8760458038963403E-2</v>
      </c>
      <c r="H28" s="56">
        <f>'GHG detailed, absolute'!H28/Production!$F$17*AF_beef_HU</f>
        <v>2.590477985416907E-5</v>
      </c>
      <c r="I28" s="56">
        <f>'GHG detailed, absolute'!I28/Production!$F$17*AF_beef_HU</f>
        <v>1.1424561705771241E-3</v>
      </c>
      <c r="J28" s="56"/>
      <c r="K28" s="56"/>
      <c r="L28" s="56">
        <f>'GHG detailed, absolute'!L28/Production!$F$17*AF_beef_HU</f>
        <v>1.6835923491041467E-4</v>
      </c>
      <c r="M28" s="56"/>
      <c r="N28" s="56">
        <f>'GHG detailed, absolute'!N28/Production!$F$17*AF_beef_HU</f>
        <v>4.8430298463430069E-6</v>
      </c>
      <c r="O28" s="56">
        <f>'GHG detailed, absolute'!O28/Production!$F$17*AF_beef_HU</f>
        <v>1.9130366952310079E-4</v>
      </c>
      <c r="P28" s="56">
        <f>'GHG detailed, absolute'!P28/Production!$F$17*AF_beef_HU</f>
        <v>0</v>
      </c>
      <c r="Q28" s="56">
        <f>'GHG detailed, absolute'!Q28/Production!$F$17*AF_beef_HU</f>
        <v>6.9741809756271537E-3</v>
      </c>
      <c r="R28" s="56">
        <f>'GHG detailed, absolute'!R28/Production!$F$17*AF_beef_HU</f>
        <v>6.9741809756271537E-3</v>
      </c>
      <c r="W28" s="13">
        <f>'GHG detailed, absolute'!W28/Production!$F$17*AF_beef_HU</f>
        <v>3.2298195230351288E-3</v>
      </c>
      <c r="X28" s="53">
        <f>'GHG detailed, absolute'!X28/Production!$F$17*AF_beef_HU</f>
        <v>4.940967996281684E-5</v>
      </c>
      <c r="Z28" s="84"/>
      <c r="AA28" s="84"/>
    </row>
    <row r="29" spans="1:27" x14ac:dyDescent="0.2">
      <c r="A29" s="23" t="s">
        <v>36</v>
      </c>
      <c r="B29" s="23" t="s">
        <v>176</v>
      </c>
      <c r="C29" s="18" t="s">
        <v>722</v>
      </c>
      <c r="D29" s="58" t="s">
        <v>51</v>
      </c>
      <c r="E29" s="58" t="s">
        <v>52</v>
      </c>
      <c r="F29" s="23" t="s">
        <v>42</v>
      </c>
      <c r="G29" s="83">
        <f>SUM(H29:T29)</f>
        <v>0.31803110810004398</v>
      </c>
      <c r="H29" s="56"/>
      <c r="I29" s="56"/>
      <c r="J29" s="85"/>
      <c r="K29" s="56"/>
      <c r="L29" s="56"/>
      <c r="M29" s="56"/>
      <c r="N29" s="56"/>
      <c r="O29" s="56"/>
      <c r="P29" s="56"/>
      <c r="Q29" s="56"/>
      <c r="R29" s="56"/>
      <c r="S29" s="13">
        <f>'GHG detailed, absolute'!S29/Production!$F$17*AF_beef_HU</f>
        <v>0.27126844970053993</v>
      </c>
      <c r="T29" s="53">
        <f>'GHG detailed, absolute'!T29/Production!$F$17*AF_beef_HU</f>
        <v>4.6762658399504067E-2</v>
      </c>
      <c r="U29" s="86">
        <f>'GHG detailed, absolute'!U29/Production!$F$17*AF_beef_HU</f>
        <v>4.6762658399504067E-2</v>
      </c>
      <c r="W29" s="13"/>
      <c r="X29" s="53"/>
      <c r="Z29" s="84"/>
      <c r="AA29" s="84"/>
    </row>
    <row r="30" spans="1:27" ht="15" customHeight="1" x14ac:dyDescent="0.2">
      <c r="A30" s="23" t="s">
        <v>36</v>
      </c>
      <c r="B30" s="23" t="s">
        <v>176</v>
      </c>
      <c r="C30" s="18" t="s">
        <v>722</v>
      </c>
      <c r="D30" s="58" t="s">
        <v>51</v>
      </c>
      <c r="E30" s="58" t="s">
        <v>52</v>
      </c>
      <c r="F30" s="87" t="s">
        <v>43</v>
      </c>
      <c r="G30" s="83">
        <f>SUM(H30:T30)+W30+X30</f>
        <v>1.2760642823341243E-2</v>
      </c>
      <c r="H30" s="56">
        <f>'GHG detailed, absolute'!H30/Production!$F$17*AF_beef_HU</f>
        <v>2.1343446577200257E-4</v>
      </c>
      <c r="I30" s="56">
        <f>'GHG detailed, absolute'!I30/Production!$F$17*AF_beef_HU</f>
        <v>1.3228439869840385E-5</v>
      </c>
      <c r="J30" s="56">
        <f>'GHG detailed, absolute'!J30/Production!$F$17*AF_beef_HU</f>
        <v>5.8373316028480357E-3</v>
      </c>
      <c r="K30" s="84">
        <f>'GHG detailed, absolute'!K30/Production!$F$17*AF_beef_HU</f>
        <v>5.8373316028480357E-4</v>
      </c>
      <c r="L30" s="56">
        <f>'GHG detailed, absolute'!L30/Production!$F$17*AF_beef_HU</f>
        <v>1.0212692215796788E-5</v>
      </c>
      <c r="M30" s="56"/>
      <c r="N30" s="56">
        <f>'GHG detailed, absolute'!N30/Production!$F$17*AF_beef_HU</f>
        <v>6.8187735507563986E-8</v>
      </c>
      <c r="O30" s="56">
        <f>'GHG detailed, absolute'!O30/Production!$F$17*AF_beef_HU</f>
        <v>8.3619954814481132E-6</v>
      </c>
      <c r="P30" s="56">
        <f>'GHG detailed, absolute'!P30/Production!$F$17*AF_beef_HU</f>
        <v>0</v>
      </c>
      <c r="Q30" s="56">
        <f>'GHG detailed, absolute'!Q30/Production!$F$17*AF_beef_HU</f>
        <v>4.3485385068104868E-4</v>
      </c>
      <c r="R30" s="56">
        <f>'GHG detailed, absolute'!R30/Production!$F$17*AF_beef_HU</f>
        <v>4.3485385068104868E-4</v>
      </c>
      <c r="S30" s="13"/>
      <c r="T30" s="53">
        <f>'GHG detailed, absolute'!T30/Production!$F$17*AF_beef_HU</f>
        <v>5.1791646890816754E-3</v>
      </c>
      <c r="U30" s="88">
        <f>'GHG detailed, absolute'!U30/Production!$F$17*AF_beef_HU</f>
        <v>3.7937595407886351E-3</v>
      </c>
      <c r="V30" s="88">
        <f>'GHG detailed, absolute'!V30/Production!$F$17*AF_beef_HU</f>
        <v>1.3854051482930394E-3</v>
      </c>
      <c r="W30" s="13">
        <f>'GHG detailed, absolute'!W30/Production!$F$17*AF_beef_HU</f>
        <v>4.4818553216840383E-5</v>
      </c>
      <c r="X30" s="53">
        <f>'GHG detailed, absolute'!X30/Production!$F$17*AF_beef_HU</f>
        <v>5.8133547319351037E-7</v>
      </c>
      <c r="Z30" s="84"/>
      <c r="AA30" s="84"/>
    </row>
    <row r="31" spans="1:27" ht="15" customHeight="1" x14ac:dyDescent="0.2">
      <c r="A31" s="89" t="s">
        <v>36</v>
      </c>
      <c r="B31" s="89" t="s">
        <v>176</v>
      </c>
      <c r="C31" s="90" t="s">
        <v>722</v>
      </c>
      <c r="D31" s="91" t="s">
        <v>51</v>
      </c>
      <c r="E31" s="91" t="s">
        <v>52</v>
      </c>
      <c r="F31" s="92" t="s">
        <v>44</v>
      </c>
      <c r="G31" s="102">
        <f>SUM(H31:X31)</f>
        <v>18.807544006836597</v>
      </c>
      <c r="H31" s="94">
        <f>SUMPRODUCT(H27:H30,'Parameters, general'!$B$24:$B$27)</f>
        <v>0.54902670836165801</v>
      </c>
      <c r="I31" s="94">
        <f>SUMPRODUCT(I27:I30,'Parameters, general'!$B$24:$B$27)</f>
        <v>0.36235462750011066</v>
      </c>
      <c r="J31" s="94">
        <f>SUMPRODUCT(J27:J30,'Parameters, general'!$B$24:$B$27)</f>
        <v>1.5935915275775137</v>
      </c>
      <c r="K31" s="94">
        <f>SUMPRODUCT(K27:K30,'Parameters, general'!$B$24:$B$27)</f>
        <v>0.15935915275775137</v>
      </c>
      <c r="L31" s="94">
        <f>SUMPRODUCT(L27:L30,'Parameters, general'!$B$24:$B$27)</f>
        <v>0.38787751969646428</v>
      </c>
      <c r="M31" s="94">
        <f>SUMPRODUCT(M27:M30,'Parameters, general'!$B$24:$B$27)</f>
        <v>0</v>
      </c>
      <c r="N31" s="94">
        <f>SUMPRODUCT(N27:N30,'Parameters, general'!$B$24:$B$27)</f>
        <v>1.7621163037650337E-3</v>
      </c>
      <c r="O31" s="94">
        <f>SUMPRODUCT(O27:O30,'Parameters, general'!$B$24:$B$27)</f>
        <v>0.24277259415130706</v>
      </c>
      <c r="P31" s="94">
        <f>SUMPRODUCT(P27:P30,'Parameters, general'!$B$24:$B$27)</f>
        <v>0.52449156698395538</v>
      </c>
      <c r="Q31" s="94">
        <f>SUMPRODUCT(Q27:Q30,'Parameters, general'!$B$24:$B$27)</f>
        <v>1.7896863061898258</v>
      </c>
      <c r="R31" s="94">
        <f>SUMPRODUCT(R27:R30,'Parameters, general'!$B$24:$B$27)</f>
        <v>1.7896863061898258</v>
      </c>
      <c r="S31" s="94">
        <f>SUMPRODUCT(S27:S30,'Parameters, general'!$B$24:$B$27)</f>
        <v>7.3242481419145777</v>
      </c>
      <c r="T31" s="94">
        <f>SUMPRODUCT(T27:T30,'Parameters, general'!$B$24:$B$27)</f>
        <v>2.6765037369059073</v>
      </c>
      <c r="U31" s="94"/>
      <c r="V31" s="94"/>
      <c r="W31" s="94">
        <f>SUMPRODUCT(W27:W30,'Parameters, general'!$B$24:$B$27)</f>
        <v>1.3876882425808994</v>
      </c>
      <c r="X31" s="94">
        <f>SUMPRODUCT(X27:X30,'Parameters, general'!$B$24:$B$27)</f>
        <v>1.849545972303359E-2</v>
      </c>
      <c r="Z31" s="95">
        <f>SUM(H31:R31)</f>
        <v>7.4006084257121776</v>
      </c>
      <c r="AA31" s="96">
        <f>'CO2 per kg feed'!F84+'CH4 per kg feed'!F84*CF_GWP_CH4_fossil+'N2O per kg feed'!F84*CF_GWP_N2O</f>
        <v>0.41909611704687277</v>
      </c>
    </row>
    <row r="32" spans="1:27" ht="15" customHeight="1" x14ac:dyDescent="0.2">
      <c r="A32" s="74" t="s">
        <v>36</v>
      </c>
      <c r="B32" s="74" t="s">
        <v>176</v>
      </c>
      <c r="C32" s="75" t="s">
        <v>722</v>
      </c>
      <c r="D32" s="76" t="s">
        <v>53</v>
      </c>
      <c r="E32" s="76" t="s">
        <v>54</v>
      </c>
      <c r="F32" s="77" t="s">
        <v>40</v>
      </c>
      <c r="G32" s="78">
        <f>SUM(H32:X32)</f>
        <v>2.0555295969563492</v>
      </c>
      <c r="H32" s="78">
        <f>'GHG detailed, absolute'!H32/Production!$G$17*AF_beef_IE</f>
        <v>0.3432324516243942</v>
      </c>
      <c r="I32" s="78">
        <f>'GHG detailed, absolute'!I32/Production!$G$17*AF_beef_IE</f>
        <v>0.41671688782659139</v>
      </c>
      <c r="J32" s="78"/>
      <c r="K32" s="78"/>
      <c r="L32" s="78">
        <f>'GHG detailed, absolute'!L32/Production!$G$17*AF_beef_IE</f>
        <v>0.24730121242254577</v>
      </c>
      <c r="M32" s="78"/>
      <c r="N32" s="78">
        <f>'GHG detailed, absolute'!N32/Production!$G$17*AF_beef_IE</f>
        <v>9.8398710802572462E-4</v>
      </c>
      <c r="O32" s="78">
        <f>'GHG detailed, absolute'!O32/Production!$G$17*AF_beef_IE</f>
        <v>8.1414542266988729E-2</v>
      </c>
      <c r="P32" s="78">
        <f>'GHG detailed, absolute'!P32/Production!$G$17*AF_beef_IE</f>
        <v>3.8595812446214087E-2</v>
      </c>
      <c r="Q32" s="78">
        <f>'GHG detailed, absolute'!Q32/Production!$G$17*AF_beef_IE</f>
        <v>0.10463313911178362</v>
      </c>
      <c r="R32" s="78">
        <f>'GHG detailed, absolute'!R32/Production!$G$17*AF_beef_IE</f>
        <v>0.10463313911178362</v>
      </c>
      <c r="S32" s="79"/>
      <c r="T32" s="80"/>
      <c r="U32" s="81"/>
      <c r="V32" s="81"/>
      <c r="W32" s="79">
        <f>'GHG detailed, absolute'!W32/Production!$G$17*AF_beef_IE</f>
        <v>0.70156602454963835</v>
      </c>
      <c r="X32" s="82">
        <f>'GHG detailed, absolute'!X32/Production!$G$17*AF_beef_IE</f>
        <v>1.6452400488383784E-2</v>
      </c>
      <c r="Z32" s="83"/>
      <c r="AA32" s="83"/>
    </row>
    <row r="33" spans="1:27" x14ac:dyDescent="0.2">
      <c r="A33" s="23" t="s">
        <v>36</v>
      </c>
      <c r="B33" s="23" t="s">
        <v>176</v>
      </c>
      <c r="C33" s="18" t="s">
        <v>722</v>
      </c>
      <c r="D33" s="58" t="s">
        <v>53</v>
      </c>
      <c r="E33" s="58" t="s">
        <v>54</v>
      </c>
      <c r="F33" s="23" t="s">
        <v>41</v>
      </c>
      <c r="G33" s="83">
        <f>SUM(H33:X33)</f>
        <v>2.8037261919414617E-3</v>
      </c>
      <c r="H33" s="56">
        <f>'GHG detailed, absolute'!H33/Production!$G$17*AF_beef_IE</f>
        <v>1.3894585130727685E-5</v>
      </c>
      <c r="I33" s="56">
        <f>'GHG detailed, absolute'!I33/Production!$G$17*AF_beef_IE</f>
        <v>1.4662260867972662E-3</v>
      </c>
      <c r="J33" s="56"/>
      <c r="K33" s="56"/>
      <c r="L33" s="56">
        <f>'GHG detailed, absolute'!L33/Production!$G$17*AF_beef_IE</f>
        <v>1.0954609817927047E-4</v>
      </c>
      <c r="M33" s="56"/>
      <c r="N33" s="56">
        <f>'GHG detailed, absolute'!N33/Production!$G$17*AF_beef_IE</f>
        <v>2.9157427026894306E-6</v>
      </c>
      <c r="O33" s="56">
        <f>'GHG detailed, absolute'!O33/Production!$G$17*AF_beef_IE</f>
        <v>4.2560298962176384E-5</v>
      </c>
      <c r="P33" s="56">
        <f>'GHG detailed, absolute'!P33/Production!$G$17*AF_beef_IE</f>
        <v>0</v>
      </c>
      <c r="Q33" s="56">
        <f>'GHG detailed, absolute'!Q33/Production!$G$17*AF_beef_IE</f>
        <v>1.9112359101120554E-4</v>
      </c>
      <c r="R33" s="56">
        <f>'GHG detailed, absolute'!R33/Production!$G$17*AF_beef_IE</f>
        <v>1.9112359101120554E-4</v>
      </c>
      <c r="W33" s="13">
        <f>'GHG detailed, absolute'!W33/Production!$G$17*AF_beef_IE</f>
        <v>7.5606621416693279E-4</v>
      </c>
      <c r="X33" s="53">
        <f>'GHG detailed, absolute'!X33/Production!$G$17*AF_beef_IE</f>
        <v>3.0269983979987738E-5</v>
      </c>
      <c r="Z33" s="84"/>
      <c r="AA33" s="84"/>
    </row>
    <row r="34" spans="1:27" x14ac:dyDescent="0.2">
      <c r="A34" s="23" t="s">
        <v>36</v>
      </c>
      <c r="B34" s="23" t="s">
        <v>176</v>
      </c>
      <c r="C34" s="18" t="s">
        <v>722</v>
      </c>
      <c r="D34" s="58" t="s">
        <v>53</v>
      </c>
      <c r="E34" s="58" t="s">
        <v>54</v>
      </c>
      <c r="F34" s="23" t="s">
        <v>42</v>
      </c>
      <c r="G34" s="83">
        <f>SUM(H34:T34)</f>
        <v>0.34197297802722115</v>
      </c>
      <c r="H34" s="56"/>
      <c r="I34" s="56"/>
      <c r="J34" s="85"/>
      <c r="K34" s="56"/>
      <c r="L34" s="56"/>
      <c r="M34" s="56"/>
      <c r="N34" s="56"/>
      <c r="O34" s="56"/>
      <c r="P34" s="56"/>
      <c r="Q34" s="56"/>
      <c r="R34" s="56"/>
      <c r="S34" s="13">
        <f>'GHG detailed, absolute'!S34/Production!$G$17*AF_beef_IE</f>
        <v>0.3043533473144388</v>
      </c>
      <c r="T34" s="53">
        <f>'GHG detailed, absolute'!T34/Production!$G$17*AF_beef_IE</f>
        <v>3.7619630712782369E-2</v>
      </c>
      <c r="U34" s="86">
        <f>'GHG detailed, absolute'!U34/Production!$G$17*AF_beef_IE</f>
        <v>3.7619630712782369E-2</v>
      </c>
      <c r="W34" s="13"/>
      <c r="X34" s="53"/>
      <c r="Z34" s="84"/>
      <c r="AA34" s="84"/>
    </row>
    <row r="35" spans="1:27" ht="15" customHeight="1" x14ac:dyDescent="0.2">
      <c r="A35" s="23" t="s">
        <v>36</v>
      </c>
      <c r="B35" s="23" t="s">
        <v>176</v>
      </c>
      <c r="C35" s="18" t="s">
        <v>722</v>
      </c>
      <c r="D35" s="58" t="s">
        <v>53</v>
      </c>
      <c r="E35" s="58" t="s">
        <v>54</v>
      </c>
      <c r="F35" s="87" t="s">
        <v>43</v>
      </c>
      <c r="G35" s="83">
        <f>SUM(H35:T35)+W35+X35</f>
        <v>8.9089627842359603E-3</v>
      </c>
      <c r="H35" s="56">
        <f>'GHG detailed, absolute'!H35/Production!$G$17*AF_beef_IE</f>
        <v>1.3300522570955093E-4</v>
      </c>
      <c r="I35" s="56">
        <f>'GHG detailed, absolute'!I35/Production!$G$17*AF_beef_IE</f>
        <v>1.6977354689231504E-5</v>
      </c>
      <c r="J35" s="56">
        <f>'GHG detailed, absolute'!J35/Production!$G$17*AF_beef_IE</f>
        <v>5.4460455379907726E-3</v>
      </c>
      <c r="K35" s="84">
        <f>'GHG detailed, absolute'!K35/Production!$G$17*AF_beef_IE</f>
        <v>5.4460455379907731E-4</v>
      </c>
      <c r="L35" s="56">
        <f>'GHG detailed, absolute'!L35/Production!$G$17*AF_beef_IE</f>
        <v>6.6450799966015958E-6</v>
      </c>
      <c r="M35" s="56"/>
      <c r="N35" s="56">
        <f>'GHG detailed, absolute'!N35/Production!$G$17*AF_beef_IE</f>
        <v>4.2257022274953995E-8</v>
      </c>
      <c r="O35" s="56">
        <f>'GHG detailed, absolute'!O35/Production!$G$17*AF_beef_IE</f>
        <v>2.9327247370431006E-6</v>
      </c>
      <c r="P35" s="56">
        <f>'GHG detailed, absolute'!P35/Production!$G$17*AF_beef_IE</f>
        <v>0</v>
      </c>
      <c r="Q35" s="56">
        <f>'GHG detailed, absolute'!Q35/Production!$G$17*AF_beef_IE</f>
        <v>1.2096313363137172E-5</v>
      </c>
      <c r="R35" s="56">
        <f>'GHG detailed, absolute'!R35/Production!$G$17*AF_beef_IE</f>
        <v>1.2096313363137172E-5</v>
      </c>
      <c r="S35" s="13"/>
      <c r="T35" s="53">
        <f>'GHG detailed, absolute'!T35/Production!$G$17*AF_beef_IE</f>
        <v>2.7081562267663689E-3</v>
      </c>
      <c r="U35" s="88">
        <f>'GHG detailed, absolute'!U35/Production!$G$17*AF_beef_IE</f>
        <v>1.8936001063518306E-3</v>
      </c>
      <c r="V35" s="88">
        <f>'GHG detailed, absolute'!V35/Production!$G$17*AF_beef_IE</f>
        <v>8.1455612041453861E-4</v>
      </c>
      <c r="W35" s="13">
        <f>'GHG detailed, absolute'!W35/Production!$G$17*AF_beef_IE</f>
        <v>2.5773124570732956E-5</v>
      </c>
      <c r="X35" s="53">
        <f>'GHG detailed, absolute'!X35/Production!$G$17*AF_beef_IE</f>
        <v>5.880722280314122E-7</v>
      </c>
      <c r="Z35" s="84"/>
      <c r="AA35" s="84"/>
    </row>
    <row r="36" spans="1:27" ht="15" customHeight="1" x14ac:dyDescent="0.2">
      <c r="A36" s="89" t="s">
        <v>36</v>
      </c>
      <c r="B36" s="89" t="s">
        <v>176</v>
      </c>
      <c r="C36" s="90" t="s">
        <v>722</v>
      </c>
      <c r="D36" s="100" t="s">
        <v>53</v>
      </c>
      <c r="E36" s="100" t="s">
        <v>54</v>
      </c>
      <c r="F36" s="92" t="s">
        <v>44</v>
      </c>
      <c r="G36" s="102">
        <f>SUM(H36:X36)</f>
        <v>13.804497884307592</v>
      </c>
      <c r="H36" s="94">
        <f>SUMPRODUCT(H32:H35,'Parameters, general'!$B$24:$B$27)</f>
        <v>0.37995693687999732</v>
      </c>
      <c r="I36" s="94">
        <f>SUMPRODUCT(I32:I35,'Parameters, general'!$B$24:$B$27)</f>
        <v>0.46504524304331007</v>
      </c>
      <c r="J36" s="94">
        <f>SUMPRODUCT(J32:J35,'Parameters, general'!$B$24:$B$27)</f>
        <v>1.4867704318714809</v>
      </c>
      <c r="K36" s="94">
        <f>SUMPRODUCT(K32:K35,'Parameters, general'!$B$24:$B$27)</f>
        <v>0.14867704318714811</v>
      </c>
      <c r="L36" s="94">
        <f>SUMPRODUCT(L32:L35,'Parameters, general'!$B$24:$B$27)</f>
        <v>0.25237979298736024</v>
      </c>
      <c r="M36" s="94">
        <f>SUMPRODUCT(M32:M35,'Parameters, general'!$B$24:$B$27)</f>
        <v>0</v>
      </c>
      <c r="N36" s="94">
        <f>SUMPRODUCT(N32:N35,'Parameters, general'!$B$24:$B$27)</f>
        <v>1.0824124076469321E-3</v>
      </c>
      <c r="O36" s="94">
        <f>SUMPRODUCT(O32:O35,'Parameters, general'!$B$24:$B$27)</f>
        <v>8.3483473029274363E-2</v>
      </c>
      <c r="P36" s="94">
        <f>SUMPRODUCT(P32:P35,'Parameters, general'!$B$24:$B$27)</f>
        <v>3.8595812446214087E-2</v>
      </c>
      <c r="Q36" s="94">
        <f>SUMPRODUCT(Q32:Q35,'Parameters, general'!$B$24:$B$27)</f>
        <v>0.11363091567205399</v>
      </c>
      <c r="R36" s="94">
        <f>SUMPRODUCT(R32:R35,'Parameters, general'!$B$24:$B$27)</f>
        <v>0.11363091567205399</v>
      </c>
      <c r="S36" s="94">
        <f>SUMPRODUCT(S32:S35,'Parameters, general'!$B$24:$B$27)</f>
        <v>8.217540377489847</v>
      </c>
      <c r="T36" s="94">
        <f>SUMPRODUCT(T32:T35,'Parameters, general'!$B$24:$B$27)</f>
        <v>1.7550566791523425</v>
      </c>
      <c r="U36" s="94"/>
      <c r="V36" s="94"/>
      <c r="W36" s="94">
        <f>SUMPRODUCT(W32:W35,'Parameters, general'!$B$24:$B$27)</f>
        <v>0.73113286073962303</v>
      </c>
      <c r="X36" s="94">
        <f>SUMPRODUCT(X32:X35,'Parameters, general'!$B$24:$B$27)</f>
        <v>1.7514989729239993E-2</v>
      </c>
      <c r="Z36" s="95">
        <f>SUM(H36:R36)</f>
        <v>3.0832529771965396</v>
      </c>
      <c r="AA36" s="96">
        <f>'CO2 per kg feed'!F100+'CH4 per kg feed'!F100*CF_GWP_CH4_fossil+'N2O per kg feed'!F100*CF_GWP_N2O</f>
        <v>0.13884603052089586</v>
      </c>
    </row>
    <row r="37" spans="1:27" ht="15" customHeight="1" x14ac:dyDescent="0.2">
      <c r="A37" s="74" t="s">
        <v>36</v>
      </c>
      <c r="B37" s="74" t="s">
        <v>176</v>
      </c>
      <c r="C37" s="75" t="s">
        <v>722</v>
      </c>
      <c r="D37" s="76" t="s">
        <v>55</v>
      </c>
      <c r="E37" s="76" t="s">
        <v>56</v>
      </c>
      <c r="F37" s="77" t="s">
        <v>40</v>
      </c>
      <c r="G37" s="78">
        <f>SUM(H37:X37)</f>
        <v>5.0151261919511443</v>
      </c>
      <c r="H37" s="78">
        <f>'GHG detailed, absolute'!H37/Production!$H$17*AF_beef_IT</f>
        <v>0.29128832560314316</v>
      </c>
      <c r="I37" s="78">
        <f>'GHG detailed, absolute'!I37/Production!$H$17*AF_beef_IT</f>
        <v>0.31653501036058584</v>
      </c>
      <c r="J37" s="78"/>
      <c r="K37" s="78"/>
      <c r="L37" s="78">
        <f>'GHG detailed, absolute'!L37/Production!$H$17*AF_beef_IT</f>
        <v>0.20677942781296604</v>
      </c>
      <c r="M37" s="78"/>
      <c r="N37" s="78">
        <f>'GHG detailed, absolute'!N37/Production!$H$17*AF_beef_IT</f>
        <v>3.38070262462618E-3</v>
      </c>
      <c r="O37" s="78">
        <f>'GHG detailed, absolute'!O37/Production!$H$17*AF_beef_IT</f>
        <v>7.6187099693661706E-2</v>
      </c>
      <c r="P37" s="78">
        <f>'GHG detailed, absolute'!P37/Production!$H$17*AF_beef_IT</f>
        <v>0.52228709210272917</v>
      </c>
      <c r="Q37" s="78">
        <f>'GHG detailed, absolute'!Q37/Production!$H$17*AF_beef_IT</f>
        <v>1.1013553327231236</v>
      </c>
      <c r="R37" s="78">
        <f>'GHG detailed, absolute'!R37/Production!$H$17*AF_beef_IT</f>
        <v>1.1013553327231236</v>
      </c>
      <c r="S37" s="79"/>
      <c r="T37" s="80"/>
      <c r="U37" s="81"/>
      <c r="V37" s="81"/>
      <c r="W37" s="79">
        <f>'GHG detailed, absolute'!W37/Production!$H$17*AF_beef_IT</f>
        <v>1.3807373439265325</v>
      </c>
      <c r="X37" s="82">
        <f>'GHG detailed, absolute'!X37/Production!$H$17*AF_beef_IT</f>
        <v>1.5220524380652502E-2</v>
      </c>
      <c r="Z37" s="83"/>
      <c r="AA37" s="83"/>
    </row>
    <row r="38" spans="1:27" x14ac:dyDescent="0.2">
      <c r="A38" s="23" t="s">
        <v>36</v>
      </c>
      <c r="B38" s="23" t="s">
        <v>176</v>
      </c>
      <c r="C38" s="18" t="s">
        <v>722</v>
      </c>
      <c r="D38" s="58" t="s">
        <v>55</v>
      </c>
      <c r="E38" s="58" t="s">
        <v>56</v>
      </c>
      <c r="F38" s="23" t="s">
        <v>41</v>
      </c>
      <c r="G38" s="83">
        <f>SUM(H38:X38)</f>
        <v>2.2655524395851726E-2</v>
      </c>
      <c r="H38" s="56">
        <f>'GHG detailed, absolute'!H38/Production!$H$17*AF_beef_IT</f>
        <v>4.4480051854439573E-5</v>
      </c>
      <c r="I38" s="56">
        <f>'GHG detailed, absolute'!I38/Production!$H$17*AF_beef_IT</f>
        <v>1.1137342957131724E-3</v>
      </c>
      <c r="J38" s="56"/>
      <c r="K38" s="56"/>
      <c r="L38" s="56">
        <f>'GHG detailed, absolute'!L38/Production!$H$17*AF_beef_IT</f>
        <v>9.1596313979847908E-5</v>
      </c>
      <c r="M38" s="56"/>
      <c r="N38" s="56">
        <f>'GHG detailed, absolute'!N38/Production!$H$17*AF_beef_IT</f>
        <v>1.0935238181317345E-5</v>
      </c>
      <c r="O38" s="56">
        <f>'GHG detailed, absolute'!O38/Production!$H$17*AF_beef_IT</f>
        <v>6.653024439593894E-5</v>
      </c>
      <c r="P38" s="56">
        <f>'GHG detailed, absolute'!P38/Production!$H$17*AF_beef_IT</f>
        <v>0</v>
      </c>
      <c r="Q38" s="56">
        <f>'GHG detailed, absolute'!Q38/Production!$H$17*AF_beef_IT</f>
        <v>7.6295591458743163E-3</v>
      </c>
      <c r="R38" s="56">
        <f>'GHG detailed, absolute'!R38/Production!$H$17*AF_beef_IT</f>
        <v>7.6295591458743163E-3</v>
      </c>
      <c r="W38" s="13">
        <f>'GHG detailed, absolute'!W38/Production!$H$17*AF_beef_IT</f>
        <v>6.0023768861714438E-3</v>
      </c>
      <c r="X38" s="53">
        <f>'GHG detailed, absolute'!X38/Production!$H$17*AF_beef_IT</f>
        <v>6.6753073806933251E-5</v>
      </c>
      <c r="Z38" s="84"/>
      <c r="AA38" s="84"/>
    </row>
    <row r="39" spans="1:27" x14ac:dyDescent="0.2">
      <c r="A39" s="23" t="s">
        <v>36</v>
      </c>
      <c r="B39" s="23" t="s">
        <v>176</v>
      </c>
      <c r="C39" s="18" t="s">
        <v>722</v>
      </c>
      <c r="D39" s="58" t="s">
        <v>55</v>
      </c>
      <c r="E39" s="58" t="s">
        <v>56</v>
      </c>
      <c r="F39" s="23" t="s">
        <v>42</v>
      </c>
      <c r="G39" s="83">
        <f>SUM(H39:T39)</f>
        <v>0.36317962400848847</v>
      </c>
      <c r="H39" s="56"/>
      <c r="I39" s="56"/>
      <c r="J39" s="85"/>
      <c r="K39" s="56"/>
      <c r="L39" s="56"/>
      <c r="M39" s="56"/>
      <c r="N39" s="56"/>
      <c r="O39" s="56"/>
      <c r="P39" s="56"/>
      <c r="Q39" s="56"/>
      <c r="R39" s="56"/>
      <c r="S39" s="13">
        <f>'GHG detailed, absolute'!S39/Production!$H$17*AF_beef_IT</f>
        <v>0.29335699422289946</v>
      </c>
      <c r="T39" s="53">
        <f>'GHG detailed, absolute'!T39/Production!$H$17*AF_beef_IT</f>
        <v>6.9822629785589022E-2</v>
      </c>
      <c r="U39" s="86">
        <f>'GHG detailed, absolute'!U39/Production!$H$17*AF_beef_IT</f>
        <v>6.9822629785589022E-2</v>
      </c>
      <c r="W39" s="13"/>
      <c r="X39" s="53"/>
      <c r="Z39" s="84"/>
      <c r="AA39" s="84"/>
    </row>
    <row r="40" spans="1:27" ht="15" customHeight="1" x14ac:dyDescent="0.2">
      <c r="A40" s="23" t="s">
        <v>36</v>
      </c>
      <c r="B40" s="23" t="s">
        <v>176</v>
      </c>
      <c r="C40" s="18" t="s">
        <v>722</v>
      </c>
      <c r="D40" s="58" t="s">
        <v>55</v>
      </c>
      <c r="E40" s="58" t="s">
        <v>56</v>
      </c>
      <c r="F40" s="87" t="s">
        <v>43</v>
      </c>
      <c r="G40" s="83">
        <f>SUM(H40:T40)+W40+X40</f>
        <v>9.5519800173306767E-3</v>
      </c>
      <c r="H40" s="56">
        <f>'GHG detailed, absolute'!H40/Production!$H$17*AF_beef_IT</f>
        <v>6.0665649645166502E-5</v>
      </c>
      <c r="I40" s="56">
        <f>'GHG detailed, absolute'!I40/Production!$H$17*AF_beef_IT</f>
        <v>1.2895870792468314E-5</v>
      </c>
      <c r="J40" s="56">
        <f>'GHG detailed, absolute'!J40/Production!$H$17*AF_beef_IT</f>
        <v>3.7643035095977781E-3</v>
      </c>
      <c r="K40" s="84">
        <f>'GHG detailed, absolute'!K40/Production!$H$17*AF_beef_IT</f>
        <v>3.7643035095977776E-4</v>
      </c>
      <c r="L40" s="56">
        <f>'GHG detailed, absolute'!L40/Production!$H$17*AF_beef_IT</f>
        <v>5.5562438453431398E-6</v>
      </c>
      <c r="M40" s="56"/>
      <c r="N40" s="56">
        <f>'GHG detailed, absolute'!N40/Production!$H$17*AF_beef_IT</f>
        <v>1.4088800000345969E-7</v>
      </c>
      <c r="O40" s="56">
        <f>'GHG detailed, absolute'!O40/Production!$H$17*AF_beef_IT</f>
        <v>2.8012311203039271E-6</v>
      </c>
      <c r="P40" s="56">
        <f>'GHG detailed, absolute'!P40/Production!$H$17*AF_beef_IT</f>
        <v>0</v>
      </c>
      <c r="Q40" s="56">
        <f>'GHG detailed, absolute'!Q40/Production!$H$17*AF_beef_IT</f>
        <v>4.4857235575898575E-4</v>
      </c>
      <c r="R40" s="56">
        <f>'GHG detailed, absolute'!R40/Production!$H$17*AF_beef_IT</f>
        <v>4.4857235575898575E-4</v>
      </c>
      <c r="S40" s="13"/>
      <c r="T40" s="53">
        <f>'GHG detailed, absolute'!T40/Production!$H$17*AF_beef_IT</f>
        <v>4.371332728755937E-3</v>
      </c>
      <c r="U40" s="88">
        <f>'GHG detailed, absolute'!U40/Production!$H$17*AF_beef_IT</f>
        <v>2.8773839197115485E-3</v>
      </c>
      <c r="V40" s="88">
        <f>'GHG detailed, absolute'!V40/Production!$H$17*AF_beef_IT</f>
        <v>1.4939488090443883E-3</v>
      </c>
      <c r="W40" s="13">
        <f>'GHG detailed, absolute'!W40/Production!$H$17*AF_beef_IT</f>
        <v>6.0085545014768632E-5</v>
      </c>
      <c r="X40" s="53">
        <f>'GHG detailed, absolute'!X40/Production!$H$17*AF_beef_IT</f>
        <v>6.2328808115856456E-7</v>
      </c>
      <c r="Z40" s="84"/>
      <c r="AA40" s="84"/>
    </row>
    <row r="41" spans="1:27" ht="15" customHeight="1" x14ac:dyDescent="0.2">
      <c r="A41" s="89" t="s">
        <v>36</v>
      </c>
      <c r="B41" s="89" t="s">
        <v>176</v>
      </c>
      <c r="C41" s="90" t="s">
        <v>722</v>
      </c>
      <c r="D41" s="91" t="s">
        <v>55</v>
      </c>
      <c r="E41" s="91" t="s">
        <v>56</v>
      </c>
      <c r="F41" s="92" t="s">
        <v>44</v>
      </c>
      <c r="G41" s="102">
        <f>SUM(H41:X41)</f>
        <v>18.103801211907989</v>
      </c>
      <c r="H41" s="94">
        <f>SUMPRODUCT(H37:H40,'Parameters, general'!$B$24:$B$27)</f>
        <v>0.30917555350153592</v>
      </c>
      <c r="I41" s="94">
        <f>SUMPRODUCT(I37:I40,'Parameters, general'!$B$24:$B$27)</f>
        <v>0.35324486509918224</v>
      </c>
      <c r="J41" s="94">
        <f>SUMPRODUCT(J37:J40,'Parameters, general'!$B$24:$B$27)</f>
        <v>1.0276548581201934</v>
      </c>
      <c r="K41" s="94">
        <f>SUMPRODUCT(K37:K40,'Parameters, general'!$B$24:$B$27)</f>
        <v>0.10276548581201933</v>
      </c>
      <c r="L41" s="94">
        <f>SUMPRODUCT(L37:L40,'Parameters, general'!$B$24:$B$27)</f>
        <v>0.21102585253934419</v>
      </c>
      <c r="M41" s="94">
        <f>SUMPRODUCT(M37:M40,'Parameters, general'!$B$24:$B$27)</f>
        <v>0</v>
      </c>
      <c r="N41" s="94">
        <f>SUMPRODUCT(N37:N40,'Parameters, general'!$B$24:$B$27)</f>
        <v>3.7450351464303816E-3</v>
      </c>
      <c r="O41" s="94">
        <f>SUMPRODUCT(O37:O40,'Parameters, general'!$B$24:$B$27)</f>
        <v>7.8934437072503666E-2</v>
      </c>
      <c r="P41" s="94">
        <f>SUMPRODUCT(P37:P40,'Parameters, general'!$B$24:$B$27)</f>
        <v>0.52228709210272917</v>
      </c>
      <c r="Q41" s="94">
        <f>SUMPRODUCT(Q37:Q40,'Parameters, general'!$B$24:$B$27)</f>
        <v>1.4511764483923815</v>
      </c>
      <c r="R41" s="94">
        <f>SUMPRODUCT(R37:R40,'Parameters, general'!$B$24:$B$27)</f>
        <v>1.4511764483923815</v>
      </c>
      <c r="S41" s="94">
        <f>SUMPRODUCT(S37:S40,'Parameters, general'!$B$24:$B$27)</f>
        <v>7.9206388440182858</v>
      </c>
      <c r="T41" s="94">
        <f>SUMPRODUCT(T37:T40,'Parameters, general'!$B$24:$B$27)</f>
        <v>3.0785848391612745</v>
      </c>
      <c r="U41" s="94"/>
      <c r="V41" s="94"/>
      <c r="W41" s="94">
        <f>SUMPRODUCT(W37:W40,'Parameters, general'!$B$24:$B$27)</f>
        <v>1.5760115289234733</v>
      </c>
      <c r="X41" s="94">
        <f>SUMPRODUCT(X37:X40,'Parameters, general'!$B$24:$B$27)</f>
        <v>1.73799236262554E-2</v>
      </c>
      <c r="Z41" s="95">
        <f>SUM(H41:R41)</f>
        <v>5.511186076178701</v>
      </c>
      <c r="AA41" s="96">
        <f>'CO2 per kg feed'!F116+'CH4 per kg feed'!F116*CF_GWP_CH4_fossil+'N2O per kg feed'!F116*CF_GWP_N2O</f>
        <v>0.29263759769242137</v>
      </c>
    </row>
    <row r="42" spans="1:27" ht="15" customHeight="1" x14ac:dyDescent="0.2">
      <c r="A42" s="74" t="s">
        <v>36</v>
      </c>
      <c r="B42" s="74" t="s">
        <v>176</v>
      </c>
      <c r="C42" s="75" t="s">
        <v>722</v>
      </c>
      <c r="D42" t="s">
        <v>57</v>
      </c>
      <c r="E42" s="58" t="s">
        <v>58</v>
      </c>
      <c r="F42" s="77" t="s">
        <v>40</v>
      </c>
      <c r="G42" s="78">
        <f>SUM(H42:X42)</f>
        <v>4.7345504217834682</v>
      </c>
      <c r="H42" s="78">
        <f>'GHG detailed, absolute'!H42/Production!$I$17*AF_beef_NL</f>
        <v>0.73445156289974012</v>
      </c>
      <c r="I42" s="78">
        <f>'GHG detailed, absolute'!I42/Production!$I$17*AF_beef_NL</f>
        <v>0.32900934906583201</v>
      </c>
      <c r="J42" s="78"/>
      <c r="K42" s="78"/>
      <c r="L42" s="78">
        <f>'GHG detailed, absolute'!L42/Production!$I$17*AF_beef_NL</f>
        <v>0.28715582060962708</v>
      </c>
      <c r="M42" s="78"/>
      <c r="N42" s="78">
        <f>'GHG detailed, absolute'!N42/Production!$I$17*AF_beef_NL</f>
        <v>1.1447136314551053E-3</v>
      </c>
      <c r="O42" s="78">
        <f>'GHG detailed, absolute'!O42/Production!$I$17*AF_beef_NL</f>
        <v>0.14933846387687899</v>
      </c>
      <c r="P42" s="78">
        <f>'GHG detailed, absolute'!P42/Production!$I$17*AF_beef_NL</f>
        <v>0.48397919697684799</v>
      </c>
      <c r="Q42" s="78">
        <f>'GHG detailed, absolute'!Q42/Production!$I$17*AF_beef_NL</f>
        <v>0.41616195817498275</v>
      </c>
      <c r="R42" s="78">
        <f>'GHG detailed, absolute'!R42/Production!$I$17*AF_beef_NL</f>
        <v>0.41616195817498275</v>
      </c>
      <c r="S42" s="79"/>
      <c r="T42" s="80"/>
      <c r="U42" s="81"/>
      <c r="V42" s="81"/>
      <c r="W42" s="79">
        <f>'GHG detailed, absolute'!W42/Production!$I$17*AF_beef_NL</f>
        <v>1.9023302464007037</v>
      </c>
      <c r="X42" s="82">
        <f>'GHG detailed, absolute'!X42/Production!$I$17*AF_beef_NL</f>
        <v>1.4817151972418039E-2</v>
      </c>
      <c r="Z42" s="83"/>
      <c r="AA42" s="83"/>
    </row>
    <row r="43" spans="1:27" x14ac:dyDescent="0.2">
      <c r="A43" s="23" t="s">
        <v>36</v>
      </c>
      <c r="B43" s="23" t="s">
        <v>176</v>
      </c>
      <c r="C43" s="18" t="s">
        <v>722</v>
      </c>
      <c r="D43" t="s">
        <v>57</v>
      </c>
      <c r="E43" s="58" t="s">
        <v>58</v>
      </c>
      <c r="F43" s="23" t="s">
        <v>41</v>
      </c>
      <c r="G43" s="83">
        <f>SUM(H43:X43)</f>
        <v>1.2208856788428658E-2</v>
      </c>
      <c r="H43" s="56">
        <f>'GHG detailed, absolute'!H43/Production!$I$17*AF_beef_NL</f>
        <v>3.8277375384377461E-4</v>
      </c>
      <c r="I43" s="56">
        <f>'GHG detailed, absolute'!I43/Production!$I$17*AF_beef_NL</f>
        <v>1.1576254874538531E-3</v>
      </c>
      <c r="J43" s="56"/>
      <c r="K43" s="56"/>
      <c r="L43" s="56">
        <f>'GHG detailed, absolute'!L43/Production!$I$17*AF_beef_NL</f>
        <v>1.2720034572051851E-4</v>
      </c>
      <c r="M43" s="56"/>
      <c r="N43" s="56">
        <f>'GHG detailed, absolute'!N43/Production!$I$17*AF_beef_NL</f>
        <v>3.6675858215269777E-6</v>
      </c>
      <c r="O43" s="56">
        <f>'GHG detailed, absolute'!O43/Production!$I$17*AF_beef_NL</f>
        <v>1.0564363634873627E-4</v>
      </c>
      <c r="P43" s="56">
        <f>'GHG detailed, absolute'!P43/Production!$I$17*AF_beef_NL</f>
        <v>0</v>
      </c>
      <c r="Q43" s="56">
        <f>'GHG detailed, absolute'!Q43/Production!$I$17*AF_beef_NL</f>
        <v>3.3146594107154575E-3</v>
      </c>
      <c r="R43" s="56">
        <f>'GHG detailed, absolute'!R43/Production!$I$17*AF_beef_NL</f>
        <v>3.3146594107154575E-3</v>
      </c>
      <c r="W43" s="13">
        <f>'GHG detailed, absolute'!W43/Production!$I$17*AF_beef_NL</f>
        <v>3.7663967618056767E-3</v>
      </c>
      <c r="X43" s="53">
        <f>'GHG detailed, absolute'!X43/Production!$I$17*AF_beef_NL</f>
        <v>3.6230396003656384E-5</v>
      </c>
      <c r="Z43" s="84"/>
      <c r="AA43" s="84"/>
    </row>
    <row r="44" spans="1:27" x14ac:dyDescent="0.2">
      <c r="A44" s="23" t="s">
        <v>36</v>
      </c>
      <c r="B44" s="23" t="s">
        <v>176</v>
      </c>
      <c r="C44" s="18" t="s">
        <v>722</v>
      </c>
      <c r="D44" t="s">
        <v>57</v>
      </c>
      <c r="E44" s="58" t="s">
        <v>58</v>
      </c>
      <c r="F44" s="23" t="s">
        <v>42</v>
      </c>
      <c r="G44" s="83">
        <f>SUM(H44:T44)</f>
        <v>0.30442710021673042</v>
      </c>
      <c r="H44" s="56"/>
      <c r="I44" s="56"/>
      <c r="J44" s="85"/>
      <c r="K44" s="56"/>
      <c r="L44" s="56"/>
      <c r="M44" s="56"/>
      <c r="N44" s="56"/>
      <c r="O44" s="56"/>
      <c r="P44" s="56"/>
      <c r="Q44" s="56"/>
      <c r="R44" s="56"/>
      <c r="S44" s="13">
        <f>'GHG detailed, absolute'!S44/Production!$I$17*AF_beef_NL</f>
        <v>0.25231638589458055</v>
      </c>
      <c r="T44" s="53">
        <f>'GHG detailed, absolute'!T44/Production!$I$17*AF_beef_NL</f>
        <v>5.2110714322149858E-2</v>
      </c>
      <c r="U44" s="86">
        <f>'GHG detailed, absolute'!U44/Production!$I$17*AF_beef_NL</f>
        <v>5.2110714322149858E-2</v>
      </c>
      <c r="W44" s="13"/>
      <c r="X44" s="53"/>
      <c r="Z44" s="84"/>
      <c r="AA44" s="84"/>
    </row>
    <row r="45" spans="1:27" ht="15" customHeight="1" x14ac:dyDescent="0.2">
      <c r="A45" s="23" t="s">
        <v>36</v>
      </c>
      <c r="B45" s="23" t="s">
        <v>176</v>
      </c>
      <c r="C45" s="18" t="s">
        <v>722</v>
      </c>
      <c r="D45" t="s">
        <v>57</v>
      </c>
      <c r="E45" s="58" t="s">
        <v>58</v>
      </c>
      <c r="F45" s="87" t="s">
        <v>43</v>
      </c>
      <c r="G45" s="83">
        <f>SUM(H45:T45)+W45+X45</f>
        <v>1.2518405075233911E-2</v>
      </c>
      <c r="H45" s="56">
        <f>'GHG detailed, absolute'!H45/Production!$I$17*AF_beef_NL</f>
        <v>6.5454243640359993E-4</v>
      </c>
      <c r="I45" s="56">
        <f>'GHG detailed, absolute'!I45/Production!$I$17*AF_beef_NL</f>
        <v>1.3404084591570931E-5</v>
      </c>
      <c r="J45" s="56">
        <f>'GHG detailed, absolute'!J45/Production!$I$17*AF_beef_NL</f>
        <v>7.4807856222671694E-3</v>
      </c>
      <c r="K45" s="84">
        <f>'GHG detailed, absolute'!K45/Production!$I$17*AF_beef_NL</f>
        <v>7.480785622267169E-4</v>
      </c>
      <c r="L45" s="56">
        <f>'GHG detailed, absolute'!L45/Production!$I$17*AF_beef_NL</f>
        <v>7.7159888572660649E-6</v>
      </c>
      <c r="M45" s="56"/>
      <c r="N45" s="56">
        <f>'GHG detailed, absolute'!N45/Production!$I$17*AF_beef_NL</f>
        <v>4.7869356038271487E-8</v>
      </c>
      <c r="O45" s="56">
        <f>'GHG detailed, absolute'!O45/Production!$I$17*AF_beef_NL</f>
        <v>5.388593801062734E-6</v>
      </c>
      <c r="P45" s="56">
        <f>'GHG detailed, absolute'!P45/Production!$I$17*AF_beef_NL</f>
        <v>0</v>
      </c>
      <c r="Q45" s="56">
        <f>'GHG detailed, absolute'!Q45/Production!$I$17*AF_beef_NL</f>
        <v>2.9908111261325789E-4</v>
      </c>
      <c r="R45" s="56">
        <f>'GHG detailed, absolute'!R45/Production!$I$17*AF_beef_NL</f>
        <v>2.9908111261325789E-4</v>
      </c>
      <c r="S45" s="13"/>
      <c r="T45" s="53">
        <f>'GHG detailed, absolute'!T45/Production!$I$17*AF_beef_NL</f>
        <v>2.933332892971739E-3</v>
      </c>
      <c r="U45" s="88">
        <f>'GHG detailed, absolute'!U45/Production!$I$17*AF_beef_NL</f>
        <v>1.6009028106302435E-3</v>
      </c>
      <c r="V45" s="88">
        <f>'GHG detailed, absolute'!V45/Production!$I$17*AF_beef_NL</f>
        <v>1.3324300823414955E-3</v>
      </c>
      <c r="W45" s="13">
        <f>'GHG detailed, absolute'!W45/Production!$I$17*AF_beef_NL</f>
        <v>7.6373376048476235E-5</v>
      </c>
      <c r="X45" s="53">
        <f>'GHG detailed, absolute'!X45/Production!$I$17*AF_beef_NL</f>
        <v>5.7342348375601845E-7</v>
      </c>
      <c r="Z45" s="84"/>
      <c r="AA45" s="84"/>
    </row>
    <row r="46" spans="1:27" ht="15" customHeight="1" x14ac:dyDescent="0.2">
      <c r="A46" s="89" t="s">
        <v>36</v>
      </c>
      <c r="B46" s="89" t="s">
        <v>176</v>
      </c>
      <c r="C46" s="90" t="s">
        <v>722</v>
      </c>
      <c r="D46" s="103" t="s">
        <v>57</v>
      </c>
      <c r="E46" s="91" t="s">
        <v>58</v>
      </c>
      <c r="F46" s="92" t="s">
        <v>44</v>
      </c>
      <c r="G46" s="102">
        <f>SUM(H46:X46)</f>
        <v>16.735430645469222</v>
      </c>
      <c r="H46" s="94">
        <f>SUMPRODUCT(H42:H45,'Parameters, general'!$B$24:$B$27)</f>
        <v>0.92454830590246739</v>
      </c>
      <c r="I46" s="94">
        <f>SUMPRODUCT(I42:I45,'Parameters, general'!$B$24:$B$27)</f>
        <v>0.36716590368545571</v>
      </c>
      <c r="J46" s="94">
        <f>SUMPRODUCT(J42:J45,'Parameters, general'!$B$24:$B$27)</f>
        <v>2.0422544748789373</v>
      </c>
      <c r="K46" s="94">
        <f>SUMPRODUCT(K42:K45,'Parameters, general'!$B$24:$B$27)</f>
        <v>0.2042254474878937</v>
      </c>
      <c r="L46" s="94">
        <f>SUMPRODUCT(L42:L45,'Parameters, general'!$B$24:$B$27)</f>
        <v>0.29305285587013213</v>
      </c>
      <c r="M46" s="94">
        <f>SUMPRODUCT(M42:M45,'Parameters, general'!$B$24:$B$27)</f>
        <v>0</v>
      </c>
      <c r="N46" s="94">
        <f>SUMPRODUCT(N42:N45,'Parameters, general'!$B$24:$B$27)</f>
        <v>1.2670760231350575E-3</v>
      </c>
      <c r="O46" s="94">
        <f>SUMPRODUCT(O42:O45,'Parameters, general'!$B$24:$B$27)</f>
        <v>0.15395773034776145</v>
      </c>
      <c r="P46" s="94">
        <f>SUMPRODUCT(P42:P45,'Parameters, general'!$B$24:$B$27)</f>
        <v>0.48397919697684799</v>
      </c>
      <c r="Q46" s="94">
        <f>SUMPRODUCT(Q42:Q45,'Parameters, general'!$B$24:$B$27)</f>
        <v>0.59658795235772277</v>
      </c>
      <c r="R46" s="94">
        <f>SUMPRODUCT(R42:R45,'Parameters, general'!$B$24:$B$27)</f>
        <v>0.59658795235772277</v>
      </c>
      <c r="S46" s="94">
        <f>SUMPRODUCT(S42:S45,'Parameters, general'!$B$24:$B$27)</f>
        <v>6.812542419153675</v>
      </c>
      <c r="T46" s="94">
        <f>SUMPRODUCT(T42:T45,'Parameters, general'!$B$24:$B$27)</f>
        <v>2.2077891664793308</v>
      </c>
      <c r="U46" s="94"/>
      <c r="V46" s="94"/>
      <c r="W46" s="94">
        <f>SUMPRODUCT(W42:W45,'Parameters, general'!$B$24:$B$27)</f>
        <v>2.0354188015637469</v>
      </c>
      <c r="X46" s="94">
        <f>SUMPRODUCT(X42:X45,'Parameters, general'!$B$24:$B$27)</f>
        <v>1.6053362384392394E-2</v>
      </c>
      <c r="Z46" s="95">
        <f>SUM(H46:R46)</f>
        <v>5.6636268958880764</v>
      </c>
      <c r="AA46" s="96">
        <f>'CO2 per kg feed'!F132+'CH4 per kg feed'!F132*CF_GWP_CH4_fossil+'N2O per kg feed'!F132*CF_GWP_N2O</f>
        <v>0.39773469528811939</v>
      </c>
    </row>
    <row r="47" spans="1:27" ht="15" customHeight="1" x14ac:dyDescent="0.2">
      <c r="A47" s="74" t="s">
        <v>36</v>
      </c>
      <c r="B47" s="74" t="s">
        <v>176</v>
      </c>
      <c r="C47" s="75" t="s">
        <v>722</v>
      </c>
      <c r="D47" t="s">
        <v>59</v>
      </c>
      <c r="E47" s="58" t="s">
        <v>60</v>
      </c>
      <c r="F47" s="77" t="s">
        <v>40</v>
      </c>
      <c r="G47" s="78">
        <f>SUM(H47:X47)</f>
        <v>7.9636178291862612</v>
      </c>
      <c r="H47" s="78">
        <f>'GHG detailed, absolute'!H47/Production!$J$17*AF_beef_PL</f>
        <v>0.94477980671961892</v>
      </c>
      <c r="I47" s="78">
        <f>'GHG detailed, absolute'!I47/Production!$J$17*AF_beef_PL</f>
        <v>0.36387623131081376</v>
      </c>
      <c r="J47" s="78"/>
      <c r="K47" s="78"/>
      <c r="L47" s="78">
        <f>'GHG detailed, absolute'!L47/Production!$J$17*AF_beef_PL</f>
        <v>0.44755605038014179</v>
      </c>
      <c r="M47" s="78"/>
      <c r="N47" s="78">
        <f>'GHG detailed, absolute'!N47/Production!$J$17*AF_beef_PL</f>
        <v>2.544745823800819E-3</v>
      </c>
      <c r="O47" s="78">
        <f>'GHG detailed, absolute'!O47/Production!$J$17*AF_beef_PL</f>
        <v>0.33263393045570638</v>
      </c>
      <c r="P47" s="78">
        <f>'GHG detailed, absolute'!P47/Production!$J$17*AF_beef_PL</f>
        <v>0.3702234315005235</v>
      </c>
      <c r="Q47" s="78">
        <f>'GHG detailed, absolute'!Q47/Production!$J$17*AF_beef_PL</f>
        <v>1.0437398925603878</v>
      </c>
      <c r="R47" s="78">
        <f>'GHG detailed, absolute'!R47/Production!$J$17*AF_beef_PL</f>
        <v>1.0437398925603878</v>
      </c>
      <c r="S47" s="79"/>
      <c r="T47" s="80"/>
      <c r="U47" s="81"/>
      <c r="V47" s="81"/>
      <c r="W47" s="79">
        <f>'GHG detailed, absolute'!W47/Production!$J$17*AF_beef_PL</f>
        <v>3.3814695651790538</v>
      </c>
      <c r="X47" s="82">
        <f>'GHG detailed, absolute'!X47/Production!$J$17*AF_beef_PL</f>
        <v>3.3054282695826387E-2</v>
      </c>
      <c r="Z47" s="83"/>
      <c r="AA47" s="83"/>
    </row>
    <row r="48" spans="1:27" x14ac:dyDescent="0.2">
      <c r="A48" s="23" t="s">
        <v>36</v>
      </c>
      <c r="B48" s="23" t="s">
        <v>176</v>
      </c>
      <c r="C48" s="18" t="s">
        <v>722</v>
      </c>
      <c r="D48" t="s">
        <v>59</v>
      </c>
      <c r="E48" s="58" t="s">
        <v>60</v>
      </c>
      <c r="F48" s="23" t="s">
        <v>41</v>
      </c>
      <c r="G48" s="83">
        <f>SUM(H48:X48)</f>
        <v>1.7280341864954359E-2</v>
      </c>
      <c r="H48" s="56">
        <f>'GHG detailed, absolute'!H48/Production!$J$17*AF_beef_PL</f>
        <v>8.8974495225501563E-5</v>
      </c>
      <c r="I48" s="56">
        <f>'GHG detailed, absolute'!I48/Production!$J$17*AF_beef_PL</f>
        <v>1.2803052583158262E-3</v>
      </c>
      <c r="J48" s="56"/>
      <c r="K48" s="56"/>
      <c r="L48" s="56">
        <f>'GHG detailed, absolute'!L48/Production!$J$17*AF_beef_PL</f>
        <v>1.9825223886043447E-4</v>
      </c>
      <c r="M48" s="56"/>
      <c r="N48" s="56">
        <f>'GHG detailed, absolute'!N48/Production!$J$17*AF_beef_PL</f>
        <v>7.6226417162181955E-6</v>
      </c>
      <c r="O48" s="56">
        <f>'GHG detailed, absolute'!O48/Production!$J$17*AF_beef_PL</f>
        <v>2.907749760662454E-4</v>
      </c>
      <c r="P48" s="56">
        <f>'GHG detailed, absolute'!P48/Production!$J$17*AF_beef_PL</f>
        <v>0</v>
      </c>
      <c r="Q48" s="56">
        <f>'GHG detailed, absolute'!Q48/Production!$J$17*AF_beef_PL</f>
        <v>4.4134323177288538E-3</v>
      </c>
      <c r="R48" s="56">
        <f>'GHG detailed, absolute'!R48/Production!$J$17*AF_beef_PL</f>
        <v>4.4134323177288538E-3</v>
      </c>
      <c r="W48" s="13">
        <f>'GHG detailed, absolute'!W48/Production!$J$17*AF_beef_PL</f>
        <v>6.515074846604533E-3</v>
      </c>
      <c r="X48" s="53">
        <f>'GHG detailed, absolute'!X48/Production!$J$17*AF_beef_PL</f>
        <v>7.2472772707893676E-5</v>
      </c>
      <c r="Z48" s="84"/>
      <c r="AA48" s="84"/>
    </row>
    <row r="49" spans="1:28" x14ac:dyDescent="0.2">
      <c r="A49" s="23" t="s">
        <v>36</v>
      </c>
      <c r="B49" s="23" t="s">
        <v>176</v>
      </c>
      <c r="C49" s="18" t="s">
        <v>722</v>
      </c>
      <c r="D49" t="s">
        <v>59</v>
      </c>
      <c r="E49" s="58" t="s">
        <v>60</v>
      </c>
      <c r="F49" s="23" t="s">
        <v>42</v>
      </c>
      <c r="G49" s="83">
        <f>SUM(H49:T49)</f>
        <v>0.29526097773711585</v>
      </c>
      <c r="H49" s="56"/>
      <c r="I49" s="56"/>
      <c r="J49" s="85"/>
      <c r="K49" s="56"/>
      <c r="L49" s="56"/>
      <c r="M49" s="56"/>
      <c r="N49" s="56"/>
      <c r="O49" s="56"/>
      <c r="P49" s="56"/>
      <c r="Q49" s="56"/>
      <c r="R49" s="56"/>
      <c r="S49" s="13">
        <f>'GHG detailed, absolute'!S49/Production!$J$17*AF_beef_PL</f>
        <v>0.27589807590094167</v>
      </c>
      <c r="T49" s="53">
        <f>'GHG detailed, absolute'!T49/Production!$J$17*AF_beef_PL</f>
        <v>1.9362901836174149E-2</v>
      </c>
      <c r="U49" s="86">
        <f>'GHG detailed, absolute'!U49/Production!$J$17*AF_beef_PL</f>
        <v>1.9362901836174149E-2</v>
      </c>
      <c r="W49" s="13"/>
      <c r="X49" s="53"/>
      <c r="Z49" s="84"/>
      <c r="AA49" s="84"/>
    </row>
    <row r="50" spans="1:28" ht="15" customHeight="1" x14ac:dyDescent="0.2">
      <c r="A50" s="23" t="s">
        <v>36</v>
      </c>
      <c r="B50" s="23" t="s">
        <v>176</v>
      </c>
      <c r="C50" s="18" t="s">
        <v>722</v>
      </c>
      <c r="D50" t="s">
        <v>59</v>
      </c>
      <c r="E50" s="58" t="s">
        <v>60</v>
      </c>
      <c r="F50" s="87" t="s">
        <v>43</v>
      </c>
      <c r="G50" s="83">
        <f>SUM(H50:T50)+W50+X50</f>
        <v>1.2290390325674409E-2</v>
      </c>
      <c r="H50" s="56">
        <f>'GHG detailed, absolute'!H50/Production!$J$17*AF_beef_PL</f>
        <v>2.923567833946352E-4</v>
      </c>
      <c r="I50" s="56">
        <f>'GHG detailed, absolute'!I50/Production!$J$17*AF_beef_PL</f>
        <v>1.4824587201551674E-5</v>
      </c>
      <c r="J50" s="56">
        <f>'GHG detailed, absolute'!J50/Production!$J$17*AF_beef_PL</f>
        <v>5.7168807459778686E-3</v>
      </c>
      <c r="K50" s="84">
        <f>'GHG detailed, absolute'!K50/Production!$J$17*AF_beef_PL</f>
        <v>5.7168807459778692E-4</v>
      </c>
      <c r="L50" s="56">
        <f>'GHG detailed, absolute'!L50/Production!$J$17*AF_beef_PL</f>
        <v>1.202600556869717E-5</v>
      </c>
      <c r="M50" s="56"/>
      <c r="N50" s="56">
        <f>'GHG detailed, absolute'!N50/Production!$J$17*AF_beef_PL</f>
        <v>1.0889913852478981E-7</v>
      </c>
      <c r="O50" s="56">
        <f>'GHG detailed, absolute'!O50/Production!$J$17*AF_beef_PL</f>
        <v>1.0783186522332932E-5</v>
      </c>
      <c r="P50" s="56">
        <f>'GHG detailed, absolute'!P50/Production!$J$17*AF_beef_PL</f>
        <v>0</v>
      </c>
      <c r="Q50" s="56">
        <f>'GHG detailed, absolute'!Q50/Production!$J$17*AF_beef_PL</f>
        <v>2.8713933497880278E-4</v>
      </c>
      <c r="R50" s="56">
        <f>'GHG detailed, absolute'!R50/Production!$J$17*AF_beef_PL</f>
        <v>2.8713933497880278E-4</v>
      </c>
      <c r="S50" s="13"/>
      <c r="T50" s="53">
        <f>'GHG detailed, absolute'!T50/Production!$J$17*AF_beef_PL</f>
        <v>5.0357853793247037E-3</v>
      </c>
      <c r="U50" s="88">
        <f>'GHG detailed, absolute'!U50/Production!$J$17*AF_beef_PL</f>
        <v>3.7567264424760113E-3</v>
      </c>
      <c r="V50" s="88">
        <f>'GHG detailed, absolute'!V50/Production!$J$17*AF_beef_PL</f>
        <v>1.2790589368486928E-3</v>
      </c>
      <c r="W50" s="13">
        <f>'GHG detailed, absolute'!W50/Production!$J$17*AF_beef_PL</f>
        <v>6.1013344337492459E-5</v>
      </c>
      <c r="X50" s="53">
        <f>'GHG detailed, absolute'!X50/Production!$J$17*AF_beef_PL</f>
        <v>6.4464965320877197E-7</v>
      </c>
      <c r="Z50" s="84"/>
      <c r="AA50" s="84"/>
    </row>
    <row r="51" spans="1:28" ht="15" customHeight="1" x14ac:dyDescent="0.2">
      <c r="A51" s="89" t="s">
        <v>36</v>
      </c>
      <c r="B51" s="89" t="s">
        <v>176</v>
      </c>
      <c r="C51" s="90" t="s">
        <v>722</v>
      </c>
      <c r="D51" s="103" t="s">
        <v>59</v>
      </c>
      <c r="E51" s="100" t="s">
        <v>60</v>
      </c>
      <c r="F51" s="92" t="s">
        <v>44</v>
      </c>
      <c r="G51" s="102">
        <f>SUM(H51:X51)</f>
        <v>19.805894974573143</v>
      </c>
      <c r="H51" s="94">
        <f>SUMPRODUCT(H47:H50,'Parameters, general'!$B$24:$B$27)</f>
        <v>1.0272446485440743</v>
      </c>
      <c r="I51" s="94">
        <f>SUMPRODUCT(I47:I50,'Parameters, general'!$B$24:$B$27)</f>
        <v>0.40607644031464901</v>
      </c>
      <c r="J51" s="94">
        <f>SUMPRODUCT(J47:J50,'Parameters, general'!$B$24:$B$27)</f>
        <v>1.560708443651958</v>
      </c>
      <c r="K51" s="94">
        <f>SUMPRODUCT(K47:K50,'Parameters, general'!$B$24:$B$27)</f>
        <v>0.15607084436519583</v>
      </c>
      <c r="L51" s="94">
        <f>SUMPRODUCT(L47:L50,'Parameters, general'!$B$24:$B$27)</f>
        <v>0.45674706661843711</v>
      </c>
      <c r="M51" s="94">
        <f>SUMPRODUCT(M47:M50,'Parameters, general'!$B$24:$B$27)</f>
        <v>0</v>
      </c>
      <c r="N51" s="94">
        <f>SUMPRODUCT(N47:N50,'Parameters, general'!$B$24:$B$27)</f>
        <v>2.801630011761389E-3</v>
      </c>
      <c r="O51" s="94">
        <f>SUMPRODUCT(O47:O50,'Parameters, general'!$B$24:$B$27)</f>
        <v>0.34424283466307737</v>
      </c>
      <c r="P51" s="94">
        <f>SUMPRODUCT(P47:P50,'Parameters, general'!$B$24:$B$27)</f>
        <v>0.3702234315005235</v>
      </c>
      <c r="Q51" s="94">
        <f>SUMPRODUCT(Q47:Q50,'Parameters, general'!$B$24:$B$27)</f>
        <v>1.2536492140779207</v>
      </c>
      <c r="R51" s="94">
        <f>SUMPRODUCT(R47:R50,'Parameters, general'!$B$24:$B$27)</f>
        <v>1.2536492140779207</v>
      </c>
      <c r="S51" s="94">
        <f>SUMPRODUCT(S47:S50,'Parameters, general'!$B$24:$B$27)</f>
        <v>7.4492480493254254</v>
      </c>
      <c r="T51" s="94">
        <f>SUMPRODUCT(T47:T50,'Parameters, general'!$B$24:$B$27)</f>
        <v>1.8975677581323462</v>
      </c>
      <c r="U51" s="94"/>
      <c r="V51" s="94"/>
      <c r="W51" s="94">
        <f>SUMPRODUCT(W47:W50,'Parameters, general'!$B$24:$B$27)</f>
        <v>3.5922754386120044</v>
      </c>
      <c r="X51" s="94">
        <f>SUMPRODUCT(X47:X50,'Parameters, general'!$B$24:$B$27)</f>
        <v>3.5389960677847609E-2</v>
      </c>
      <c r="Z51" s="95">
        <f>SUM(H51:R51)</f>
        <v>6.8314137678255182</v>
      </c>
      <c r="AA51" s="96">
        <f>'CO2 per kg feed'!F148+'CH4 per kg feed'!F148*CF_GWP_CH4_fossil+'N2O per kg feed'!F148*CF_GWP_N2O</f>
        <v>0.377266920852313</v>
      </c>
    </row>
    <row r="52" spans="1:28" ht="15" customHeight="1" x14ac:dyDescent="0.2">
      <c r="A52" s="74" t="s">
        <v>36</v>
      </c>
      <c r="B52" s="74" t="s">
        <v>176</v>
      </c>
      <c r="C52" s="75" t="s">
        <v>722</v>
      </c>
      <c r="D52" t="s">
        <v>61</v>
      </c>
      <c r="E52" s="76" t="s">
        <v>62</v>
      </c>
      <c r="F52" s="77" t="s">
        <v>40</v>
      </c>
      <c r="G52" s="78">
        <f>SUM(H52:X52)</f>
        <v>4.0975898393390091</v>
      </c>
      <c r="H52" s="78">
        <f>'GHG detailed, absolute'!H52/Production!$K$17*AF_beef_ES</f>
        <v>0.58414469527475921</v>
      </c>
      <c r="I52" s="78">
        <f>'GHG detailed, absolute'!I52/Production!$K$17*AF_beef_ES</f>
        <v>0.33049587392977037</v>
      </c>
      <c r="J52" s="78"/>
      <c r="K52" s="78"/>
      <c r="L52" s="78">
        <f>'GHG detailed, absolute'!L52/Production!$K$17*AF_beef_ES</f>
        <v>0.41717964976667171</v>
      </c>
      <c r="M52" s="78"/>
      <c r="N52" s="78">
        <f>'GHG detailed, absolute'!N52/Production!$K$17*AF_beef_ES</f>
        <v>5.2893095916416735E-2</v>
      </c>
      <c r="O52" s="78">
        <f>'GHG detailed, absolute'!O52/Production!$K$17*AF_beef_ES</f>
        <v>0.24408140797882968</v>
      </c>
      <c r="P52" s="78">
        <f>'GHG detailed, absolute'!P52/Production!$K$17*AF_beef_ES</f>
        <v>0.45015181988475755</v>
      </c>
      <c r="Q52" s="78">
        <f>'GHG detailed, absolute'!Q52/Production!$K$17*AF_beef_ES</f>
        <v>0.49826415452497708</v>
      </c>
      <c r="R52" s="78">
        <f>'GHG detailed, absolute'!R52/Production!$K$17*AF_beef_ES</f>
        <v>0.49826415452497708</v>
      </c>
      <c r="S52" s="79"/>
      <c r="T52" s="80"/>
      <c r="U52" s="81"/>
      <c r="V52" s="81"/>
      <c r="W52" s="79">
        <f>'GHG detailed, absolute'!W52/Production!$K$17*AF_beef_ES</f>
        <v>1.0118286218144699</v>
      </c>
      <c r="X52" s="82">
        <f>'GHG detailed, absolute'!X52/Production!$K$17*AF_beef_ES</f>
        <v>1.0286365723380453E-2</v>
      </c>
      <c r="Z52" s="83"/>
      <c r="AA52" s="83"/>
    </row>
    <row r="53" spans="1:28" x14ac:dyDescent="0.2">
      <c r="A53" s="23" t="s">
        <v>36</v>
      </c>
      <c r="B53" s="23" t="s">
        <v>176</v>
      </c>
      <c r="C53" s="18" t="s">
        <v>722</v>
      </c>
      <c r="D53" t="s">
        <v>61</v>
      </c>
      <c r="E53" s="58" t="s">
        <v>62</v>
      </c>
      <c r="F53" s="23" t="s">
        <v>41</v>
      </c>
      <c r="G53" s="83">
        <f>SUM(H53:X53)</f>
        <v>1.1320971086041227E-2</v>
      </c>
      <c r="H53" s="56">
        <f>'GHG detailed, absolute'!H53/Production!$K$17*AF_beef_ES</f>
        <v>7.045929072923841E-5</v>
      </c>
      <c r="I53" s="56">
        <f>'GHG detailed, absolute'!I53/Production!$K$17*AF_beef_ES</f>
        <v>1.1628558527158588E-3</v>
      </c>
      <c r="J53" s="56"/>
      <c r="K53" s="56"/>
      <c r="L53" s="56">
        <f>'GHG detailed, absolute'!L53/Production!$K$17*AF_beef_ES</f>
        <v>1.8479651767193324E-4</v>
      </c>
      <c r="M53" s="56"/>
      <c r="N53" s="56">
        <f>'GHG detailed, absolute'!N53/Production!$K$17*AF_beef_ES</f>
        <v>1.5776215790433212E-4</v>
      </c>
      <c r="O53" s="56">
        <f>'GHG detailed, absolute'!O53/Production!$K$17*AF_beef_ES</f>
        <v>1.841739100234995E-4</v>
      </c>
      <c r="P53" s="56">
        <f>'GHG detailed, absolute'!P53/Production!$K$17*AF_beef_ES</f>
        <v>0</v>
      </c>
      <c r="Q53" s="56">
        <f>'GHG detailed, absolute'!Q53/Production!$K$17*AF_beef_ES</f>
        <v>3.1985506080282524E-3</v>
      </c>
      <c r="R53" s="56">
        <f>'GHG detailed, absolute'!R53/Production!$K$17*AF_beef_ES</f>
        <v>3.1985506080282524E-3</v>
      </c>
      <c r="W53" s="13">
        <f>'GHG detailed, absolute'!W53/Production!$K$17*AF_beef_ES</f>
        <v>3.1277174066005643E-3</v>
      </c>
      <c r="X53" s="53">
        <f>'GHG detailed, absolute'!X53/Production!$K$17*AF_beef_ES</f>
        <v>3.6104734339296191E-5</v>
      </c>
      <c r="Z53" s="84"/>
      <c r="AA53" s="84"/>
    </row>
    <row r="54" spans="1:28" x14ac:dyDescent="0.2">
      <c r="A54" s="23" t="s">
        <v>36</v>
      </c>
      <c r="B54" s="23" t="s">
        <v>176</v>
      </c>
      <c r="C54" s="18" t="s">
        <v>722</v>
      </c>
      <c r="D54" t="s">
        <v>61</v>
      </c>
      <c r="E54" s="58" t="s">
        <v>62</v>
      </c>
      <c r="F54" s="23" t="s">
        <v>42</v>
      </c>
      <c r="G54" s="83">
        <f>SUM(H54:T54)</f>
        <v>0.29035851284038072</v>
      </c>
      <c r="H54" s="56"/>
      <c r="I54" s="56"/>
      <c r="J54" s="85"/>
      <c r="K54" s="56"/>
      <c r="L54" s="56"/>
      <c r="M54" s="56"/>
      <c r="N54" s="56"/>
      <c r="O54" s="56"/>
      <c r="P54" s="56"/>
      <c r="Q54" s="56"/>
      <c r="R54" s="56"/>
      <c r="S54" s="13">
        <f>'GHG detailed, absolute'!S54/Production!$K$17*AF_beef_ES</f>
        <v>0.24695086709080516</v>
      </c>
      <c r="T54" s="53">
        <f>'GHG detailed, absolute'!T54/Production!$K$17*AF_beef_ES</f>
        <v>4.3407645749575542E-2</v>
      </c>
      <c r="U54" s="86">
        <f>'GHG detailed, absolute'!U54/Production!$K$17*AF_beef_ES</f>
        <v>4.3407645749575542E-2</v>
      </c>
      <c r="W54" s="13"/>
      <c r="X54" s="53"/>
      <c r="Z54" s="84"/>
      <c r="AA54" s="84"/>
    </row>
    <row r="55" spans="1:28" ht="15" customHeight="1" x14ac:dyDescent="0.2">
      <c r="A55" s="23" t="s">
        <v>36</v>
      </c>
      <c r="B55" s="23" t="s">
        <v>176</v>
      </c>
      <c r="C55" s="18" t="s">
        <v>722</v>
      </c>
      <c r="D55" t="s">
        <v>61</v>
      </c>
      <c r="E55" s="58" t="s">
        <v>62</v>
      </c>
      <c r="F55" s="87" t="s">
        <v>43</v>
      </c>
      <c r="G55" s="83">
        <f>SUM(H55:T55)+W55+X55</f>
        <v>1.048141782179572E-2</v>
      </c>
      <c r="H55" s="56">
        <f>'GHG detailed, absolute'!H55/Production!$K$17*AF_beef_ES</f>
        <v>1.7046705927311115E-4</v>
      </c>
      <c r="I55" s="56">
        <f>'GHG detailed, absolute'!I55/Production!$K$17*AF_beef_ES</f>
        <v>1.3464646715657314E-5</v>
      </c>
      <c r="J55" s="56">
        <f>'GHG detailed, absolute'!J55/Production!$K$17*AF_beef_ES</f>
        <v>5.8313517160248057E-3</v>
      </c>
      <c r="K55" s="84">
        <f>'GHG detailed, absolute'!K55/Production!$K$17*AF_beef_ES</f>
        <v>5.8313517160248063E-4</v>
      </c>
      <c r="L55" s="56">
        <f>'GHG detailed, absolute'!L55/Production!$K$17*AF_beef_ES</f>
        <v>1.1209779840937969E-5</v>
      </c>
      <c r="M55" s="56"/>
      <c r="N55" s="56">
        <f>'GHG detailed, absolute'!N55/Production!$K$17*AF_beef_ES</f>
        <v>2.266657240884275E-6</v>
      </c>
      <c r="O55" s="56">
        <f>'GHG detailed, absolute'!O55/Production!$K$17*AF_beef_ES</f>
        <v>8.966999240772481E-6</v>
      </c>
      <c r="P55" s="56">
        <f>'GHG detailed, absolute'!P55/Production!$K$17*AF_beef_ES</f>
        <v>0</v>
      </c>
      <c r="Q55" s="56">
        <f>'GHG detailed, absolute'!Q55/Production!$K$17*AF_beef_ES</f>
        <v>2.3217972190375948E-4</v>
      </c>
      <c r="R55" s="56">
        <f>'GHG detailed, absolute'!R55/Production!$K$17*AF_beef_ES</f>
        <v>2.3217972190375948E-4</v>
      </c>
      <c r="S55" s="13"/>
      <c r="T55" s="53">
        <f>'GHG detailed, absolute'!T55/Production!$K$17*AF_beef_ES</f>
        <v>3.349962555729264E-3</v>
      </c>
      <c r="U55" s="88">
        <f>'GHG detailed, absolute'!U55/Production!$K$17*AF_beef_ES</f>
        <v>2.3060239675544579E-3</v>
      </c>
      <c r="V55" s="88">
        <f>'GHG detailed, absolute'!V55/Production!$K$17*AF_beef_ES</f>
        <v>1.0439385881748063E-3</v>
      </c>
      <c r="W55" s="13">
        <f>'GHG detailed, absolute'!W55/Production!$K$17*AF_beef_ES</f>
        <v>4.5807452212144071E-5</v>
      </c>
      <c r="X55" s="53">
        <f>'GHG detailed, absolute'!X55/Production!$K$17*AF_beef_ES</f>
        <v>4.2634010814296885E-7</v>
      </c>
      <c r="Z55" s="84"/>
      <c r="AA55" s="84"/>
    </row>
    <row r="56" spans="1:28" ht="15" customHeight="1" x14ac:dyDescent="0.2">
      <c r="A56" s="89" t="s">
        <v>36</v>
      </c>
      <c r="B56" s="89" t="s">
        <v>176</v>
      </c>
      <c r="C56" s="90" t="s">
        <v>722</v>
      </c>
      <c r="D56" s="103" t="s">
        <v>61</v>
      </c>
      <c r="E56" s="91" t="s">
        <v>62</v>
      </c>
      <c r="F56" s="92" t="s">
        <v>44</v>
      </c>
      <c r="G56" s="102">
        <f>SUM(H56:X56)</f>
        <v>15.136061689743546</v>
      </c>
      <c r="H56" s="94">
        <f>SUMPRODUCT(H52:H55,'Parameters, general'!$B$24:$B$27)</f>
        <v>0.63278188932004986</v>
      </c>
      <c r="I56" s="94">
        <f>SUMPRODUCT(I52:I55,'Parameters, general'!$B$24:$B$27)</f>
        <v>0.36882482689407742</v>
      </c>
      <c r="J56" s="94">
        <f>SUMPRODUCT(J52:J55,'Parameters, general'!$B$24:$B$27)</f>
        <v>1.5919590184747718</v>
      </c>
      <c r="K56" s="94">
        <f>SUMPRODUCT(K52:K55,'Parameters, general'!$B$24:$B$27)</f>
        <v>0.1591959018474772</v>
      </c>
      <c r="L56" s="94">
        <f>SUMPRODUCT(L52:L55,'Parameters, general'!$B$24:$B$27)</f>
        <v>0.42574685588987138</v>
      </c>
      <c r="M56" s="94">
        <f>SUMPRODUCT(M52:M55,'Parameters, general'!$B$24:$B$27)</f>
        <v>0</v>
      </c>
      <c r="N56" s="94">
        <f>SUMPRODUCT(N52:N55,'Parameters, general'!$B$24:$B$27)</f>
        <v>5.8213205648727243E-2</v>
      </c>
      <c r="O56" s="94">
        <f>SUMPRODUCT(O52:O55,'Parameters, general'!$B$24:$B$27)</f>
        <v>0.25201778129026087</v>
      </c>
      <c r="P56" s="94">
        <f>SUMPRODUCT(P52:P55,'Parameters, general'!$B$24:$B$27)</f>
        <v>0.45015181988475755</v>
      </c>
      <c r="Q56" s="94">
        <f>SUMPRODUCT(Q52:Q55,'Parameters, general'!$B$24:$B$27)</f>
        <v>0.65696602672394533</v>
      </c>
      <c r="R56" s="94">
        <f>SUMPRODUCT(R52:R55,'Parameters, general'!$B$24:$B$27)</f>
        <v>0.65696602672394533</v>
      </c>
      <c r="S56" s="94">
        <f>SUMPRODUCT(S52:S55,'Parameters, general'!$B$24:$B$27)</f>
        <v>6.6676734114517391</v>
      </c>
      <c r="T56" s="94">
        <f>SUMPRODUCT(T52:T55,'Parameters, general'!$B$24:$B$27)</f>
        <v>2.0865462129526287</v>
      </c>
      <c r="U56" s="94"/>
      <c r="V56" s="94"/>
      <c r="W56" s="94">
        <f>SUMPRODUCT(W52:W55,'Parameters, general'!$B$24:$B$27)</f>
        <v>1.1175400349850819</v>
      </c>
      <c r="X56" s="94">
        <f>SUMPRODUCT(X52:X55,'Parameters, general'!$B$24:$B$27)</f>
        <v>1.1478677656214511E-2</v>
      </c>
      <c r="Z56" s="95">
        <f>SUM(H56:R56)</f>
        <v>5.2528233526978836</v>
      </c>
      <c r="AA56" s="96">
        <f>'CO2 per kg feed'!F164+'CH4 per kg feed'!F164*CF_GWP_CH4_fossil+'N2O per kg feed'!F164*CF_GWP_N2O</f>
        <v>0.36944906666758809</v>
      </c>
    </row>
    <row r="57" spans="1:28" ht="15" customHeight="1" x14ac:dyDescent="0.2">
      <c r="A57" s="74" t="s">
        <v>36</v>
      </c>
      <c r="B57" s="74" t="s">
        <v>176</v>
      </c>
      <c r="C57" s="75" t="s">
        <v>722</v>
      </c>
      <c r="D57" s="58" t="s">
        <v>63</v>
      </c>
      <c r="E57" s="58" t="s">
        <v>64</v>
      </c>
      <c r="F57" s="97" t="s">
        <v>40</v>
      </c>
      <c r="G57" s="78">
        <f>SUM(H57:X57)</f>
        <v>2.9036894204253225</v>
      </c>
      <c r="H57" s="78">
        <f>'GHG detailed, absolute'!H57/Production!$L$17*AF_beef_SE</f>
        <v>0.44312539732164236</v>
      </c>
      <c r="I57" s="83">
        <f>'GHG detailed, absolute'!I57/Production!$L$17*AF_beef_SE</f>
        <v>0.35967860068172358</v>
      </c>
      <c r="J57" s="83"/>
      <c r="K57" s="83"/>
      <c r="L57" s="78">
        <f>'GHG detailed, absolute'!L57/Production!$L$17*AF_beef_SE</f>
        <v>0.3525533850868508</v>
      </c>
      <c r="M57" s="78"/>
      <c r="N57" s="78">
        <f>'GHG detailed, absolute'!N57/Production!$L$17*AF_beef_SE</f>
        <v>8.689375110748932E-4</v>
      </c>
      <c r="O57" s="78">
        <f>'GHG detailed, absolute'!O57/Production!$L$17*AF_beef_SE</f>
        <v>0.12504326746281447</v>
      </c>
      <c r="P57" s="78">
        <f>'GHG detailed, absolute'!P57/Production!$L$17*AF_beef_SE</f>
        <v>0.32627120637954732</v>
      </c>
      <c r="Q57" s="78">
        <f>'GHG detailed, absolute'!Q57/Production!$L$17*AF_beef_SE</f>
        <v>0.55816678213889048</v>
      </c>
      <c r="R57" s="78">
        <f>'GHG detailed, absolute'!R57/Production!$L$17*AF_beef_SE</f>
        <v>0.55816678213889048</v>
      </c>
      <c r="S57" s="79"/>
      <c r="U57" s="81"/>
      <c r="V57" s="81"/>
      <c r="W57" s="79">
        <f>'GHG detailed, absolute'!W57/Production!$L$17*AF_beef_SE</f>
        <v>0.17454880408685663</v>
      </c>
      <c r="X57" s="82">
        <f>'GHG detailed, absolute'!X57/Production!$L$17*AF_beef_SE</f>
        <v>5.2662576170314796E-3</v>
      </c>
    </row>
    <row r="58" spans="1:28" x14ac:dyDescent="0.2">
      <c r="A58" s="23" t="s">
        <v>36</v>
      </c>
      <c r="B58" s="23" t="s">
        <v>176</v>
      </c>
      <c r="C58" s="18" t="s">
        <v>722</v>
      </c>
      <c r="D58" s="58" t="s">
        <v>63</v>
      </c>
      <c r="E58" s="58" t="s">
        <v>64</v>
      </c>
      <c r="F58" s="23" t="s">
        <v>41</v>
      </c>
      <c r="G58" s="83">
        <f>SUM(H58:X58)</f>
        <v>1.6258480140732386E-2</v>
      </c>
      <c r="H58" s="56">
        <f>'GHG detailed, absolute'!H58/Production!$L$17*AF_beef_SE</f>
        <v>1.7181656192376773E-4</v>
      </c>
      <c r="I58" s="99">
        <f>'GHG detailed, absolute'!I58/Production!$L$17*AF_beef_SE</f>
        <v>1.2655358172134719E-3</v>
      </c>
      <c r="J58" s="99"/>
      <c r="K58" s="99"/>
      <c r="L58" s="56">
        <f>'GHG detailed, absolute'!L58/Production!$L$17*AF_beef_SE</f>
        <v>1.561692615973498E-4</v>
      </c>
      <c r="M58" s="56"/>
      <c r="N58" s="56">
        <f>'GHG detailed, absolute'!N58/Production!$L$17*AF_beef_SE</f>
        <v>2.6633013212208541E-6</v>
      </c>
      <c r="O58" s="56">
        <f>'GHG detailed, absolute'!O58/Production!$L$17*AF_beef_SE</f>
        <v>6.4032229869057274E-5</v>
      </c>
      <c r="P58" s="56">
        <f>'GHG detailed, absolute'!P58/Production!$L$17*AF_beef_SE</f>
        <v>0</v>
      </c>
      <c r="Q58" s="56">
        <f>'GHG detailed, absolute'!Q58/Production!$L$17*AF_beef_SE</f>
        <v>7.1942321487330025E-3</v>
      </c>
      <c r="R58" s="56">
        <f>'GHG detailed, absolute'!R58/Production!$L$17*AF_beef_SE</f>
        <v>7.1942321487330025E-3</v>
      </c>
      <c r="W58" s="13">
        <f>'GHG detailed, absolute'!W58/Production!$L$17*AF_beef_SE</f>
        <v>1.939438919957775E-4</v>
      </c>
      <c r="X58" s="53">
        <f>'GHG detailed, absolute'!X58/Production!$L$17*AF_beef_SE</f>
        <v>1.5854779345734755E-5</v>
      </c>
    </row>
    <row r="59" spans="1:28" x14ac:dyDescent="0.2">
      <c r="A59" s="23" t="s">
        <v>36</v>
      </c>
      <c r="B59" s="23" t="s">
        <v>176</v>
      </c>
      <c r="C59" s="18" t="s">
        <v>722</v>
      </c>
      <c r="D59" s="58" t="s">
        <v>63</v>
      </c>
      <c r="E59" s="58" t="s">
        <v>64</v>
      </c>
      <c r="F59" s="23" t="s">
        <v>42</v>
      </c>
      <c r="G59" s="83">
        <f>SUM(H59:T59)</f>
        <v>0.28691119159935652</v>
      </c>
      <c r="H59" s="56"/>
      <c r="I59" s="99"/>
      <c r="J59" s="99"/>
      <c r="K59" s="99"/>
      <c r="L59" s="56"/>
      <c r="M59" s="56"/>
      <c r="N59" s="56"/>
      <c r="O59" s="56"/>
      <c r="P59" s="56"/>
      <c r="Q59" s="56"/>
      <c r="R59" s="56"/>
      <c r="S59" s="13">
        <f>'GHG detailed, absolute'!S59/Production!$L$17*AF_beef_SE</f>
        <v>0.27095612796819907</v>
      </c>
      <c r="T59" s="52">
        <f>'GHG detailed, absolute'!T59/Production!$L$17*AF_beef_SE</f>
        <v>1.5955063631157451E-2</v>
      </c>
      <c r="U59" s="86">
        <f>'GHG detailed, absolute'!U59/Production!$L$17*AF_beef_SE</f>
        <v>1.5955063631157451E-2</v>
      </c>
      <c r="W59" s="13"/>
      <c r="X59" s="53"/>
      <c r="Z59" s="84"/>
      <c r="AA59" s="84"/>
    </row>
    <row r="60" spans="1:28" ht="15" customHeight="1" x14ac:dyDescent="0.2">
      <c r="A60" s="23" t="s">
        <v>36</v>
      </c>
      <c r="B60" s="23" t="s">
        <v>176</v>
      </c>
      <c r="C60" s="18" t="s">
        <v>722</v>
      </c>
      <c r="D60" s="58" t="s">
        <v>63</v>
      </c>
      <c r="E60" s="58" t="s">
        <v>64</v>
      </c>
      <c r="F60" s="87" t="s">
        <v>43</v>
      </c>
      <c r="G60" s="83">
        <f>SUM(H60:T60)+W60+X60</f>
        <v>1.0413988630169671E-2</v>
      </c>
      <c r="H60" s="56">
        <f>'GHG detailed, absolute'!H60/Production!$L$17*AF_beef_SE</f>
        <v>3.8424547721712369E-4</v>
      </c>
      <c r="I60" s="84">
        <f>'GHG detailed, absolute'!I60/Production!$L$17*AF_beef_SE</f>
        <v>1.4653572620366517E-5</v>
      </c>
      <c r="J60" s="84">
        <f>'GHG detailed, absolute'!J60/Production!$L$17*AF_beef_SE</f>
        <v>5.4723131440233318E-3</v>
      </c>
      <c r="K60" s="84">
        <f>'GHG detailed, absolute'!K60/Production!$L$17*AF_beef_SE</f>
        <v>5.4723131440233318E-4</v>
      </c>
      <c r="L60" s="56">
        <f>'GHG detailed, absolute'!L60/Production!$L$17*AF_beef_SE</f>
        <v>9.4732469122388804E-6</v>
      </c>
      <c r="M60" s="56"/>
      <c r="N60" s="56">
        <f>'GHG detailed, absolute'!N60/Production!$L$17*AF_beef_SE</f>
        <v>3.6902103009525943E-8</v>
      </c>
      <c r="O60" s="56">
        <f>'GHG detailed, absolute'!O60/Production!$L$17*AF_beef_SE</f>
        <v>4.683903059684414E-6</v>
      </c>
      <c r="P60" s="56">
        <f>'GHG detailed, absolute'!P60/Production!$L$17*AF_beef_SE</f>
        <v>0</v>
      </c>
      <c r="Q60" s="56">
        <f>'GHG detailed, absolute'!Q60/Production!$L$17*AF_beef_SE</f>
        <v>6.9174436385771555E-4</v>
      </c>
      <c r="R60" s="56">
        <f>'GHG detailed, absolute'!R60/Production!$L$17*AF_beef_SE</f>
        <v>6.9174436385771555E-4</v>
      </c>
      <c r="S60" s="13"/>
      <c r="T60" s="53">
        <f>'GHG detailed, absolute'!T60/Production!$L$17*AF_beef_SE</f>
        <v>2.5814249383684434E-3</v>
      </c>
      <c r="U60" s="88">
        <f>'GHG detailed, absolute'!U60/Production!$L$17*AF_beef_SE</f>
        <v>1.453250562298609E-3</v>
      </c>
      <c r="V60" s="88">
        <f>'GHG detailed, absolute'!V60/Production!$L$17*AF_beef_SE</f>
        <v>1.1281743760698344E-3</v>
      </c>
      <c r="W60" s="13">
        <f>'GHG detailed, absolute'!W60/Production!$L$17*AF_beef_SE</f>
        <v>1.6127499272797682E-5</v>
      </c>
      <c r="X60" s="53">
        <f>'GHG detailed, absolute'!X60/Production!$L$17*AF_beef_SE</f>
        <v>3.0990447490978567E-7</v>
      </c>
    </row>
    <row r="61" spans="1:28" ht="15" customHeight="1" x14ac:dyDescent="0.2">
      <c r="A61" s="89" t="s">
        <v>36</v>
      </c>
      <c r="B61" s="89" t="s">
        <v>176</v>
      </c>
      <c r="C61" s="90" t="s">
        <v>722</v>
      </c>
      <c r="D61" s="91" t="s">
        <v>63</v>
      </c>
      <c r="E61" s="91" t="s">
        <v>64</v>
      </c>
      <c r="F61" s="92" t="s">
        <v>44</v>
      </c>
      <c r="G61" s="104">
        <f>SUM(H61:X61)</f>
        <v>13.977813197838094</v>
      </c>
      <c r="H61" s="105">
        <f>SUMPRODUCT(H57:H60,'Parameters, general'!$B$24:$B$27)</f>
        <v>0.5531445461472454</v>
      </c>
      <c r="I61" s="94">
        <f>SUMPRODUCT(I57:I60,'Parameters, general'!$B$24:$B$27)</f>
        <v>0.40139199336004511</v>
      </c>
      <c r="J61" s="94">
        <f>SUMPRODUCT(J57:J60,'Parameters, general'!$B$24:$B$27)</f>
        <v>1.4939414883183695</v>
      </c>
      <c r="K61" s="94">
        <f>SUMPRODUCT(K57:K60,'Parameters, general'!$B$24:$B$27)</f>
        <v>0.14939414883183696</v>
      </c>
      <c r="L61" s="94">
        <f>SUMPRODUCT(L57:L60,'Parameters, general'!$B$24:$B$27)</f>
        <v>0.35979342548949306</v>
      </c>
      <c r="M61" s="94">
        <f>SUMPRODUCT(M57:M60,'Parameters, general'!$B$24:$B$27)</f>
        <v>0</v>
      </c>
      <c r="N61" s="94">
        <f>SUMPRODUCT(N57:N60,'Parameters, general'!$B$24:$B$27)</f>
        <v>9.5837816456887531E-4</v>
      </c>
      <c r="O61" s="94">
        <f>SUMPRODUCT(O57:O60,'Parameters, general'!$B$24:$B$27)</f>
        <v>0.12823013344820622</v>
      </c>
      <c r="P61" s="94">
        <f>SUMPRODUCT(P57:P60,'Parameters, general'!$B$24:$B$27)</f>
        <v>0.32627120637954732</v>
      </c>
      <c r="Q61" s="94">
        <f>SUMPRODUCT(Q57:Q60,'Parameters, general'!$B$24:$B$27)</f>
        <v>0.96140111150429031</v>
      </c>
      <c r="R61" s="94">
        <f>SUMPRODUCT(R57:R60,'Parameters, general'!$B$24:$B$27)</f>
        <v>0.96140111150429031</v>
      </c>
      <c r="S61" s="94">
        <f>SUMPRODUCT(S57:S60,'Parameters, general'!$B$24:$B$27)</f>
        <v>7.315815455141375</v>
      </c>
      <c r="T61" s="94">
        <f>SUMPRODUCT(T57:T60,'Parameters, general'!$B$24:$B$27)</f>
        <v>1.1355157262158362</v>
      </c>
      <c r="U61" s="94"/>
      <c r="V61" s="94"/>
      <c r="W61" s="94">
        <f>SUMPRODUCT(W57:W60,'Parameters, general'!$B$24:$B$27)</f>
        <v>0.18473113936980456</v>
      </c>
      <c r="X61" s="94">
        <f>SUMPRODUCT(X57:X60,'Parameters, general'!$B$24:$B$27)</f>
        <v>5.8233339631847464E-3</v>
      </c>
      <c r="Z61" s="95">
        <f>SUM(H61:R61)</f>
        <v>5.3359275431478936</v>
      </c>
      <c r="AA61" s="106">
        <f>'CO2 per kg feed'!F180+'CH4 per kg feed'!F180*CF_GWP_CH4_fossil+'N2O per kg feed'!F180*CF_GWP_N2O</f>
        <v>0.31750016262303116</v>
      </c>
    </row>
    <row r="62" spans="1:28" x14ac:dyDescent="0.2">
      <c r="A62" s="74" t="s">
        <v>36</v>
      </c>
      <c r="B62" s="74" t="s">
        <v>176</v>
      </c>
      <c r="C62" s="75" t="s">
        <v>722</v>
      </c>
      <c r="D62" s="58" t="s">
        <v>65</v>
      </c>
      <c r="E62" s="58" t="s">
        <v>66</v>
      </c>
      <c r="F62" s="97" t="s">
        <v>40</v>
      </c>
      <c r="G62" s="78">
        <f>SUM(H62:X62)</f>
        <v>2.0555295969563492</v>
      </c>
      <c r="H62" s="152">
        <f>H32</f>
        <v>0.3432324516243942</v>
      </c>
      <c r="I62" s="152">
        <f>I32</f>
        <v>0.41671688782659139</v>
      </c>
      <c r="J62" s="152"/>
      <c r="K62" s="152"/>
      <c r="L62" s="152">
        <f>L32</f>
        <v>0.24730121242254577</v>
      </c>
      <c r="M62" s="152"/>
      <c r="N62" s="152">
        <f t="shared" ref="N62:R63" si="0">N32</f>
        <v>9.8398710802572462E-4</v>
      </c>
      <c r="O62" s="152">
        <f t="shared" si="0"/>
        <v>8.1414542266988729E-2</v>
      </c>
      <c r="P62" s="152">
        <f t="shared" si="0"/>
        <v>3.8595812446214087E-2</v>
      </c>
      <c r="Q62" s="152">
        <f t="shared" si="0"/>
        <v>0.10463313911178362</v>
      </c>
      <c r="R62" s="152">
        <f t="shared" si="0"/>
        <v>0.10463313911178362</v>
      </c>
      <c r="S62" s="152"/>
      <c r="T62" s="152"/>
      <c r="U62" s="152"/>
      <c r="V62" s="152"/>
      <c r="W62" s="152">
        <f>W32</f>
        <v>0.70156602454963835</v>
      </c>
      <c r="X62" s="152">
        <f>X32</f>
        <v>1.6452400488383784E-2</v>
      </c>
      <c r="AB62" t="s">
        <v>67</v>
      </c>
    </row>
    <row r="63" spans="1:28" x14ac:dyDescent="0.2">
      <c r="A63" s="23" t="s">
        <v>36</v>
      </c>
      <c r="B63" s="23" t="s">
        <v>176</v>
      </c>
      <c r="C63" s="18" t="s">
        <v>722</v>
      </c>
      <c r="D63" s="58" t="s">
        <v>65</v>
      </c>
      <c r="E63" s="58" t="s">
        <v>66</v>
      </c>
      <c r="F63" s="23" t="s">
        <v>41</v>
      </c>
      <c r="G63" s="83">
        <f>SUM(H63:X63)</f>
        <v>2.8037261919414617E-3</v>
      </c>
      <c r="H63" s="153">
        <f>H33</f>
        <v>1.3894585130727685E-5</v>
      </c>
      <c r="I63" s="153">
        <f>I33</f>
        <v>1.4662260867972662E-3</v>
      </c>
      <c r="J63" s="153"/>
      <c r="K63" s="153"/>
      <c r="L63" s="153">
        <f>L33</f>
        <v>1.0954609817927047E-4</v>
      </c>
      <c r="M63" s="153"/>
      <c r="N63" s="153">
        <f t="shared" si="0"/>
        <v>2.9157427026894306E-6</v>
      </c>
      <c r="O63" s="153">
        <f t="shared" si="0"/>
        <v>4.2560298962176384E-5</v>
      </c>
      <c r="P63" s="153">
        <f t="shared" si="0"/>
        <v>0</v>
      </c>
      <c r="Q63" s="153">
        <f t="shared" si="0"/>
        <v>1.9112359101120554E-4</v>
      </c>
      <c r="R63" s="153">
        <f t="shared" si="0"/>
        <v>1.9112359101120554E-4</v>
      </c>
      <c r="S63" s="153"/>
      <c r="T63" s="153"/>
      <c r="U63" s="153"/>
      <c r="V63" s="153"/>
      <c r="W63" s="153">
        <f>W33</f>
        <v>7.5606621416693279E-4</v>
      </c>
      <c r="X63" s="153">
        <f>X33</f>
        <v>3.0269983979987738E-5</v>
      </c>
    </row>
    <row r="64" spans="1:28" x14ac:dyDescent="0.2">
      <c r="A64" s="23" t="s">
        <v>36</v>
      </c>
      <c r="B64" s="23" t="s">
        <v>176</v>
      </c>
      <c r="C64" s="18" t="s">
        <v>722</v>
      </c>
      <c r="D64" s="58" t="s">
        <v>65</v>
      </c>
      <c r="E64" s="58" t="s">
        <v>66</v>
      </c>
      <c r="F64" s="23" t="s">
        <v>42</v>
      </c>
      <c r="G64" s="83">
        <f>SUM(H64:T64)</f>
        <v>0.34197297802722115</v>
      </c>
      <c r="H64" s="152"/>
      <c r="I64" s="152"/>
      <c r="J64" s="152"/>
      <c r="K64" s="152"/>
      <c r="L64" s="152"/>
      <c r="M64" s="152"/>
      <c r="N64" s="152"/>
      <c r="O64" s="152"/>
      <c r="P64" s="152"/>
      <c r="Q64" s="152"/>
      <c r="R64" s="152"/>
      <c r="S64" s="152">
        <f>S34</f>
        <v>0.3043533473144388</v>
      </c>
      <c r="T64" s="153">
        <f>T34</f>
        <v>3.7619630712782369E-2</v>
      </c>
      <c r="U64" s="153">
        <f>U34</f>
        <v>3.7619630712782369E-2</v>
      </c>
      <c r="V64" s="152"/>
      <c r="W64" s="152"/>
      <c r="X64" s="152"/>
      <c r="Z64" s="84"/>
      <c r="AA64" s="84"/>
    </row>
    <row r="65" spans="1:27" ht="15" customHeight="1" x14ac:dyDescent="0.2">
      <c r="A65" s="23" t="s">
        <v>36</v>
      </c>
      <c r="B65" s="23" t="s">
        <v>176</v>
      </c>
      <c r="C65" s="18" t="s">
        <v>722</v>
      </c>
      <c r="D65" s="58" t="s">
        <v>65</v>
      </c>
      <c r="E65" s="58" t="s">
        <v>66</v>
      </c>
      <c r="F65" s="87" t="s">
        <v>43</v>
      </c>
      <c r="G65" s="83">
        <f>SUM(H65:T65)+W65+X65</f>
        <v>8.9089627842359603E-3</v>
      </c>
      <c r="H65" s="153">
        <f t="shared" ref="H65:R65" si="1">H35</f>
        <v>1.3300522570955093E-4</v>
      </c>
      <c r="I65" s="153">
        <f t="shared" si="1"/>
        <v>1.6977354689231504E-5</v>
      </c>
      <c r="J65" s="153">
        <f t="shared" si="1"/>
        <v>5.4460455379907726E-3</v>
      </c>
      <c r="K65" s="153">
        <f t="shared" si="1"/>
        <v>5.4460455379907731E-4</v>
      </c>
      <c r="L65" s="153">
        <f t="shared" si="1"/>
        <v>6.6450799966015958E-6</v>
      </c>
      <c r="M65" s="153">
        <f t="shared" si="1"/>
        <v>0</v>
      </c>
      <c r="N65" s="153">
        <f t="shared" si="1"/>
        <v>4.2257022274953995E-8</v>
      </c>
      <c r="O65" s="153">
        <f t="shared" si="1"/>
        <v>2.9327247370431006E-6</v>
      </c>
      <c r="P65" s="153">
        <f t="shared" si="1"/>
        <v>0</v>
      </c>
      <c r="Q65" s="153">
        <f t="shared" si="1"/>
        <v>1.2096313363137172E-5</v>
      </c>
      <c r="R65" s="153">
        <f t="shared" si="1"/>
        <v>1.2096313363137172E-5</v>
      </c>
      <c r="S65" s="153"/>
      <c r="T65" s="153">
        <f>T35</f>
        <v>2.7081562267663689E-3</v>
      </c>
      <c r="U65" s="153">
        <f>U35</f>
        <v>1.8936001063518306E-3</v>
      </c>
      <c r="V65" s="153">
        <f>V35</f>
        <v>8.1455612041453861E-4</v>
      </c>
      <c r="W65" s="153">
        <f>W35</f>
        <v>2.5773124570732956E-5</v>
      </c>
      <c r="X65" s="153">
        <f>X35</f>
        <v>5.880722280314122E-7</v>
      </c>
    </row>
    <row r="66" spans="1:27" ht="15" customHeight="1" x14ac:dyDescent="0.2">
      <c r="A66" s="89" t="s">
        <v>36</v>
      </c>
      <c r="B66" s="89" t="s">
        <v>176</v>
      </c>
      <c r="C66" s="90" t="s">
        <v>722</v>
      </c>
      <c r="D66" s="91" t="s">
        <v>65</v>
      </c>
      <c r="E66" s="91" t="s">
        <v>66</v>
      </c>
      <c r="F66" s="92" t="s">
        <v>44</v>
      </c>
      <c r="G66" s="104">
        <f>SUM(H66:X66)</f>
        <v>13.804497884307592</v>
      </c>
      <c r="H66" s="105">
        <f>SUMPRODUCT(H62:H65,'Parameters, general'!$B$24:$B$27)</f>
        <v>0.37995693687999732</v>
      </c>
      <c r="I66" s="94">
        <f>SUMPRODUCT(I62:I65,'Parameters, general'!$B$24:$B$27)</f>
        <v>0.46504524304331007</v>
      </c>
      <c r="J66" s="94">
        <f>SUMPRODUCT(J62:J65,'Parameters, general'!$B$24:$B$27)</f>
        <v>1.4867704318714809</v>
      </c>
      <c r="K66" s="94">
        <f>SUMPRODUCT(K62:K65,'Parameters, general'!$B$24:$B$27)</f>
        <v>0.14867704318714811</v>
      </c>
      <c r="L66" s="94">
        <f>SUMPRODUCT(L62:L65,'Parameters, general'!$B$24:$B$27)</f>
        <v>0.25237979298736024</v>
      </c>
      <c r="M66" s="94">
        <f>SUMPRODUCT(M62:M65,'Parameters, general'!$B$24:$B$27)</f>
        <v>0</v>
      </c>
      <c r="N66" s="94">
        <f>SUMPRODUCT(N62:N65,'Parameters, general'!$B$24:$B$27)</f>
        <v>1.0824124076469321E-3</v>
      </c>
      <c r="O66" s="94">
        <f>SUMPRODUCT(O62:O65,'Parameters, general'!$B$24:$B$27)</f>
        <v>8.3483473029274363E-2</v>
      </c>
      <c r="P66" s="94">
        <f>SUMPRODUCT(P62:P65,'Parameters, general'!$B$24:$B$27)</f>
        <v>3.8595812446214087E-2</v>
      </c>
      <c r="Q66" s="94">
        <f>SUMPRODUCT(Q62:Q65,'Parameters, general'!$B$24:$B$27)</f>
        <v>0.11363091567205399</v>
      </c>
      <c r="R66" s="94">
        <f>SUMPRODUCT(R62:R65,'Parameters, general'!$B$24:$B$27)</f>
        <v>0.11363091567205399</v>
      </c>
      <c r="S66" s="94">
        <f>SUMPRODUCT(S62:S65,'Parameters, general'!$B$24:$B$27)</f>
        <v>8.217540377489847</v>
      </c>
      <c r="T66" s="94">
        <f>SUMPRODUCT(T62:T65,'Parameters, general'!$B$24:$B$27)</f>
        <v>1.7550566791523425</v>
      </c>
      <c r="U66" s="94"/>
      <c r="V66" s="94"/>
      <c r="W66" s="94">
        <f>SUMPRODUCT(W62:W65,'Parameters, general'!$B$24:$B$27)</f>
        <v>0.73113286073962303</v>
      </c>
      <c r="X66" s="94">
        <f>SUMPRODUCT(X62:X65,'Parameters, general'!$B$24:$B$27)</f>
        <v>1.7514989729239993E-2</v>
      </c>
      <c r="Z66" s="95">
        <f>SUM(H66:R66)</f>
        <v>3.0832529771965396</v>
      </c>
      <c r="AA66" s="106">
        <f>'CO2 per kg feed'!F185+'CH4 per kg feed'!F185*CF_GWP_CH4_fossil+'N2O per kg feed'!F185*CF_GWP_N2O</f>
        <v>0</v>
      </c>
    </row>
    <row r="67" spans="1:27" x14ac:dyDescent="0.2">
      <c r="T67" s="53"/>
      <c r="U67" s="53"/>
    </row>
    <row r="68" spans="1:27" x14ac:dyDescent="0.2">
      <c r="T68" s="53"/>
      <c r="U68" s="53"/>
    </row>
    <row r="69" spans="1:27" x14ac:dyDescent="0.2">
      <c r="T69" s="53"/>
      <c r="U69" s="53"/>
    </row>
    <row r="70" spans="1:27" x14ac:dyDescent="0.2">
      <c r="T70" s="53"/>
      <c r="U70" s="53"/>
    </row>
    <row r="71" spans="1:27" x14ac:dyDescent="0.2">
      <c r="T71" s="53"/>
      <c r="U71" s="53"/>
    </row>
    <row r="72" spans="1:27" x14ac:dyDescent="0.2">
      <c r="T72" s="53"/>
      <c r="U72" s="53"/>
    </row>
    <row r="73" spans="1:27" x14ac:dyDescent="0.2">
      <c r="T73" s="53"/>
      <c r="U73" s="53"/>
    </row>
    <row r="74" spans="1:27" x14ac:dyDescent="0.2">
      <c r="T74" s="53"/>
      <c r="U74" s="53"/>
    </row>
    <row r="75" spans="1:27" x14ac:dyDescent="0.2">
      <c r="T75" s="53"/>
      <c r="U75" s="53"/>
    </row>
    <row r="76" spans="1:27" x14ac:dyDescent="0.2">
      <c r="T76" s="53"/>
      <c r="U76" s="53"/>
    </row>
    <row r="77" spans="1:27" x14ac:dyDescent="0.2">
      <c r="T77" s="53"/>
      <c r="U77" s="53"/>
    </row>
    <row r="78" spans="1:27" x14ac:dyDescent="0.2">
      <c r="T78" s="53"/>
      <c r="U78" s="53"/>
    </row>
    <row r="79" spans="1:27" x14ac:dyDescent="0.2">
      <c r="T79" s="53"/>
      <c r="U79" s="53"/>
    </row>
    <row r="80" spans="1:27" x14ac:dyDescent="0.2">
      <c r="T80" s="53"/>
      <c r="U80" s="53"/>
    </row>
    <row r="81" spans="20:21" x14ac:dyDescent="0.2">
      <c r="T81" s="53"/>
      <c r="U81" s="53"/>
    </row>
    <row r="82" spans="20:21" x14ac:dyDescent="0.2">
      <c r="T82" s="53"/>
      <c r="U82" s="53"/>
    </row>
    <row r="83" spans="20:21" x14ac:dyDescent="0.2">
      <c r="T83" s="53"/>
      <c r="U83" s="53"/>
    </row>
    <row r="84" spans="20:21" x14ac:dyDescent="0.2">
      <c r="T84" s="53"/>
      <c r="U84" s="53"/>
    </row>
    <row r="85" spans="20:21" x14ac:dyDescent="0.2">
      <c r="T85" s="53"/>
      <c r="U85" s="53"/>
    </row>
    <row r="86" spans="20:21" x14ac:dyDescent="0.2">
      <c r="T86" s="53"/>
      <c r="U86" s="53"/>
    </row>
    <row r="87" spans="20:21" x14ac:dyDescent="0.2">
      <c r="T87" s="53"/>
      <c r="U87" s="53"/>
    </row>
    <row r="88" spans="20:21" x14ac:dyDescent="0.2">
      <c r="T88" s="53"/>
      <c r="U88" s="53"/>
    </row>
    <row r="89" spans="20:21" x14ac:dyDescent="0.2">
      <c r="T89" s="53"/>
      <c r="U89" s="53"/>
    </row>
    <row r="90" spans="20:21" x14ac:dyDescent="0.2">
      <c r="T90" s="53"/>
      <c r="U90" s="53"/>
    </row>
    <row r="91" spans="20:21" x14ac:dyDescent="0.2">
      <c r="T91" s="53"/>
      <c r="U91" s="53"/>
    </row>
    <row r="92" spans="20:21" x14ac:dyDescent="0.2">
      <c r="T92" s="53"/>
      <c r="U92" s="53"/>
    </row>
    <row r="93" spans="20:21" x14ac:dyDescent="0.2">
      <c r="T93" s="53"/>
      <c r="U93" s="53"/>
    </row>
    <row r="94" spans="20:21" x14ac:dyDescent="0.2">
      <c r="T94" s="53"/>
      <c r="U94" s="53"/>
    </row>
    <row r="95" spans="20:21" x14ac:dyDescent="0.2">
      <c r="T95" s="53"/>
      <c r="U95" s="53"/>
    </row>
    <row r="96" spans="20:21" x14ac:dyDescent="0.2">
      <c r="T96" s="53"/>
      <c r="U96" s="53"/>
    </row>
    <row r="97" spans="20:21" x14ac:dyDescent="0.2">
      <c r="T97" s="53"/>
      <c r="U97" s="53"/>
    </row>
    <row r="98" spans="20:21" x14ac:dyDescent="0.2">
      <c r="T98" s="53"/>
      <c r="U98" s="53"/>
    </row>
    <row r="99" spans="20:21" x14ac:dyDescent="0.2">
      <c r="T99" s="53"/>
      <c r="U99" s="53"/>
    </row>
    <row r="100" spans="20:21" x14ac:dyDescent="0.2">
      <c r="T100" s="53"/>
      <c r="U100" s="53"/>
    </row>
    <row r="101" spans="20:21" x14ac:dyDescent="0.2">
      <c r="T101" s="53"/>
      <c r="U101" s="53"/>
    </row>
    <row r="102" spans="20:21" x14ac:dyDescent="0.2">
      <c r="T102" s="53"/>
      <c r="U102" s="53"/>
    </row>
    <row r="103" spans="20:21" x14ac:dyDescent="0.2">
      <c r="T103" s="53"/>
      <c r="U103" s="53"/>
    </row>
    <row r="104" spans="20:21" x14ac:dyDescent="0.2">
      <c r="T104" s="53"/>
      <c r="U104" s="53"/>
    </row>
    <row r="105" spans="20:21" x14ac:dyDescent="0.2">
      <c r="T105" s="53"/>
      <c r="U105" s="53"/>
    </row>
    <row r="106" spans="20:21" x14ac:dyDescent="0.2">
      <c r="T106" s="53"/>
      <c r="U106" s="53"/>
    </row>
    <row r="107" spans="20:21" x14ac:dyDescent="0.2">
      <c r="T107" s="53"/>
      <c r="U107" s="53"/>
    </row>
    <row r="108" spans="20:21" x14ac:dyDescent="0.2">
      <c r="T108" s="53"/>
      <c r="U108" s="53"/>
    </row>
    <row r="109" spans="20:21" x14ac:dyDescent="0.2">
      <c r="T109" s="53"/>
      <c r="U109" s="53"/>
    </row>
    <row r="110" spans="20:21" x14ac:dyDescent="0.2">
      <c r="T110" s="53"/>
      <c r="U110" s="53"/>
    </row>
    <row r="111" spans="20:21" x14ac:dyDescent="0.2">
      <c r="T111" s="53"/>
      <c r="U111" s="53"/>
    </row>
    <row r="112" spans="20:21" x14ac:dyDescent="0.2">
      <c r="T112" s="53"/>
      <c r="U112" s="53"/>
    </row>
    <row r="113" spans="20:21" x14ac:dyDescent="0.2">
      <c r="T113" s="53"/>
      <c r="U113" s="53"/>
    </row>
    <row r="114" spans="20:21" x14ac:dyDescent="0.2">
      <c r="T114" s="53"/>
      <c r="U114" s="53"/>
    </row>
    <row r="115" spans="20:21" x14ac:dyDescent="0.2">
      <c r="T115" s="53"/>
      <c r="U115" s="53"/>
    </row>
    <row r="116" spans="20:21" x14ac:dyDescent="0.2">
      <c r="T116" s="53"/>
      <c r="U116" s="53"/>
    </row>
    <row r="117" spans="20:21" x14ac:dyDescent="0.2">
      <c r="T117" s="53"/>
      <c r="U117" s="53"/>
    </row>
    <row r="118" spans="20:21" x14ac:dyDescent="0.2">
      <c r="T118" s="53"/>
      <c r="U118" s="53"/>
    </row>
    <row r="119" spans="20:21" x14ac:dyDescent="0.2">
      <c r="T119" s="53"/>
      <c r="U119" s="53"/>
    </row>
    <row r="120" spans="20:21" x14ac:dyDescent="0.2">
      <c r="T120" s="53"/>
      <c r="U120" s="53"/>
    </row>
    <row r="121" spans="20:21" x14ac:dyDescent="0.2">
      <c r="T121" s="53"/>
      <c r="U121" s="53"/>
    </row>
    <row r="122" spans="20:21" x14ac:dyDescent="0.2">
      <c r="T122" s="53"/>
      <c r="U122" s="53"/>
    </row>
    <row r="123" spans="20:21" x14ac:dyDescent="0.2">
      <c r="T123" s="53"/>
      <c r="U123" s="53"/>
    </row>
    <row r="124" spans="20:21" x14ac:dyDescent="0.2">
      <c r="T124" s="53"/>
      <c r="U124" s="53"/>
    </row>
    <row r="125" spans="20:21" x14ac:dyDescent="0.2">
      <c r="T125" s="53"/>
      <c r="U125" s="53"/>
    </row>
    <row r="126" spans="20:21" x14ac:dyDescent="0.2">
      <c r="T126" s="53"/>
      <c r="U126" s="53"/>
    </row>
    <row r="127" spans="20:21" x14ac:dyDescent="0.2">
      <c r="T127" s="53"/>
      <c r="U127" s="53"/>
    </row>
    <row r="128" spans="20:21" x14ac:dyDescent="0.2">
      <c r="T128" s="53"/>
      <c r="U128" s="53"/>
    </row>
    <row r="129" spans="20:21" x14ac:dyDescent="0.2">
      <c r="T129" s="53"/>
      <c r="U129" s="53"/>
    </row>
    <row r="130" spans="20:21" x14ac:dyDescent="0.2">
      <c r="T130" s="53"/>
      <c r="U130" s="53"/>
    </row>
    <row r="131" spans="20:21" x14ac:dyDescent="0.2">
      <c r="T131" s="53"/>
      <c r="U131" s="53"/>
    </row>
    <row r="132" spans="20:21" x14ac:dyDescent="0.2">
      <c r="T132" s="53"/>
      <c r="U132" s="53"/>
    </row>
    <row r="133" spans="20:21" x14ac:dyDescent="0.2">
      <c r="T133" s="53"/>
      <c r="U133" s="53"/>
    </row>
    <row r="134" spans="20:21" x14ac:dyDescent="0.2">
      <c r="T134" s="53"/>
      <c r="U134" s="53"/>
    </row>
    <row r="135" spans="20:21" x14ac:dyDescent="0.2">
      <c r="T135" s="53"/>
      <c r="U135" s="53"/>
    </row>
    <row r="136" spans="20:21" x14ac:dyDescent="0.2">
      <c r="T136" s="53"/>
      <c r="U136" s="53"/>
    </row>
    <row r="137" spans="20:21" x14ac:dyDescent="0.2">
      <c r="T137" s="53"/>
      <c r="U137" s="53"/>
    </row>
    <row r="138" spans="20:21" x14ac:dyDescent="0.2">
      <c r="T138" s="53"/>
      <c r="U138" s="53"/>
    </row>
    <row r="139" spans="20:21" x14ac:dyDescent="0.2">
      <c r="T139" s="53"/>
      <c r="U139" s="53"/>
    </row>
    <row r="140" spans="20:21" x14ac:dyDescent="0.2">
      <c r="T140" s="53"/>
      <c r="U140" s="53"/>
    </row>
    <row r="141" spans="20:21" x14ac:dyDescent="0.2">
      <c r="T141" s="53"/>
      <c r="U141" s="53"/>
    </row>
    <row r="142" spans="20:21" x14ac:dyDescent="0.2">
      <c r="T142" s="53"/>
      <c r="U142" s="53"/>
    </row>
    <row r="143" spans="20:21" x14ac:dyDescent="0.2">
      <c r="T143" s="53"/>
      <c r="U143" s="53"/>
    </row>
    <row r="144" spans="20:21" x14ac:dyDescent="0.2">
      <c r="T144" s="53"/>
      <c r="U144" s="53"/>
    </row>
    <row r="145" spans="20:21" x14ac:dyDescent="0.2">
      <c r="T145" s="53"/>
      <c r="U145" s="53"/>
    </row>
    <row r="146" spans="20:21" x14ac:dyDescent="0.2">
      <c r="T146" s="53"/>
      <c r="U146" s="53"/>
    </row>
    <row r="147" spans="20:21" x14ac:dyDescent="0.2">
      <c r="T147" s="53"/>
      <c r="U147" s="53"/>
    </row>
    <row r="148" spans="20:21" x14ac:dyDescent="0.2">
      <c r="T148" s="53"/>
      <c r="U148" s="53"/>
    </row>
    <row r="149" spans="20:21" x14ac:dyDescent="0.2">
      <c r="T149" s="53"/>
      <c r="U149" s="53"/>
    </row>
    <row r="150" spans="20:21" x14ac:dyDescent="0.2">
      <c r="T150" s="53"/>
      <c r="U150" s="53"/>
    </row>
    <row r="151" spans="20:21" x14ac:dyDescent="0.2">
      <c r="T151" s="53"/>
      <c r="U151" s="53"/>
    </row>
    <row r="152" spans="20:21" x14ac:dyDescent="0.2">
      <c r="T152" s="53"/>
      <c r="U152" s="53"/>
    </row>
    <row r="153" spans="20:21" x14ac:dyDescent="0.2">
      <c r="T153" s="53"/>
      <c r="U153" s="53"/>
    </row>
    <row r="154" spans="20:21" x14ac:dyDescent="0.2">
      <c r="T154" s="53"/>
      <c r="U154" s="53"/>
    </row>
    <row r="155" spans="20:21" x14ac:dyDescent="0.2">
      <c r="T155" s="53"/>
      <c r="U155" s="53"/>
    </row>
    <row r="156" spans="20:21" x14ac:dyDescent="0.2">
      <c r="T156" s="53"/>
      <c r="U156" s="53"/>
    </row>
    <row r="157" spans="20:21" x14ac:dyDescent="0.2">
      <c r="T157" s="53"/>
      <c r="U157" s="53"/>
    </row>
    <row r="158" spans="20:21" x14ac:dyDescent="0.2">
      <c r="T158" s="53"/>
      <c r="U158" s="53"/>
    </row>
    <row r="159" spans="20:21" x14ac:dyDescent="0.2">
      <c r="T159" s="53"/>
      <c r="U159" s="53"/>
    </row>
    <row r="160" spans="20:21" x14ac:dyDescent="0.2">
      <c r="T160" s="53"/>
      <c r="U160" s="53"/>
    </row>
    <row r="161" spans="20:21" x14ac:dyDescent="0.2">
      <c r="T161" s="53"/>
      <c r="U161" s="53"/>
    </row>
    <row r="162" spans="20:21" x14ac:dyDescent="0.2">
      <c r="T162" s="53"/>
      <c r="U162" s="53"/>
    </row>
    <row r="163" spans="20:21" x14ac:dyDescent="0.2">
      <c r="T163" s="53"/>
      <c r="U163" s="53"/>
    </row>
    <row r="164" spans="20:21" x14ac:dyDescent="0.2">
      <c r="T164" s="53"/>
      <c r="U164" s="53"/>
    </row>
    <row r="165" spans="20:21" x14ac:dyDescent="0.2">
      <c r="T165" s="53"/>
      <c r="U165" s="53"/>
    </row>
    <row r="166" spans="20:21" x14ac:dyDescent="0.2">
      <c r="T166" s="53"/>
      <c r="U166" s="53"/>
    </row>
    <row r="167" spans="20:21" x14ac:dyDescent="0.2">
      <c r="T167" s="53"/>
      <c r="U167" s="53"/>
    </row>
    <row r="168" spans="20:21" x14ac:dyDescent="0.2">
      <c r="T168" s="53"/>
      <c r="U168" s="53"/>
    </row>
    <row r="169" spans="20:21" x14ac:dyDescent="0.2">
      <c r="T169" s="53"/>
      <c r="U169" s="53"/>
    </row>
    <row r="170" spans="20:21" x14ac:dyDescent="0.2">
      <c r="T170" s="53"/>
      <c r="U170" s="53"/>
    </row>
    <row r="171" spans="20:21" x14ac:dyDescent="0.2">
      <c r="T171" s="53"/>
      <c r="U171" s="53"/>
    </row>
    <row r="172" spans="20:21" x14ac:dyDescent="0.2">
      <c r="T172" s="53"/>
      <c r="U172" s="53"/>
    </row>
    <row r="173" spans="20:21" x14ac:dyDescent="0.2">
      <c r="T173" s="53"/>
      <c r="U173" s="53"/>
    </row>
    <row r="174" spans="20:21" x14ac:dyDescent="0.2">
      <c r="T174" s="53"/>
      <c r="U174" s="53"/>
    </row>
    <row r="175" spans="20:21" x14ac:dyDescent="0.2">
      <c r="T175" s="53"/>
      <c r="U175" s="53"/>
    </row>
    <row r="176" spans="20:21" x14ac:dyDescent="0.2">
      <c r="T176" s="53"/>
      <c r="U176" s="53"/>
    </row>
    <row r="177" spans="20:21" x14ac:dyDescent="0.2">
      <c r="T177" s="53"/>
      <c r="U177" s="53"/>
    </row>
    <row r="178" spans="20:21" x14ac:dyDescent="0.2">
      <c r="T178" s="53"/>
      <c r="U178" s="53"/>
    </row>
    <row r="179" spans="20:21" x14ac:dyDescent="0.2">
      <c r="T179" s="53"/>
      <c r="U179" s="53"/>
    </row>
    <row r="180" spans="20:21" x14ac:dyDescent="0.2">
      <c r="T180" s="53"/>
      <c r="U180" s="53"/>
    </row>
    <row r="181" spans="20:21" x14ac:dyDescent="0.2">
      <c r="T181" s="53"/>
      <c r="U181" s="53"/>
    </row>
    <row r="182" spans="20:21" x14ac:dyDescent="0.2">
      <c r="T182" s="53"/>
      <c r="U182" s="53"/>
    </row>
    <row r="183" spans="20:21" x14ac:dyDescent="0.2">
      <c r="T183" s="53"/>
      <c r="U183" s="53"/>
    </row>
    <row r="184" spans="20:21" x14ac:dyDescent="0.2">
      <c r="T184" s="53"/>
      <c r="U184" s="53"/>
    </row>
    <row r="185" spans="20:21" x14ac:dyDescent="0.2">
      <c r="T185" s="53"/>
      <c r="U185" s="53"/>
    </row>
    <row r="186" spans="20:21" x14ac:dyDescent="0.2">
      <c r="T186" s="53"/>
      <c r="U186" s="53"/>
    </row>
    <row r="187" spans="20:21" x14ac:dyDescent="0.2">
      <c r="T187" s="53"/>
      <c r="U187" s="53"/>
    </row>
    <row r="188" spans="20:21" x14ac:dyDescent="0.2">
      <c r="T188" s="53"/>
      <c r="U188" s="53"/>
    </row>
    <row r="189" spans="20:21" x14ac:dyDescent="0.2">
      <c r="T189" s="53"/>
      <c r="U189" s="53"/>
    </row>
    <row r="190" spans="20:21" x14ac:dyDescent="0.2">
      <c r="T190" s="53"/>
      <c r="U190" s="53"/>
    </row>
    <row r="191" spans="20:21" x14ac:dyDescent="0.2">
      <c r="T191" s="53"/>
      <c r="U191" s="53"/>
    </row>
    <row r="192" spans="20:21" x14ac:dyDescent="0.2">
      <c r="T192" s="53"/>
      <c r="U192" s="53"/>
    </row>
    <row r="193" spans="20:21" x14ac:dyDescent="0.2">
      <c r="T193" s="53"/>
      <c r="U193" s="53"/>
    </row>
    <row r="194" spans="20:21" x14ac:dyDescent="0.2">
      <c r="T194" s="53"/>
      <c r="U194" s="53"/>
    </row>
    <row r="195" spans="20:21" x14ac:dyDescent="0.2">
      <c r="T195" s="53"/>
      <c r="U195" s="53"/>
    </row>
    <row r="196" spans="20:21" x14ac:dyDescent="0.2">
      <c r="T196" s="53"/>
      <c r="U196" s="53"/>
    </row>
    <row r="197" spans="20:21" x14ac:dyDescent="0.2">
      <c r="T197" s="53"/>
      <c r="U197" s="53"/>
    </row>
    <row r="198" spans="20:21" x14ac:dyDescent="0.2">
      <c r="T198" s="53"/>
      <c r="U198" s="53"/>
    </row>
    <row r="199" spans="20:21" x14ac:dyDescent="0.2">
      <c r="T199" s="53"/>
      <c r="U199" s="53"/>
    </row>
    <row r="200" spans="20:21" x14ac:dyDescent="0.2">
      <c r="T200" s="53"/>
      <c r="U200" s="53"/>
    </row>
    <row r="201" spans="20:21" x14ac:dyDescent="0.2">
      <c r="T201" s="53"/>
      <c r="U201" s="53"/>
    </row>
    <row r="202" spans="20:21" x14ac:dyDescent="0.2">
      <c r="T202" s="53"/>
      <c r="U202" s="53"/>
    </row>
    <row r="203" spans="20:21" x14ac:dyDescent="0.2">
      <c r="T203" s="53"/>
      <c r="U203" s="53"/>
    </row>
    <row r="204" spans="20:21" x14ac:dyDescent="0.2">
      <c r="T204" s="53"/>
      <c r="U204" s="53"/>
    </row>
    <row r="205" spans="20:21" x14ac:dyDescent="0.2">
      <c r="T205" s="53"/>
      <c r="U205" s="53"/>
    </row>
    <row r="206" spans="20:21" x14ac:dyDescent="0.2">
      <c r="T206" s="53"/>
      <c r="U206" s="53"/>
    </row>
    <row r="207" spans="20:21" x14ac:dyDescent="0.2">
      <c r="T207" s="53"/>
      <c r="U207" s="53"/>
    </row>
    <row r="208" spans="20:21" x14ac:dyDescent="0.2">
      <c r="T208" s="53"/>
      <c r="U208" s="53"/>
    </row>
    <row r="209" spans="20:21" x14ac:dyDescent="0.2">
      <c r="T209" s="53"/>
      <c r="U209" s="53"/>
    </row>
    <row r="210" spans="20:21" x14ac:dyDescent="0.2">
      <c r="T210" s="53"/>
      <c r="U210" s="53"/>
    </row>
    <row r="211" spans="20:21" x14ac:dyDescent="0.2">
      <c r="T211" s="53"/>
      <c r="U211" s="53"/>
    </row>
    <row r="212" spans="20:21" x14ac:dyDescent="0.2">
      <c r="T212" s="53"/>
      <c r="U212" s="53"/>
    </row>
    <row r="213" spans="20:21" x14ac:dyDescent="0.2">
      <c r="T213" s="53"/>
      <c r="U213" s="53"/>
    </row>
    <row r="214" spans="20:21" x14ac:dyDescent="0.2">
      <c r="T214" s="53"/>
      <c r="U214" s="53"/>
    </row>
    <row r="215" spans="20:21" x14ac:dyDescent="0.2">
      <c r="T215" s="53"/>
      <c r="U215" s="53"/>
    </row>
    <row r="216" spans="20:21" x14ac:dyDescent="0.2">
      <c r="T216" s="53"/>
      <c r="U216" s="53"/>
    </row>
    <row r="217" spans="20:21" x14ac:dyDescent="0.2">
      <c r="T217" s="53"/>
      <c r="U217" s="53"/>
    </row>
    <row r="218" spans="20:21" x14ac:dyDescent="0.2">
      <c r="T218" s="53"/>
      <c r="U218" s="53"/>
    </row>
    <row r="219" spans="20:21" x14ac:dyDescent="0.2">
      <c r="T219" s="53"/>
      <c r="U219" s="53"/>
    </row>
    <row r="220" spans="20:21" x14ac:dyDescent="0.2">
      <c r="T220" s="53"/>
      <c r="U220" s="53"/>
    </row>
    <row r="221" spans="20:21" x14ac:dyDescent="0.2">
      <c r="T221" s="53"/>
      <c r="U221" s="53"/>
    </row>
    <row r="222" spans="20:21" x14ac:dyDescent="0.2">
      <c r="T222" s="53"/>
      <c r="U222" s="53"/>
    </row>
    <row r="223" spans="20:21" x14ac:dyDescent="0.2">
      <c r="T223" s="53"/>
      <c r="U223" s="53"/>
    </row>
    <row r="224" spans="20:21" x14ac:dyDescent="0.2">
      <c r="T224" s="53"/>
      <c r="U224" s="53"/>
    </row>
    <row r="225" spans="20:21" x14ac:dyDescent="0.2">
      <c r="T225" s="53"/>
      <c r="U225" s="53"/>
    </row>
    <row r="226" spans="20:21" x14ac:dyDescent="0.2">
      <c r="T226" s="53"/>
      <c r="U226" s="53"/>
    </row>
    <row r="227" spans="20:21" x14ac:dyDescent="0.2">
      <c r="T227" s="53"/>
      <c r="U227" s="53"/>
    </row>
    <row r="228" spans="20:21" x14ac:dyDescent="0.2">
      <c r="T228" s="53"/>
      <c r="U228" s="53"/>
    </row>
    <row r="229" spans="20:21" x14ac:dyDescent="0.2">
      <c r="T229" s="53"/>
      <c r="U229" s="53"/>
    </row>
    <row r="230" spans="20:21" x14ac:dyDescent="0.2">
      <c r="T230" s="53"/>
      <c r="U230" s="53"/>
    </row>
    <row r="231" spans="20:21" x14ac:dyDescent="0.2">
      <c r="T231" s="53"/>
      <c r="U231" s="53"/>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D966"/>
  </sheetPr>
  <dimension ref="A2:V19"/>
  <sheetViews>
    <sheetView zoomScale="77" zoomScaleNormal="77" workbookViewId="0">
      <selection activeCell="B19" sqref="B19"/>
    </sheetView>
  </sheetViews>
  <sheetFormatPr baseColWidth="10" defaultColWidth="8.6640625" defaultRowHeight="15" x14ac:dyDescent="0.2"/>
  <cols>
    <col min="1" max="1" width="13" style="1" customWidth="1"/>
    <col min="2" max="2" width="26.1640625" customWidth="1"/>
    <col min="3" max="3" width="8.83203125" customWidth="1"/>
    <col min="4" max="4" width="12.6640625" customWidth="1"/>
    <col min="5" max="5" width="8.5" customWidth="1"/>
    <col min="6" max="11" width="10.5" customWidth="1"/>
    <col min="12" max="12" width="12.83203125" customWidth="1"/>
    <col min="13" max="13" width="14.6640625" customWidth="1"/>
    <col min="14" max="14" width="14.6640625" style="23" customWidth="1"/>
    <col min="15" max="18" width="14.6640625" customWidth="1"/>
    <col min="19" max="19" width="8.5" customWidth="1"/>
    <col min="20" max="20" width="15.6640625" customWidth="1"/>
    <col min="21" max="21" width="18.5" customWidth="1"/>
  </cols>
  <sheetData>
    <row r="2" spans="1:21" ht="21" customHeight="1" x14ac:dyDescent="0.25">
      <c r="A2" s="2" t="s">
        <v>179</v>
      </c>
      <c r="M2" s="24"/>
      <c r="T2" t="s">
        <v>180</v>
      </c>
    </row>
    <row r="3" spans="1:21" x14ac:dyDescent="0.2">
      <c r="L3" s="25"/>
      <c r="P3" s="25"/>
      <c r="R3" s="25"/>
      <c r="S3" s="26"/>
      <c r="T3" s="26"/>
      <c r="U3" s="26"/>
    </row>
    <row r="4" spans="1:21" x14ac:dyDescent="0.2">
      <c r="A4" s="154"/>
      <c r="B4" s="155"/>
      <c r="C4" s="155"/>
      <c r="D4" s="155"/>
      <c r="E4" s="155"/>
      <c r="F4" s="155"/>
      <c r="G4" s="155"/>
      <c r="H4" s="155"/>
      <c r="I4" s="155"/>
      <c r="J4" s="155"/>
      <c r="K4" s="155"/>
      <c r="L4" s="155"/>
      <c r="M4" s="155"/>
      <c r="N4" s="156"/>
      <c r="O4" s="155"/>
      <c r="P4" s="157"/>
      <c r="Q4" s="157"/>
      <c r="R4" s="157"/>
      <c r="S4" s="157"/>
      <c r="T4" s="157"/>
      <c r="U4" s="158"/>
    </row>
    <row r="5" spans="1:21" x14ac:dyDescent="0.2">
      <c r="A5" s="159" t="s">
        <v>5</v>
      </c>
      <c r="B5" s="160"/>
      <c r="C5" s="160"/>
      <c r="D5" s="161"/>
      <c r="E5" s="161"/>
      <c r="F5" s="162" t="s">
        <v>140</v>
      </c>
      <c r="G5" s="161"/>
      <c r="H5" s="161"/>
      <c r="I5" s="161"/>
      <c r="J5" s="161"/>
      <c r="K5" s="161"/>
      <c r="L5" s="163" t="s">
        <v>141</v>
      </c>
      <c r="M5" s="163" t="s">
        <v>132</v>
      </c>
      <c r="N5" s="163" t="s">
        <v>142</v>
      </c>
      <c r="O5" s="163" t="s">
        <v>143</v>
      </c>
      <c r="P5" s="164" t="s">
        <v>144</v>
      </c>
      <c r="Q5" s="164" t="s">
        <v>145</v>
      </c>
      <c r="R5" s="164" t="s">
        <v>146</v>
      </c>
      <c r="S5" s="164" t="s">
        <v>147</v>
      </c>
      <c r="T5" s="165" t="s">
        <v>181</v>
      </c>
      <c r="U5" s="165" t="s">
        <v>182</v>
      </c>
    </row>
    <row r="6" spans="1:21" s="50" customFormat="1" ht="57.75" customHeight="1" x14ac:dyDescent="0.2">
      <c r="A6" s="166" t="s">
        <v>13</v>
      </c>
      <c r="B6" s="167" t="s">
        <v>14</v>
      </c>
      <c r="C6" s="167" t="s">
        <v>15</v>
      </c>
      <c r="D6" s="168" t="s">
        <v>16</v>
      </c>
      <c r="E6" s="169" t="s">
        <v>17</v>
      </c>
      <c r="F6" s="170" t="s">
        <v>150</v>
      </c>
      <c r="G6" s="171" t="s">
        <v>151</v>
      </c>
      <c r="H6" s="170" t="s">
        <v>152</v>
      </c>
      <c r="I6" s="170" t="s">
        <v>153</v>
      </c>
      <c r="J6" s="170" t="s">
        <v>154</v>
      </c>
      <c r="K6" s="171" t="s">
        <v>155</v>
      </c>
      <c r="L6" s="172" t="s">
        <v>156</v>
      </c>
      <c r="M6" s="172" t="s">
        <v>157</v>
      </c>
      <c r="N6" s="172" t="s">
        <v>158</v>
      </c>
      <c r="O6" s="173" t="s">
        <v>159</v>
      </c>
      <c r="P6" s="174" t="s">
        <v>160</v>
      </c>
      <c r="Q6" s="175" t="s">
        <v>161</v>
      </c>
      <c r="R6" s="175" t="s">
        <v>162</v>
      </c>
      <c r="S6" s="175" t="s">
        <v>163</v>
      </c>
      <c r="T6" s="176" t="s">
        <v>183</v>
      </c>
      <c r="U6" s="176" t="s">
        <v>184</v>
      </c>
    </row>
    <row r="7" spans="1:21" x14ac:dyDescent="0.2">
      <c r="A7" s="51"/>
      <c r="B7" s="23" t="s">
        <v>721</v>
      </c>
      <c r="C7" s="18" t="s">
        <v>37</v>
      </c>
      <c r="D7" t="s">
        <v>88</v>
      </c>
      <c r="E7" t="s">
        <v>39</v>
      </c>
      <c r="F7" s="15">
        <f>'GHG det, results per calf'!G11</f>
        <v>891.46354796744254</v>
      </c>
      <c r="G7" s="15">
        <f>'GHG det, results per calf'!G7</f>
        <v>128.76761861002382</v>
      </c>
      <c r="H7" s="52">
        <f>'GHG det, results per calf'!G8</f>
        <v>0.74965440906822833</v>
      </c>
      <c r="I7" s="53">
        <f>'GHG det, results per calf'!G9</f>
        <v>20.654323551514633</v>
      </c>
      <c r="J7" s="53">
        <f>'GHG det, results per calf'!G10</f>
        <v>0.66919227866773057</v>
      </c>
      <c r="L7" s="54">
        <f>'Footprints, absolute'!L7/Production!$B$13*AF_calves_DK</f>
        <v>835.10735948364209</v>
      </c>
      <c r="M7" s="55">
        <f>'Footprints, absolute'!M7/Production!$B$13*AF_calves_DK</f>
        <v>11.096704403222407</v>
      </c>
      <c r="N7" s="55">
        <f>'Footprints, absolute'!N7/Production!$B$13*AF_calves_DK</f>
        <v>0.91102090349154285</v>
      </c>
      <c r="O7" s="55">
        <f>'Footprints, absolute'!O7/Production!$B$13*AF_calves_DK</f>
        <v>6.6846885432499317</v>
      </c>
      <c r="P7" s="55">
        <f>'Footprints, absolute'!P7/Production!$B$13*AF_calves_DK</f>
        <v>58.437355689830767</v>
      </c>
      <c r="Q7" s="56">
        <f>'Footprints, absolute'!Q7/Production!$B$13*AF_calves_DK</f>
        <v>9.0708040846408866E-9</v>
      </c>
      <c r="R7" s="56">
        <f>'Footprints, absolute'!R7/Production!$B$13*AF_calves_DK</f>
        <v>0.41975261318320117</v>
      </c>
      <c r="S7" s="54"/>
      <c r="T7" s="177">
        <v>0</v>
      </c>
      <c r="U7" s="130">
        <v>0</v>
      </c>
    </row>
    <row r="8" spans="1:21" x14ac:dyDescent="0.2">
      <c r="A8" s="51"/>
      <c r="B8" s="23" t="s">
        <v>721</v>
      </c>
      <c r="C8" s="18" t="s">
        <v>37</v>
      </c>
      <c r="D8" t="s">
        <v>45</v>
      </c>
      <c r="E8" t="s">
        <v>46</v>
      </c>
      <c r="F8" s="15">
        <f>'GHG det, results per calf'!G16</f>
        <v>887.71023458458092</v>
      </c>
      <c r="G8" s="15">
        <f>'GHG det, results per calf'!G12</f>
        <v>167.25356158513981</v>
      </c>
      <c r="H8" s="52">
        <f>'GHG det, results per calf'!G13</f>
        <v>0.86016748554913458</v>
      </c>
      <c r="I8" s="53">
        <f>'GHG det, results per calf'!G14</f>
        <v>19.291350239400916</v>
      </c>
      <c r="J8" s="53">
        <f>'GHG det, results per calf'!G15</f>
        <v>0.63720595408883551</v>
      </c>
      <c r="L8" s="54">
        <f>'Footprints, absolute'!L8/Production!$C$13*AF_calves_FR</f>
        <v>892.4392414358972</v>
      </c>
      <c r="M8" s="55">
        <f>'Footprints, absolute'!M8/Production!$C$13*AF_calves_FR</f>
        <v>12.731505205149212</v>
      </c>
      <c r="N8" s="55">
        <f>'Footprints, absolute'!N8/Production!$C$13*AF_calves_FR</f>
        <v>1.0468205063498222</v>
      </c>
      <c r="O8" s="55">
        <f>'Footprints, absolute'!O8/Production!$C$13*AF_calves_FR</f>
        <v>9.5529379168602571</v>
      </c>
      <c r="P8" s="55">
        <f>'Footprints, absolute'!P8/Production!$C$13*AF_calves_FR</f>
        <v>87.811489500165393</v>
      </c>
      <c r="Q8" s="56">
        <f>'Footprints, absolute'!Q8/Production!$C$13*AF_calves_FR</f>
        <v>1.8843000074082662E-8</v>
      </c>
      <c r="R8" s="56">
        <f>'Footprints, absolute'!R8/Production!$C$13*AF_calves_FR</f>
        <v>0.55758704534397718</v>
      </c>
      <c r="S8" s="57"/>
      <c r="T8" s="177">
        <v>0</v>
      </c>
      <c r="U8" s="130">
        <v>0</v>
      </c>
    </row>
    <row r="9" spans="1:21" x14ac:dyDescent="0.2">
      <c r="A9" s="51"/>
      <c r="B9" s="23" t="s">
        <v>721</v>
      </c>
      <c r="C9" s="18" t="s">
        <v>37</v>
      </c>
      <c r="D9" t="s">
        <v>47</v>
      </c>
      <c r="E9" t="s">
        <v>48</v>
      </c>
      <c r="F9" s="15">
        <f>'GHG det, results per calf'!G21</f>
        <v>929.02407081278739</v>
      </c>
      <c r="G9" s="15">
        <f>'GHG det, results per calf'!G17</f>
        <v>237.48502735562244</v>
      </c>
      <c r="H9" s="52">
        <f>'GHG det, results per calf'!G18</f>
        <v>0.94514903692049379</v>
      </c>
      <c r="I9" s="53">
        <f>'GHG det, results per calf'!G19</f>
        <v>19.122405113655141</v>
      </c>
      <c r="J9" s="53">
        <f>'GHG det, results per calf'!G20</f>
        <v>0.53871305526829849</v>
      </c>
      <c r="L9" s="54">
        <f>'Footprints, absolute'!L9/Production!$D$13*AF_calves_DE</f>
        <v>536.36739438744348</v>
      </c>
      <c r="M9" s="55">
        <f>'Footprints, absolute'!M9/Production!$D$13*AF_calves_DE</f>
        <v>9.6480650384015743</v>
      </c>
      <c r="N9" s="55">
        <f>'Footprints, absolute'!N9/Production!$D$13*AF_calves_DE</f>
        <v>0.49077755910471815</v>
      </c>
      <c r="O9" s="55">
        <f>'Footprints, absolute'!O9/Production!$D$13*AF_calves_DE</f>
        <v>4.7502470758936157</v>
      </c>
      <c r="P9" s="55">
        <f>'Footprints, absolute'!P9/Production!$D$13*AF_calves_DE</f>
        <v>33.799127401769248</v>
      </c>
      <c r="Q9" s="56">
        <f>'Footprints, absolute'!Q9/Production!$D$13*AF_calves_DE</f>
        <v>1.5011466045138238E-8</v>
      </c>
      <c r="R9" s="56">
        <f>'Footprints, absolute'!R9/Production!$D$13*AF_calves_DE</f>
        <v>0.27991582752237032</v>
      </c>
      <c r="S9" s="57"/>
      <c r="T9" s="177">
        <v>0</v>
      </c>
      <c r="U9" s="130">
        <v>0</v>
      </c>
    </row>
    <row r="10" spans="1:21" x14ac:dyDescent="0.2">
      <c r="A10" s="51"/>
      <c r="B10" s="23" t="s">
        <v>721</v>
      </c>
      <c r="C10" s="18" t="s">
        <v>37</v>
      </c>
      <c r="D10" t="s">
        <v>49</v>
      </c>
      <c r="E10" t="s">
        <v>50</v>
      </c>
      <c r="F10" s="15">
        <f>'GHG det, results per calf'!G26</f>
        <v>1098.5350867040981</v>
      </c>
      <c r="G10" s="15">
        <f>'GHG det, results per calf'!G22</f>
        <v>384.17498399748831</v>
      </c>
      <c r="H10" s="52">
        <f>'GHG det, results per calf'!G23</f>
        <v>0.95117251820452242</v>
      </c>
      <c r="I10" s="53">
        <f>'GHG det, results per calf'!G24</f>
        <v>17.290634435596047</v>
      </c>
      <c r="J10" s="53">
        <f>'GHG det, results per calf'!G25</f>
        <v>0.80281330367407222</v>
      </c>
      <c r="L10" s="54">
        <f>'Footprints, absolute'!L10/Production!$E$13*AF_calves_GR</f>
        <v>1454.3027949062653</v>
      </c>
      <c r="M10" s="55">
        <f>'Footprints, absolute'!M10/Production!$E$13*AF_calves_GR</f>
        <v>20.610441240513815</v>
      </c>
      <c r="N10" s="55">
        <f>'Footprints, absolute'!N10/Production!$E$13*AF_calves_GR</f>
        <v>2.0820228945062058</v>
      </c>
      <c r="O10" s="55">
        <f>'Footprints, absolute'!O10/Production!$E$13*AF_calves_GR</f>
        <v>55.017899341357435</v>
      </c>
      <c r="P10" s="55">
        <f>'Footprints, absolute'!P10/Production!$E$13*AF_calves_GR</f>
        <v>69.768288867562646</v>
      </c>
      <c r="Q10" s="56">
        <f>'Footprints, absolute'!Q10/Production!$E$13*AF_calves_GR</f>
        <v>8.9336769940609187E-8</v>
      </c>
      <c r="R10" s="56">
        <f>'Footprints, absolute'!R10/Production!$E$13*AF_calves_GR</f>
        <v>1.5126337777959111</v>
      </c>
      <c r="S10" s="57"/>
      <c r="T10" s="177">
        <v>0</v>
      </c>
      <c r="U10" s="130">
        <v>0</v>
      </c>
    </row>
    <row r="11" spans="1:21" x14ac:dyDescent="0.2">
      <c r="A11" s="51"/>
      <c r="B11" s="23" t="s">
        <v>721</v>
      </c>
      <c r="C11" s="18" t="s">
        <v>37</v>
      </c>
      <c r="D11" t="s">
        <v>86</v>
      </c>
      <c r="E11" t="s">
        <v>52</v>
      </c>
      <c r="F11" s="15">
        <f>'GHG det, results per calf'!G31</f>
        <v>1135.3867081936446</v>
      </c>
      <c r="G11" s="15">
        <f>'GHG det, results per calf'!G27</f>
        <v>372.95695075224171</v>
      </c>
      <c r="H11" s="52">
        <f>'GHG det, results per calf'!G28</f>
        <v>1.132544190210105</v>
      </c>
      <c r="I11" s="53">
        <f>'GHG det, results per calf'!G29</f>
        <v>19.199119927494497</v>
      </c>
      <c r="J11" s="53">
        <f>'GHG det, results per calf'!G30</f>
        <v>0.77034323271351879</v>
      </c>
      <c r="L11" s="54">
        <f>'Footprints, absolute'!L11/Production!$F$13*AF_calves_HU</f>
        <v>1363.9178680258069</v>
      </c>
      <c r="M11" s="55">
        <f>'Footprints, absolute'!M11/Production!$F$13*AF_calves_HU</f>
        <v>18.510804809466475</v>
      </c>
      <c r="N11" s="55">
        <f>'Footprints, absolute'!N11/Production!$F$13*AF_calves_HU</f>
        <v>1.9754382988583603</v>
      </c>
      <c r="O11" s="55">
        <f>'Footprints, absolute'!O11/Production!$F$13*AF_calves_HU</f>
        <v>11.0082052984508</v>
      </c>
      <c r="P11" s="55">
        <f>'Footprints, absolute'!P11/Production!$F$13*AF_calves_HU</f>
        <v>96.77462357323347</v>
      </c>
      <c r="Q11" s="56">
        <f>'Footprints, absolute'!Q11/Production!$F$13*AF_calves_HU</f>
        <v>2.9036287602159721E-8</v>
      </c>
      <c r="R11" s="56">
        <f>'Footprints, absolute'!R11/Production!$F$13*AF_calves_HU</f>
        <v>0.67383499368164856</v>
      </c>
      <c r="S11" s="57"/>
      <c r="T11" s="177">
        <v>0</v>
      </c>
      <c r="U11" s="130">
        <v>0</v>
      </c>
    </row>
    <row r="12" spans="1:21" x14ac:dyDescent="0.2">
      <c r="A12" s="51"/>
      <c r="B12" s="23" t="s">
        <v>721</v>
      </c>
      <c r="C12" s="18" t="s">
        <v>37</v>
      </c>
      <c r="D12" t="s">
        <v>89</v>
      </c>
      <c r="E12" t="s">
        <v>54</v>
      </c>
      <c r="F12" s="15">
        <f>'GHG det, results per calf'!G36</f>
        <v>833.35939054204982</v>
      </c>
      <c r="G12" s="15">
        <f>'GHG det, results per calf'!G32</f>
        <v>124.08961966722116</v>
      </c>
      <c r="H12" s="52">
        <f>'GHG det, results per calf'!G33</f>
        <v>0.16925726456296339</v>
      </c>
      <c r="I12" s="53">
        <f>'GHG det, results per calf'!G34</f>
        <v>20.644459142159459</v>
      </c>
      <c r="J12" s="53">
        <f>'GHG det, results per calf'!G35</f>
        <v>0.5378223719873515</v>
      </c>
      <c r="L12" s="54">
        <f>'Footprints, absolute'!L12/Production!$G$13*AF_calves_IE</f>
        <v>193.90188000005941</v>
      </c>
      <c r="M12" s="55">
        <f>'Footprints, absolute'!M12/Production!$G$13*AF_calves_IE</f>
        <v>13.798457075842579</v>
      </c>
      <c r="N12" s="55">
        <f>'Footprints, absolute'!N12/Production!$G$13*AF_calves_IE</f>
        <v>0.45088675226613451</v>
      </c>
      <c r="O12" s="55">
        <f>'Footprints, absolute'!O12/Production!$G$13*AF_calves_IE</f>
        <v>7.0772080707434286</v>
      </c>
      <c r="P12" s="55">
        <f>'Footprints, absolute'!P12/Production!$G$13*AF_calves_IE</f>
        <v>64.242312915970842</v>
      </c>
      <c r="Q12" s="56">
        <f>'Footprints, absolute'!Q12/Production!$G$13*AF_calves_IE</f>
        <v>4.8514880400669769E-9</v>
      </c>
      <c r="R12" s="56">
        <f>'Footprints, absolute'!R12/Production!$G$13*AF_calves_IE</f>
        <v>0.43761636696054912</v>
      </c>
      <c r="S12" s="57"/>
      <c r="T12" s="177">
        <v>0</v>
      </c>
      <c r="U12" s="130">
        <v>0</v>
      </c>
    </row>
    <row r="13" spans="1:21" x14ac:dyDescent="0.2">
      <c r="A13" s="51"/>
      <c r="B13" s="23" t="s">
        <v>721</v>
      </c>
      <c r="C13" s="18" t="s">
        <v>37</v>
      </c>
      <c r="D13" t="s">
        <v>55</v>
      </c>
      <c r="E13" t="s">
        <v>56</v>
      </c>
      <c r="F13" s="15">
        <f>'GHG det, results per calf'!G41</f>
        <v>1092.9026807704718</v>
      </c>
      <c r="G13" s="15">
        <f>'GHG det, results per calf'!G37</f>
        <v>302.75657556272716</v>
      </c>
      <c r="H13" s="52">
        <f>'GHG det, results per calf'!G38</f>
        <v>1.3676842259072532</v>
      </c>
      <c r="I13" s="53">
        <f>'GHG det, results per calf'!G39</f>
        <v>21.924676482804628</v>
      </c>
      <c r="J13" s="53">
        <f>'GHG det, results per calf'!G40</f>
        <v>0.57664047706953647</v>
      </c>
      <c r="L13" s="54">
        <f>'Footprints, absolute'!L13/Production!$H$13*AF_calves_IT</f>
        <v>916.36148738526867</v>
      </c>
      <c r="M13" s="55">
        <f>'Footprints, absolute'!M13/Production!$H$13*AF_calves_IT</f>
        <v>15.938929291085167</v>
      </c>
      <c r="N13" s="55">
        <f>'Footprints, absolute'!N13/Production!$H$13*AF_calves_IT</f>
        <v>1.001074113605944</v>
      </c>
      <c r="O13" s="55">
        <f>'Footprints, absolute'!O13/Production!$H$13*AF_calves_IT</f>
        <v>8.8332945435001626</v>
      </c>
      <c r="P13" s="55">
        <f>'Footprints, absolute'!P13/Production!$H$13*AF_calves_IT</f>
        <v>53.356704669255883</v>
      </c>
      <c r="Q13" s="56">
        <f>'Footprints, absolute'!Q13/Production!$H$13*AF_calves_IT</f>
        <v>6.9079137845466916E-8</v>
      </c>
      <c r="R13" s="56">
        <f>'Footprints, absolute'!R13/Production!$H$13*AF_calves_IT</f>
        <v>0.73179808634707344</v>
      </c>
      <c r="S13" s="57"/>
      <c r="T13" s="177">
        <v>0</v>
      </c>
      <c r="U13" s="130">
        <v>0</v>
      </c>
    </row>
    <row r="14" spans="1:21" x14ac:dyDescent="0.2">
      <c r="A14" s="51"/>
      <c r="B14" s="23" t="s">
        <v>721</v>
      </c>
      <c r="C14" s="18" t="s">
        <v>37</v>
      </c>
      <c r="D14" t="s">
        <v>87</v>
      </c>
      <c r="E14" t="s">
        <v>58</v>
      </c>
      <c r="F14" s="15">
        <f>'GHG det, results per calf'!G46</f>
        <v>1010.2959484691546</v>
      </c>
      <c r="G14" s="15">
        <f>'GHG det, results per calf'!G42</f>
        <v>285.81858514921134</v>
      </c>
      <c r="H14" s="52">
        <f>'GHG det, results per calf'!G43</f>
        <v>0.73703263513741357</v>
      </c>
      <c r="I14" s="53">
        <f>'GHG det, results per calf'!G44</f>
        <v>18.377863854757873</v>
      </c>
      <c r="J14" s="53">
        <f>'GHG det, results per calf'!G45</f>
        <v>0.75571965829445331</v>
      </c>
      <c r="L14" s="54">
        <f>'Footprints, absolute'!L14/Production!$I$13*AF_calves_NL</f>
        <v>679.88330098518452</v>
      </c>
      <c r="M14" s="55">
        <f>'Footprints, absolute'!M14/Production!$I$13*AF_calves_NL</f>
        <v>19.581361115653937</v>
      </c>
      <c r="N14" s="55">
        <f>'Footprints, absolute'!N14/Production!$I$13*AF_calves_NL</f>
        <v>0.7517283751206203</v>
      </c>
      <c r="O14" s="55">
        <f>'Footprints, absolute'!O14/Production!$I$13*AF_calves_NL</f>
        <v>5.1370769729956338</v>
      </c>
      <c r="P14" s="55">
        <f>'Footprints, absolute'!P14/Production!$I$13*AF_calves_NL</f>
        <v>62.336554418231536</v>
      </c>
      <c r="Q14" s="56">
        <f>'Footprints, absolute'!Q14/Production!$I$13*AF_calves_NL</f>
        <v>2.1173996988690916E-8</v>
      </c>
      <c r="R14" s="56">
        <f>'Footprints, absolute'!R14/Production!$I$13*AF_calves_NL</f>
        <v>0.75517707646580545</v>
      </c>
      <c r="S14" s="57"/>
      <c r="T14" s="177">
        <v>0</v>
      </c>
      <c r="U14" s="130">
        <v>0</v>
      </c>
    </row>
    <row r="15" spans="1:21" x14ac:dyDescent="0.2">
      <c r="A15" s="51"/>
      <c r="B15" s="23" t="s">
        <v>721</v>
      </c>
      <c r="C15" s="18" t="s">
        <v>37</v>
      </c>
      <c r="D15" t="s">
        <v>59</v>
      </c>
      <c r="E15" t="s">
        <v>60</v>
      </c>
      <c r="F15" s="15">
        <f>'GHG det, results per calf'!G51</f>
        <v>1195.6558437314002</v>
      </c>
      <c r="G15" s="15">
        <f>'GHG det, results per calf'!G47</f>
        <v>480.75313975632821</v>
      </c>
      <c r="H15" s="52">
        <f>'GHG det, results per calf'!G48</f>
        <v>1.0431915224752084</v>
      </c>
      <c r="I15" s="53">
        <f>'GHG det, results per calf'!G49</f>
        <v>17.824517090010367</v>
      </c>
      <c r="J15" s="53">
        <f>'GHG det, results per calf'!G50</f>
        <v>0.74195470760084559</v>
      </c>
      <c r="L15" s="54">
        <f>'Footprints, absolute'!L15/Production!$J$13*AF_calves_PL</f>
        <v>916.09493309486959</v>
      </c>
      <c r="M15" s="55">
        <f>'Footprints, absolute'!M15/Production!$J$13*AF_calves_PL</f>
        <v>15.214318568491892</v>
      </c>
      <c r="N15" s="55">
        <f>'Footprints, absolute'!N15/Production!$J$13*AF_calves_PL</f>
        <v>1.4472292962613158</v>
      </c>
      <c r="O15" s="55">
        <f>'Footprints, absolute'!O15/Production!$J$13*AF_calves_PL</f>
        <v>5.4554434957729727</v>
      </c>
      <c r="P15" s="55">
        <f>'Footprints, absolute'!P15/Production!$J$13*AF_calves_PL</f>
        <v>70.46328054224594</v>
      </c>
      <c r="Q15" s="56">
        <f>'Footprints, absolute'!Q15/Production!$J$13*AF_calves_PL</f>
        <v>1.4484881723417332E-8</v>
      </c>
      <c r="R15" s="56">
        <f>'Footprints, absolute'!R15/Production!$J$13*AF_calves_PL</f>
        <v>0.62513211560349269</v>
      </c>
      <c r="S15" s="57"/>
      <c r="T15" s="177">
        <v>0</v>
      </c>
      <c r="U15" s="130">
        <v>0</v>
      </c>
    </row>
    <row r="16" spans="1:21" x14ac:dyDescent="0.2">
      <c r="A16" s="51"/>
      <c r="B16" s="23" t="s">
        <v>721</v>
      </c>
      <c r="C16" s="18" t="s">
        <v>37</v>
      </c>
      <c r="D16" t="s">
        <v>61</v>
      </c>
      <c r="E16" t="s">
        <v>62</v>
      </c>
      <c r="F16" s="15">
        <f>'GHG det, results per calf'!G56</f>
        <v>913.74414706603716</v>
      </c>
      <c r="G16" s="15">
        <f>'GHG det, results per calf'!G52</f>
        <v>247.36611210499905</v>
      </c>
      <c r="H16" s="52">
        <f>'GHG det, results per calf'!G53</f>
        <v>0.68343214245642236</v>
      </c>
      <c r="I16" s="53">
        <f>'GHG det, results per calf'!G54</f>
        <v>17.528561728740677</v>
      </c>
      <c r="J16" s="53">
        <f>'GHG det, results per calf'!G55</f>
        <v>0.63274941553054409</v>
      </c>
      <c r="L16" s="54">
        <f>'Footprints, absolute'!L16/Production!$K$13*AF_calves_ES</f>
        <v>990.92232182369787</v>
      </c>
      <c r="M16" s="55">
        <f>'Footprints, absolute'!M16/Production!$K$13*AF_calves_ES</f>
        <v>18.633809425691293</v>
      </c>
      <c r="N16" s="55">
        <f>'Footprints, absolute'!N16/Production!$K$13*AF_calves_ES</f>
        <v>1.6738631533690203</v>
      </c>
      <c r="O16" s="55">
        <f>'Footprints, absolute'!O16/Production!$K$13*AF_calves_ES</f>
        <v>45.179638858167031</v>
      </c>
      <c r="P16" s="55">
        <f>'Footprints, absolute'!P16/Production!$K$13*AF_calves_ES</f>
        <v>75.933951152350758</v>
      </c>
      <c r="Q16" s="56">
        <f>'Footprints, absolute'!Q16/Production!$K$13*AF_calves_ES</f>
        <v>2.8722554940384387E-8</v>
      </c>
      <c r="R16" s="56">
        <f>'Footprints, absolute'!R16/Production!$K$13*AF_calves_ES</f>
        <v>0.57968431860288594</v>
      </c>
      <c r="S16" s="57"/>
      <c r="T16" s="177">
        <v>0</v>
      </c>
      <c r="U16" s="130">
        <v>0</v>
      </c>
    </row>
    <row r="17" spans="1:22" x14ac:dyDescent="0.2">
      <c r="A17" s="51"/>
      <c r="B17" s="23" t="s">
        <v>721</v>
      </c>
      <c r="C17" s="18" t="s">
        <v>37</v>
      </c>
      <c r="D17" s="58" t="s">
        <v>63</v>
      </c>
      <c r="E17" s="58" t="s">
        <v>64</v>
      </c>
      <c r="F17" s="57">
        <f>'GHG det, results per calf'!G61</f>
        <v>843.82220818785311</v>
      </c>
      <c r="G17" s="15">
        <f>'GHG det, results per calf'!G57</f>
        <v>175.29191325964834</v>
      </c>
      <c r="H17" s="52">
        <f>'GHG det, results per calf'!G58</f>
        <v>0.9815030734745458</v>
      </c>
      <c r="I17" s="53">
        <f>'GHG det, results per calf'!G59</f>
        <v>17.320451477103905</v>
      </c>
      <c r="J17" s="53">
        <f>'GHG det, results per calf'!G60</f>
        <v>0.62867880387127439</v>
      </c>
      <c r="K17" s="58"/>
      <c r="L17" s="54">
        <f>'Footprints, absolute'!L17/Production!$L$13*AF_calves_SE</f>
        <v>1573.9827241858477</v>
      </c>
      <c r="M17" s="55">
        <f>'Footprints, absolute'!M17/Production!$L$13*AF_calves_SE</f>
        <v>15.664587606938225</v>
      </c>
      <c r="N17" s="55">
        <f>'Footprints, absolute'!N17/Production!$L$13*AF_calves_SE</f>
        <v>0.78642795779152963</v>
      </c>
      <c r="O17" s="55">
        <f>'Footprints, absolute'!O17/Production!$L$13*AF_calves_SE</f>
        <v>4.9451609076039054</v>
      </c>
      <c r="P17" s="55">
        <f>'Footprints, absolute'!P17/Production!$L$13*AF_calves_SE</f>
        <v>38.739918274664802</v>
      </c>
      <c r="Q17" s="56">
        <f>'Footprints, absolute'!Q17/Production!$L$13*AF_calves_SE</f>
        <v>9.8566655853283383E-9</v>
      </c>
      <c r="R17" s="56">
        <f>'Footprints, absolute'!R17/Production!$L$13*AF_calves_SE</f>
        <v>0.45847720556762256</v>
      </c>
      <c r="S17" s="57"/>
      <c r="T17" s="177">
        <v>0</v>
      </c>
      <c r="U17" s="178">
        <v>0</v>
      </c>
    </row>
    <row r="18" spans="1:22" x14ac:dyDescent="0.2">
      <c r="A18" s="131"/>
      <c r="B18" s="519" t="s">
        <v>721</v>
      </c>
      <c r="C18" s="520" t="s">
        <v>37</v>
      </c>
      <c r="D18" s="100" t="s">
        <v>65</v>
      </c>
      <c r="E18" s="100" t="s">
        <v>66</v>
      </c>
      <c r="F18" s="106">
        <f t="shared" ref="F18:R18" si="0">F12</f>
        <v>833.35939054204982</v>
      </c>
      <c r="G18" s="106">
        <f t="shared" si="0"/>
        <v>124.08961966722116</v>
      </c>
      <c r="H18" s="106">
        <f t="shared" si="0"/>
        <v>0.16925726456296339</v>
      </c>
      <c r="I18" s="106">
        <f t="shared" si="0"/>
        <v>20.644459142159459</v>
      </c>
      <c r="J18" s="106">
        <f t="shared" si="0"/>
        <v>0.5378223719873515</v>
      </c>
      <c r="K18" s="106">
        <f t="shared" si="0"/>
        <v>0</v>
      </c>
      <c r="L18" s="106">
        <f t="shared" si="0"/>
        <v>193.90188000005941</v>
      </c>
      <c r="M18" s="106">
        <f t="shared" si="0"/>
        <v>13.798457075842579</v>
      </c>
      <c r="N18" s="106">
        <f t="shared" si="0"/>
        <v>0.45088675226613451</v>
      </c>
      <c r="O18" s="106">
        <f t="shared" si="0"/>
        <v>7.0772080707434286</v>
      </c>
      <c r="P18" s="106">
        <f t="shared" si="0"/>
        <v>64.242312915970842</v>
      </c>
      <c r="Q18" s="106">
        <f t="shared" si="0"/>
        <v>4.8514880400669769E-9</v>
      </c>
      <c r="R18" s="106">
        <f t="shared" si="0"/>
        <v>0.43761636696054912</v>
      </c>
      <c r="T18" s="59"/>
      <c r="V18" t="s">
        <v>67</v>
      </c>
    </row>
    <row r="19" spans="1:22" x14ac:dyDescent="0.2">
      <c r="J19" s="53"/>
      <c r="M19" s="60"/>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Y231"/>
  <sheetViews>
    <sheetView zoomScale="80" zoomScaleNormal="80" workbookViewId="0">
      <selection activeCell="B7" sqref="B7"/>
    </sheetView>
  </sheetViews>
  <sheetFormatPr baseColWidth="10" defaultColWidth="8.6640625" defaultRowHeight="15" x14ac:dyDescent="0.2"/>
  <cols>
    <col min="1" max="1" width="12" style="1" customWidth="1"/>
    <col min="2" max="2" width="22.5" customWidth="1"/>
    <col min="3" max="3" width="27.33203125" customWidth="1"/>
    <col min="4" max="5" width="10.33203125" customWidth="1"/>
    <col min="6" max="6" width="7.6640625" customWidth="1"/>
    <col min="7" max="7" width="9.33203125" style="23" customWidth="1"/>
    <col min="8" max="20" width="14.6640625" customWidth="1"/>
    <col min="21" max="22" width="14.6640625" style="26" customWidth="1"/>
    <col min="23" max="24" width="14.6640625" customWidth="1"/>
  </cols>
  <sheetData>
    <row r="1" spans="1:24" x14ac:dyDescent="0.2">
      <c r="H1" s="24"/>
      <c r="N1" s="25"/>
    </row>
    <row r="2" spans="1:24" ht="21" customHeight="1" x14ac:dyDescent="0.25">
      <c r="A2" s="2" t="s">
        <v>0</v>
      </c>
      <c r="H2" s="24"/>
      <c r="M2" s="25"/>
      <c r="N2" s="25"/>
      <c r="S2" s="15"/>
      <c r="T2" s="13"/>
    </row>
    <row r="3" spans="1:24" x14ac:dyDescent="0.2">
      <c r="J3" s="25"/>
      <c r="K3" s="24" t="s">
        <v>1</v>
      </c>
      <c r="L3" s="26"/>
      <c r="M3" s="26"/>
      <c r="N3" s="26"/>
      <c r="O3" s="26"/>
      <c r="P3" s="26"/>
      <c r="Q3" s="26"/>
      <c r="R3" s="26"/>
      <c r="S3" s="26"/>
      <c r="T3" s="26"/>
    </row>
    <row r="4" spans="1:24" x14ac:dyDescent="0.2">
      <c r="A4" s="179"/>
      <c r="B4" s="180"/>
      <c r="C4" s="180"/>
      <c r="D4" s="180"/>
      <c r="E4" s="180"/>
      <c r="F4" s="180"/>
      <c r="G4" s="180"/>
      <c r="H4" s="181"/>
      <c r="I4" s="181"/>
      <c r="J4" s="182"/>
      <c r="K4" s="182"/>
      <c r="L4" s="182"/>
      <c r="M4" s="182"/>
      <c r="N4" s="182"/>
      <c r="O4" s="182"/>
      <c r="P4" s="182"/>
      <c r="Q4" s="182"/>
      <c r="R4" s="182"/>
      <c r="S4" s="181" t="s">
        <v>2</v>
      </c>
      <c r="T4" s="181"/>
      <c r="U4" s="183"/>
      <c r="V4" s="183"/>
      <c r="W4" s="182" t="s">
        <v>3</v>
      </c>
      <c r="X4" s="182" t="s">
        <v>4</v>
      </c>
    </row>
    <row r="5" spans="1:24" x14ac:dyDescent="0.2">
      <c r="A5" s="159" t="s">
        <v>5</v>
      </c>
      <c r="B5" s="160"/>
      <c r="C5" s="160"/>
      <c r="D5" s="161"/>
      <c r="E5" s="161"/>
      <c r="F5" s="184"/>
      <c r="G5" s="185" t="s">
        <v>6</v>
      </c>
      <c r="H5" s="185" t="s">
        <v>7</v>
      </c>
      <c r="I5" s="186"/>
      <c r="J5" s="185" t="s">
        <v>8</v>
      </c>
      <c r="K5" s="187"/>
      <c r="L5" s="165" t="s">
        <v>9</v>
      </c>
      <c r="M5" s="187"/>
      <c r="N5" s="187"/>
      <c r="O5" s="187"/>
      <c r="P5" s="165" t="s">
        <v>10</v>
      </c>
      <c r="Q5" s="165" t="s">
        <v>11</v>
      </c>
      <c r="R5" s="165" t="s">
        <v>12</v>
      </c>
      <c r="S5" s="188"/>
      <c r="T5" s="188"/>
      <c r="U5" s="189"/>
      <c r="V5" s="189"/>
      <c r="W5" s="190"/>
      <c r="X5" s="190"/>
    </row>
    <row r="6" spans="1:24" ht="43.5" customHeight="1" x14ac:dyDescent="0.2">
      <c r="A6" s="166" t="s">
        <v>13</v>
      </c>
      <c r="B6" s="167" t="s">
        <v>14</v>
      </c>
      <c r="C6" s="167" t="s">
        <v>15</v>
      </c>
      <c r="D6" s="168" t="s">
        <v>16</v>
      </c>
      <c r="E6" s="169" t="s">
        <v>17</v>
      </c>
      <c r="F6" s="168" t="s">
        <v>18</v>
      </c>
      <c r="G6" s="169" t="s">
        <v>19</v>
      </c>
      <c r="H6" s="176" t="s">
        <v>20</v>
      </c>
      <c r="I6" s="176" t="s">
        <v>21</v>
      </c>
      <c r="J6" s="176" t="s">
        <v>22</v>
      </c>
      <c r="K6" s="176" t="s">
        <v>23</v>
      </c>
      <c r="L6" s="176" t="s">
        <v>24</v>
      </c>
      <c r="M6" s="176" t="s">
        <v>25</v>
      </c>
      <c r="N6" s="176" t="s">
        <v>26</v>
      </c>
      <c r="O6" s="176" t="s">
        <v>27</v>
      </c>
      <c r="P6" s="176" t="s">
        <v>28</v>
      </c>
      <c r="Q6" s="176" t="s">
        <v>11</v>
      </c>
      <c r="R6" s="176" t="s">
        <v>29</v>
      </c>
      <c r="S6" s="169" t="s">
        <v>30</v>
      </c>
      <c r="T6" s="169" t="s">
        <v>31</v>
      </c>
      <c r="U6" s="191" t="s">
        <v>32</v>
      </c>
      <c r="V6" s="191" t="s">
        <v>33</v>
      </c>
      <c r="W6" s="176" t="s">
        <v>34</v>
      </c>
      <c r="X6" s="176" t="s">
        <v>35</v>
      </c>
    </row>
    <row r="7" spans="1:24" x14ac:dyDescent="0.2">
      <c r="A7" s="540"/>
      <c r="B7" s="541" t="s">
        <v>721</v>
      </c>
      <c r="C7" s="75" t="s">
        <v>37</v>
      </c>
      <c r="D7" s="76" t="s">
        <v>38</v>
      </c>
      <c r="E7" s="76" t="s">
        <v>39</v>
      </c>
      <c r="F7" s="77" t="s">
        <v>40</v>
      </c>
      <c r="G7" s="78">
        <f>SUM(H7:X7)</f>
        <v>128.76761861002382</v>
      </c>
      <c r="H7" s="78">
        <f>'GHG detailed, absolute'!H7/Production!$B$13*AF_calves_DK</f>
        <v>29.960171807592538</v>
      </c>
      <c r="I7" s="78">
        <f>'GHG detailed, absolute'!I7/Production!$B$13*AF_calves_DK</f>
        <v>16.982305873903634</v>
      </c>
      <c r="J7" s="78"/>
      <c r="K7" s="78"/>
      <c r="L7" s="78">
        <f>'GHG detailed, absolute'!L7/Production!$B$13*AF_calves_DK</f>
        <v>13.172551194934954</v>
      </c>
      <c r="M7" s="78"/>
      <c r="N7" s="78">
        <f>'GHG detailed, absolute'!N7/Production!$B$13*AF_calves_DK</f>
        <v>2.7143663126558974E-2</v>
      </c>
      <c r="O7" s="78">
        <f>'GHG detailed, absolute'!O7/Production!$B$13*AF_calves_DK</f>
        <v>8.8291116174072428</v>
      </c>
      <c r="P7" s="78">
        <f>'GHG detailed, absolute'!P7/Production!$B$13*AF_calves_DK</f>
        <v>11.746401906884424</v>
      </c>
      <c r="Q7" s="78">
        <f>'GHG detailed, absolute'!Q7/Production!$B$13*AF_calves_DK</f>
        <v>23.653405282341566</v>
      </c>
      <c r="R7" s="78">
        <f>'GHG detailed, absolute'!R7/Production!$B$13*AF_calves_DK</f>
        <v>23.653405282341566</v>
      </c>
      <c r="S7" s="79"/>
      <c r="T7" s="80"/>
      <c r="U7" s="81"/>
      <c r="V7" s="81"/>
      <c r="W7" s="79">
        <f>'GHG detailed, absolute'!W7/Production!$B$13*AF_calves_DK</f>
        <v>0</v>
      </c>
      <c r="X7" s="82">
        <f>'GHG detailed, absolute'!X7/Production!$B$13*AF_calves_DK</f>
        <v>0.74312198149131536</v>
      </c>
    </row>
    <row r="8" spans="1:24" x14ac:dyDescent="0.2">
      <c r="A8" s="23"/>
      <c r="B8" s="23" t="s">
        <v>721</v>
      </c>
      <c r="C8" s="18" t="s">
        <v>37</v>
      </c>
      <c r="D8" s="58" t="s">
        <v>38</v>
      </c>
      <c r="E8" s="58" t="s">
        <v>39</v>
      </c>
      <c r="F8" s="23" t="s">
        <v>41</v>
      </c>
      <c r="G8" s="83">
        <f>SUM(H8:X8)</f>
        <v>0.74965440906822833</v>
      </c>
      <c r="H8" s="56">
        <f>'GHG detailed, absolute'!H8/Production!$B$13*AF_calves_DK</f>
        <v>3.3047943102295939E-2</v>
      </c>
      <c r="I8" s="56">
        <f>'GHG detailed, absolute'!I8/Production!$B$13*AF_calves_DK</f>
        <v>5.9752557704475746E-2</v>
      </c>
      <c r="J8" s="56"/>
      <c r="K8" s="56"/>
      <c r="L8" s="56">
        <f>'GHG detailed, absolute'!L8/Production!$B$13*AF_calves_DK</f>
        <v>5.8349960048164218E-3</v>
      </c>
      <c r="M8" s="56"/>
      <c r="N8" s="56">
        <f>'GHG detailed, absolute'!N8/Production!$B$13*AF_calves_DK</f>
        <v>9.0780956478508153E-5</v>
      </c>
      <c r="O8" s="56">
        <f>'GHG detailed, absolute'!O8/Production!$B$13*AF_calves_DK</f>
        <v>5.3126946255668498E-3</v>
      </c>
      <c r="P8" s="56">
        <f>'GHG detailed, absolute'!P8/Production!$B$13*AF_calves_DK</f>
        <v>0</v>
      </c>
      <c r="Q8" s="56">
        <f>'GHG detailed, absolute'!Q8/Production!$B$13*AF_calves_DK</f>
        <v>0.30741359188501649</v>
      </c>
      <c r="R8" s="56">
        <f>'GHG detailed, absolute'!R8/Production!$B$13*AF_calves_DK</f>
        <v>0.30741359188501649</v>
      </c>
      <c r="W8" s="13">
        <f>'GHG detailed, absolute'!W8/Production!$B$13*AF_calves_DK</f>
        <v>2.9223693703734614E-2</v>
      </c>
      <c r="X8" s="53">
        <f>'GHG detailed, absolute'!X8/Production!$B$13*AF_calves_DK</f>
        <v>1.564559200827308E-3</v>
      </c>
    </row>
    <row r="9" spans="1:24" x14ac:dyDescent="0.2">
      <c r="A9" s="23"/>
      <c r="B9" s="23" t="s">
        <v>721</v>
      </c>
      <c r="C9" s="18" t="s">
        <v>37</v>
      </c>
      <c r="D9" s="58" t="s">
        <v>38</v>
      </c>
      <c r="E9" s="58" t="s">
        <v>39</v>
      </c>
      <c r="F9" s="23" t="s">
        <v>42</v>
      </c>
      <c r="G9" s="83">
        <f>SUM(H9:T9)</f>
        <v>20.654323551514633</v>
      </c>
      <c r="H9" s="56"/>
      <c r="I9" s="56"/>
      <c r="J9" s="85"/>
      <c r="K9" s="56"/>
      <c r="L9" s="56"/>
      <c r="M9" s="56"/>
      <c r="N9" s="56"/>
      <c r="O9" s="56"/>
      <c r="P9" s="56"/>
      <c r="Q9" s="56"/>
      <c r="R9" s="56"/>
      <c r="S9" s="13">
        <f>'GHG detailed, absolute'!S9/Production!$B$13*AF_calves_DK</f>
        <v>15.554859216612726</v>
      </c>
      <c r="T9" s="53">
        <f>'GHG detailed, absolute'!T9/Production!$B$13*AF_calves_DK</f>
        <v>5.0994643349019064</v>
      </c>
      <c r="U9" s="86">
        <f>'GHG detailed, absolute'!U9/Production!$B$13*AF_calves_DK</f>
        <v>5.0994643349019064</v>
      </c>
      <c r="W9" s="13"/>
      <c r="X9" s="53"/>
    </row>
    <row r="10" spans="1:24" ht="15" customHeight="1" x14ac:dyDescent="0.2">
      <c r="A10" s="23"/>
      <c r="B10" s="23" t="s">
        <v>721</v>
      </c>
      <c r="C10" s="18" t="s">
        <v>37</v>
      </c>
      <c r="D10" s="58" t="s">
        <v>38</v>
      </c>
      <c r="E10" s="58" t="s">
        <v>39</v>
      </c>
      <c r="F10" s="87" t="s">
        <v>43</v>
      </c>
      <c r="G10" s="83">
        <f>SUM(H10:T10)+W10+X10</f>
        <v>0.66919227866773057</v>
      </c>
      <c r="H10" s="56">
        <f>'GHG detailed, absolute'!H10/Production!$B$13*AF_calves_DK</f>
        <v>4.3871503517954075E-2</v>
      </c>
      <c r="I10" s="56">
        <f>'GHG detailed, absolute'!I10/Production!$B$13*AF_calves_DK</f>
        <v>6.9187172078866664E-4</v>
      </c>
      <c r="J10" s="56">
        <f>'GHG detailed, absolute'!J10/Production!$B$13*AF_calves_DK</f>
        <v>0.31992237663186052</v>
      </c>
      <c r="K10" s="84">
        <f>'GHG detailed, absolute'!K10/Production!$B$13*AF_calves_DK</f>
        <v>3.1992237663186048E-2</v>
      </c>
      <c r="L10" s="56">
        <f>'GHG detailed, absolute'!L10/Production!$B$13*AF_calves_DK</f>
        <v>3.539515863760183E-4</v>
      </c>
      <c r="M10" s="56"/>
      <c r="N10" s="56">
        <f>'GHG detailed, absolute'!N10/Production!$B$13*AF_calves_DK</f>
        <v>1.1172311262441199E-6</v>
      </c>
      <c r="O10" s="56">
        <f>'GHG detailed, absolute'!O10/Production!$B$13*AF_calves_DK</f>
        <v>3.2272115510171678E-4</v>
      </c>
      <c r="P10" s="56">
        <f>'GHG detailed, absolute'!P10/Production!$B$13*AF_calves_DK</f>
        <v>0</v>
      </c>
      <c r="Q10" s="56">
        <f>'GHG detailed, absolute'!Q10/Production!$B$13*AF_calves_DK</f>
        <v>2.9541162445322122E-2</v>
      </c>
      <c r="R10" s="56">
        <f>'GHG detailed, absolute'!R10/Production!$B$13*AF_calves_DK</f>
        <v>2.9541162445322122E-2</v>
      </c>
      <c r="S10" s="13"/>
      <c r="T10" s="53">
        <f>'GHG detailed, absolute'!T10/Production!$B$13*AF_calves_DK</f>
        <v>0.21182916478561606</v>
      </c>
      <c r="U10" s="88">
        <f>'GHG detailed, absolute'!U10/Production!$B$13*AF_calves_DK</f>
        <v>0.12481730030648953</v>
      </c>
      <c r="V10" s="88">
        <f>'GHG detailed, absolute'!V10/Production!$B$13*AF_calves_DK</f>
        <v>8.7011864479126524E-2</v>
      </c>
      <c r="W10" s="13">
        <f>'GHG detailed, absolute'!W10/Production!$B$13*AF_calves_DK</f>
        <v>1.090077421284367E-3</v>
      </c>
      <c r="X10" s="53">
        <f>'GHG detailed, absolute'!X10/Production!$B$13*AF_calves_DK</f>
        <v>3.4932063792562829E-5</v>
      </c>
    </row>
    <row r="11" spans="1:24" ht="15" customHeight="1" x14ac:dyDescent="0.2">
      <c r="A11" s="89"/>
      <c r="B11" s="89" t="s">
        <v>721</v>
      </c>
      <c r="C11" s="90" t="s">
        <v>37</v>
      </c>
      <c r="D11" s="91" t="s">
        <v>38</v>
      </c>
      <c r="E11" s="91" t="s">
        <v>39</v>
      </c>
      <c r="F11" s="92" t="s">
        <v>44</v>
      </c>
      <c r="G11" s="93">
        <f>SUM(H11:X11)</f>
        <v>891.46354796744254</v>
      </c>
      <c r="H11" s="94">
        <f>SUMPRODUCT(H7:H10,'Parameters, general'!$B$24:$B$27)</f>
        <v>42.921920972442422</v>
      </c>
      <c r="I11" s="94">
        <f>SUMPRODUCT(I7:I10,'Parameters, general'!$B$24:$B$27)</f>
        <v>18.951813073272316</v>
      </c>
      <c r="J11" s="94">
        <f>SUMPRODUCT(J7:J10,'Parameters, general'!$B$24:$B$27)</f>
        <v>87.338808820497917</v>
      </c>
      <c r="K11" s="94">
        <f>SUMPRODUCT(K7:K10,'Parameters, general'!$B$24:$B$27)</f>
        <v>8.7338808820497906</v>
      </c>
      <c r="L11" s="94">
        <f>SUMPRODUCT(L7:L10,'Parameters, general'!$B$24:$B$27)</f>
        <v>13.443062858959136</v>
      </c>
      <c r="M11" s="94">
        <f>SUMPRODUCT(M7:M10,'Parameters, general'!$B$24:$B$27)</f>
        <v>0</v>
      </c>
      <c r="N11" s="94">
        <f>SUMPRODUCT(N7:N10,'Parameters, general'!$B$24:$B$27)</f>
        <v>3.0153939727083162E-2</v>
      </c>
      <c r="O11" s="94">
        <f>SUMPRODUCT(O7:O10,'Parameters, general'!$B$24:$B$27)</f>
        <v>9.0755327925919023</v>
      </c>
      <c r="P11" s="94">
        <f>SUMPRODUCT(P7:P10,'Parameters, general'!$B$24:$B$27)</f>
        <v>11.746401906884424</v>
      </c>
      <c r="Q11" s="94">
        <f>SUMPRODUCT(Q7:Q10,'Parameters, general'!$B$24:$B$27)</f>
        <v>40.879067668087998</v>
      </c>
      <c r="R11" s="94">
        <f>SUMPRODUCT(R7:R10,'Parameters, general'!$B$24:$B$27)</f>
        <v>40.879067668087998</v>
      </c>
      <c r="S11" s="94">
        <f>SUMPRODUCT(S7:S10,'Parameters, general'!$B$24:$B$27)</f>
        <v>419.98119884854361</v>
      </c>
      <c r="T11" s="94">
        <f>SUMPRODUCT(T7:T10,'Parameters, general'!$B$24:$B$27)</f>
        <v>195.51489902882466</v>
      </c>
      <c r="U11" s="94"/>
      <c r="V11" s="94"/>
      <c r="W11" s="94">
        <f>SUMPRODUCT(W7:W10,'Parameters, general'!$B$24:$B$27)</f>
        <v>1.1684572083819238</v>
      </c>
      <c r="X11" s="94">
        <f>SUMPRODUCT(X7:X10,'Parameters, general'!$B$24:$B$27)</f>
        <v>0.79928229909133885</v>
      </c>
    </row>
    <row r="12" spans="1:24" ht="15" customHeight="1" x14ac:dyDescent="0.2">
      <c r="A12" s="74"/>
      <c r="B12" s="74" t="s">
        <v>721</v>
      </c>
      <c r="C12" s="75" t="s">
        <v>37</v>
      </c>
      <c r="D12" s="58" t="s">
        <v>45</v>
      </c>
      <c r="E12" s="58" t="s">
        <v>46</v>
      </c>
      <c r="F12" s="97" t="s">
        <v>40</v>
      </c>
      <c r="G12" s="78">
        <f>SUM(H12:X12)</f>
        <v>167.25356158513981</v>
      </c>
      <c r="H12" s="78">
        <f>'GHG detailed, absolute'!H12/Production!$C$13*AF_calves_FR</f>
        <v>26.211513096046421</v>
      </c>
      <c r="I12" s="78">
        <f>'GHG detailed, absolute'!I12/Production!$C$13*AF_calves_FR</f>
        <v>21.680979435430793</v>
      </c>
      <c r="J12" s="78"/>
      <c r="K12" s="78"/>
      <c r="L12" s="78">
        <f>'GHG detailed, absolute'!L12/Production!$C$13*AF_calves_FR</f>
        <v>15.765661086743458</v>
      </c>
      <c r="M12" s="78"/>
      <c r="N12" s="78">
        <f>'GHG detailed, absolute'!N12/Production!$C$13*AF_calves_FR</f>
        <v>0.31841272170168361</v>
      </c>
      <c r="O12" s="78">
        <f>'GHG detailed, absolute'!O12/Production!$C$13*AF_calves_FR</f>
        <v>8.6896148538781368</v>
      </c>
      <c r="P12" s="78">
        <f>'GHG detailed, absolute'!P12/Production!$C$13*AF_calves_FR</f>
        <v>13.722911862049049</v>
      </c>
      <c r="Q12" s="78">
        <f>'GHG detailed, absolute'!Q12/Production!$C$13*AF_calves_FR</f>
        <v>32.610287957034828</v>
      </c>
      <c r="R12" s="78">
        <f>'GHG detailed, absolute'!R12/Production!$C$13*AF_calves_FR</f>
        <v>32.610287957034828</v>
      </c>
      <c r="S12" s="79"/>
      <c r="T12" s="80"/>
      <c r="U12" s="81"/>
      <c r="V12" s="81"/>
      <c r="W12" s="79">
        <f>'GHG detailed, absolute'!W12/Production!$C$13*AF_calves_FR</f>
        <v>15.251196416239072</v>
      </c>
      <c r="X12" s="98">
        <f>'GHG detailed, absolute'!X12/Production!$C$13*AF_calves_FR</f>
        <v>0.39269619898151725</v>
      </c>
    </row>
    <row r="13" spans="1:24" x14ac:dyDescent="0.2">
      <c r="A13" s="23"/>
      <c r="B13" s="23" t="s">
        <v>721</v>
      </c>
      <c r="C13" s="18" t="s">
        <v>37</v>
      </c>
      <c r="D13" s="58" t="s">
        <v>45</v>
      </c>
      <c r="E13" s="58" t="s">
        <v>46</v>
      </c>
      <c r="F13" s="23" t="s">
        <v>41</v>
      </c>
      <c r="G13" s="83">
        <f>SUM(H13:X13)</f>
        <v>0.86016748554913458</v>
      </c>
      <c r="H13" s="56">
        <f>'GHG detailed, absolute'!H13/Production!$C$13*AF_calves_FR</f>
        <v>1.465507964087988E-2</v>
      </c>
      <c r="I13" s="99">
        <f>'GHG detailed, absolute'!I13/Production!$C$13*AF_calves_FR</f>
        <v>7.6284927643182412E-2</v>
      </c>
      <c r="J13" s="99"/>
      <c r="K13" s="99"/>
      <c r="L13" s="99">
        <f>'GHG detailed, absolute'!L13/Production!$C$13*AF_calves_FR</f>
        <v>6.9836562479871234E-3</v>
      </c>
      <c r="M13" s="99"/>
      <c r="N13" s="99">
        <f>'GHG detailed, absolute'!N13/Production!$C$13*AF_calves_FR</f>
        <v>1.0007685510641283E-3</v>
      </c>
      <c r="O13" s="99">
        <f>'GHG detailed, absolute'!O13/Production!$C$13*AF_calves_FR</f>
        <v>4.9241509683939028E-3</v>
      </c>
      <c r="P13" s="99">
        <f>'GHG detailed, absolute'!P13/Production!$C$13*AF_calves_FR</f>
        <v>0</v>
      </c>
      <c r="Q13" s="99">
        <f>'GHG detailed, absolute'!Q13/Production!$C$13*AF_calves_FR</f>
        <v>0.35375288073246985</v>
      </c>
      <c r="R13" s="99">
        <f>'GHG detailed, absolute'!R13/Production!$C$13*AF_calves_FR</f>
        <v>0.35375288073246985</v>
      </c>
      <c r="W13" s="13">
        <f>'GHG detailed, absolute'!W13/Production!$C$13*AF_calves_FR</f>
        <v>4.7283410956427567E-2</v>
      </c>
      <c r="X13" s="15">
        <f>'GHG detailed, absolute'!X13/Production!$C$13*AF_calves_FR</f>
        <v>1.5297300762599319E-3</v>
      </c>
    </row>
    <row r="14" spans="1:24" x14ac:dyDescent="0.2">
      <c r="A14" s="23"/>
      <c r="B14" s="23" t="s">
        <v>721</v>
      </c>
      <c r="C14" s="18" t="s">
        <v>37</v>
      </c>
      <c r="D14" s="58" t="s">
        <v>45</v>
      </c>
      <c r="E14" s="58" t="s">
        <v>46</v>
      </c>
      <c r="F14" s="23" t="s">
        <v>42</v>
      </c>
      <c r="G14" s="83">
        <f>SUM(H14:T14)</f>
        <v>19.291350239400916</v>
      </c>
      <c r="H14" s="56"/>
      <c r="I14" s="99"/>
      <c r="J14" s="99"/>
      <c r="K14" s="99"/>
      <c r="L14" s="99"/>
      <c r="M14" s="99"/>
      <c r="N14" s="99"/>
      <c r="O14" s="99"/>
      <c r="P14" s="99"/>
      <c r="Q14" s="99"/>
      <c r="R14" s="99"/>
      <c r="S14" s="13">
        <f>'GHG detailed, absolute'!S14/Production!$C$13*AF_calves_FR</f>
        <v>17.332565703148184</v>
      </c>
      <c r="T14" s="53">
        <f>'GHG detailed, absolute'!T14/Production!$C$13*AF_calves_FR</f>
        <v>1.9587845362527314</v>
      </c>
      <c r="U14" s="86">
        <f>'GHG detailed, absolute'!U14/Production!$C$13*AF_calves_FR</f>
        <v>1.9587845362527314</v>
      </c>
      <c r="W14" s="13"/>
      <c r="X14" s="15"/>
    </row>
    <row r="15" spans="1:24" ht="15" customHeight="1" x14ac:dyDescent="0.2">
      <c r="A15" s="23"/>
      <c r="B15" s="23" t="s">
        <v>721</v>
      </c>
      <c r="C15" s="18" t="s">
        <v>37</v>
      </c>
      <c r="D15" s="58" t="s">
        <v>45</v>
      </c>
      <c r="E15" s="58" t="s">
        <v>46</v>
      </c>
      <c r="F15" s="87" t="s">
        <v>43</v>
      </c>
      <c r="G15" s="83">
        <f>SUM(H15:T15)+W15+X15</f>
        <v>0.63720595408883551</v>
      </c>
      <c r="H15" s="56">
        <f>'GHG detailed, absolute'!H15/Production!$C$13*AF_calves_FR</f>
        <v>2.2374141228028426E-2</v>
      </c>
      <c r="I15" s="84">
        <f>'GHG detailed, absolute'!I15/Production!$C$13*AF_calves_FR</f>
        <v>8.8329916218421749E-4</v>
      </c>
      <c r="J15" s="84">
        <f>'GHG detailed, absolute'!J15/Production!$C$13*AF_calves_FR</f>
        <v>0.32917267771371789</v>
      </c>
      <c r="K15" s="84">
        <f>'GHG detailed, absolute'!K15/Production!$C$13*AF_calves_FR</f>
        <v>3.2917267771371793E-2</v>
      </c>
      <c r="L15" s="84">
        <f>'GHG detailed, absolute'!L15/Production!$C$13*AF_calves_FR</f>
        <v>4.2362946018119954E-4</v>
      </c>
      <c r="M15" s="84"/>
      <c r="N15" s="84">
        <f>'GHG detailed, absolute'!N15/Production!$C$13*AF_calves_FR</f>
        <v>1.3406140156730953E-5</v>
      </c>
      <c r="O15" s="84">
        <f>'GHG detailed, absolute'!O15/Production!$C$13*AF_calves_FR</f>
        <v>3.2507185546821056E-4</v>
      </c>
      <c r="P15" s="84">
        <f>'GHG detailed, absolute'!P15/Production!$C$13*AF_calves_FR</f>
        <v>0</v>
      </c>
      <c r="Q15" s="84">
        <f>'GHG detailed, absolute'!Q15/Production!$C$13*AF_calves_FR</f>
        <v>3.2305544562680838E-2</v>
      </c>
      <c r="R15" s="84">
        <f>'GHG detailed, absolute'!R15/Production!$C$13*AF_calves_FR</f>
        <v>3.2305544562680838E-2</v>
      </c>
      <c r="S15" s="13"/>
      <c r="T15" s="53">
        <f>'GHG detailed, absolute'!T15/Production!$C$13*AF_calves_FR</f>
        <v>0.18503274703859179</v>
      </c>
      <c r="U15" s="88">
        <f>'GHG detailed, absolute'!U15/Production!$C$13*AF_calves_FR</f>
        <v>0.12852411913785075</v>
      </c>
      <c r="V15" s="88">
        <f>'GHG detailed, absolute'!V15/Production!$C$13*AF_calves_FR</f>
        <v>5.6508627900741057E-2</v>
      </c>
      <c r="W15" s="13">
        <f>'GHG detailed, absolute'!W15/Production!$C$13*AF_calves_FR</f>
        <v>1.4293757881225361E-3</v>
      </c>
      <c r="X15" s="15">
        <f>'GHG detailed, absolute'!X15/Production!$C$13*AF_calves_FR</f>
        <v>2.3248805651085658E-5</v>
      </c>
    </row>
    <row r="16" spans="1:24" ht="15" customHeight="1" x14ac:dyDescent="0.2">
      <c r="A16" s="89"/>
      <c r="B16" s="89" t="s">
        <v>721</v>
      </c>
      <c r="C16" s="90" t="s">
        <v>37</v>
      </c>
      <c r="D16" s="100" t="s">
        <v>45</v>
      </c>
      <c r="E16" s="100" t="s">
        <v>46</v>
      </c>
      <c r="F16" s="101" t="s">
        <v>44</v>
      </c>
      <c r="G16" s="102">
        <f>SUM(H16:X16)</f>
        <v>887.71023458458092</v>
      </c>
      <c r="H16" s="94">
        <f>SUMPRODUCT(H12:H15,'Parameters, general'!$B$24:$B$27)</f>
        <v>32.756375024596402</v>
      </c>
      <c r="I16" s="94">
        <f>SUMPRODUCT(I12:I15,'Parameters, general'!$B$24:$B$27)</f>
        <v>24.195410950473921</v>
      </c>
      <c r="J16" s="94">
        <f>SUMPRODUCT(J12:J15,'Parameters, general'!$B$24:$B$27)</f>
        <v>89.864141015844979</v>
      </c>
      <c r="K16" s="94">
        <f>SUMPRODUCT(K12:K15,'Parameters, general'!$B$24:$B$27)</f>
        <v>8.9864141015844989</v>
      </c>
      <c r="L16" s="94">
        <f>SUMPRODUCT(L12:L15,'Parameters, general'!$B$24:$B$27)</f>
        <v>16.089424885562941</v>
      </c>
      <c r="M16" s="94">
        <f>SUMPRODUCT(M12:M15,'Parameters, general'!$B$24:$B$27)</f>
        <v>0</v>
      </c>
      <c r="N16" s="94">
        <f>SUMPRODUCT(N12:N15,'Parameters, general'!$B$24:$B$27)</f>
        <v>0.3518955007861822</v>
      </c>
      <c r="O16" s="94">
        <f>SUMPRODUCT(O12:O15,'Parameters, general'!$B$24:$B$27)</f>
        <v>8.9250991692790969</v>
      </c>
      <c r="P16" s="94">
        <f>SUMPRODUCT(P12:P15,'Parameters, general'!$B$24:$B$27)</f>
        <v>13.722911862049049</v>
      </c>
      <c r="Q16" s="94">
        <f>SUMPRODUCT(Q12:Q15,'Parameters, general'!$B$24:$B$27)</f>
        <v>51.971537468474303</v>
      </c>
      <c r="R16" s="94">
        <f>SUMPRODUCT(R12:R15,'Parameters, general'!$B$24:$B$27)</f>
        <v>51.971537468474303</v>
      </c>
      <c r="S16" s="94">
        <f>SUMPRODUCT(S12:S15,'Parameters, general'!$B$24:$B$27)</f>
        <v>467.97927398500099</v>
      </c>
      <c r="T16" s="94">
        <f>SUMPRODUCT(T12:T15,'Parameters, general'!$B$24:$B$27)</f>
        <v>103.40112242035931</v>
      </c>
      <c r="U16" s="94"/>
      <c r="V16" s="94"/>
      <c r="W16" s="94">
        <f>SUMPRODUCT(W12:W15,'Parameters, general'!$B$24:$B$27)</f>
        <v>17.050461652898068</v>
      </c>
      <c r="X16" s="94">
        <f>SUMPRODUCT(X12:X15,'Parameters, general'!$B$24:$B$27)</f>
        <v>0.44462907919680961</v>
      </c>
    </row>
    <row r="17" spans="1:24" ht="15" customHeight="1" x14ac:dyDescent="0.2">
      <c r="A17" s="74"/>
      <c r="B17" s="74" t="s">
        <v>721</v>
      </c>
      <c r="C17" s="75" t="s">
        <v>37</v>
      </c>
      <c r="D17" s="76" t="s">
        <v>47</v>
      </c>
      <c r="E17" s="76" t="s">
        <v>48</v>
      </c>
      <c r="F17" s="77" t="s">
        <v>40</v>
      </c>
      <c r="G17" s="78">
        <f>SUM(H17:X17)</f>
        <v>237.48502735562244</v>
      </c>
      <c r="H17" s="78">
        <f>'GHG detailed, absolute'!H17/Production!$D$13*AF_calves_DE</f>
        <v>19.263065435424235</v>
      </c>
      <c r="I17" s="78">
        <f>'GHG detailed, absolute'!I17/Production!$D$13*AF_calves_DE</f>
        <v>20.996958671905197</v>
      </c>
      <c r="J17" s="78"/>
      <c r="K17" s="78"/>
      <c r="L17" s="78">
        <f>'GHG detailed, absolute'!L17/Production!$D$13*AF_calves_DE</f>
        <v>13.24043522955094</v>
      </c>
      <c r="M17" s="78"/>
      <c r="N17" s="78">
        <f>'GHG detailed, absolute'!N17/Production!$D$13*AF_calves_DE</f>
        <v>2.8035098066347422E-2</v>
      </c>
      <c r="O17" s="78">
        <f>'GHG detailed, absolute'!O17/Production!$D$13*AF_calves_DE</f>
        <v>4.0269709697439104</v>
      </c>
      <c r="P17" s="78">
        <f>'GHG detailed, absolute'!P17/Production!$D$13*AF_calves_DE</f>
        <v>17.092195810523076</v>
      </c>
      <c r="Q17" s="78">
        <f>'GHG detailed, absolute'!Q17/Production!$D$13*AF_calves_DE</f>
        <v>38.924999075666925</v>
      </c>
      <c r="R17" s="78">
        <f>'GHG detailed, absolute'!R17/Production!$D$13*AF_calves_DE</f>
        <v>38.924999075666925</v>
      </c>
      <c r="S17" s="79"/>
      <c r="T17" s="80"/>
      <c r="U17" s="81"/>
      <c r="V17" s="81"/>
      <c r="W17" s="79">
        <f>'GHG detailed, absolute'!W17/Production!$D$13*AF_calves_DE</f>
        <v>84.079111894709428</v>
      </c>
      <c r="X17" s="82">
        <f>'GHG detailed, absolute'!X17/Production!$D$13*AF_calves_DE</f>
        <v>0.90825609436545118</v>
      </c>
    </row>
    <row r="18" spans="1:24" x14ac:dyDescent="0.2">
      <c r="A18" s="23"/>
      <c r="B18" s="23" t="s">
        <v>721</v>
      </c>
      <c r="C18" s="18" t="s">
        <v>37</v>
      </c>
      <c r="D18" s="58" t="s">
        <v>47</v>
      </c>
      <c r="E18" s="58" t="s">
        <v>48</v>
      </c>
      <c r="F18" s="23" t="s">
        <v>41</v>
      </c>
      <c r="G18" s="83">
        <f>SUM(H18:X18)</f>
        <v>0.94514903692049379</v>
      </c>
      <c r="H18" s="56">
        <f>'GHG detailed, absolute'!H18/Production!$D$13*AF_calves_DE</f>
        <v>1.7807794863160319E-2</v>
      </c>
      <c r="I18" s="56">
        <f>'GHG detailed, absolute'!I18/Production!$D$13*AF_calves_DE</f>
        <v>7.3878187919666438E-2</v>
      </c>
      <c r="J18" s="56"/>
      <c r="K18" s="56"/>
      <c r="L18" s="56">
        <f>'GHG detailed, absolute'!L18/Production!$D$13*AF_calves_DE</f>
        <v>5.8650663431216851E-3</v>
      </c>
      <c r="M18" s="56"/>
      <c r="N18" s="56">
        <f>'GHG detailed, absolute'!N18/Production!$D$13*AF_calves_DE</f>
        <v>9.2255655668915405E-5</v>
      </c>
      <c r="O18" s="56">
        <f>'GHG detailed, absolute'!O18/Production!$D$13*AF_calves_DE</f>
        <v>2.7035388147653764E-3</v>
      </c>
      <c r="P18" s="56">
        <f>'GHG detailed, absolute'!P18/Production!$D$13*AF_calves_DE</f>
        <v>0</v>
      </c>
      <c r="Q18" s="56">
        <f>'GHG detailed, absolute'!Q18/Production!$D$13*AF_calves_DE</f>
        <v>0.34088593938872797</v>
      </c>
      <c r="R18" s="56">
        <f>'GHG detailed, absolute'!R18/Production!$D$13*AF_calves_DE</f>
        <v>0.34088593938872797</v>
      </c>
      <c r="W18" s="13">
        <f>'GHG detailed, absolute'!W18/Production!$D$13*AF_calves_DE</f>
        <v>0.1608341022671757</v>
      </c>
      <c r="X18" s="53">
        <f>'GHG detailed, absolute'!X18/Production!$D$13*AF_calves_DE</f>
        <v>2.1962122794793692E-3</v>
      </c>
    </row>
    <row r="19" spans="1:24" x14ac:dyDescent="0.2">
      <c r="A19" s="23"/>
      <c r="B19" s="23" t="s">
        <v>721</v>
      </c>
      <c r="C19" s="18" t="s">
        <v>37</v>
      </c>
      <c r="D19" s="58" t="s">
        <v>47</v>
      </c>
      <c r="E19" s="58" t="s">
        <v>48</v>
      </c>
      <c r="F19" s="23" t="s">
        <v>42</v>
      </c>
      <c r="G19" s="83">
        <f>SUM(H19:T19)</f>
        <v>19.122405113655141</v>
      </c>
      <c r="H19" s="56"/>
      <c r="I19" s="56"/>
      <c r="J19" s="85"/>
      <c r="K19" s="56"/>
      <c r="L19" s="56"/>
      <c r="M19" s="56"/>
      <c r="N19" s="56"/>
      <c r="O19" s="56"/>
      <c r="P19" s="56"/>
      <c r="Q19" s="56"/>
      <c r="R19" s="56"/>
      <c r="S19" s="13">
        <f>'GHG detailed, absolute'!S19/Production!$D$13*AF_calves_DE</f>
        <v>16.161108232191996</v>
      </c>
      <c r="T19" s="53">
        <f>'GHG detailed, absolute'!T19/Production!$D$13*AF_calves_DE</f>
        <v>2.9612968814631437</v>
      </c>
      <c r="U19" s="86">
        <f>'GHG detailed, absolute'!U19/Production!$D$13*AF_calves_DE</f>
        <v>2.9612968814631437</v>
      </c>
      <c r="W19" s="13"/>
      <c r="X19" s="53"/>
    </row>
    <row r="20" spans="1:24" ht="15" customHeight="1" x14ac:dyDescent="0.2">
      <c r="A20" s="23"/>
      <c r="B20" s="23" t="s">
        <v>721</v>
      </c>
      <c r="C20" s="18" t="s">
        <v>37</v>
      </c>
      <c r="D20" s="58" t="s">
        <v>47</v>
      </c>
      <c r="E20" s="58" t="s">
        <v>48</v>
      </c>
      <c r="F20" s="87" t="s">
        <v>43</v>
      </c>
      <c r="G20" s="83">
        <f>SUM(H20:T20)+W20+X20</f>
        <v>0.53871305526829849</v>
      </c>
      <c r="H20" s="56">
        <f>'GHG detailed, absolute'!H20/Production!$D$13*AF_calves_DE</f>
        <v>2.3812521081664595E-2</v>
      </c>
      <c r="I20" s="56">
        <f>'GHG detailed, absolute'!I20/Production!$D$13*AF_calves_DE</f>
        <v>8.5543164959613798E-4</v>
      </c>
      <c r="J20" s="56">
        <f>'GHG detailed, absolute'!J20/Production!$D$13*AF_calves_DE</f>
        <v>0.23193974446725343</v>
      </c>
      <c r="K20" s="84">
        <f>'GHG detailed, absolute'!K20/Production!$D$13*AF_calves_DE</f>
        <v>2.3193974446725347E-2</v>
      </c>
      <c r="L20" s="56">
        <f>'GHG detailed, absolute'!L20/Production!$D$13*AF_calves_DE</f>
        <v>3.5577565685305498E-4</v>
      </c>
      <c r="M20" s="56"/>
      <c r="N20" s="56">
        <f>'GHG detailed, absolute'!N20/Production!$D$13*AF_calves_DE</f>
        <v>1.1609754087557225E-6</v>
      </c>
      <c r="O20" s="56">
        <f>'GHG detailed, absolute'!O20/Production!$D$13*AF_calves_DE</f>
        <v>1.4419649455864368E-4</v>
      </c>
      <c r="P20" s="56">
        <f>'GHG detailed, absolute'!P20/Production!$D$13*AF_calves_DE</f>
        <v>0</v>
      </c>
      <c r="Q20" s="56">
        <f>'GHG detailed, absolute'!Q20/Production!$D$13*AF_calves_DE</f>
        <v>3.063861171349426E-2</v>
      </c>
      <c r="R20" s="56">
        <f>'GHG detailed, absolute'!R20/Production!$D$13*AF_calves_DE</f>
        <v>3.063861171349426E-2</v>
      </c>
      <c r="S20" s="13"/>
      <c r="T20" s="53">
        <f>'GHG detailed, absolute'!T20/Production!$D$13*AF_calves_DE</f>
        <v>0.19332889255014232</v>
      </c>
      <c r="U20" s="88">
        <f>'GHG detailed, absolute'!U20/Production!$D$13*AF_calves_DE</f>
        <v>0.11555890473267222</v>
      </c>
      <c r="V20" s="88">
        <f>'GHG detailed, absolute'!V20/Production!$D$13*AF_calves_DE</f>
        <v>7.7769987817470132E-2</v>
      </c>
      <c r="W20" s="13">
        <f>'GHG detailed, absolute'!W20/Production!$D$13*AF_calves_DE</f>
        <v>3.7656645490038256E-3</v>
      </c>
      <c r="X20" s="53">
        <f>'GHG detailed, absolute'!X20/Production!$D$13*AF_calves_DE</f>
        <v>3.8469970103863336E-5</v>
      </c>
    </row>
    <row r="21" spans="1:24" ht="15" customHeight="1" x14ac:dyDescent="0.2">
      <c r="A21" s="89"/>
      <c r="B21" s="89" t="s">
        <v>721</v>
      </c>
      <c r="C21" s="90" t="s">
        <v>37</v>
      </c>
      <c r="D21" s="91" t="s">
        <v>47</v>
      </c>
      <c r="E21" s="91" t="s">
        <v>48</v>
      </c>
      <c r="F21" s="92" t="s">
        <v>44</v>
      </c>
      <c r="G21" s="102">
        <f>SUM(H21:X21)</f>
        <v>929.02407081278739</v>
      </c>
      <c r="H21" s="94">
        <f>SUMPRODUCT(H17:H20,'Parameters, general'!$B$24:$B$27)</f>
        <v>26.294555977640844</v>
      </c>
      <c r="I21" s="94">
        <f>SUMPRODUCT(I17:I20,'Parameters, general'!$B$24:$B$27)</f>
        <v>23.432061512251003</v>
      </c>
      <c r="J21" s="94">
        <f>SUMPRODUCT(J17:J20,'Parameters, general'!$B$24:$B$27)</f>
        <v>63.319550239560186</v>
      </c>
      <c r="K21" s="94">
        <f>SUMPRODUCT(K17:K20,'Parameters, general'!$B$24:$B$27)</f>
        <v>6.3319550239560201</v>
      </c>
      <c r="L21" s="94">
        <f>SUMPRODUCT(L17:L20,'Parameters, general'!$B$24:$B$27)</f>
        <v>13.51234096089685</v>
      </c>
      <c r="M21" s="94">
        <f>SUMPRODUCT(M17:M20,'Parameters, general'!$B$24:$B$27)</f>
        <v>0</v>
      </c>
      <c r="N21" s="94">
        <f>SUMPRODUCT(N17:N20,'Parameters, general'!$B$24:$B$27)</f>
        <v>3.1101262891871415E-2</v>
      </c>
      <c r="O21" s="94">
        <f>SUMPRODUCT(O17:O20,'Parameters, general'!$B$24:$B$27)</f>
        <v>4.1469020694384282</v>
      </c>
      <c r="P21" s="94">
        <f>SUMPRODUCT(P17:P20,'Parameters, general'!$B$24:$B$27)</f>
        <v>17.092195810523076</v>
      </c>
      <c r="Q21" s="94">
        <f>SUMPRODUCT(Q17:Q20,'Parameters, general'!$B$24:$B$27)</f>
        <v>57.447741067234951</v>
      </c>
      <c r="R21" s="94">
        <f>SUMPRODUCT(R17:R20,'Parameters, general'!$B$24:$B$27)</f>
        <v>57.447741067234951</v>
      </c>
      <c r="S21" s="94">
        <f>SUMPRODUCT(S17:S20,'Parameters, general'!$B$24:$B$27)</f>
        <v>436.34992226918388</v>
      </c>
      <c r="T21" s="94">
        <f>SUMPRODUCT(T17:T20,'Parameters, general'!$B$24:$B$27)</f>
        <v>132.73380346569374</v>
      </c>
      <c r="U21" s="94"/>
      <c r="V21" s="94"/>
      <c r="W21" s="94">
        <f>SUMPRODUCT(W17:W20,'Parameters, general'!$B$24:$B$27)</f>
        <v>89.89999456414931</v>
      </c>
      <c r="X21" s="94">
        <f>SUMPRODUCT(X17:X20,'Parameters, general'!$B$24:$B$27)</f>
        <v>0.98420552213229107</v>
      </c>
    </row>
    <row r="22" spans="1:24" ht="15" customHeight="1" x14ac:dyDescent="0.2">
      <c r="A22" s="74"/>
      <c r="B22" s="74" t="s">
        <v>721</v>
      </c>
      <c r="C22" s="75" t="s">
        <v>37</v>
      </c>
      <c r="D22" s="58" t="s">
        <v>49</v>
      </c>
      <c r="E22" s="58" t="s">
        <v>50</v>
      </c>
      <c r="F22" s="97" t="s">
        <v>40</v>
      </c>
      <c r="G22" s="78">
        <f>SUM(H22:X22)</f>
        <v>384.17498399748831</v>
      </c>
      <c r="H22" s="78">
        <f>'GHG detailed, absolute'!H22/Production!$E$13*AF_calves_GR</f>
        <v>51.168118308851518</v>
      </c>
      <c r="I22" s="78">
        <f>'GHG detailed, absolute'!I22/Production!$E$13*AF_calves_GR</f>
        <v>21.442559968074619</v>
      </c>
      <c r="J22" s="78"/>
      <c r="K22" s="78"/>
      <c r="L22" s="78">
        <f>'GHG detailed, absolute'!L22/Production!$E$13*AF_calves_GR</f>
        <v>28.302315957775953</v>
      </c>
      <c r="M22" s="78"/>
      <c r="N22" s="78">
        <f>'GHG detailed, absolute'!N22/Production!$E$13*AF_calves_GR</f>
        <v>3.5535034485150927</v>
      </c>
      <c r="O22" s="78">
        <f>'GHG detailed, absolute'!O22/Production!$E$13*AF_calves_GR</f>
        <v>17.405809215705577</v>
      </c>
      <c r="P22" s="78">
        <f>'GHG detailed, absolute'!P22/Production!$E$13*AF_calves_GR</f>
        <v>22.905990194013111</v>
      </c>
      <c r="Q22" s="78">
        <f>'GHG detailed, absolute'!Q22/Production!$E$13*AF_calves_GR</f>
        <v>47.435404238329575</v>
      </c>
      <c r="R22" s="78">
        <f>'GHG detailed, absolute'!R22/Production!$E$13*AF_calves_GR</f>
        <v>47.435404238329575</v>
      </c>
      <c r="S22" s="79"/>
      <c r="T22" s="80"/>
      <c r="U22" s="81"/>
      <c r="V22" s="81"/>
      <c r="W22" s="79">
        <f>'GHG detailed, absolute'!W22/Production!$E$13*AF_calves_GR</f>
        <v>143.20322835083917</v>
      </c>
      <c r="X22" s="82">
        <f>'GHG detailed, absolute'!X22/Production!$E$13*AF_calves_GR</f>
        <v>1.3226500770541854</v>
      </c>
    </row>
    <row r="23" spans="1:24" x14ac:dyDescent="0.2">
      <c r="A23" s="23"/>
      <c r="B23" s="23" t="s">
        <v>721</v>
      </c>
      <c r="C23" s="18" t="s">
        <v>37</v>
      </c>
      <c r="D23" s="58" t="s">
        <v>49</v>
      </c>
      <c r="E23" s="58" t="s">
        <v>50</v>
      </c>
      <c r="F23" s="23" t="s">
        <v>41</v>
      </c>
      <c r="G23" s="83">
        <f>SUM(H23:X23)</f>
        <v>0.95117251820452242</v>
      </c>
      <c r="H23" s="56">
        <f>'GHG detailed, absolute'!H23/Production!$E$13*AF_calves_GR</f>
        <v>1.0748174082703028E-3</v>
      </c>
      <c r="I23" s="56">
        <f>'GHG detailed, absolute'!I23/Production!$E$13*AF_calves_GR</f>
        <v>7.5446044332114423E-2</v>
      </c>
      <c r="J23" s="56"/>
      <c r="K23" s="56"/>
      <c r="L23" s="56">
        <f>'GHG detailed, absolute'!L23/Production!$E$13*AF_calves_GR</f>
        <v>1.2536971623551184E-2</v>
      </c>
      <c r="M23" s="56"/>
      <c r="N23" s="56">
        <f>'GHG detailed, absolute'!N23/Production!$E$13*AF_calves_GR</f>
        <v>1.0820701508600879E-2</v>
      </c>
      <c r="O23" s="56">
        <f>'GHG detailed, absolute'!O23/Production!$E$13*AF_calves_GR</f>
        <v>1.4280598548358661E-2</v>
      </c>
      <c r="P23" s="56">
        <f>'GHG detailed, absolute'!P23/Production!$E$13*AF_calves_GR</f>
        <v>0</v>
      </c>
      <c r="Q23" s="56">
        <f>'GHG detailed, absolute'!Q23/Production!$E$13*AF_calves_GR</f>
        <v>0.27480608375120846</v>
      </c>
      <c r="R23" s="56">
        <f>'GHG detailed, absolute'!R23/Production!$E$13*AF_calves_GR</f>
        <v>0.27480608375120846</v>
      </c>
      <c r="W23" s="13">
        <f>'GHG detailed, absolute'!W23/Production!$E$13*AF_calves_GR</f>
        <v>0.28427848263322242</v>
      </c>
      <c r="X23" s="53">
        <f>'GHG detailed, absolute'!X23/Production!$E$13*AF_calves_GR</f>
        <v>3.1227346479876053E-3</v>
      </c>
    </row>
    <row r="24" spans="1:24" x14ac:dyDescent="0.2">
      <c r="A24" s="23"/>
      <c r="B24" s="23" t="s">
        <v>721</v>
      </c>
      <c r="C24" s="18" t="s">
        <v>37</v>
      </c>
      <c r="D24" s="58" t="s">
        <v>49</v>
      </c>
      <c r="E24" s="58" t="s">
        <v>50</v>
      </c>
      <c r="F24" s="23" t="s">
        <v>42</v>
      </c>
      <c r="G24" s="83">
        <f>SUM(H24:T24)</f>
        <v>17.290634435596047</v>
      </c>
      <c r="H24" s="56"/>
      <c r="I24" s="56"/>
      <c r="J24" s="85"/>
      <c r="K24" s="56"/>
      <c r="L24" s="56"/>
      <c r="M24" s="56"/>
      <c r="N24" s="56"/>
      <c r="O24" s="56"/>
      <c r="P24" s="56"/>
      <c r="Q24" s="56"/>
      <c r="R24" s="56"/>
      <c r="S24" s="13">
        <f>'GHG detailed, absolute'!S24/Production!$E$13*AF_calves_GR</f>
        <v>15.803674532504806</v>
      </c>
      <c r="T24" s="53">
        <f>'GHG detailed, absolute'!T24/Production!$E$13*AF_calves_GR</f>
        <v>1.4869599030912413</v>
      </c>
      <c r="U24" s="86">
        <f>'GHG detailed, absolute'!U24/Production!$E$13*AF_calves_GR</f>
        <v>1.4869599030912413</v>
      </c>
      <c r="W24" s="13"/>
      <c r="X24" s="53"/>
    </row>
    <row r="25" spans="1:24" ht="15" customHeight="1" x14ac:dyDescent="0.2">
      <c r="A25" s="23"/>
      <c r="B25" s="23" t="s">
        <v>721</v>
      </c>
      <c r="C25" s="18" t="s">
        <v>37</v>
      </c>
      <c r="D25" s="58" t="s">
        <v>49</v>
      </c>
      <c r="E25" s="58" t="s">
        <v>50</v>
      </c>
      <c r="F25" s="87" t="s">
        <v>43</v>
      </c>
      <c r="G25" s="83">
        <f>SUM(H25:T25)+W25+X25</f>
        <v>0.80281330367407222</v>
      </c>
      <c r="H25" s="56">
        <f>'GHG detailed, absolute'!H25/Production!$E$13*AF_calves_GR</f>
        <v>5.9090174023720956E-3</v>
      </c>
      <c r="I25" s="56">
        <f>'GHG detailed, absolute'!I25/Production!$E$13*AF_calves_GR</f>
        <v>8.7358577647711445E-4</v>
      </c>
      <c r="J25" s="56">
        <f>'GHG detailed, absolute'!J25/Production!$E$13*AF_calves_GR</f>
        <v>0.42546450804587188</v>
      </c>
      <c r="K25" s="84">
        <f>'GHG detailed, absolute'!K25/Production!$E$13*AF_calves_GR</f>
        <v>4.2546450804587188E-2</v>
      </c>
      <c r="L25" s="56">
        <f>'GHG detailed, absolute'!L25/Production!$E$13*AF_calves_GR</f>
        <v>7.6049426440810014E-4</v>
      </c>
      <c r="M25" s="56"/>
      <c r="N25" s="56">
        <f>'GHG detailed, absolute'!N25/Production!$E$13*AF_calves_GR</f>
        <v>1.5124195905099369E-4</v>
      </c>
      <c r="O25" s="56">
        <f>'GHG detailed, absolute'!O25/Production!$E$13*AF_calves_GR</f>
        <v>6.1460697968734705E-4</v>
      </c>
      <c r="P25" s="56">
        <f>'GHG detailed, absolute'!P25/Production!$E$13*AF_calves_GR</f>
        <v>0</v>
      </c>
      <c r="Q25" s="56">
        <f>'GHG detailed, absolute'!Q25/Production!$E$13*AF_calves_GR</f>
        <v>2.1550409761883903E-2</v>
      </c>
      <c r="R25" s="56">
        <f>'GHG detailed, absolute'!R25/Production!$E$13*AF_calves_GR</f>
        <v>2.1550409761883903E-2</v>
      </c>
      <c r="S25" s="13"/>
      <c r="T25" s="53">
        <f>'GHG detailed, absolute'!T25/Production!$E$13*AF_calves_GR</f>
        <v>0.27841949665055871</v>
      </c>
      <c r="U25" s="88">
        <f>'GHG detailed, absolute'!U25/Production!$E$13*AF_calves_GR</f>
        <v>0.20929557257753489</v>
      </c>
      <c r="V25" s="88">
        <f>'GHG detailed, absolute'!V25/Production!$E$13*AF_calves_GR</f>
        <v>6.9123924073023799E-2</v>
      </c>
      <c r="W25" s="13">
        <f>'GHG detailed, absolute'!W25/Production!$E$13*AF_calves_GR</f>
        <v>4.9279896376965993E-3</v>
      </c>
      <c r="X25" s="53">
        <f>'GHG detailed, absolute'!X25/Production!$E$13*AF_calves_GR</f>
        <v>4.5092629594445305E-5</v>
      </c>
    </row>
    <row r="26" spans="1:24" ht="15" customHeight="1" x14ac:dyDescent="0.2">
      <c r="A26" s="89"/>
      <c r="B26" s="89" t="s">
        <v>721</v>
      </c>
      <c r="C26" s="90" t="s">
        <v>37</v>
      </c>
      <c r="D26" s="100" t="s">
        <v>49</v>
      </c>
      <c r="E26" s="100" t="s">
        <v>50</v>
      </c>
      <c r="F26" s="92" t="s">
        <v>44</v>
      </c>
      <c r="G26" s="102">
        <f>SUM(H26:X26)</f>
        <v>1098.5350867040981</v>
      </c>
      <c r="H26" s="94">
        <f>SUMPRODUCT(H22:H25,'Parameters, general'!$B$24:$B$27)</f>
        <v>52.813309618465553</v>
      </c>
      <c r="I26" s="94">
        <f>SUMPRODUCT(I22:I25,'Parameters, general'!$B$24:$B$27)</f>
        <v>23.92934100614988</v>
      </c>
      <c r="J26" s="94">
        <f>SUMPRODUCT(J22:J25,'Parameters, general'!$B$24:$B$27)</f>
        <v>116.15181069652303</v>
      </c>
      <c r="K26" s="94">
        <f>SUMPRODUCT(K22:K25,'Parameters, general'!$B$24:$B$27)</f>
        <v>11.615181069652301</v>
      </c>
      <c r="L26" s="94">
        <f>SUMPRODUCT(L22:L25,'Parameters, general'!$B$24:$B$27)</f>
        <v>28.883532646341187</v>
      </c>
      <c r="M26" s="94">
        <f>SUMPRODUCT(M22:M25,'Parameters, general'!$B$24:$B$27)</f>
        <v>0</v>
      </c>
      <c r="N26" s="94">
        <f>SUMPRODUCT(N22:N25,'Parameters, general'!$B$24:$B$27)</f>
        <v>3.9172494082923204</v>
      </c>
      <c r="O26" s="94">
        <f>SUMPRODUCT(O22:O25,'Parameters, general'!$B$24:$B$27)</f>
        <v>17.999158757901313</v>
      </c>
      <c r="P26" s="94">
        <f>SUMPRODUCT(P22:P25,'Parameters, general'!$B$24:$B$27)</f>
        <v>22.905990194013111</v>
      </c>
      <c r="Q26" s="94">
        <f>SUMPRODUCT(Q22:Q25,'Parameters, general'!$B$24:$B$27)</f>
        <v>61.50788739910989</v>
      </c>
      <c r="R26" s="94">
        <f>SUMPRODUCT(R22:R25,'Parameters, general'!$B$24:$B$27)</f>
        <v>61.50788739910989</v>
      </c>
      <c r="S26" s="94">
        <f>SUMPRODUCT(S22:S25,'Parameters, general'!$B$24:$B$27)</f>
        <v>426.69921237762975</v>
      </c>
      <c r="T26" s="94">
        <f>SUMPRODUCT(T22:T25,'Parameters, general'!$B$24:$B$27)</f>
        <v>116.15643996906604</v>
      </c>
      <c r="U26" s="94"/>
      <c r="V26" s="94"/>
      <c r="W26" s="94">
        <f>SUMPRODUCT(W22:W25,'Parameters, general'!$B$24:$B$27)</f>
        <v>153.02006830440038</v>
      </c>
      <c r="X26" s="94">
        <f>SUMPRODUCT(X22:X25,'Parameters, general'!$B$24:$B$27)</f>
        <v>1.4280178574434996</v>
      </c>
    </row>
    <row r="27" spans="1:24" ht="15" customHeight="1" x14ac:dyDescent="0.2">
      <c r="A27" s="74"/>
      <c r="B27" s="74" t="s">
        <v>721</v>
      </c>
      <c r="C27" s="75" t="s">
        <v>37</v>
      </c>
      <c r="D27" s="76" t="s">
        <v>51</v>
      </c>
      <c r="E27" s="76" t="s">
        <v>52</v>
      </c>
      <c r="F27" s="77" t="s">
        <v>40</v>
      </c>
      <c r="G27" s="78">
        <f>SUM(H27:X27)</f>
        <v>372.95695075224171</v>
      </c>
      <c r="H27" s="78">
        <f>'GHG detailed, absolute'!H27/Production!$F$13*AF_calves_HU</f>
        <v>29.579879332890719</v>
      </c>
      <c r="I27" s="78">
        <f>'GHG detailed, absolute'!I27/Production!$F$13*AF_calves_HU</f>
        <v>19.601595625099524</v>
      </c>
      <c r="J27" s="78"/>
      <c r="K27" s="78"/>
      <c r="L27" s="78">
        <f>'GHG detailed, absolute'!L27/Production!$F$13*AF_calves_HU</f>
        <v>22.94446811563817</v>
      </c>
      <c r="M27" s="78"/>
      <c r="N27" s="78">
        <f>'GHG detailed, absolute'!N27/Production!$F$13*AF_calves_HU</f>
        <v>9.6540319691147958E-2</v>
      </c>
      <c r="O27" s="78">
        <f>'GHG detailed, absolute'!O27/Production!$F$13*AF_calves_HU</f>
        <v>14.173898460096764</v>
      </c>
      <c r="P27" s="78">
        <f>'GHG detailed, absolute'!P27/Production!$F$13*AF_calves_HU</f>
        <v>31.662866427257782</v>
      </c>
      <c r="Q27" s="78">
        <f>'GHG detailed, absolute'!Q27/Production!$F$13*AF_calves_HU</f>
        <v>88.327875364441297</v>
      </c>
      <c r="R27" s="78">
        <f>'GHG detailed, absolute'!R27/Production!$F$13*AF_calves_HU</f>
        <v>88.327875364441297</v>
      </c>
      <c r="S27" s="79"/>
      <c r="T27" s="80"/>
      <c r="U27" s="81"/>
      <c r="V27" s="81"/>
      <c r="W27" s="79">
        <f>'GHG detailed, absolute'!W27/Production!$F$13*AF_calves_HU</f>
        <v>77.223873302921973</v>
      </c>
      <c r="X27" s="82">
        <f>'GHG detailed, absolute'!X27/Production!$F$13*AF_calves_HU</f>
        <v>1.0180784397630158</v>
      </c>
    </row>
    <row r="28" spans="1:24" x14ac:dyDescent="0.2">
      <c r="A28" s="23"/>
      <c r="B28" s="23" t="s">
        <v>721</v>
      </c>
      <c r="C28" s="18" t="s">
        <v>37</v>
      </c>
      <c r="D28" s="58" t="s">
        <v>51</v>
      </c>
      <c r="E28" s="58" t="s">
        <v>52</v>
      </c>
      <c r="F28" s="23" t="s">
        <v>41</v>
      </c>
      <c r="G28" s="83">
        <f>SUM(H28:X28)</f>
        <v>1.132544190210105</v>
      </c>
      <c r="H28" s="56">
        <f>'GHG detailed, absolute'!H28/Production!$F$13*AF_calves_HU</f>
        <v>1.5638375066098342E-3</v>
      </c>
      <c r="I28" s="56">
        <f>'GHG detailed, absolute'!I28/Production!$F$13*AF_calves_HU</f>
        <v>6.896857719942423E-2</v>
      </c>
      <c r="J28" s="56"/>
      <c r="K28" s="56"/>
      <c r="L28" s="56">
        <f>'GHG detailed, absolute'!L28/Production!$F$13*AF_calves_HU</f>
        <v>1.0163625694532561E-2</v>
      </c>
      <c r="M28" s="56"/>
      <c r="N28" s="56">
        <f>'GHG detailed, absolute'!N28/Production!$F$13*AF_calves_HU</f>
        <v>2.923673454080003E-4</v>
      </c>
      <c r="O28" s="56">
        <f>'GHG detailed, absolute'!O28/Production!$F$13*AF_calves_HU</f>
        <v>1.1548751050442535E-2</v>
      </c>
      <c r="P28" s="56">
        <f>'GHG detailed, absolute'!P28/Production!$F$13*AF_calves_HU</f>
        <v>0</v>
      </c>
      <c r="Q28" s="56">
        <f>'GHG detailed, absolute'!Q28/Production!$F$13*AF_calves_HU</f>
        <v>0.42102213757339602</v>
      </c>
      <c r="R28" s="56">
        <f>'GHG detailed, absolute'!R28/Production!$F$13*AF_calves_HU</f>
        <v>0.42102213757339602</v>
      </c>
      <c r="W28" s="13">
        <f>'GHG detailed, absolute'!W28/Production!$F$13*AF_calves_HU</f>
        <v>0.19497995883914584</v>
      </c>
      <c r="X28" s="53">
        <f>'GHG detailed, absolute'!X28/Production!$F$13*AF_calves_HU</f>
        <v>2.9827974277498396E-3</v>
      </c>
    </row>
    <row r="29" spans="1:24" x14ac:dyDescent="0.2">
      <c r="A29" s="23"/>
      <c r="B29" s="23" t="s">
        <v>721</v>
      </c>
      <c r="C29" s="18" t="s">
        <v>37</v>
      </c>
      <c r="D29" s="58" t="s">
        <v>51</v>
      </c>
      <c r="E29" s="58" t="s">
        <v>52</v>
      </c>
      <c r="F29" s="23" t="s">
        <v>42</v>
      </c>
      <c r="G29" s="83">
        <f>SUM(H29:T29)</f>
        <v>19.199119927494497</v>
      </c>
      <c r="H29" s="56"/>
      <c r="I29" s="56"/>
      <c r="J29" s="85"/>
      <c r="K29" s="56"/>
      <c r="L29" s="56"/>
      <c r="M29" s="56"/>
      <c r="N29" s="56"/>
      <c r="O29" s="56"/>
      <c r="P29" s="56"/>
      <c r="Q29" s="56"/>
      <c r="R29" s="56"/>
      <c r="S29" s="13">
        <f>'GHG detailed, absolute'!S29/Production!$F$13*AF_calves_HU</f>
        <v>16.376119711873727</v>
      </c>
      <c r="T29" s="53">
        <f>'GHG detailed, absolute'!T29/Production!$F$13*AF_calves_HU</f>
        <v>2.8230002156207696</v>
      </c>
      <c r="U29" s="86">
        <f>'GHG detailed, absolute'!U29/Production!$F$13*AF_calves_HU</f>
        <v>2.8230002156207696</v>
      </c>
      <c r="W29" s="13"/>
      <c r="X29" s="53"/>
    </row>
    <row r="30" spans="1:24" ht="15" customHeight="1" x14ac:dyDescent="0.2">
      <c r="A30" s="23"/>
      <c r="B30" s="23" t="s">
        <v>721</v>
      </c>
      <c r="C30" s="18" t="s">
        <v>37</v>
      </c>
      <c r="D30" s="58" t="s">
        <v>51</v>
      </c>
      <c r="E30" s="58" t="s">
        <v>52</v>
      </c>
      <c r="F30" s="87" t="s">
        <v>43</v>
      </c>
      <c r="G30" s="83">
        <f>SUM(H30:T30)+W30+X30</f>
        <v>0.77034323271351879</v>
      </c>
      <c r="H30" s="56">
        <f>'GHG detailed, absolute'!H30/Production!$F$13*AF_calves_HU</f>
        <v>1.2884758127900978E-2</v>
      </c>
      <c r="I30" s="56">
        <f>'GHG detailed, absolute'!I30/Production!$F$13*AF_calves_HU</f>
        <v>7.985835254670174E-4</v>
      </c>
      <c r="J30" s="56">
        <f>'GHG detailed, absolute'!J30/Production!$F$13*AF_calves_HU</f>
        <v>0.35239203538660879</v>
      </c>
      <c r="K30" s="84">
        <f>'GHG detailed, absolute'!K30/Production!$F$13*AF_calves_HU</f>
        <v>3.5239203538660883E-2</v>
      </c>
      <c r="L30" s="56">
        <f>'GHG detailed, absolute'!L30/Production!$F$13*AF_calves_HU</f>
        <v>6.1652680395023576E-4</v>
      </c>
      <c r="M30" s="56"/>
      <c r="N30" s="56">
        <f>'GHG detailed, absolute'!N30/Production!$F$13*AF_calves_HU</f>
        <v>4.1164039562512677E-6</v>
      </c>
      <c r="O30" s="56">
        <f>'GHG detailed, absolute'!O30/Production!$F$13*AF_calves_HU</f>
        <v>5.0480267493514168E-4</v>
      </c>
      <c r="P30" s="56">
        <f>'GHG detailed, absolute'!P30/Production!$F$13*AF_calves_HU</f>
        <v>0</v>
      </c>
      <c r="Q30" s="56">
        <f>'GHG detailed, absolute'!Q30/Production!$F$13*AF_calves_HU</f>
        <v>2.6251555327511951E-2</v>
      </c>
      <c r="R30" s="56">
        <f>'GHG detailed, absolute'!R30/Production!$F$13*AF_calves_HU</f>
        <v>2.6251555327511951E-2</v>
      </c>
      <c r="S30" s="13"/>
      <c r="T30" s="53">
        <f>'GHG detailed, absolute'!T30/Production!$F$13*AF_calves_HU</f>
        <v>0.31265936399732358</v>
      </c>
      <c r="U30" s="88">
        <f>'GHG detailed, absolute'!U30/Production!$F$13*AF_calves_HU</f>
        <v>0.22902427638231215</v>
      </c>
      <c r="V30" s="88">
        <f>'GHG detailed, absolute'!V30/Production!$F$13*AF_calves_HU</f>
        <v>8.3635087615011469E-2</v>
      </c>
      <c r="W30" s="13">
        <f>'GHG detailed, absolute'!W30/Production!$F$13*AF_calves_HU</f>
        <v>2.7056371413711833E-3</v>
      </c>
      <c r="X30" s="53">
        <f>'GHG detailed, absolute'!X30/Production!$F$13*AF_calves_HU</f>
        <v>3.5094458320844445E-5</v>
      </c>
    </row>
    <row r="31" spans="1:24" ht="15" customHeight="1" x14ac:dyDescent="0.2">
      <c r="A31" s="89"/>
      <c r="B31" s="89" t="s">
        <v>721</v>
      </c>
      <c r="C31" s="90" t="s">
        <v>37</v>
      </c>
      <c r="D31" s="91" t="s">
        <v>51</v>
      </c>
      <c r="E31" s="91" t="s">
        <v>52</v>
      </c>
      <c r="F31" s="92" t="s">
        <v>44</v>
      </c>
      <c r="G31" s="102">
        <f>SUM(H31:X31)</f>
        <v>1135.3867081936446</v>
      </c>
      <c r="H31" s="94">
        <f>SUMPRODUCT(H27:H30,'Parameters, general'!$B$24:$B$27)</f>
        <v>33.144020659504662</v>
      </c>
      <c r="I31" s="94">
        <f>SUMPRODUCT(I27:I30,'Parameters, general'!$B$24:$B$27)</f>
        <v>21.874872528094858</v>
      </c>
      <c r="J31" s="94">
        <f>SUMPRODUCT(J27:J30,'Parameters, general'!$B$24:$B$27)</f>
        <v>96.203025660544199</v>
      </c>
      <c r="K31" s="94">
        <f>SUMPRODUCT(K27:K30,'Parameters, general'!$B$24:$B$27)</f>
        <v>9.6203025660544217</v>
      </c>
      <c r="L31" s="94">
        <f>SUMPRODUCT(L27:L30,'Parameters, general'!$B$24:$B$27)</f>
        <v>23.415655978813653</v>
      </c>
      <c r="M31" s="94">
        <f>SUMPRODUCT(M27:M30,'Parameters, general'!$B$24:$B$27)</f>
        <v>0</v>
      </c>
      <c r="N31" s="94">
        <f>SUMPRODUCT(N27:N30,'Parameters, general'!$B$24:$B$27)</f>
        <v>0.10637664486436296</v>
      </c>
      <c r="O31" s="94">
        <f>SUMPRODUCT(O27:O30,'Parameters, general'!$B$24:$B$27)</f>
        <v>14.655862371657244</v>
      </c>
      <c r="P31" s="94">
        <f>SUMPRODUCT(P27:P30,'Parameters, general'!$B$24:$B$27)</f>
        <v>31.662866427257782</v>
      </c>
      <c r="Q31" s="94">
        <f>SUMPRODUCT(Q27:Q30,'Parameters, general'!$B$24:$B$27)</f>
        <v>108.04100966853926</v>
      </c>
      <c r="R31" s="94">
        <f>SUMPRODUCT(R27:R30,'Parameters, general'!$B$24:$B$27)</f>
        <v>108.04100966853926</v>
      </c>
      <c r="S31" s="94">
        <f>SUMPRODUCT(S27:S30,'Parameters, general'!$B$24:$B$27)</f>
        <v>442.15523222059062</v>
      </c>
      <c r="T31" s="94">
        <f>SUMPRODUCT(T27:T30,'Parameters, general'!$B$24:$B$27)</f>
        <v>161.5770121930301</v>
      </c>
      <c r="U31" s="94"/>
      <c r="V31" s="94"/>
      <c r="W31" s="94">
        <f>SUMPRODUCT(W27:W30,'Parameters, general'!$B$24:$B$27)</f>
        <v>83.772915015922862</v>
      </c>
      <c r="X31" s="94">
        <f>SUMPRODUCT(X27:X30,'Parameters, general'!$B$24:$B$27)</f>
        <v>1.1165465902315515</v>
      </c>
    </row>
    <row r="32" spans="1:24" ht="15" customHeight="1" x14ac:dyDescent="0.2">
      <c r="A32" s="74"/>
      <c r="B32" s="74" t="s">
        <v>721</v>
      </c>
      <c r="C32" s="75" t="s">
        <v>37</v>
      </c>
      <c r="D32" s="76" t="s">
        <v>53</v>
      </c>
      <c r="E32" s="76" t="s">
        <v>54</v>
      </c>
      <c r="F32" s="77" t="s">
        <v>40</v>
      </c>
      <c r="G32" s="78">
        <f>SUM(H32:X32)</f>
        <v>124.08961966722116</v>
      </c>
      <c r="H32" s="78">
        <f>'GHG detailed, absolute'!H32/Production!$G$13*AF_calves_IE</f>
        <v>20.720491907576957</v>
      </c>
      <c r="I32" s="78">
        <f>'GHG detailed, absolute'!I32/Production!$G$13*AF_calves_IE</f>
        <v>25.156650721973477</v>
      </c>
      <c r="J32" s="78"/>
      <c r="K32" s="78"/>
      <c r="L32" s="78">
        <f>'GHG detailed, absolute'!L32/Production!$G$13*AF_calves_IE</f>
        <v>14.929249103586637</v>
      </c>
      <c r="M32" s="78"/>
      <c r="N32" s="78">
        <f>'GHG detailed, absolute'!N32/Production!$G$13*AF_calves_IE</f>
        <v>5.9402008209057167E-2</v>
      </c>
      <c r="O32" s="78">
        <f>'GHG detailed, absolute'!O32/Production!$G$13*AF_calves_IE</f>
        <v>4.9148888929893015</v>
      </c>
      <c r="P32" s="78">
        <f>'GHG detailed, absolute'!P32/Production!$G$13*AF_calves_IE</f>
        <v>2.3299784611662839</v>
      </c>
      <c r="Q32" s="78">
        <f>'GHG detailed, absolute'!Q32/Production!$G$13*AF_calves_IE</f>
        <v>6.3165650624511036</v>
      </c>
      <c r="R32" s="78">
        <f>'GHG detailed, absolute'!R32/Production!$G$13*AF_calves_IE</f>
        <v>6.3165650624511036</v>
      </c>
      <c r="S32" s="79"/>
      <c r="T32" s="80"/>
      <c r="U32" s="81"/>
      <c r="V32" s="81"/>
      <c r="W32" s="79">
        <f>'GHG detailed, absolute'!W32/Production!$G$13*AF_calves_IE</f>
        <v>42.352618656873418</v>
      </c>
      <c r="X32" s="82">
        <f>'GHG detailed, absolute'!X32/Production!$G$13*AF_calves_IE</f>
        <v>0.99320978994383302</v>
      </c>
    </row>
    <row r="33" spans="1:24" x14ac:dyDescent="0.2">
      <c r="A33" s="23"/>
      <c r="B33" s="23" t="s">
        <v>721</v>
      </c>
      <c r="C33" s="18" t="s">
        <v>37</v>
      </c>
      <c r="D33" s="58" t="s">
        <v>53</v>
      </c>
      <c r="E33" s="58" t="s">
        <v>54</v>
      </c>
      <c r="F33" s="23" t="s">
        <v>41</v>
      </c>
      <c r="G33" s="83">
        <f>SUM(H33:X33)</f>
        <v>0.16925726456296339</v>
      </c>
      <c r="H33" s="56">
        <f>'GHG detailed, absolute'!H33/Production!$G$13*AF_calves_IE</f>
        <v>8.3879783918403938E-4</v>
      </c>
      <c r="I33" s="56">
        <f>'GHG detailed, absolute'!I33/Production!$G$13*AF_calves_IE</f>
        <v>8.8514141429165943E-2</v>
      </c>
      <c r="J33" s="56"/>
      <c r="K33" s="56"/>
      <c r="L33" s="56">
        <f>'GHG detailed, absolute'!L33/Production!$G$13*AF_calves_IE</f>
        <v>6.6131539430139422E-3</v>
      </c>
      <c r="M33" s="56"/>
      <c r="N33" s="56">
        <f>'GHG detailed, absolute'!N33/Production!$G$13*AF_calves_IE</f>
        <v>1.7601955406526328E-4</v>
      </c>
      <c r="O33" s="56">
        <f>'GHG detailed, absolute'!O33/Production!$G$13*AF_calves_IE</f>
        <v>2.5693093006103028E-3</v>
      </c>
      <c r="P33" s="56">
        <f>'GHG detailed, absolute'!P33/Production!$G$13*AF_calves_IE</f>
        <v>0</v>
      </c>
      <c r="Q33" s="56">
        <f>'GHG detailed, absolute'!Q33/Production!$G$13*AF_calves_IE</f>
        <v>1.1537879947402024E-2</v>
      </c>
      <c r="R33" s="56">
        <f>'GHG detailed, absolute'!R33/Production!$G$13*AF_calves_IE</f>
        <v>1.1537879947402024E-2</v>
      </c>
      <c r="W33" s="13">
        <f>'GHG detailed, absolute'!W33/Production!$G$13*AF_calves_IE</f>
        <v>4.5642723460723206E-2</v>
      </c>
      <c r="X33" s="53">
        <f>'GHG detailed, absolute'!X33/Production!$G$13*AF_calves_IE</f>
        <v>1.82735914139665E-3</v>
      </c>
    </row>
    <row r="34" spans="1:24" x14ac:dyDescent="0.2">
      <c r="A34" s="23"/>
      <c r="B34" s="23" t="s">
        <v>721</v>
      </c>
      <c r="C34" s="18" t="s">
        <v>37</v>
      </c>
      <c r="D34" s="58" t="s">
        <v>53</v>
      </c>
      <c r="E34" s="58" t="s">
        <v>54</v>
      </c>
      <c r="F34" s="23" t="s">
        <v>42</v>
      </c>
      <c r="G34" s="83">
        <f>SUM(H34:T34)</f>
        <v>20.644459142159459</v>
      </c>
      <c r="H34" s="56"/>
      <c r="I34" s="56"/>
      <c r="J34" s="85"/>
      <c r="K34" s="56"/>
      <c r="L34" s="56"/>
      <c r="M34" s="56"/>
      <c r="N34" s="56"/>
      <c r="O34" s="56"/>
      <c r="P34" s="56"/>
      <c r="Q34" s="56"/>
      <c r="R34" s="56"/>
      <c r="S34" s="13">
        <f>'GHG detailed, absolute'!S34/Production!$G$13*AF_calves_IE</f>
        <v>18.373411488998563</v>
      </c>
      <c r="T34" s="53">
        <f>'GHG detailed, absolute'!T34/Production!$G$13*AF_calves_IE</f>
        <v>2.2710476531608945</v>
      </c>
      <c r="U34" s="86">
        <f>'GHG detailed, absolute'!U34/Production!$G$13*AF_calves_IE</f>
        <v>2.2710476531608945</v>
      </c>
      <c r="W34" s="13"/>
      <c r="X34" s="53"/>
    </row>
    <row r="35" spans="1:24" ht="15" customHeight="1" x14ac:dyDescent="0.2">
      <c r="A35" s="23"/>
      <c r="B35" s="23" t="s">
        <v>721</v>
      </c>
      <c r="C35" s="18" t="s">
        <v>37</v>
      </c>
      <c r="D35" s="58" t="s">
        <v>53</v>
      </c>
      <c r="E35" s="58" t="s">
        <v>54</v>
      </c>
      <c r="F35" s="87" t="s">
        <v>43</v>
      </c>
      <c r="G35" s="83">
        <f>SUM(H35:T35)+W35+X35</f>
        <v>0.5378223719873515</v>
      </c>
      <c r="H35" s="56">
        <f>'GHG detailed, absolute'!H35/Production!$G$13*AF_calves_IE</f>
        <v>8.02935063376836E-3</v>
      </c>
      <c r="I35" s="56">
        <f>'GHG detailed, absolute'!I35/Production!$G$13*AF_calves_IE</f>
        <v>1.0249005849692901E-3</v>
      </c>
      <c r="J35" s="56">
        <f>'GHG detailed, absolute'!J35/Production!$G$13*AF_calves_IE</f>
        <v>0.3287706100171483</v>
      </c>
      <c r="K35" s="84">
        <f>'GHG detailed, absolute'!K35/Production!$G$13*AF_calves_IE</f>
        <v>3.2877061001714829E-2</v>
      </c>
      <c r="L35" s="56">
        <f>'GHG detailed, absolute'!L35/Production!$G$13*AF_calves_IE</f>
        <v>4.011547440900517E-4</v>
      </c>
      <c r="M35" s="56"/>
      <c r="N35" s="56">
        <f>'GHG detailed, absolute'!N35/Production!$G$13*AF_calves_IE</f>
        <v>2.5510008856757357E-6</v>
      </c>
      <c r="O35" s="56">
        <f>'GHG detailed, absolute'!O35/Production!$G$13*AF_calves_IE</f>
        <v>1.7704473715542308E-4</v>
      </c>
      <c r="P35" s="56">
        <f>'GHG detailed, absolute'!P35/Production!$G$13*AF_calves_IE</f>
        <v>0</v>
      </c>
      <c r="Q35" s="56">
        <f>'GHG detailed, absolute'!Q35/Production!$G$13*AF_calves_IE</f>
        <v>7.3023853649677813E-4</v>
      </c>
      <c r="R35" s="56">
        <f>'GHG detailed, absolute'!R35/Production!$G$13*AF_calves_IE</f>
        <v>7.3023853649677813E-4</v>
      </c>
      <c r="S35" s="13"/>
      <c r="T35" s="53">
        <f>'GHG detailed, absolute'!T35/Production!$G$13*AF_calves_IE</f>
        <v>0.16348783139705475</v>
      </c>
      <c r="U35" s="88">
        <f>'GHG detailed, absolute'!U35/Production!$G$13*AF_calves_IE</f>
        <v>0.11431414918420077</v>
      </c>
      <c r="V35" s="88">
        <f>'GHG detailed, absolute'!V35/Production!$G$13*AF_calves_IE</f>
        <v>4.9173682212853967E-2</v>
      </c>
      <c r="W35" s="13">
        <f>'GHG detailed, absolute'!W35/Production!$G$13*AF_calves_IE</f>
        <v>1.5558896502165427E-3</v>
      </c>
      <c r="X35" s="53">
        <f>'GHG detailed, absolute'!X35/Production!$G$13*AF_calves_IE</f>
        <v>3.5501147354592413E-5</v>
      </c>
    </row>
    <row r="36" spans="1:24" ht="15" customHeight="1" x14ac:dyDescent="0.2">
      <c r="A36" s="89"/>
      <c r="B36" s="89" t="s">
        <v>721</v>
      </c>
      <c r="C36" s="90" t="s">
        <v>37</v>
      </c>
      <c r="D36" s="100" t="s">
        <v>53</v>
      </c>
      <c r="E36" s="100" t="s">
        <v>54</v>
      </c>
      <c r="F36" s="92" t="s">
        <v>44</v>
      </c>
      <c r="G36" s="102">
        <f>SUM(H36:X36)</f>
        <v>833.35939054204982</v>
      </c>
      <c r="H36" s="94">
        <f>SUMPRODUCT(H32:H35,'Parameters, general'!$B$24:$B$27)</f>
        <v>22.937500806203403</v>
      </c>
      <c r="I36" s="94">
        <f>SUMPRODUCT(I32:I35,'Parameters, general'!$B$24:$B$27)</f>
        <v>28.074169996259236</v>
      </c>
      <c r="J36" s="94">
        <f>SUMPRODUCT(J32:J35,'Parameters, general'!$B$24:$B$27)</f>
        <v>89.754376534681484</v>
      </c>
      <c r="K36" s="94">
        <f>SUMPRODUCT(K32:K35,'Parameters, general'!$B$24:$B$27)</f>
        <v>8.9754376534681484</v>
      </c>
      <c r="L36" s="94">
        <f>SUMPRODUCT(L32:L35,'Parameters, general'!$B$24:$B$27)</f>
        <v>15.235836336225036</v>
      </c>
      <c r="M36" s="94">
        <f>SUMPRODUCT(M32:M35,'Parameters, general'!$B$24:$B$27)</f>
        <v>0</v>
      </c>
      <c r="N36" s="94">
        <f>SUMPRODUCT(N32:N35,'Parameters, general'!$B$24:$B$27)</f>
        <v>6.534381416199149E-2</v>
      </c>
      <c r="O36" s="94">
        <f>SUMPRODUCT(O32:O35,'Parameters, general'!$B$24:$B$27)</f>
        <v>5.0397875233909186</v>
      </c>
      <c r="P36" s="94">
        <f>SUMPRODUCT(P32:P35,'Parameters, general'!$B$24:$B$27)</f>
        <v>2.3299784611662839</v>
      </c>
      <c r="Q36" s="94">
        <f>SUMPRODUCT(Q32:Q35,'Parameters, general'!$B$24:$B$27)</f>
        <v>6.8597490053473038</v>
      </c>
      <c r="R36" s="94">
        <f>SUMPRODUCT(R32:R35,'Parameters, general'!$B$24:$B$27)</f>
        <v>6.8597490053473038</v>
      </c>
      <c r="S36" s="94">
        <f>SUMPRODUCT(S32:S35,'Parameters, general'!$B$24:$B$27)</f>
        <v>496.08211020296119</v>
      </c>
      <c r="T36" s="94">
        <f>SUMPRODUCT(T32:T35,'Parameters, general'!$B$24:$B$27)</f>
        <v>105.9504646067401</v>
      </c>
      <c r="U36" s="94"/>
      <c r="V36" s="94"/>
      <c r="W36" s="94">
        <f>SUMPRODUCT(W32:W35,'Parameters, general'!$B$24:$B$27)</f>
        <v>44.137529690512089</v>
      </c>
      <c r="X36" s="94">
        <f>SUMPRODUCT(X32:X35,'Parameters, general'!$B$24:$B$27)</f>
        <v>1.0573569055852567</v>
      </c>
    </row>
    <row r="37" spans="1:24" ht="15" customHeight="1" x14ac:dyDescent="0.2">
      <c r="A37" s="74"/>
      <c r="B37" s="74" t="s">
        <v>721</v>
      </c>
      <c r="C37" s="75" t="s">
        <v>37</v>
      </c>
      <c r="D37" s="76" t="s">
        <v>55</v>
      </c>
      <c r="E37" s="76" t="s">
        <v>56</v>
      </c>
      <c r="F37" s="77" t="s">
        <v>40</v>
      </c>
      <c r="G37" s="78">
        <f>SUM(H37:X37)</f>
        <v>302.75657556272716</v>
      </c>
      <c r="H37" s="78">
        <f>'GHG detailed, absolute'!H37/Production!$H$13*AF_calves_IT</f>
        <v>17.584693302941201</v>
      </c>
      <c r="I37" s="78">
        <f>'GHG detailed, absolute'!I37/Production!$H$13*AF_calves_IT</f>
        <v>19.108802473662045</v>
      </c>
      <c r="J37" s="78"/>
      <c r="K37" s="78"/>
      <c r="L37" s="78">
        <f>'GHG detailed, absolute'!L37/Production!$H$13*AF_calves_IT</f>
        <v>12.483002234708994</v>
      </c>
      <c r="M37" s="78"/>
      <c r="N37" s="78">
        <f>'GHG detailed, absolute'!N37/Production!$H$13*AF_calves_IT</f>
        <v>0.20408857333847863</v>
      </c>
      <c r="O37" s="78">
        <f>'GHG detailed, absolute'!O37/Production!$H$13*AF_calves_IT</f>
        <v>4.5993150565838885</v>
      </c>
      <c r="P37" s="78">
        <f>'GHG detailed, absolute'!P37/Production!$H$13*AF_calves_IT</f>
        <v>31.529785176575547</v>
      </c>
      <c r="Q37" s="78">
        <f>'GHG detailed, absolute'!Q37/Production!$H$13*AF_calves_IT</f>
        <v>66.487373647376643</v>
      </c>
      <c r="R37" s="78">
        <f>'GHG detailed, absolute'!R37/Production!$H$13*AF_calves_IT</f>
        <v>66.487373647376643</v>
      </c>
      <c r="S37" s="79"/>
      <c r="T37" s="80"/>
      <c r="U37" s="81"/>
      <c r="V37" s="81"/>
      <c r="W37" s="79">
        <f>'GHG detailed, absolute'!W37/Production!$H$13*AF_calves_IT</f>
        <v>83.353298401478142</v>
      </c>
      <c r="X37" s="82">
        <f>'GHG detailed, absolute'!X37/Production!$H$13*AF_calves_IT</f>
        <v>0.91884304868559141</v>
      </c>
    </row>
    <row r="38" spans="1:24" x14ac:dyDescent="0.2">
      <c r="A38" s="23"/>
      <c r="B38" s="23" t="s">
        <v>721</v>
      </c>
      <c r="C38" s="18" t="s">
        <v>37</v>
      </c>
      <c r="D38" s="58" t="s">
        <v>55</v>
      </c>
      <c r="E38" s="58" t="s">
        <v>56</v>
      </c>
      <c r="F38" s="23" t="s">
        <v>41</v>
      </c>
      <c r="G38" s="83">
        <f>SUM(H38:X38)</f>
        <v>1.3676842259072532</v>
      </c>
      <c r="H38" s="56">
        <f>'GHG detailed, absolute'!H38/Production!$H$13*AF_calves_IT</f>
        <v>2.6852022591007706E-3</v>
      </c>
      <c r="I38" s="56">
        <f>'GHG detailed, absolute'!I38/Production!$H$13*AF_calves_IT</f>
        <v>6.7234675370292388E-2</v>
      </c>
      <c r="J38" s="56"/>
      <c r="K38" s="56"/>
      <c r="L38" s="56">
        <f>'GHG detailed, absolute'!L38/Production!$H$13*AF_calves_IT</f>
        <v>5.5295490668238112E-3</v>
      </c>
      <c r="M38" s="56"/>
      <c r="N38" s="56">
        <f>'GHG detailed, absolute'!N38/Production!$H$13*AF_calves_IT</f>
        <v>6.6014595406429513E-4</v>
      </c>
      <c r="O38" s="56">
        <f>'GHG detailed, absolute'!O38/Production!$H$13*AF_calves_IT</f>
        <v>4.0163433967011167E-3</v>
      </c>
      <c r="P38" s="56">
        <f>'GHG detailed, absolute'!P38/Production!$H$13*AF_calves_IT</f>
        <v>0</v>
      </c>
      <c r="Q38" s="56">
        <f>'GHG detailed, absolute'!Q38/Production!$H$13*AF_calves_IT</f>
        <v>0.46058645618237637</v>
      </c>
      <c r="R38" s="56">
        <f>'GHG detailed, absolute'!R38/Production!$H$13*AF_calves_IT</f>
        <v>0.46058645618237637</v>
      </c>
      <c r="W38" s="13">
        <f>'GHG detailed, absolute'!W38/Production!$H$13*AF_calves_IT</f>
        <v>0.36235560218019636</v>
      </c>
      <c r="X38" s="53">
        <f>'GHG detailed, absolute'!X38/Production!$H$13*AF_calves_IT</f>
        <v>4.0297953153219414E-3</v>
      </c>
    </row>
    <row r="39" spans="1:24" x14ac:dyDescent="0.2">
      <c r="A39" s="23"/>
      <c r="B39" s="23" t="s">
        <v>721</v>
      </c>
      <c r="C39" s="18" t="s">
        <v>37</v>
      </c>
      <c r="D39" s="58" t="s">
        <v>55</v>
      </c>
      <c r="E39" s="58" t="s">
        <v>56</v>
      </c>
      <c r="F39" s="23" t="s">
        <v>42</v>
      </c>
      <c r="G39" s="83">
        <f>SUM(H39:T39)</f>
        <v>21.924676482804628</v>
      </c>
      <c r="H39" s="56"/>
      <c r="I39" s="56"/>
      <c r="J39" s="85"/>
      <c r="K39" s="56"/>
      <c r="L39" s="56"/>
      <c r="M39" s="56"/>
      <c r="N39" s="56"/>
      <c r="O39" s="56"/>
      <c r="P39" s="56"/>
      <c r="Q39" s="56"/>
      <c r="R39" s="56"/>
      <c r="S39" s="13">
        <f>'GHG detailed, absolute'!S39/Production!$H$13*AF_calves_IT</f>
        <v>17.709576108142922</v>
      </c>
      <c r="T39" s="53">
        <f>'GHG detailed, absolute'!T39/Production!$H$13*AF_calves_IT</f>
        <v>4.2151003746617066</v>
      </c>
      <c r="U39" s="86">
        <f>'GHG detailed, absolute'!U39/Production!$H$13*AF_calves_IT</f>
        <v>4.2151003746617066</v>
      </c>
      <c r="W39" s="13"/>
      <c r="X39" s="53"/>
    </row>
    <row r="40" spans="1:24" ht="15" customHeight="1" x14ac:dyDescent="0.2">
      <c r="A40" s="23"/>
      <c r="B40" s="23" t="s">
        <v>721</v>
      </c>
      <c r="C40" s="18" t="s">
        <v>37</v>
      </c>
      <c r="D40" s="58" t="s">
        <v>55</v>
      </c>
      <c r="E40" s="58" t="s">
        <v>56</v>
      </c>
      <c r="F40" s="87" t="s">
        <v>43</v>
      </c>
      <c r="G40" s="83">
        <f>SUM(H40:T40)+W40+X40</f>
        <v>0.57664047706953647</v>
      </c>
      <c r="H40" s="56">
        <f>'GHG detailed, absolute'!H40/Production!$H$13*AF_calves_IT</f>
        <v>3.6623055209131436E-3</v>
      </c>
      <c r="I40" s="56">
        <f>'GHG detailed, absolute'!I40/Production!$H$13*AF_calves_IT</f>
        <v>7.7850676744549083E-4</v>
      </c>
      <c r="J40" s="56">
        <f>'GHG detailed, absolute'!J40/Production!$H$13*AF_calves_IT</f>
        <v>0.22724605450081184</v>
      </c>
      <c r="K40" s="84">
        <f>'GHG detailed, absolute'!K40/Production!$H$13*AF_calves_IT</f>
        <v>2.2724605450081183E-2</v>
      </c>
      <c r="L40" s="56">
        <f>'GHG detailed, absolute'!L40/Production!$H$13*AF_calves_IT</f>
        <v>3.3542313697057925E-4</v>
      </c>
      <c r="M40" s="56"/>
      <c r="N40" s="56">
        <f>'GHG detailed, absolute'!N40/Production!$H$13*AF_calves_IT</f>
        <v>8.5052233555730377E-6</v>
      </c>
      <c r="O40" s="56">
        <f>'GHG detailed, absolute'!O40/Production!$H$13*AF_calves_IT</f>
        <v>1.6910664036810753E-4</v>
      </c>
      <c r="P40" s="56">
        <f>'GHG detailed, absolute'!P40/Production!$H$13*AF_calves_IT</f>
        <v>0</v>
      </c>
      <c r="Q40" s="56">
        <f>'GHG detailed, absolute'!Q40/Production!$H$13*AF_calves_IT</f>
        <v>2.7079723445375448E-2</v>
      </c>
      <c r="R40" s="56">
        <f>'GHG detailed, absolute'!R40/Production!$H$13*AF_calves_IT</f>
        <v>2.7079723445375448E-2</v>
      </c>
      <c r="S40" s="13"/>
      <c r="T40" s="53">
        <f>'GHG detailed, absolute'!T40/Production!$H$13*AF_calves_IT</f>
        <v>0.26389161048977083</v>
      </c>
      <c r="U40" s="88">
        <f>'GHG detailed, absolute'!U40/Production!$H$13*AF_calves_IT</f>
        <v>0.17370388476151269</v>
      </c>
      <c r="V40" s="88">
        <f>'GHG detailed, absolute'!V40/Production!$H$13*AF_calves_IT</f>
        <v>9.0187725728258158E-2</v>
      </c>
      <c r="W40" s="13">
        <f>'GHG detailed, absolute'!W40/Production!$H$13*AF_calves_IT</f>
        <v>3.6272853669538649E-3</v>
      </c>
      <c r="X40" s="53">
        <f>'GHG detailed, absolute'!X40/Production!$H$13*AF_calves_IT</f>
        <v>3.7627082114800051E-5</v>
      </c>
    </row>
    <row r="41" spans="1:24" ht="15" customHeight="1" x14ac:dyDescent="0.2">
      <c r="A41" s="89"/>
      <c r="B41" s="89" t="s">
        <v>721</v>
      </c>
      <c r="C41" s="90" t="s">
        <v>37</v>
      </c>
      <c r="D41" s="91" t="s">
        <v>55</v>
      </c>
      <c r="E41" s="91" t="s">
        <v>56</v>
      </c>
      <c r="F41" s="92" t="s">
        <v>44</v>
      </c>
      <c r="G41" s="102">
        <f>SUM(H41:X41)</f>
        <v>1092.9026807704718</v>
      </c>
      <c r="H41" s="94">
        <f>SUMPRODUCT(H37:H40,'Parameters, general'!$B$24:$B$27)</f>
        <v>18.664521737471691</v>
      </c>
      <c r="I41" s="94">
        <f>SUMPRODUCT(I37:I40,'Parameters, general'!$B$24:$B$27)</f>
        <v>21.324928147209377</v>
      </c>
      <c r="J41" s="94">
        <f>SUMPRODUCT(J37:J40,'Parameters, general'!$B$24:$B$27)</f>
        <v>62.038172878721632</v>
      </c>
      <c r="K41" s="94">
        <f>SUMPRODUCT(K37:K40,'Parameters, general'!$B$24:$B$27)</f>
        <v>6.2038172878721625</v>
      </c>
      <c r="L41" s="94">
        <f>SUMPRODUCT(L37:L40,'Parameters, general'!$B$24:$B$27)</f>
        <v>12.739353313293313</v>
      </c>
      <c r="M41" s="94">
        <f>SUMPRODUCT(M37:M40,'Parameters, general'!$B$24:$B$27)</f>
        <v>0</v>
      </c>
      <c r="N41" s="94">
        <f>SUMPRODUCT(N37:N40,'Parameters, general'!$B$24:$B$27)</f>
        <v>0.22608284874566609</v>
      </c>
      <c r="O41" s="94">
        <f>SUMPRODUCT(O37:O40,'Parameters, general'!$B$24:$B$27)</f>
        <v>4.765168202626076</v>
      </c>
      <c r="P41" s="94">
        <f>SUMPRODUCT(P37:P40,'Parameters, general'!$B$24:$B$27)</f>
        <v>31.529785176575547</v>
      </c>
      <c r="Q41" s="94">
        <f>SUMPRODUCT(Q37:Q40,'Parameters, general'!$B$24:$B$27)</f>
        <v>87.605614542198964</v>
      </c>
      <c r="R41" s="94">
        <f>SUMPRODUCT(R37:R40,'Parameters, general'!$B$24:$B$27)</f>
        <v>87.605614542198964</v>
      </c>
      <c r="S41" s="94">
        <f>SUMPRODUCT(S37:S40,'Parameters, general'!$B$24:$B$27)</f>
        <v>478.15855491985889</v>
      </c>
      <c r="T41" s="94">
        <f>SUMPRODUCT(T37:T40,'Parameters, general'!$B$24:$B$27)</f>
        <v>185.8501197795735</v>
      </c>
      <c r="U41" s="94"/>
      <c r="V41" s="94"/>
      <c r="W41" s="94">
        <f>SUMPRODUCT(W37:W40,'Parameters, general'!$B$24:$B$27)</f>
        <v>95.141744251626406</v>
      </c>
      <c r="X41" s="94">
        <f>SUMPRODUCT(X37:X40,'Parameters, general'!$B$24:$B$27)</f>
        <v>1.0492031424995256</v>
      </c>
    </row>
    <row r="42" spans="1:24" ht="15" customHeight="1" x14ac:dyDescent="0.2">
      <c r="A42" s="74"/>
      <c r="B42" s="74" t="s">
        <v>721</v>
      </c>
      <c r="C42" s="75" t="s">
        <v>37</v>
      </c>
      <c r="D42" t="s">
        <v>57</v>
      </c>
      <c r="E42" s="58" t="s">
        <v>58</v>
      </c>
      <c r="F42" s="77" t="s">
        <v>40</v>
      </c>
      <c r="G42" s="78">
        <f>SUM(H42:X42)</f>
        <v>285.81858514921134</v>
      </c>
      <c r="H42" s="78">
        <f>'GHG detailed, absolute'!H42/Production!$I$13*AF_calves_NL</f>
        <v>44.337875377311015</v>
      </c>
      <c r="I42" s="78">
        <f>'GHG detailed, absolute'!I42/Production!$I$13*AF_calves_NL</f>
        <v>19.861861903127874</v>
      </c>
      <c r="J42" s="78"/>
      <c r="K42" s="78"/>
      <c r="L42" s="78">
        <f>'GHG detailed, absolute'!L42/Production!$I$13*AF_calves_NL</f>
        <v>17.335219408876316</v>
      </c>
      <c r="M42" s="78"/>
      <c r="N42" s="78">
        <f>'GHG detailed, absolute'!N42/Production!$I$13*AF_calves_NL</f>
        <v>6.9104857145077678E-2</v>
      </c>
      <c r="O42" s="78">
        <f>'GHG detailed, absolute'!O42/Production!$I$13*AF_calves_NL</f>
        <v>9.0153667510351561</v>
      </c>
      <c r="P42" s="78">
        <f>'GHG detailed, absolute'!P42/Production!$I$13*AF_calves_NL</f>
        <v>29.217187905555392</v>
      </c>
      <c r="Q42" s="78">
        <f>'GHG detailed, absolute'!Q42/Production!$I$13*AF_calves_NL</f>
        <v>25.123150348389881</v>
      </c>
      <c r="R42" s="78">
        <f>'GHG detailed, absolute'!R42/Production!$I$13*AF_calves_NL</f>
        <v>25.123150348389881</v>
      </c>
      <c r="S42" s="79"/>
      <c r="T42" s="80"/>
      <c r="U42" s="81"/>
      <c r="V42" s="81"/>
      <c r="W42" s="79">
        <f>'GHG detailed, absolute'!W42/Production!$I$13*AF_calves_NL</f>
        <v>114.84117626272614</v>
      </c>
      <c r="X42" s="82">
        <f>'GHG detailed, absolute'!X42/Production!$I$13*AF_calves_NL</f>
        <v>0.89449198665457896</v>
      </c>
    </row>
    <row r="43" spans="1:24" x14ac:dyDescent="0.2">
      <c r="A43" s="23"/>
      <c r="B43" s="23" t="s">
        <v>721</v>
      </c>
      <c r="C43" s="18" t="s">
        <v>37</v>
      </c>
      <c r="D43" t="s">
        <v>57</v>
      </c>
      <c r="E43" s="58" t="s">
        <v>58</v>
      </c>
      <c r="F43" s="23" t="s">
        <v>41</v>
      </c>
      <c r="G43" s="83">
        <f>SUM(H43:X43)</f>
        <v>0.73703263513741357</v>
      </c>
      <c r="H43" s="56">
        <f>'GHG detailed, absolute'!H43/Production!$I$13*AF_calves_NL</f>
        <v>2.3107548343453601E-2</v>
      </c>
      <c r="I43" s="56">
        <f>'GHG detailed, absolute'!I43/Production!$I$13*AF_calves_NL</f>
        <v>6.9884328918412883E-2</v>
      </c>
      <c r="J43" s="56"/>
      <c r="K43" s="56"/>
      <c r="L43" s="56">
        <f>'GHG detailed, absolute'!L43/Production!$I$13*AF_calves_NL</f>
        <v>7.6789176596484595E-3</v>
      </c>
      <c r="M43" s="56"/>
      <c r="N43" s="56">
        <f>'GHG detailed, absolute'!N43/Production!$I$13*AF_calves_NL</f>
        <v>2.2140733481243094E-4</v>
      </c>
      <c r="O43" s="56">
        <f>'GHG detailed, absolute'!O43/Production!$I$13*AF_calves_NL</f>
        <v>6.3775674522945315E-3</v>
      </c>
      <c r="P43" s="56">
        <f>'GHG detailed, absolute'!P43/Production!$I$13*AF_calves_NL</f>
        <v>0</v>
      </c>
      <c r="Q43" s="56">
        <f>'GHG detailed, absolute'!Q43/Production!$I$13*AF_calves_NL</f>
        <v>0.20010163133194295</v>
      </c>
      <c r="R43" s="56">
        <f>'GHG detailed, absolute'!R43/Production!$I$13*AF_calves_NL</f>
        <v>0.20010163133194295</v>
      </c>
      <c r="W43" s="13">
        <f>'GHG detailed, absolute'!W43/Production!$I$13*AF_calves_NL</f>
        <v>0.22737242138491323</v>
      </c>
      <c r="X43" s="53">
        <f>'GHG detailed, absolute'!X43/Production!$I$13*AF_calves_NL</f>
        <v>2.1871813799925568E-3</v>
      </c>
    </row>
    <row r="44" spans="1:24" x14ac:dyDescent="0.2">
      <c r="A44" s="23"/>
      <c r="B44" s="23" t="s">
        <v>721</v>
      </c>
      <c r="C44" s="18" t="s">
        <v>37</v>
      </c>
      <c r="D44" t="s">
        <v>57</v>
      </c>
      <c r="E44" s="58" t="s">
        <v>58</v>
      </c>
      <c r="F44" s="23" t="s">
        <v>42</v>
      </c>
      <c r="G44" s="83">
        <f>SUM(H44:T44)</f>
        <v>18.377863854757873</v>
      </c>
      <c r="H44" s="56"/>
      <c r="I44" s="56"/>
      <c r="J44" s="85"/>
      <c r="K44" s="56"/>
      <c r="L44" s="56"/>
      <c r="M44" s="56"/>
      <c r="N44" s="56"/>
      <c r="O44" s="56"/>
      <c r="P44" s="56"/>
      <c r="Q44" s="56"/>
      <c r="R44" s="56"/>
      <c r="S44" s="13">
        <f>'GHG detailed, absolute'!S44/Production!$I$13*AF_calves_NL</f>
        <v>15.232008533385862</v>
      </c>
      <c r="T44" s="53">
        <f>'GHG detailed, absolute'!T44/Production!$I$13*AF_calves_NL</f>
        <v>3.1458553213720095</v>
      </c>
      <c r="U44" s="86">
        <f>'GHG detailed, absolute'!U44/Production!$I$13*AF_calves_NL</f>
        <v>3.1458553213720095</v>
      </c>
      <c r="W44" s="13"/>
      <c r="X44" s="53"/>
    </row>
    <row r="45" spans="1:24" ht="15" customHeight="1" x14ac:dyDescent="0.2">
      <c r="A45" s="23"/>
      <c r="B45" s="23" t="s">
        <v>721</v>
      </c>
      <c r="C45" s="18" t="s">
        <v>37</v>
      </c>
      <c r="D45" t="s">
        <v>57</v>
      </c>
      <c r="E45" s="58" t="s">
        <v>58</v>
      </c>
      <c r="F45" s="87" t="s">
        <v>43</v>
      </c>
      <c r="G45" s="83">
        <f>SUM(H45:T45)+W45+X45</f>
        <v>0.75571965829445331</v>
      </c>
      <c r="H45" s="56">
        <f>'GHG detailed, absolute'!H45/Production!$I$13*AF_calves_NL</f>
        <v>3.9513866455460164E-2</v>
      </c>
      <c r="I45" s="56">
        <f>'GHG detailed, absolute'!I45/Production!$I$13*AF_calves_NL</f>
        <v>8.0918696642372809E-4</v>
      </c>
      <c r="J45" s="56">
        <f>'GHG detailed, absolute'!J45/Production!$I$13*AF_calves_NL</f>
        <v>0.45160519413278122</v>
      </c>
      <c r="K45" s="84">
        <f>'GHG detailed, absolute'!K45/Production!$I$13*AF_calves_NL</f>
        <v>4.516051941327813E-2</v>
      </c>
      <c r="L45" s="56">
        <f>'GHG detailed, absolute'!L45/Production!$I$13*AF_calves_NL</f>
        <v>4.6580410424272551E-4</v>
      </c>
      <c r="M45" s="56"/>
      <c r="N45" s="56">
        <f>'GHG detailed, absolute'!N45/Production!$I$13*AF_calves_NL</f>
        <v>2.8898100972612994E-6</v>
      </c>
      <c r="O45" s="56">
        <f>'GHG detailed, absolute'!O45/Production!$I$13*AF_calves_NL</f>
        <v>3.2530232418211211E-4</v>
      </c>
      <c r="P45" s="56">
        <f>'GHG detailed, absolute'!P45/Production!$I$13*AF_calves_NL</f>
        <v>0</v>
      </c>
      <c r="Q45" s="56">
        <f>'GHG detailed, absolute'!Q45/Production!$I$13*AF_calves_NL</f>
        <v>1.8055133610716208E-2</v>
      </c>
      <c r="R45" s="56">
        <f>'GHG detailed, absolute'!R45/Production!$I$13*AF_calves_NL</f>
        <v>1.8055133610716208E-2</v>
      </c>
      <c r="S45" s="13"/>
      <c r="T45" s="53">
        <f>'GHG detailed, absolute'!T45/Production!$I$13*AF_calves_NL</f>
        <v>0.17708145072938228</v>
      </c>
      <c r="U45" s="88">
        <f>'GHG detailed, absolute'!U45/Production!$I$13*AF_calves_NL</f>
        <v>9.6644398207373972E-2</v>
      </c>
      <c r="V45" s="88">
        <f>'GHG detailed, absolute'!V45/Production!$I$13*AF_calves_NL</f>
        <v>8.0437052522008293E-2</v>
      </c>
      <c r="W45" s="13">
        <f>'GHG detailed, absolute'!W45/Production!$I$13*AF_calves_NL</f>
        <v>4.6105603152540413E-3</v>
      </c>
      <c r="X45" s="53">
        <f>'GHG detailed, absolute'!X45/Production!$I$13*AF_calves_NL</f>
        <v>3.4616821919226474E-5</v>
      </c>
    </row>
    <row r="46" spans="1:24" ht="15" customHeight="1" x14ac:dyDescent="0.2">
      <c r="A46" s="89"/>
      <c r="B46" s="89" t="s">
        <v>721</v>
      </c>
      <c r="C46" s="90" t="s">
        <v>37</v>
      </c>
      <c r="D46" s="103" t="s">
        <v>57</v>
      </c>
      <c r="E46" s="91" t="s">
        <v>58</v>
      </c>
      <c r="F46" s="92" t="s">
        <v>44</v>
      </c>
      <c r="G46" s="102">
        <f>SUM(H46:X46)</f>
        <v>1010.2959484691546</v>
      </c>
      <c r="H46" s="94">
        <f>SUMPRODUCT(H42:H45,'Parameters, general'!$B$24:$B$27)</f>
        <v>55.813765860286559</v>
      </c>
      <c r="I46" s="94">
        <f>SUMPRODUCT(I42:I45,'Parameters, general'!$B$24:$B$27)</f>
        <v>22.165322946730257</v>
      </c>
      <c r="J46" s="94">
        <f>SUMPRODUCT(J42:J45,'Parameters, general'!$B$24:$B$27)</f>
        <v>123.28821799824927</v>
      </c>
      <c r="K46" s="94">
        <f>SUMPRODUCT(K42:K45,'Parameters, general'!$B$24:$B$27)</f>
        <v>12.328821799824929</v>
      </c>
      <c r="L46" s="94">
        <f>SUMPRODUCT(L42:L45,'Parameters, general'!$B$24:$B$27)</f>
        <v>17.691215675592105</v>
      </c>
      <c r="M46" s="94">
        <f>SUMPRODUCT(M42:M45,'Parameters, general'!$B$24:$B$27)</f>
        <v>0</v>
      </c>
      <c r="N46" s="94">
        <f>SUMPRODUCT(N42:N45,'Parameters, general'!$B$24:$B$27)</f>
        <v>7.6491713879040454E-2</v>
      </c>
      <c r="O46" s="94">
        <f>SUMPRODUCT(O42:O45,'Parameters, general'!$B$24:$B$27)</f>
        <v>9.2942257956152492</v>
      </c>
      <c r="P46" s="94">
        <f>SUMPRODUCT(P42:P45,'Parameters, general'!$B$24:$B$27)</f>
        <v>29.217187905555392</v>
      </c>
      <c r="Q46" s="94">
        <f>SUMPRODUCT(Q42:Q45,'Parameters, general'!$B$24:$B$27)</f>
        <v>36.015230437807304</v>
      </c>
      <c r="R46" s="94">
        <f>SUMPRODUCT(R42:R45,'Parameters, general'!$B$24:$B$27)</f>
        <v>36.015230437807304</v>
      </c>
      <c r="S46" s="94">
        <f>SUMPRODUCT(S42:S45,'Parameters, general'!$B$24:$B$27)</f>
        <v>411.26423040141827</v>
      </c>
      <c r="T46" s="94">
        <f>SUMPRODUCT(T42:T45,'Parameters, general'!$B$24:$B$27)</f>
        <v>133.28132972616561</v>
      </c>
      <c r="U46" s="94"/>
      <c r="V46" s="94"/>
      <c r="W46" s="94">
        <f>SUMPRODUCT(W42:W45,'Parameters, general'!$B$24:$B$27)</f>
        <v>122.8755573860609</v>
      </c>
      <c r="X46" s="94">
        <f>SUMPRODUCT(X42:X45,'Parameters, general'!$B$24:$B$27)</f>
        <v>0.96912038416230595</v>
      </c>
    </row>
    <row r="47" spans="1:24" ht="15" customHeight="1" x14ac:dyDescent="0.2">
      <c r="A47" s="74"/>
      <c r="B47" s="74" t="s">
        <v>721</v>
      </c>
      <c r="C47" s="75" t="s">
        <v>37</v>
      </c>
      <c r="D47" t="s">
        <v>59</v>
      </c>
      <c r="E47" s="58" t="s">
        <v>60</v>
      </c>
      <c r="F47" s="77" t="s">
        <v>40</v>
      </c>
      <c r="G47" s="78">
        <f>SUM(H47:X47)</f>
        <v>480.75313975632821</v>
      </c>
      <c r="H47" s="78">
        <f>'GHG detailed, absolute'!H47/Production!$J$13*AF_calves_PL</f>
        <v>57.035114969253286</v>
      </c>
      <c r="I47" s="78">
        <f>'GHG detailed, absolute'!I47/Production!$J$13*AF_calves_PL</f>
        <v>21.966729749919306</v>
      </c>
      <c r="J47" s="78"/>
      <c r="K47" s="78"/>
      <c r="L47" s="78">
        <f>'GHG detailed, absolute'!L47/Production!$J$13*AF_calves_PL</f>
        <v>27.018370425641141</v>
      </c>
      <c r="M47" s="78"/>
      <c r="N47" s="78">
        <f>'GHG detailed, absolute'!N47/Production!$J$13*AF_calves_PL</f>
        <v>0.15362296018153557</v>
      </c>
      <c r="O47" s="78">
        <f>'GHG detailed, absolute'!O47/Production!$J$13*AF_calves_PL</f>
        <v>20.08067311693301</v>
      </c>
      <c r="P47" s="78">
        <f>'GHG detailed, absolute'!P47/Production!$J$13*AF_calves_PL</f>
        <v>22.349901881645863</v>
      </c>
      <c r="Q47" s="78">
        <f>'GHG detailed, absolute'!Q47/Production!$J$13*AF_calves_PL</f>
        <v>63.00920526325811</v>
      </c>
      <c r="R47" s="78">
        <f>'GHG detailed, absolute'!R47/Production!$J$13*AF_calves_PL</f>
        <v>63.00920526325811</v>
      </c>
      <c r="S47" s="79"/>
      <c r="T47" s="80"/>
      <c r="U47" s="81"/>
      <c r="V47" s="81"/>
      <c r="W47" s="79">
        <f>'GHG detailed, absolute'!W47/Production!$J$13*AF_calves_PL</f>
        <v>204.13487253147213</v>
      </c>
      <c r="X47" s="82">
        <f>'GHG detailed, absolute'!X47/Production!$J$13*AF_calves_PL</f>
        <v>1.9954435947657188</v>
      </c>
    </row>
    <row r="48" spans="1:24" x14ac:dyDescent="0.2">
      <c r="A48" s="23"/>
      <c r="B48" s="23" t="s">
        <v>721</v>
      </c>
      <c r="C48" s="18" t="s">
        <v>37</v>
      </c>
      <c r="D48" t="s">
        <v>59</v>
      </c>
      <c r="E48" s="58" t="s">
        <v>60</v>
      </c>
      <c r="F48" s="23" t="s">
        <v>41</v>
      </c>
      <c r="G48" s="83">
        <f>SUM(H48:X48)</f>
        <v>1.0431915224752084</v>
      </c>
      <c r="H48" s="56">
        <f>'GHG detailed, absolute'!H48/Production!$J$13*AF_calves_PL</f>
        <v>5.3712733151416343E-3</v>
      </c>
      <c r="I48" s="56">
        <f>'GHG detailed, absolute'!I48/Production!$J$13*AF_calves_PL</f>
        <v>7.7290345416382744E-2</v>
      </c>
      <c r="J48" s="56"/>
      <c r="K48" s="56"/>
      <c r="L48" s="56">
        <f>'GHG detailed, absolute'!L48/Production!$J$13*AF_calves_PL</f>
        <v>1.1968227047079985E-2</v>
      </c>
      <c r="M48" s="56"/>
      <c r="N48" s="56">
        <f>'GHG detailed, absolute'!N48/Production!$J$13*AF_calves_PL</f>
        <v>4.601688600473588E-4</v>
      </c>
      <c r="O48" s="56">
        <f>'GHG detailed, absolute'!O48/Production!$J$13*AF_calves_PL</f>
        <v>1.7553703066223458E-2</v>
      </c>
      <c r="P48" s="56">
        <f>'GHG detailed, absolute'!P48/Production!$J$13*AF_calves_PL</f>
        <v>0</v>
      </c>
      <c r="Q48" s="56">
        <f>'GHG detailed, absolute'!Q48/Production!$J$13*AF_calves_PL</f>
        <v>0.26643310733395675</v>
      </c>
      <c r="R48" s="56">
        <f>'GHG detailed, absolute'!R48/Production!$J$13*AF_calves_PL</f>
        <v>0.26643310733395675</v>
      </c>
      <c r="W48" s="13">
        <f>'GHG detailed, absolute'!W48/Production!$J$13*AF_calves_PL</f>
        <v>0.39330650408329004</v>
      </c>
      <c r="X48" s="53">
        <f>'GHG detailed, absolute'!X48/Production!$J$13*AF_calves_PL</f>
        <v>4.3750860191299253E-3</v>
      </c>
    </row>
    <row r="49" spans="1:25" x14ac:dyDescent="0.2">
      <c r="A49" s="23"/>
      <c r="B49" s="23" t="s">
        <v>721</v>
      </c>
      <c r="C49" s="18" t="s">
        <v>37</v>
      </c>
      <c r="D49" t="s">
        <v>59</v>
      </c>
      <c r="E49" s="58" t="s">
        <v>60</v>
      </c>
      <c r="F49" s="23" t="s">
        <v>42</v>
      </c>
      <c r="G49" s="83">
        <f>SUM(H49:T49)</f>
        <v>17.824517090010367</v>
      </c>
      <c r="H49" s="56"/>
      <c r="I49" s="56"/>
      <c r="J49" s="85"/>
      <c r="K49" s="56"/>
      <c r="L49" s="56"/>
      <c r="M49" s="56"/>
      <c r="N49" s="56"/>
      <c r="O49" s="56"/>
      <c r="P49" s="56"/>
      <c r="Q49" s="56"/>
      <c r="R49" s="56"/>
      <c r="S49" s="13">
        <f>'GHG detailed, absolute'!S49/Production!$J$13*AF_calves_PL</f>
        <v>16.655604159706492</v>
      </c>
      <c r="T49" s="53">
        <f>'GHG detailed, absolute'!T49/Production!$J$13*AF_calves_PL</f>
        <v>1.168912930303875</v>
      </c>
      <c r="U49" s="86">
        <f>'GHG detailed, absolute'!U49/Production!$J$13*AF_calves_PL</f>
        <v>1.168912930303875</v>
      </c>
      <c r="W49" s="13"/>
      <c r="X49" s="53"/>
    </row>
    <row r="50" spans="1:25" ht="15" customHeight="1" x14ac:dyDescent="0.2">
      <c r="A50" s="23"/>
      <c r="B50" s="23" t="s">
        <v>721</v>
      </c>
      <c r="C50" s="18" t="s">
        <v>37</v>
      </c>
      <c r="D50" t="s">
        <v>59</v>
      </c>
      <c r="E50" s="58" t="s">
        <v>60</v>
      </c>
      <c r="F50" s="87" t="s">
        <v>43</v>
      </c>
      <c r="G50" s="83">
        <f>SUM(H50:T50)+W50+X50</f>
        <v>0.74195470760084559</v>
      </c>
      <c r="H50" s="56">
        <f>'GHG detailed, absolute'!H50/Production!$J$13*AF_calves_PL</f>
        <v>1.7649194695269984E-2</v>
      </c>
      <c r="I50" s="56">
        <f>'GHG detailed, absolute'!I50/Production!$J$13*AF_calves_PL</f>
        <v>8.9494084166337939E-4</v>
      </c>
      <c r="J50" s="56">
        <f>'GHG detailed, absolute'!J50/Production!$J$13*AF_calves_PL</f>
        <v>0.34512057549630026</v>
      </c>
      <c r="K50" s="84">
        <f>'GHG detailed, absolute'!K50/Production!$J$13*AF_calves_PL</f>
        <v>3.4512057549630028E-2</v>
      </c>
      <c r="L50" s="56">
        <f>'GHG detailed, absolute'!L50/Production!$J$13*AF_calves_PL</f>
        <v>7.2599414736970399E-4</v>
      </c>
      <c r="M50" s="56"/>
      <c r="N50" s="56">
        <f>'GHG detailed, absolute'!N50/Production!$J$13*AF_calves_PL</f>
        <v>6.5740978391352091E-6</v>
      </c>
      <c r="O50" s="56">
        <f>'GHG detailed, absolute'!O50/Production!$J$13*AF_calves_PL</f>
        <v>6.5096679529125473E-4</v>
      </c>
      <c r="P50" s="56">
        <f>'GHG detailed, absolute'!P50/Production!$J$13*AF_calves_PL</f>
        <v>0</v>
      </c>
      <c r="Q50" s="56">
        <f>'GHG detailed, absolute'!Q50/Production!$J$13*AF_calves_PL</f>
        <v>1.7334224193014676E-2</v>
      </c>
      <c r="R50" s="56">
        <f>'GHG detailed, absolute'!R50/Production!$J$13*AF_calves_PL</f>
        <v>1.7334224193014676E-2</v>
      </c>
      <c r="S50" s="13"/>
      <c r="T50" s="53">
        <f>'GHG detailed, absolute'!T50/Production!$J$13*AF_calves_PL</f>
        <v>0.30400374354688781</v>
      </c>
      <c r="U50" s="88">
        <f>'GHG detailed, absolute'!U50/Production!$J$13*AF_calves_PL</f>
        <v>0.22678863691912124</v>
      </c>
      <c r="V50" s="88">
        <f>'GHG detailed, absolute'!V50/Production!$J$13*AF_calves_PL</f>
        <v>7.721510662776658E-2</v>
      </c>
      <c r="W50" s="13">
        <f>'GHG detailed, absolute'!W50/Production!$J$13*AF_calves_PL</f>
        <v>3.6832953924260236E-3</v>
      </c>
      <c r="X50" s="53">
        <f>'GHG detailed, absolute'!X50/Production!$J$13*AF_calves_PL</f>
        <v>3.891665213856869E-5</v>
      </c>
    </row>
    <row r="51" spans="1:25" ht="15" customHeight="1" x14ac:dyDescent="0.2">
      <c r="A51" s="89"/>
      <c r="B51" s="89" t="s">
        <v>721</v>
      </c>
      <c r="C51" s="90" t="s">
        <v>37</v>
      </c>
      <c r="D51" s="103" t="s">
        <v>59</v>
      </c>
      <c r="E51" s="100" t="s">
        <v>60</v>
      </c>
      <c r="F51" s="92" t="s">
        <v>44</v>
      </c>
      <c r="G51" s="102">
        <f>SUM(H51:X51)</f>
        <v>1195.6558437314002</v>
      </c>
      <c r="H51" s="94">
        <f>SUMPRODUCT(H47:H50,'Parameters, general'!$B$24:$B$27)</f>
        <v>62.01340906585321</v>
      </c>
      <c r="I51" s="94">
        <f>SUMPRODUCT(I47:I50,'Parameters, general'!$B$24:$B$27)</f>
        <v>24.514300893101616</v>
      </c>
      <c r="J51" s="94">
        <f>SUMPRODUCT(J47:J50,'Parameters, general'!$B$24:$B$27)</f>
        <v>94.217917110489978</v>
      </c>
      <c r="K51" s="94">
        <f>SUMPRODUCT(K47:K50,'Parameters, general'!$B$24:$B$27)</f>
        <v>9.4217917110489982</v>
      </c>
      <c r="L51" s="94">
        <f>SUMPRODUCT(L47:L50,'Parameters, general'!$B$24:$B$27)</f>
        <v>27.573219993876055</v>
      </c>
      <c r="M51" s="94">
        <f>SUMPRODUCT(M47:M50,'Parameters, general'!$B$24:$B$27)</f>
        <v>0</v>
      </c>
      <c r="N51" s="94">
        <f>SUMPRODUCT(N47:N50,'Parameters, general'!$B$24:$B$27)</f>
        <v>0.16913072092103076</v>
      </c>
      <c r="O51" s="94">
        <f>SUMPRODUCT(O47:O50,'Parameters, general'!$B$24:$B$27)</f>
        <v>20.781487403420979</v>
      </c>
      <c r="P51" s="94">
        <f>SUMPRODUCT(P47:P50,'Parameters, general'!$B$24:$B$27)</f>
        <v>22.349901881645863</v>
      </c>
      <c r="Q51" s="94">
        <f>SUMPRODUCT(Q47:Q50,'Parameters, general'!$B$24:$B$27)</f>
        <v>75.681155066503024</v>
      </c>
      <c r="R51" s="94">
        <f>SUMPRODUCT(R47:R50,'Parameters, general'!$B$24:$B$27)</f>
        <v>75.681155066503024</v>
      </c>
      <c r="S51" s="94">
        <f>SUMPRODUCT(S47:S50,'Parameters, general'!$B$24:$B$27)</f>
        <v>449.70131231207529</v>
      </c>
      <c r="T51" s="94">
        <f>SUMPRODUCT(T47:T50,'Parameters, general'!$B$24:$B$27)</f>
        <v>114.55367110650499</v>
      </c>
      <c r="U51" s="94"/>
      <c r="V51" s="94"/>
      <c r="W51" s="94">
        <f>SUMPRODUCT(W47:W50,'Parameters, general'!$B$24:$B$27)</f>
        <v>216.86094599528647</v>
      </c>
      <c r="X51" s="94">
        <f>SUMPRODUCT(X47:X50,'Parameters, general'!$B$24:$B$27)</f>
        <v>2.1364454041696197</v>
      </c>
    </row>
    <row r="52" spans="1:25" ht="15" customHeight="1" x14ac:dyDescent="0.2">
      <c r="A52" s="74"/>
      <c r="B52" s="74" t="s">
        <v>721</v>
      </c>
      <c r="C52" s="75" t="s">
        <v>37</v>
      </c>
      <c r="D52" t="s">
        <v>61</v>
      </c>
      <c r="E52" s="76" t="s">
        <v>62</v>
      </c>
      <c r="F52" s="77" t="s">
        <v>40</v>
      </c>
      <c r="G52" s="78">
        <f>SUM(H52:X52)</f>
        <v>247.36611210499905</v>
      </c>
      <c r="H52" s="78">
        <f>'GHG detailed, absolute'!H52/Production!$K$13*AF_calves_ES</f>
        <v>35.264047365020254</v>
      </c>
      <c r="I52" s="78">
        <f>'GHG detailed, absolute'!I52/Production!$K$13*AF_calves_ES</f>
        <v>19.951601455049246</v>
      </c>
      <c r="J52" s="78"/>
      <c r="K52" s="78"/>
      <c r="L52" s="78">
        <f>'GHG detailed, absolute'!L52/Production!$K$13*AF_calves_ES</f>
        <v>25.184587051971384</v>
      </c>
      <c r="M52" s="78"/>
      <c r="N52" s="78">
        <f>'GHG detailed, absolute'!N52/Production!$K$13*AF_calves_ES</f>
        <v>3.1930866697364242</v>
      </c>
      <c r="O52" s="78">
        <f>'GHG detailed, absolute'!O52/Production!$K$13*AF_calves_ES</f>
        <v>14.734873741920639</v>
      </c>
      <c r="P52" s="78">
        <f>'GHG detailed, absolute'!P52/Production!$K$13*AF_calves_ES</f>
        <v>27.17507361836018</v>
      </c>
      <c r="Q52" s="78">
        <f>'GHG detailed, absolute'!Q52/Production!$K$13*AF_calves_ES</f>
        <v>30.079552014413022</v>
      </c>
      <c r="R52" s="78">
        <f>'GHG detailed, absolute'!R52/Production!$K$13*AF_calves_ES</f>
        <v>30.079552014413022</v>
      </c>
      <c r="S52" s="79"/>
      <c r="T52" s="80"/>
      <c r="U52" s="81"/>
      <c r="V52" s="81"/>
      <c r="W52" s="79">
        <f>'GHG detailed, absolute'!W52/Production!$K$13*AF_calves_ES</f>
        <v>61.082763797359448</v>
      </c>
      <c r="X52" s="82">
        <f>'GHG detailed, absolute'!X52/Production!$K$13*AF_calves_ES</f>
        <v>0.62097437675538714</v>
      </c>
    </row>
    <row r="53" spans="1:25" x14ac:dyDescent="0.2">
      <c r="A53" s="23"/>
      <c r="B53" s="23" t="s">
        <v>721</v>
      </c>
      <c r="C53" s="18" t="s">
        <v>37</v>
      </c>
      <c r="D53" t="s">
        <v>61</v>
      </c>
      <c r="E53" s="58" t="s">
        <v>62</v>
      </c>
      <c r="F53" s="23" t="s">
        <v>41</v>
      </c>
      <c r="G53" s="83">
        <f>SUM(H53:X53)</f>
        <v>0.68343214245642236</v>
      </c>
      <c r="H53" s="56">
        <f>'GHG detailed, absolute'!H53/Production!$K$13*AF_calves_ES</f>
        <v>4.2535347589057505E-3</v>
      </c>
      <c r="I53" s="56">
        <f>'GHG detailed, absolute'!I53/Production!$K$13*AF_calves_ES</f>
        <v>7.0200079193691811E-2</v>
      </c>
      <c r="J53" s="56"/>
      <c r="K53" s="56"/>
      <c r="L53" s="56">
        <f>'GHG detailed, absolute'!L53/Production!$K$13*AF_calves_ES</f>
        <v>1.1155922847178583E-2</v>
      </c>
      <c r="M53" s="56"/>
      <c r="N53" s="56">
        <f>'GHG detailed, absolute'!N53/Production!$K$13*AF_calves_ES</f>
        <v>9.5238940860866567E-3</v>
      </c>
      <c r="O53" s="56">
        <f>'GHG detailed, absolute'!O53/Production!$K$13*AF_calves_ES</f>
        <v>1.1118336841892913E-2</v>
      </c>
      <c r="P53" s="56">
        <f>'GHG detailed, absolute'!P53/Production!$K$13*AF_calves_ES</f>
        <v>0</v>
      </c>
      <c r="Q53" s="56">
        <f>'GHG detailed, absolute'!Q53/Production!$K$13*AF_calves_ES</f>
        <v>0.19309229554480292</v>
      </c>
      <c r="R53" s="56">
        <f>'GHG detailed, absolute'!R53/Production!$K$13*AF_calves_ES</f>
        <v>0.19309229554480292</v>
      </c>
      <c r="W53" s="13">
        <f>'GHG detailed, absolute'!W53/Production!$K$13*AF_calves_ES</f>
        <v>0.18881618828855684</v>
      </c>
      <c r="X53" s="53">
        <f>'GHG detailed, absolute'!X53/Production!$K$13*AF_calves_ES</f>
        <v>2.1795953505039534E-3</v>
      </c>
    </row>
    <row r="54" spans="1:25" x14ac:dyDescent="0.2">
      <c r="A54" s="23"/>
      <c r="B54" s="23" t="s">
        <v>721</v>
      </c>
      <c r="C54" s="18" t="s">
        <v>37</v>
      </c>
      <c r="D54" t="s">
        <v>61</v>
      </c>
      <c r="E54" s="58" t="s">
        <v>62</v>
      </c>
      <c r="F54" s="23" t="s">
        <v>42</v>
      </c>
      <c r="G54" s="83">
        <f>SUM(H54:T54)</f>
        <v>17.528561728740677</v>
      </c>
      <c r="H54" s="56"/>
      <c r="I54" s="56"/>
      <c r="J54" s="85"/>
      <c r="K54" s="56"/>
      <c r="L54" s="56"/>
      <c r="M54" s="56"/>
      <c r="N54" s="56"/>
      <c r="O54" s="56"/>
      <c r="P54" s="56"/>
      <c r="Q54" s="56"/>
      <c r="R54" s="56"/>
      <c r="S54" s="13">
        <f>'GHG detailed, absolute'!S54/Production!$K$13*AF_calves_ES</f>
        <v>14.908099216456701</v>
      </c>
      <c r="T54" s="53">
        <f>'GHG detailed, absolute'!T54/Production!$K$13*AF_calves_ES</f>
        <v>2.6204625122839742</v>
      </c>
      <c r="U54" s="86">
        <f>'GHG detailed, absolute'!U54/Production!$K$13*AF_calves_ES</f>
        <v>2.6204625122839742</v>
      </c>
      <c r="W54" s="13"/>
      <c r="X54" s="53"/>
    </row>
    <row r="55" spans="1:25" ht="15" customHeight="1" x14ac:dyDescent="0.2">
      <c r="A55" s="23"/>
      <c r="B55" s="23" t="s">
        <v>721</v>
      </c>
      <c r="C55" s="18" t="s">
        <v>37</v>
      </c>
      <c r="D55" t="s">
        <v>61</v>
      </c>
      <c r="E55" s="58" t="s">
        <v>62</v>
      </c>
      <c r="F55" s="87" t="s">
        <v>43</v>
      </c>
      <c r="G55" s="83">
        <f>SUM(H55:T55)+W55+X55</f>
        <v>0.63274941553054409</v>
      </c>
      <c r="H55" s="56">
        <f>'GHG detailed, absolute'!H55/Production!$K$13*AF_calves_ES</f>
        <v>1.029087228046331E-2</v>
      </c>
      <c r="I55" s="56">
        <f>'GHG detailed, absolute'!I55/Production!$K$13*AF_calves_ES</f>
        <v>8.128430222427473E-4</v>
      </c>
      <c r="J55" s="56">
        <f>'GHG detailed, absolute'!J55/Production!$K$13*AF_calves_ES</f>
        <v>0.352031037479964</v>
      </c>
      <c r="K55" s="84">
        <f>'GHG detailed, absolute'!K55/Production!$K$13*AF_calves_ES</f>
        <v>3.52031037479964E-2</v>
      </c>
      <c r="L55" s="56">
        <f>'GHG detailed, absolute'!L55/Production!$K$13*AF_calves_ES</f>
        <v>6.7671967315623886E-4</v>
      </c>
      <c r="M55" s="56"/>
      <c r="N55" s="56">
        <f>'GHG detailed, absolute'!N55/Production!$K$13*AF_calves_ES</f>
        <v>1.3683511799283309E-4</v>
      </c>
      <c r="O55" s="56">
        <f>'GHG detailed, absolute'!O55/Production!$K$13*AF_calves_ES</f>
        <v>5.4132595657650729E-4</v>
      </c>
      <c r="P55" s="56">
        <f>'GHG detailed, absolute'!P55/Production!$K$13*AF_calves_ES</f>
        <v>0</v>
      </c>
      <c r="Q55" s="56">
        <f>'GHG detailed, absolute'!Q55/Production!$K$13*AF_calves_ES</f>
        <v>1.4016384598956728E-2</v>
      </c>
      <c r="R55" s="56">
        <f>'GHG detailed, absolute'!R55/Production!$K$13*AF_calves_ES</f>
        <v>1.4016384598956728E-2</v>
      </c>
      <c r="S55" s="13"/>
      <c r="T55" s="53">
        <f>'GHG detailed, absolute'!T55/Production!$K$13*AF_calves_ES</f>
        <v>0.20223283578859813</v>
      </c>
      <c r="U55" s="88">
        <f>'GHG detailed, absolute'!U55/Production!$K$13*AF_calves_ES</f>
        <v>0.13921163553229335</v>
      </c>
      <c r="V55" s="88">
        <f>'GHG detailed, absolute'!V55/Production!$K$13*AF_calves_ES</f>
        <v>6.3021200256304782E-2</v>
      </c>
      <c r="W55" s="13">
        <f>'GHG detailed, absolute'!W55/Production!$K$13*AF_calves_ES</f>
        <v>2.7653356737582782E-3</v>
      </c>
      <c r="X55" s="53">
        <f>'GHG detailed, absolute'!X55/Production!$K$13*AF_calves_ES</f>
        <v>2.5737591882247374E-5</v>
      </c>
    </row>
    <row r="56" spans="1:25" ht="15" customHeight="1" x14ac:dyDescent="0.2">
      <c r="A56" s="89"/>
      <c r="B56" s="89" t="s">
        <v>721</v>
      </c>
      <c r="C56" s="90" t="s">
        <v>37</v>
      </c>
      <c r="D56" s="103" t="s">
        <v>61</v>
      </c>
      <c r="E56" s="91" t="s">
        <v>62</v>
      </c>
      <c r="F56" s="92" t="s">
        <v>44</v>
      </c>
      <c r="G56" s="102">
        <f>SUM(H56:X56)</f>
        <v>913.74414706603716</v>
      </c>
      <c r="H56" s="94">
        <f>SUMPRODUCT(H52:H55,'Parameters, general'!$B$24:$B$27)</f>
        <v>38.200210833402124</v>
      </c>
      <c r="I56" s="94">
        <f>SUMPRODUCT(I52:I55,'Parameters, general'!$B$24:$B$27)</f>
        <v>22.265469960093533</v>
      </c>
      <c r="J56" s="94">
        <f>SUMPRODUCT(J52:J55,'Parameters, general'!$B$24:$B$27)</f>
        <v>96.104473232030173</v>
      </c>
      <c r="K56" s="94">
        <f>SUMPRODUCT(K52:K55,'Parameters, general'!$B$24:$B$27)</f>
        <v>9.610447323203017</v>
      </c>
      <c r="L56" s="94">
        <f>SUMPRODUCT(L52:L55,'Parameters, general'!$B$24:$B$27)</f>
        <v>25.701778023588961</v>
      </c>
      <c r="M56" s="94">
        <f>SUMPRODUCT(M52:M55,'Parameters, general'!$B$24:$B$27)</f>
        <v>0</v>
      </c>
      <c r="N56" s="94">
        <f>SUMPRODUCT(N52:N55,'Parameters, general'!$B$24:$B$27)</f>
        <v>3.5142547007138498</v>
      </c>
      <c r="O56" s="94">
        <f>SUMPRODUCT(O52:O55,'Parameters, general'!$B$24:$B$27)</f>
        <v>15.213982165954434</v>
      </c>
      <c r="P56" s="94">
        <f>SUMPRODUCT(P52:P55,'Parameters, general'!$B$24:$B$27)</f>
        <v>27.17507361836018</v>
      </c>
      <c r="Q56" s="94">
        <f>SUMPRODUCT(Q52:Q55,'Parameters, general'!$B$24:$B$27)</f>
        <v>39.660175417163337</v>
      </c>
      <c r="R56" s="94">
        <f>SUMPRODUCT(R52:R55,'Parameters, general'!$B$24:$B$27)</f>
        <v>39.660175417163337</v>
      </c>
      <c r="S56" s="94">
        <f>SUMPRODUCT(S52:S55,'Parameters, general'!$B$24:$B$27)</f>
        <v>402.51867884433096</v>
      </c>
      <c r="T56" s="94">
        <f>SUMPRODUCT(T52:T55,'Parameters, general'!$B$24:$B$27)</f>
        <v>125.96205200195459</v>
      </c>
      <c r="U56" s="94"/>
      <c r="V56" s="94"/>
      <c r="W56" s="94">
        <f>SUMPRODUCT(W52:W55,'Parameters, general'!$B$24:$B$27)</f>
        <v>67.464422847294458</v>
      </c>
      <c r="X56" s="94">
        <f>SUMPRODUCT(X52:X55,'Parameters, general'!$B$24:$B$27)</f>
        <v>0.69295268078425853</v>
      </c>
    </row>
    <row r="57" spans="1:25" ht="15" customHeight="1" x14ac:dyDescent="0.2">
      <c r="A57" s="74"/>
      <c r="B57" s="74" t="s">
        <v>721</v>
      </c>
      <c r="C57" s="75" t="s">
        <v>37</v>
      </c>
      <c r="D57" s="58" t="s">
        <v>63</v>
      </c>
      <c r="E57" s="58" t="s">
        <v>64</v>
      </c>
      <c r="F57" s="97" t="s">
        <v>40</v>
      </c>
      <c r="G57" s="78">
        <f>SUM(H57:X57)</f>
        <v>175.29191325964834</v>
      </c>
      <c r="H57" s="78">
        <f>'GHG detailed, absolute'!H57/Production!$L$13*AF_calves_SE</f>
        <v>26.750897724824434</v>
      </c>
      <c r="I57" s="83">
        <f>'GHG detailed, absolute'!I57/Production!$L$13*AF_calves_SE</f>
        <v>21.713324306845884</v>
      </c>
      <c r="J57" s="83"/>
      <c r="K57" s="83"/>
      <c r="L57" s="78">
        <f>'GHG detailed, absolute'!L57/Production!$L$13*AF_calves_SE</f>
        <v>21.283184407851525</v>
      </c>
      <c r="M57" s="78"/>
      <c r="N57" s="78">
        <f>'GHG detailed, absolute'!N57/Production!$L$13*AF_calves_SE</f>
        <v>5.245661527984076E-2</v>
      </c>
      <c r="O57" s="78">
        <f>'GHG detailed, absolute'!O57/Production!$L$13*AF_calves_SE</f>
        <v>7.5486976808229205</v>
      </c>
      <c r="P57" s="78">
        <f>'GHG detailed, absolute'!P57/Production!$L$13*AF_calves_SE</f>
        <v>19.696563828588474</v>
      </c>
      <c r="Q57" s="78">
        <f>'GHG detailed, absolute'!Q57/Production!$L$13*AF_calves_SE</f>
        <v>33.695794898331741</v>
      </c>
      <c r="R57" s="78">
        <f>'GHG detailed, absolute'!R57/Production!$L$13*AF_calves_SE</f>
        <v>33.695794898331741</v>
      </c>
      <c r="S57" s="79"/>
      <c r="U57" s="81"/>
      <c r="V57" s="81"/>
      <c r="W57" s="79">
        <f>'GHG detailed, absolute'!W57/Production!$L$13*AF_calves_SE</f>
        <v>10.537281849202344</v>
      </c>
      <c r="X57" s="82">
        <f>'GHG detailed, absolute'!X57/Production!$L$13*AF_calves_SE</f>
        <v>0.31791704956944988</v>
      </c>
    </row>
    <row r="58" spans="1:25" x14ac:dyDescent="0.2">
      <c r="A58" s="23"/>
      <c r="B58" s="23" t="s">
        <v>721</v>
      </c>
      <c r="C58" s="18" t="s">
        <v>37</v>
      </c>
      <c r="D58" s="58" t="s">
        <v>63</v>
      </c>
      <c r="E58" s="58" t="s">
        <v>64</v>
      </c>
      <c r="F58" s="23" t="s">
        <v>41</v>
      </c>
      <c r="G58" s="83">
        <f>SUM(H58:X58)</f>
        <v>0.9815030734745458</v>
      </c>
      <c r="H58" s="56">
        <f>'GHG detailed, absolute'!H58/Production!$L$13*AF_calves_SE</f>
        <v>1.0372339981491719E-2</v>
      </c>
      <c r="I58" s="99">
        <f>'GHG detailed, absolute'!I58/Production!$L$13*AF_calves_SE</f>
        <v>7.6398733672235514E-2</v>
      </c>
      <c r="J58" s="99"/>
      <c r="K58" s="99"/>
      <c r="L58" s="56">
        <f>'GHG detailed, absolute'!L58/Production!$L$13*AF_calves_SE</f>
        <v>9.4277330299795438E-3</v>
      </c>
      <c r="M58" s="56"/>
      <c r="N58" s="56">
        <f>'GHG detailed, absolute'!N58/Production!$L$13*AF_calves_SE</f>
        <v>1.6077999971338857E-4</v>
      </c>
      <c r="O58" s="56">
        <f>'GHG detailed, absolute'!O58/Production!$L$13*AF_calves_SE</f>
        <v>3.8655415434838592E-3</v>
      </c>
      <c r="P58" s="56">
        <f>'GHG detailed, absolute'!P58/Production!$L$13*AF_calves_SE</f>
        <v>0</v>
      </c>
      <c r="Q58" s="56">
        <f>'GHG detailed, absolute'!Q58/Production!$L$13*AF_calves_SE</f>
        <v>0.43430633762503384</v>
      </c>
      <c r="R58" s="56">
        <f>'GHG detailed, absolute'!R58/Production!$L$13*AF_calves_SE</f>
        <v>0.43430633762503384</v>
      </c>
      <c r="W58" s="13">
        <f>'GHG detailed, absolute'!W58/Production!$L$13*AF_calves_SE</f>
        <v>1.1708137810407667E-2</v>
      </c>
      <c r="X58" s="53">
        <f>'GHG detailed, absolute'!X58/Production!$L$13*AF_calves_SE</f>
        <v>9.5713218716632277E-4</v>
      </c>
    </row>
    <row r="59" spans="1:25" x14ac:dyDescent="0.2">
      <c r="A59" s="23"/>
      <c r="B59" s="23" t="s">
        <v>721</v>
      </c>
      <c r="C59" s="18" t="s">
        <v>37</v>
      </c>
      <c r="D59" s="58" t="s">
        <v>63</v>
      </c>
      <c r="E59" s="58" t="s">
        <v>64</v>
      </c>
      <c r="F59" s="23" t="s">
        <v>42</v>
      </c>
      <c r="G59" s="83">
        <f>SUM(H59:T59)</f>
        <v>17.320451477103905</v>
      </c>
      <c r="H59" s="56"/>
      <c r="I59" s="99"/>
      <c r="J59" s="99"/>
      <c r="K59" s="99"/>
      <c r="L59" s="56"/>
      <c r="M59" s="56"/>
      <c r="N59" s="56"/>
      <c r="O59" s="56"/>
      <c r="P59" s="56"/>
      <c r="Q59" s="56"/>
      <c r="R59" s="56"/>
      <c r="S59" s="13">
        <f>'GHG detailed, absolute'!S59/Production!$L$13*AF_calves_SE</f>
        <v>16.357265259455545</v>
      </c>
      <c r="T59" s="52">
        <f>'GHG detailed, absolute'!T59/Production!$L$13*AF_calves_SE</f>
        <v>0.96318621764835899</v>
      </c>
      <c r="U59" s="86">
        <f>'GHG detailed, absolute'!U59/Production!$L$13*AF_calves_SE</f>
        <v>0.96318621764835899</v>
      </c>
      <c r="W59" s="13"/>
      <c r="X59" s="53"/>
    </row>
    <row r="60" spans="1:25" ht="15" customHeight="1" x14ac:dyDescent="0.2">
      <c r="A60" s="23"/>
      <c r="B60" s="23" t="s">
        <v>721</v>
      </c>
      <c r="C60" s="18" t="s">
        <v>37</v>
      </c>
      <c r="D60" s="58" t="s">
        <v>63</v>
      </c>
      <c r="E60" s="58" t="s">
        <v>64</v>
      </c>
      <c r="F60" s="87" t="s">
        <v>43</v>
      </c>
      <c r="G60" s="83">
        <f>SUM(H60:T60)+W60+X60</f>
        <v>0.62867880387127439</v>
      </c>
      <c r="H60" s="56">
        <f>'GHG detailed, absolute'!H60/Production!$L$13*AF_calves_SE</f>
        <v>2.3196394348845437E-2</v>
      </c>
      <c r="I60" s="84">
        <f>'GHG detailed, absolute'!I60/Production!$L$13*AF_calves_SE</f>
        <v>8.8461691620483223E-4</v>
      </c>
      <c r="J60" s="84">
        <f>'GHG detailed, absolute'!J60/Production!$L$13*AF_calves_SE</f>
        <v>0.3303563508631937</v>
      </c>
      <c r="K60" s="84">
        <f>'GHG detailed, absolute'!K60/Production!$L$13*AF_calves_SE</f>
        <v>3.3035635086319376E-2</v>
      </c>
      <c r="L60" s="56">
        <f>'GHG detailed, absolute'!L60/Production!$L$13*AF_calves_SE</f>
        <v>5.7188746301392417E-4</v>
      </c>
      <c r="M60" s="56"/>
      <c r="N60" s="56">
        <f>'GHG detailed, absolute'!N60/Production!$L$13*AF_calves_SE</f>
        <v>2.2277314489429539E-6</v>
      </c>
      <c r="O60" s="56">
        <f>'GHG detailed, absolute'!O60/Production!$L$13*AF_calves_SE</f>
        <v>2.827610704778947E-4</v>
      </c>
      <c r="P60" s="56">
        <f>'GHG detailed, absolute'!P60/Production!$L$13*AF_calves_SE</f>
        <v>0</v>
      </c>
      <c r="Q60" s="56">
        <f>'GHG detailed, absolute'!Q60/Production!$L$13*AF_calves_SE</f>
        <v>4.1759697911988108E-2</v>
      </c>
      <c r="R60" s="56">
        <f>'GHG detailed, absolute'!R60/Production!$L$13*AF_calves_SE</f>
        <v>4.1759697911988108E-2</v>
      </c>
      <c r="S60" s="13"/>
      <c r="T60" s="53">
        <f>'GHG detailed, absolute'!T60/Production!$L$13*AF_calves_SE</f>
        <v>0.15583723011137091</v>
      </c>
      <c r="U60" s="88">
        <f>'GHG detailed, absolute'!U60/Production!$L$13*AF_calves_SE</f>
        <v>8.7730826072186824E-2</v>
      </c>
      <c r="V60" s="88">
        <f>'GHG detailed, absolute'!V60/Production!$L$13*AF_calves_SE</f>
        <v>6.8106404039184082E-2</v>
      </c>
      <c r="W60" s="13">
        <f>'GHG detailed, absolute'!W60/Production!$L$13*AF_calves_SE</f>
        <v>9.735959306585209E-4</v>
      </c>
      <c r="X60" s="53">
        <f>'GHG detailed, absolute'!X60/Production!$L$13*AF_calves_SE</f>
        <v>1.8708525764682457E-5</v>
      </c>
    </row>
    <row r="61" spans="1:25" ht="15" customHeight="1" x14ac:dyDescent="0.2">
      <c r="A61" s="89"/>
      <c r="B61" s="89" t="s">
        <v>721</v>
      </c>
      <c r="C61" s="90" t="s">
        <v>37</v>
      </c>
      <c r="D61" s="91" t="s">
        <v>63</v>
      </c>
      <c r="E61" s="91" t="s">
        <v>64</v>
      </c>
      <c r="F61" s="92" t="s">
        <v>44</v>
      </c>
      <c r="G61" s="104">
        <f>SUM(H61:X61)</f>
        <v>843.82220818785311</v>
      </c>
      <c r="H61" s="105">
        <f>SUMPRODUCT(H57:H60,'Parameters, general'!$B$24:$B$27)</f>
        <v>33.392609113507689</v>
      </c>
      <c r="I61" s="94">
        <f>SUMPRODUCT(I57:I60,'Parameters, general'!$B$24:$B$27)</f>
        <v>24.231506988402423</v>
      </c>
      <c r="J61" s="94">
        <f>SUMPRODUCT(J57:J60,'Parameters, general'!$B$24:$B$27)</f>
        <v>90.187283785651886</v>
      </c>
      <c r="K61" s="94">
        <f>SUMPRODUCT(K57:K60,'Parameters, general'!$B$24:$B$27)</f>
        <v>9.0187283785651893</v>
      </c>
      <c r="L61" s="94">
        <f>SUMPRODUCT(L57:L60,'Parameters, general'!$B$24:$B$27)</f>
        <v>21.720256129547717</v>
      </c>
      <c r="M61" s="94">
        <f>SUMPRODUCT(M57:M60,'Parameters, general'!$B$24:$B$27)</f>
        <v>0</v>
      </c>
      <c r="N61" s="94">
        <f>SUMPRODUCT(N57:N60,'Parameters, general'!$B$24:$B$27)</f>
        <v>5.7856029956861163E-2</v>
      </c>
      <c r="O61" s="94">
        <f>SUMPRODUCT(O57:O60,'Parameters, general'!$B$24:$B$27)</f>
        <v>7.741084591059205</v>
      </c>
      <c r="P61" s="94">
        <f>SUMPRODUCT(P57:P60,'Parameters, general'!$B$24:$B$27)</f>
        <v>19.696563828588474</v>
      </c>
      <c r="Q61" s="94">
        <f>SUMPRODUCT(Q57:Q60,'Parameters, general'!$B$24:$B$27)</f>
        <v>58.038521289530507</v>
      </c>
      <c r="R61" s="94">
        <f>SUMPRODUCT(R57:R60,'Parameters, general'!$B$24:$B$27)</f>
        <v>58.038521289530507</v>
      </c>
      <c r="S61" s="94">
        <f>SUMPRODUCT(S57:S60,'Parameters, general'!$B$24:$B$27)</f>
        <v>441.64616200529974</v>
      </c>
      <c r="T61" s="94">
        <f>SUMPRODUCT(T57:T60,'Parameters, general'!$B$24:$B$27)</f>
        <v>68.549591696909957</v>
      </c>
      <c r="U61" s="94"/>
      <c r="V61" s="94"/>
      <c r="W61" s="94">
        <f>SUMPRODUCT(W57:W60,'Parameters, general'!$B$24:$B$27)</f>
        <v>11.151976045022268</v>
      </c>
      <c r="X61" s="94">
        <f>SUMPRODUCT(X57:X60,'Parameters, general'!$B$24:$B$27)</f>
        <v>0.35154701628076462</v>
      </c>
    </row>
    <row r="62" spans="1:25" x14ac:dyDescent="0.2">
      <c r="A62" s="74"/>
      <c r="B62" s="74" t="s">
        <v>721</v>
      </c>
      <c r="C62" s="75" t="s">
        <v>37</v>
      </c>
      <c r="D62" s="58" t="s">
        <v>65</v>
      </c>
      <c r="E62" s="58" t="s">
        <v>66</v>
      </c>
      <c r="F62" s="97" t="s">
        <v>40</v>
      </c>
      <c r="G62" s="78">
        <f>SUM(H62:X62)</f>
        <v>124.08961966722116</v>
      </c>
      <c r="H62" s="192">
        <f t="shared" ref="H62:X62" si="0">H32</f>
        <v>20.720491907576957</v>
      </c>
      <c r="I62" s="192">
        <f t="shared" si="0"/>
        <v>25.156650721973477</v>
      </c>
      <c r="J62" s="192">
        <f t="shared" si="0"/>
        <v>0</v>
      </c>
      <c r="K62" s="192">
        <f t="shared" si="0"/>
        <v>0</v>
      </c>
      <c r="L62" s="192">
        <f t="shared" si="0"/>
        <v>14.929249103586637</v>
      </c>
      <c r="M62" s="192">
        <f t="shared" si="0"/>
        <v>0</v>
      </c>
      <c r="N62" s="192">
        <f t="shared" si="0"/>
        <v>5.9402008209057167E-2</v>
      </c>
      <c r="O62" s="192">
        <f t="shared" si="0"/>
        <v>4.9148888929893015</v>
      </c>
      <c r="P62" s="192">
        <f t="shared" si="0"/>
        <v>2.3299784611662839</v>
      </c>
      <c r="Q62" s="192">
        <f t="shared" si="0"/>
        <v>6.3165650624511036</v>
      </c>
      <c r="R62" s="192">
        <f t="shared" si="0"/>
        <v>6.3165650624511036</v>
      </c>
      <c r="S62" s="192">
        <f t="shared" si="0"/>
        <v>0</v>
      </c>
      <c r="T62" s="192">
        <f t="shared" si="0"/>
        <v>0</v>
      </c>
      <c r="U62" s="192">
        <f t="shared" si="0"/>
        <v>0</v>
      </c>
      <c r="V62" s="192">
        <f t="shared" si="0"/>
        <v>0</v>
      </c>
      <c r="W62" s="192">
        <f t="shared" si="0"/>
        <v>42.352618656873418</v>
      </c>
      <c r="X62" s="192">
        <f t="shared" si="0"/>
        <v>0.99320978994383302</v>
      </c>
      <c r="Y62" t="s">
        <v>67</v>
      </c>
    </row>
    <row r="63" spans="1:25" x14ac:dyDescent="0.2">
      <c r="A63" s="23"/>
      <c r="B63" s="23" t="s">
        <v>721</v>
      </c>
      <c r="C63" s="18" t="s">
        <v>37</v>
      </c>
      <c r="D63" s="58" t="s">
        <v>65</v>
      </c>
      <c r="E63" s="58" t="s">
        <v>66</v>
      </c>
      <c r="F63" s="23" t="s">
        <v>41</v>
      </c>
      <c r="G63" s="83">
        <f>SUM(H63:X63)</f>
        <v>0.16925726456296339</v>
      </c>
      <c r="H63" s="152">
        <f t="shared" ref="H63:X63" si="1">H33</f>
        <v>8.3879783918403938E-4</v>
      </c>
      <c r="I63" s="152">
        <f t="shared" si="1"/>
        <v>8.8514141429165943E-2</v>
      </c>
      <c r="J63" s="152">
        <f t="shared" si="1"/>
        <v>0</v>
      </c>
      <c r="K63" s="152">
        <f t="shared" si="1"/>
        <v>0</v>
      </c>
      <c r="L63" s="152">
        <f t="shared" si="1"/>
        <v>6.6131539430139422E-3</v>
      </c>
      <c r="M63" s="152">
        <f t="shared" si="1"/>
        <v>0</v>
      </c>
      <c r="N63" s="152">
        <f t="shared" si="1"/>
        <v>1.7601955406526328E-4</v>
      </c>
      <c r="O63" s="152">
        <f t="shared" si="1"/>
        <v>2.5693093006103028E-3</v>
      </c>
      <c r="P63" s="152">
        <f t="shared" si="1"/>
        <v>0</v>
      </c>
      <c r="Q63" s="152">
        <f t="shared" si="1"/>
        <v>1.1537879947402024E-2</v>
      </c>
      <c r="R63" s="152">
        <f t="shared" si="1"/>
        <v>1.1537879947402024E-2</v>
      </c>
      <c r="S63" s="152">
        <f t="shared" si="1"/>
        <v>0</v>
      </c>
      <c r="T63" s="152">
        <f t="shared" si="1"/>
        <v>0</v>
      </c>
      <c r="U63" s="152">
        <f t="shared" si="1"/>
        <v>0</v>
      </c>
      <c r="V63" s="152">
        <f t="shared" si="1"/>
        <v>0</v>
      </c>
      <c r="W63" s="152">
        <f t="shared" si="1"/>
        <v>4.5642723460723206E-2</v>
      </c>
      <c r="X63" s="152">
        <f t="shared" si="1"/>
        <v>1.82735914139665E-3</v>
      </c>
    </row>
    <row r="64" spans="1:25" x14ac:dyDescent="0.2">
      <c r="A64" s="23"/>
      <c r="B64" s="23" t="s">
        <v>721</v>
      </c>
      <c r="C64" s="18" t="s">
        <v>37</v>
      </c>
      <c r="D64" s="58" t="s">
        <v>65</v>
      </c>
      <c r="E64" s="58" t="s">
        <v>66</v>
      </c>
      <c r="F64" s="23" t="s">
        <v>42</v>
      </c>
      <c r="G64" s="83">
        <f>SUM(H64:T64)</f>
        <v>20.644459142159459</v>
      </c>
      <c r="H64" s="152">
        <f t="shared" ref="H64:X64" si="2">H34</f>
        <v>0</v>
      </c>
      <c r="I64" s="152">
        <f t="shared" si="2"/>
        <v>0</v>
      </c>
      <c r="J64" s="152">
        <f t="shared" si="2"/>
        <v>0</v>
      </c>
      <c r="K64" s="152">
        <f t="shared" si="2"/>
        <v>0</v>
      </c>
      <c r="L64" s="152">
        <f t="shared" si="2"/>
        <v>0</v>
      </c>
      <c r="M64" s="152">
        <f t="shared" si="2"/>
        <v>0</v>
      </c>
      <c r="N64" s="152">
        <f t="shared" si="2"/>
        <v>0</v>
      </c>
      <c r="O64" s="152">
        <f t="shared" si="2"/>
        <v>0</v>
      </c>
      <c r="P64" s="152">
        <f t="shared" si="2"/>
        <v>0</v>
      </c>
      <c r="Q64" s="152">
        <f t="shared" si="2"/>
        <v>0</v>
      </c>
      <c r="R64" s="152">
        <f t="shared" si="2"/>
        <v>0</v>
      </c>
      <c r="S64" s="152">
        <f t="shared" si="2"/>
        <v>18.373411488998563</v>
      </c>
      <c r="T64" s="152">
        <f t="shared" si="2"/>
        <v>2.2710476531608945</v>
      </c>
      <c r="U64" s="152">
        <f t="shared" si="2"/>
        <v>2.2710476531608945</v>
      </c>
      <c r="V64" s="152">
        <f t="shared" si="2"/>
        <v>0</v>
      </c>
      <c r="W64" s="152">
        <f t="shared" si="2"/>
        <v>0</v>
      </c>
      <c r="X64" s="152">
        <f t="shared" si="2"/>
        <v>0</v>
      </c>
    </row>
    <row r="65" spans="1:24" ht="15" customHeight="1" x14ac:dyDescent="0.2">
      <c r="A65" s="23"/>
      <c r="B65" s="23" t="s">
        <v>721</v>
      </c>
      <c r="C65" s="18" t="s">
        <v>37</v>
      </c>
      <c r="D65" s="58" t="s">
        <v>65</v>
      </c>
      <c r="E65" s="58" t="s">
        <v>66</v>
      </c>
      <c r="F65" s="87" t="s">
        <v>43</v>
      </c>
      <c r="G65" s="83">
        <f>SUM(H65:T65)+W65+X65</f>
        <v>0.5378223719873515</v>
      </c>
      <c r="H65" s="152">
        <f t="shared" ref="H65:X65" si="3">H35</f>
        <v>8.02935063376836E-3</v>
      </c>
      <c r="I65" s="152">
        <f t="shared" si="3"/>
        <v>1.0249005849692901E-3</v>
      </c>
      <c r="J65" s="152">
        <f t="shared" si="3"/>
        <v>0.3287706100171483</v>
      </c>
      <c r="K65" s="152">
        <f t="shared" si="3"/>
        <v>3.2877061001714829E-2</v>
      </c>
      <c r="L65" s="152">
        <f t="shared" si="3"/>
        <v>4.011547440900517E-4</v>
      </c>
      <c r="M65" s="152">
        <f t="shared" si="3"/>
        <v>0</v>
      </c>
      <c r="N65" s="152">
        <f t="shared" si="3"/>
        <v>2.5510008856757357E-6</v>
      </c>
      <c r="O65" s="152">
        <f t="shared" si="3"/>
        <v>1.7704473715542308E-4</v>
      </c>
      <c r="P65" s="152">
        <f t="shared" si="3"/>
        <v>0</v>
      </c>
      <c r="Q65" s="152">
        <f t="shared" si="3"/>
        <v>7.3023853649677813E-4</v>
      </c>
      <c r="R65" s="152">
        <f t="shared" si="3"/>
        <v>7.3023853649677813E-4</v>
      </c>
      <c r="S65" s="152">
        <f t="shared" si="3"/>
        <v>0</v>
      </c>
      <c r="T65" s="152">
        <f t="shared" si="3"/>
        <v>0.16348783139705475</v>
      </c>
      <c r="U65" s="152">
        <f t="shared" si="3"/>
        <v>0.11431414918420077</v>
      </c>
      <c r="V65" s="152">
        <f t="shared" si="3"/>
        <v>4.9173682212853967E-2</v>
      </c>
      <c r="W65" s="152">
        <f t="shared" si="3"/>
        <v>1.5558896502165427E-3</v>
      </c>
      <c r="X65" s="152">
        <f t="shared" si="3"/>
        <v>3.5501147354592413E-5</v>
      </c>
    </row>
    <row r="66" spans="1:24" ht="15" customHeight="1" x14ac:dyDescent="0.2">
      <c r="A66" s="89"/>
      <c r="B66" s="89" t="s">
        <v>721</v>
      </c>
      <c r="C66" s="90" t="s">
        <v>37</v>
      </c>
      <c r="D66" s="91" t="s">
        <v>65</v>
      </c>
      <c r="E66" s="91" t="s">
        <v>66</v>
      </c>
      <c r="F66" s="92" t="s">
        <v>44</v>
      </c>
      <c r="G66" s="104">
        <f>SUM(H66:X66)</f>
        <v>833.35939054204982</v>
      </c>
      <c r="H66" s="105">
        <f>SUMPRODUCT(H62:H65,'Parameters, general'!$B$24:$B$27)</f>
        <v>22.937500806203403</v>
      </c>
      <c r="I66" s="94">
        <f>SUMPRODUCT(I62:I65,'Parameters, general'!$B$24:$B$27)</f>
        <v>28.074169996259236</v>
      </c>
      <c r="J66" s="94">
        <f>SUMPRODUCT(J62:J65,'Parameters, general'!$B$24:$B$27)</f>
        <v>89.754376534681484</v>
      </c>
      <c r="K66" s="94">
        <f>SUMPRODUCT(K62:K65,'Parameters, general'!$B$24:$B$27)</f>
        <v>8.9754376534681484</v>
      </c>
      <c r="L66" s="94">
        <f>SUMPRODUCT(L62:L65,'Parameters, general'!$B$24:$B$27)</f>
        <v>15.235836336225036</v>
      </c>
      <c r="M66" s="94">
        <f>SUMPRODUCT(M62:M65,'Parameters, general'!$B$24:$B$27)</f>
        <v>0</v>
      </c>
      <c r="N66" s="94">
        <f>SUMPRODUCT(N62:N65,'Parameters, general'!$B$24:$B$27)</f>
        <v>6.534381416199149E-2</v>
      </c>
      <c r="O66" s="94">
        <f>SUMPRODUCT(O62:O65,'Parameters, general'!$B$24:$B$27)</f>
        <v>5.0397875233909186</v>
      </c>
      <c r="P66" s="94">
        <f>SUMPRODUCT(P62:P65,'Parameters, general'!$B$24:$B$27)</f>
        <v>2.3299784611662839</v>
      </c>
      <c r="Q66" s="94">
        <f>SUMPRODUCT(Q62:Q65,'Parameters, general'!$B$24:$B$27)</f>
        <v>6.8597490053473038</v>
      </c>
      <c r="R66" s="94">
        <f>SUMPRODUCT(R62:R65,'Parameters, general'!$B$24:$B$27)</f>
        <v>6.8597490053473038</v>
      </c>
      <c r="S66" s="94">
        <f>SUMPRODUCT(S62:S65,'Parameters, general'!$B$24:$B$27)</f>
        <v>496.08211020296119</v>
      </c>
      <c r="T66" s="94">
        <f>SUMPRODUCT(T62:T65,'Parameters, general'!$B$24:$B$27)</f>
        <v>105.9504646067401</v>
      </c>
      <c r="U66" s="94"/>
      <c r="V66" s="94"/>
      <c r="W66" s="94">
        <f>SUMPRODUCT(W62:W65,'Parameters, general'!$B$24:$B$27)</f>
        <v>44.137529690512089</v>
      </c>
      <c r="X66" s="94">
        <f>SUMPRODUCT(X62:X65,'Parameters, general'!$B$24:$B$27)</f>
        <v>1.0573569055852567</v>
      </c>
    </row>
    <row r="67" spans="1:24" x14ac:dyDescent="0.2">
      <c r="T67" s="53"/>
      <c r="U67" s="53"/>
    </row>
    <row r="68" spans="1:24" x14ac:dyDescent="0.2">
      <c r="T68" s="53"/>
      <c r="U68" s="53"/>
    </row>
    <row r="69" spans="1:24" x14ac:dyDescent="0.2">
      <c r="T69" s="53"/>
      <c r="U69" s="53"/>
    </row>
    <row r="70" spans="1:24" x14ac:dyDescent="0.2">
      <c r="T70" s="53"/>
      <c r="U70" s="53"/>
    </row>
    <row r="71" spans="1:24" x14ac:dyDescent="0.2">
      <c r="T71" s="53"/>
      <c r="U71" s="53"/>
    </row>
    <row r="72" spans="1:24" x14ac:dyDescent="0.2">
      <c r="T72" s="53"/>
      <c r="U72" s="53"/>
    </row>
    <row r="73" spans="1:24" x14ac:dyDescent="0.2">
      <c r="T73" s="53"/>
      <c r="U73" s="53"/>
    </row>
    <row r="74" spans="1:24" x14ac:dyDescent="0.2">
      <c r="T74" s="53"/>
      <c r="U74" s="53"/>
    </row>
    <row r="75" spans="1:24" x14ac:dyDescent="0.2">
      <c r="T75" s="53"/>
      <c r="U75" s="53"/>
    </row>
    <row r="76" spans="1:24" x14ac:dyDescent="0.2">
      <c r="T76" s="53"/>
      <c r="U76" s="53"/>
    </row>
    <row r="77" spans="1:24" x14ac:dyDescent="0.2">
      <c r="T77" s="53"/>
      <c r="U77" s="53"/>
    </row>
    <row r="78" spans="1:24" x14ac:dyDescent="0.2">
      <c r="T78" s="53"/>
      <c r="U78" s="53"/>
    </row>
    <row r="79" spans="1:24" x14ac:dyDescent="0.2">
      <c r="T79" s="53"/>
      <c r="U79" s="53"/>
    </row>
    <row r="80" spans="1:24" x14ac:dyDescent="0.2">
      <c r="T80" s="53"/>
      <c r="U80" s="53"/>
    </row>
    <row r="81" spans="20:21" x14ac:dyDescent="0.2">
      <c r="T81" s="53"/>
      <c r="U81" s="53"/>
    </row>
    <row r="82" spans="20:21" x14ac:dyDescent="0.2">
      <c r="T82" s="53"/>
      <c r="U82" s="53"/>
    </row>
    <row r="83" spans="20:21" x14ac:dyDescent="0.2">
      <c r="T83" s="53"/>
      <c r="U83" s="53"/>
    </row>
    <row r="84" spans="20:21" x14ac:dyDescent="0.2">
      <c r="T84" s="53"/>
      <c r="U84" s="53"/>
    </row>
    <row r="85" spans="20:21" x14ac:dyDescent="0.2">
      <c r="T85" s="53"/>
      <c r="U85" s="53"/>
    </row>
    <row r="86" spans="20:21" x14ac:dyDescent="0.2">
      <c r="T86" s="53"/>
      <c r="U86" s="53"/>
    </row>
    <row r="87" spans="20:21" x14ac:dyDescent="0.2">
      <c r="T87" s="53"/>
      <c r="U87" s="53"/>
    </row>
    <row r="88" spans="20:21" x14ac:dyDescent="0.2">
      <c r="T88" s="53"/>
      <c r="U88" s="53"/>
    </row>
    <row r="89" spans="20:21" x14ac:dyDescent="0.2">
      <c r="T89" s="53"/>
      <c r="U89" s="53"/>
    </row>
    <row r="90" spans="20:21" x14ac:dyDescent="0.2">
      <c r="T90" s="53"/>
      <c r="U90" s="53"/>
    </row>
    <row r="91" spans="20:21" x14ac:dyDescent="0.2">
      <c r="T91" s="53"/>
      <c r="U91" s="53"/>
    </row>
    <row r="92" spans="20:21" x14ac:dyDescent="0.2">
      <c r="T92" s="53"/>
      <c r="U92" s="53"/>
    </row>
    <row r="93" spans="20:21" x14ac:dyDescent="0.2">
      <c r="T93" s="53"/>
      <c r="U93" s="53"/>
    </row>
    <row r="94" spans="20:21" x14ac:dyDescent="0.2">
      <c r="T94" s="53"/>
      <c r="U94" s="53"/>
    </row>
    <row r="95" spans="20:21" x14ac:dyDescent="0.2">
      <c r="T95" s="53"/>
      <c r="U95" s="53"/>
    </row>
    <row r="96" spans="20:21" x14ac:dyDescent="0.2">
      <c r="T96" s="53"/>
      <c r="U96" s="53"/>
    </row>
    <row r="97" spans="20:21" x14ac:dyDescent="0.2">
      <c r="T97" s="53"/>
      <c r="U97" s="53"/>
    </row>
    <row r="98" spans="20:21" x14ac:dyDescent="0.2">
      <c r="T98" s="53"/>
      <c r="U98" s="53"/>
    </row>
    <row r="99" spans="20:21" x14ac:dyDescent="0.2">
      <c r="T99" s="53"/>
      <c r="U99" s="53"/>
    </row>
    <row r="100" spans="20:21" x14ac:dyDescent="0.2">
      <c r="T100" s="53"/>
      <c r="U100" s="53"/>
    </row>
    <row r="101" spans="20:21" x14ac:dyDescent="0.2">
      <c r="T101" s="53"/>
      <c r="U101" s="53"/>
    </row>
    <row r="102" spans="20:21" x14ac:dyDescent="0.2">
      <c r="T102" s="53"/>
      <c r="U102" s="53"/>
    </row>
    <row r="103" spans="20:21" x14ac:dyDescent="0.2">
      <c r="T103" s="53"/>
      <c r="U103" s="53"/>
    </row>
    <row r="104" spans="20:21" x14ac:dyDescent="0.2">
      <c r="T104" s="53"/>
      <c r="U104" s="53"/>
    </row>
    <row r="105" spans="20:21" x14ac:dyDescent="0.2">
      <c r="T105" s="53"/>
      <c r="U105" s="53"/>
    </row>
    <row r="106" spans="20:21" x14ac:dyDescent="0.2">
      <c r="T106" s="53"/>
      <c r="U106" s="53"/>
    </row>
    <row r="107" spans="20:21" x14ac:dyDescent="0.2">
      <c r="T107" s="53"/>
      <c r="U107" s="53"/>
    </row>
    <row r="108" spans="20:21" x14ac:dyDescent="0.2">
      <c r="T108" s="53"/>
      <c r="U108" s="53"/>
    </row>
    <row r="109" spans="20:21" x14ac:dyDescent="0.2">
      <c r="T109" s="53"/>
      <c r="U109" s="53"/>
    </row>
    <row r="110" spans="20:21" x14ac:dyDescent="0.2">
      <c r="T110" s="53"/>
      <c r="U110" s="53"/>
    </row>
    <row r="111" spans="20:21" x14ac:dyDescent="0.2">
      <c r="T111" s="53"/>
      <c r="U111" s="53"/>
    </row>
    <row r="112" spans="20:21" x14ac:dyDescent="0.2">
      <c r="T112" s="53"/>
      <c r="U112" s="53"/>
    </row>
    <row r="113" spans="20:21" x14ac:dyDescent="0.2">
      <c r="T113" s="53"/>
      <c r="U113" s="53"/>
    </row>
    <row r="114" spans="20:21" x14ac:dyDescent="0.2">
      <c r="T114" s="53"/>
      <c r="U114" s="53"/>
    </row>
    <row r="115" spans="20:21" x14ac:dyDescent="0.2">
      <c r="T115" s="53"/>
      <c r="U115" s="53"/>
    </row>
    <row r="116" spans="20:21" x14ac:dyDescent="0.2">
      <c r="T116" s="53"/>
      <c r="U116" s="53"/>
    </row>
    <row r="117" spans="20:21" x14ac:dyDescent="0.2">
      <c r="T117" s="53"/>
      <c r="U117" s="53"/>
    </row>
    <row r="118" spans="20:21" x14ac:dyDescent="0.2">
      <c r="T118" s="53"/>
      <c r="U118" s="53"/>
    </row>
    <row r="119" spans="20:21" x14ac:dyDescent="0.2">
      <c r="T119" s="53"/>
      <c r="U119" s="53"/>
    </row>
    <row r="120" spans="20:21" x14ac:dyDescent="0.2">
      <c r="T120" s="53"/>
      <c r="U120" s="53"/>
    </row>
    <row r="121" spans="20:21" x14ac:dyDescent="0.2">
      <c r="T121" s="53"/>
      <c r="U121" s="53"/>
    </row>
    <row r="122" spans="20:21" x14ac:dyDescent="0.2">
      <c r="T122" s="53"/>
      <c r="U122" s="53"/>
    </row>
    <row r="123" spans="20:21" x14ac:dyDescent="0.2">
      <c r="T123" s="53"/>
      <c r="U123" s="53"/>
    </row>
    <row r="124" spans="20:21" x14ac:dyDescent="0.2">
      <c r="T124" s="53"/>
      <c r="U124" s="53"/>
    </row>
    <row r="125" spans="20:21" x14ac:dyDescent="0.2">
      <c r="T125" s="53"/>
      <c r="U125" s="53"/>
    </row>
    <row r="126" spans="20:21" x14ac:dyDescent="0.2">
      <c r="T126" s="53"/>
      <c r="U126" s="53"/>
    </row>
    <row r="127" spans="20:21" x14ac:dyDescent="0.2">
      <c r="T127" s="53"/>
      <c r="U127" s="53"/>
    </row>
    <row r="128" spans="20:21" x14ac:dyDescent="0.2">
      <c r="T128" s="53"/>
      <c r="U128" s="53"/>
    </row>
    <row r="129" spans="20:21" x14ac:dyDescent="0.2">
      <c r="T129" s="53"/>
      <c r="U129" s="53"/>
    </row>
    <row r="130" spans="20:21" x14ac:dyDescent="0.2">
      <c r="T130" s="53"/>
      <c r="U130" s="53"/>
    </row>
    <row r="131" spans="20:21" x14ac:dyDescent="0.2">
      <c r="T131" s="53"/>
      <c r="U131" s="53"/>
    </row>
    <row r="132" spans="20:21" x14ac:dyDescent="0.2">
      <c r="T132" s="53"/>
      <c r="U132" s="53"/>
    </row>
    <row r="133" spans="20:21" x14ac:dyDescent="0.2">
      <c r="T133" s="53"/>
      <c r="U133" s="53"/>
    </row>
    <row r="134" spans="20:21" x14ac:dyDescent="0.2">
      <c r="T134" s="53"/>
      <c r="U134" s="53"/>
    </row>
    <row r="135" spans="20:21" x14ac:dyDescent="0.2">
      <c r="T135" s="53"/>
      <c r="U135" s="53"/>
    </row>
    <row r="136" spans="20:21" x14ac:dyDescent="0.2">
      <c r="T136" s="53"/>
      <c r="U136" s="53"/>
    </row>
    <row r="137" spans="20:21" x14ac:dyDescent="0.2">
      <c r="T137" s="53"/>
      <c r="U137" s="53"/>
    </row>
    <row r="138" spans="20:21" x14ac:dyDescent="0.2">
      <c r="T138" s="53"/>
      <c r="U138" s="53"/>
    </row>
    <row r="139" spans="20:21" x14ac:dyDescent="0.2">
      <c r="T139" s="53"/>
      <c r="U139" s="53"/>
    </row>
    <row r="140" spans="20:21" x14ac:dyDescent="0.2">
      <c r="T140" s="53"/>
      <c r="U140" s="53"/>
    </row>
    <row r="141" spans="20:21" x14ac:dyDescent="0.2">
      <c r="T141" s="53"/>
      <c r="U141" s="53"/>
    </row>
    <row r="142" spans="20:21" x14ac:dyDescent="0.2">
      <c r="T142" s="53"/>
      <c r="U142" s="53"/>
    </row>
    <row r="143" spans="20:21" x14ac:dyDescent="0.2">
      <c r="T143" s="53"/>
      <c r="U143" s="53"/>
    </row>
    <row r="144" spans="20:21" x14ac:dyDescent="0.2">
      <c r="T144" s="53"/>
      <c r="U144" s="53"/>
    </row>
    <row r="145" spans="20:21" x14ac:dyDescent="0.2">
      <c r="T145" s="53"/>
      <c r="U145" s="53"/>
    </row>
    <row r="146" spans="20:21" x14ac:dyDescent="0.2">
      <c r="T146" s="53"/>
      <c r="U146" s="53"/>
    </row>
    <row r="147" spans="20:21" x14ac:dyDescent="0.2">
      <c r="T147" s="53"/>
      <c r="U147" s="53"/>
    </row>
    <row r="148" spans="20:21" x14ac:dyDescent="0.2">
      <c r="T148" s="53"/>
      <c r="U148" s="53"/>
    </row>
    <row r="149" spans="20:21" x14ac:dyDescent="0.2">
      <c r="T149" s="53"/>
      <c r="U149" s="53"/>
    </row>
    <row r="150" spans="20:21" x14ac:dyDescent="0.2">
      <c r="T150" s="53"/>
      <c r="U150" s="53"/>
    </row>
    <row r="151" spans="20:21" x14ac:dyDescent="0.2">
      <c r="T151" s="53"/>
      <c r="U151" s="53"/>
    </row>
    <row r="152" spans="20:21" x14ac:dyDescent="0.2">
      <c r="T152" s="53"/>
      <c r="U152" s="53"/>
    </row>
    <row r="153" spans="20:21" x14ac:dyDescent="0.2">
      <c r="T153" s="53"/>
      <c r="U153" s="53"/>
    </row>
    <row r="154" spans="20:21" x14ac:dyDescent="0.2">
      <c r="T154" s="53"/>
      <c r="U154" s="53"/>
    </row>
    <row r="155" spans="20:21" x14ac:dyDescent="0.2">
      <c r="T155" s="53"/>
      <c r="U155" s="53"/>
    </row>
    <row r="156" spans="20:21" x14ac:dyDescent="0.2">
      <c r="T156" s="53"/>
      <c r="U156" s="53"/>
    </row>
    <row r="157" spans="20:21" x14ac:dyDescent="0.2">
      <c r="T157" s="53"/>
      <c r="U157" s="53"/>
    </row>
    <row r="158" spans="20:21" x14ac:dyDescent="0.2">
      <c r="T158" s="53"/>
      <c r="U158" s="53"/>
    </row>
    <row r="159" spans="20:21" x14ac:dyDescent="0.2">
      <c r="T159" s="53"/>
      <c r="U159" s="53"/>
    </row>
    <row r="160" spans="20:21" x14ac:dyDescent="0.2">
      <c r="T160" s="53"/>
      <c r="U160" s="53"/>
    </row>
    <row r="161" spans="20:21" x14ac:dyDescent="0.2">
      <c r="T161" s="53"/>
      <c r="U161" s="53"/>
    </row>
    <row r="162" spans="20:21" x14ac:dyDescent="0.2">
      <c r="T162" s="53"/>
      <c r="U162" s="53"/>
    </row>
    <row r="163" spans="20:21" x14ac:dyDescent="0.2">
      <c r="T163" s="53"/>
      <c r="U163" s="53"/>
    </row>
    <row r="164" spans="20:21" x14ac:dyDescent="0.2">
      <c r="T164" s="53"/>
      <c r="U164" s="53"/>
    </row>
    <row r="165" spans="20:21" x14ac:dyDescent="0.2">
      <c r="T165" s="53"/>
      <c r="U165" s="53"/>
    </row>
    <row r="166" spans="20:21" x14ac:dyDescent="0.2">
      <c r="T166" s="53"/>
      <c r="U166" s="53"/>
    </row>
    <row r="167" spans="20:21" x14ac:dyDescent="0.2">
      <c r="T167" s="53"/>
      <c r="U167" s="53"/>
    </row>
    <row r="168" spans="20:21" x14ac:dyDescent="0.2">
      <c r="T168" s="53"/>
      <c r="U168" s="53"/>
    </row>
    <row r="169" spans="20:21" x14ac:dyDescent="0.2">
      <c r="T169" s="53"/>
      <c r="U169" s="53"/>
    </row>
    <row r="170" spans="20:21" x14ac:dyDescent="0.2">
      <c r="T170" s="53"/>
      <c r="U170" s="53"/>
    </row>
    <row r="171" spans="20:21" x14ac:dyDescent="0.2">
      <c r="T171" s="53"/>
      <c r="U171" s="53"/>
    </row>
    <row r="172" spans="20:21" x14ac:dyDescent="0.2">
      <c r="T172" s="53"/>
      <c r="U172" s="53"/>
    </row>
    <row r="173" spans="20:21" x14ac:dyDescent="0.2">
      <c r="T173" s="53"/>
      <c r="U173" s="53"/>
    </row>
    <row r="174" spans="20:21" x14ac:dyDescent="0.2">
      <c r="T174" s="53"/>
      <c r="U174" s="53"/>
    </row>
    <row r="175" spans="20:21" x14ac:dyDescent="0.2">
      <c r="T175" s="53"/>
      <c r="U175" s="53"/>
    </row>
    <row r="176" spans="20:21" x14ac:dyDescent="0.2">
      <c r="T176" s="53"/>
      <c r="U176" s="53"/>
    </row>
    <row r="177" spans="20:21" x14ac:dyDescent="0.2">
      <c r="T177" s="53"/>
      <c r="U177" s="53"/>
    </row>
    <row r="178" spans="20:21" x14ac:dyDescent="0.2">
      <c r="T178" s="53"/>
      <c r="U178" s="53"/>
    </row>
    <row r="179" spans="20:21" x14ac:dyDescent="0.2">
      <c r="T179" s="53"/>
      <c r="U179" s="53"/>
    </row>
    <row r="180" spans="20:21" x14ac:dyDescent="0.2">
      <c r="T180" s="53"/>
      <c r="U180" s="53"/>
    </row>
    <row r="181" spans="20:21" x14ac:dyDescent="0.2">
      <c r="T181" s="53"/>
      <c r="U181" s="53"/>
    </row>
    <row r="182" spans="20:21" x14ac:dyDescent="0.2">
      <c r="T182" s="53"/>
      <c r="U182" s="53"/>
    </row>
    <row r="183" spans="20:21" x14ac:dyDescent="0.2">
      <c r="T183" s="53"/>
      <c r="U183" s="53"/>
    </row>
    <row r="184" spans="20:21" x14ac:dyDescent="0.2">
      <c r="T184" s="53"/>
      <c r="U184" s="53"/>
    </row>
    <row r="185" spans="20:21" x14ac:dyDescent="0.2">
      <c r="T185" s="53"/>
      <c r="U185" s="53"/>
    </row>
    <row r="186" spans="20:21" x14ac:dyDescent="0.2">
      <c r="T186" s="53"/>
      <c r="U186" s="53"/>
    </row>
    <row r="187" spans="20:21" x14ac:dyDescent="0.2">
      <c r="T187" s="53"/>
      <c r="U187" s="53"/>
    </row>
    <row r="188" spans="20:21" x14ac:dyDescent="0.2">
      <c r="T188" s="53"/>
      <c r="U188" s="53"/>
    </row>
    <row r="189" spans="20:21" x14ac:dyDescent="0.2">
      <c r="T189" s="53"/>
      <c r="U189" s="53"/>
    </row>
    <row r="190" spans="20:21" x14ac:dyDescent="0.2">
      <c r="T190" s="53"/>
      <c r="U190" s="53"/>
    </row>
    <row r="191" spans="20:21" x14ac:dyDescent="0.2">
      <c r="T191" s="53"/>
      <c r="U191" s="53"/>
    </row>
    <row r="192" spans="20:21" x14ac:dyDescent="0.2">
      <c r="T192" s="53"/>
      <c r="U192" s="53"/>
    </row>
    <row r="193" spans="20:21" x14ac:dyDescent="0.2">
      <c r="T193" s="53"/>
      <c r="U193" s="53"/>
    </row>
    <row r="194" spans="20:21" x14ac:dyDescent="0.2">
      <c r="T194" s="53"/>
      <c r="U194" s="53"/>
    </row>
    <row r="195" spans="20:21" x14ac:dyDescent="0.2">
      <c r="T195" s="53"/>
      <c r="U195" s="53"/>
    </row>
    <row r="196" spans="20:21" x14ac:dyDescent="0.2">
      <c r="T196" s="53"/>
      <c r="U196" s="53"/>
    </row>
    <row r="197" spans="20:21" x14ac:dyDescent="0.2">
      <c r="T197" s="53"/>
      <c r="U197" s="53"/>
    </row>
    <row r="198" spans="20:21" x14ac:dyDescent="0.2">
      <c r="T198" s="53"/>
      <c r="U198" s="53"/>
    </row>
    <row r="199" spans="20:21" x14ac:dyDescent="0.2">
      <c r="T199" s="53"/>
      <c r="U199" s="53"/>
    </row>
    <row r="200" spans="20:21" x14ac:dyDescent="0.2">
      <c r="T200" s="53"/>
      <c r="U200" s="53"/>
    </row>
    <row r="201" spans="20:21" x14ac:dyDescent="0.2">
      <c r="T201" s="53"/>
      <c r="U201" s="53"/>
    </row>
    <row r="202" spans="20:21" x14ac:dyDescent="0.2">
      <c r="T202" s="53"/>
      <c r="U202" s="53"/>
    </row>
    <row r="203" spans="20:21" x14ac:dyDescent="0.2">
      <c r="T203" s="53"/>
      <c r="U203" s="53"/>
    </row>
    <row r="204" spans="20:21" x14ac:dyDescent="0.2">
      <c r="T204" s="53"/>
      <c r="U204" s="53"/>
    </row>
    <row r="205" spans="20:21" x14ac:dyDescent="0.2">
      <c r="T205" s="53"/>
      <c r="U205" s="53"/>
    </row>
    <row r="206" spans="20:21" x14ac:dyDescent="0.2">
      <c r="T206" s="53"/>
      <c r="U206" s="53"/>
    </row>
    <row r="207" spans="20:21" x14ac:dyDescent="0.2">
      <c r="T207" s="53"/>
      <c r="U207" s="53"/>
    </row>
    <row r="208" spans="20:21" x14ac:dyDescent="0.2">
      <c r="T208" s="53"/>
      <c r="U208" s="53"/>
    </row>
    <row r="209" spans="20:21" x14ac:dyDescent="0.2">
      <c r="T209" s="53"/>
      <c r="U209" s="53"/>
    </row>
    <row r="210" spans="20:21" x14ac:dyDescent="0.2">
      <c r="T210" s="53"/>
      <c r="U210" s="53"/>
    </row>
    <row r="211" spans="20:21" x14ac:dyDescent="0.2">
      <c r="T211" s="53"/>
      <c r="U211" s="53"/>
    </row>
    <row r="212" spans="20:21" x14ac:dyDescent="0.2">
      <c r="T212" s="53"/>
      <c r="U212" s="53"/>
    </row>
    <row r="213" spans="20:21" x14ac:dyDescent="0.2">
      <c r="T213" s="53"/>
      <c r="U213" s="53"/>
    </row>
    <row r="214" spans="20:21" x14ac:dyDescent="0.2">
      <c r="T214" s="53"/>
      <c r="U214" s="53"/>
    </row>
    <row r="215" spans="20:21" x14ac:dyDescent="0.2">
      <c r="T215" s="53"/>
      <c r="U215" s="53"/>
    </row>
    <row r="216" spans="20:21" x14ac:dyDescent="0.2">
      <c r="T216" s="53"/>
      <c r="U216" s="53"/>
    </row>
    <row r="217" spans="20:21" x14ac:dyDescent="0.2">
      <c r="T217" s="53"/>
      <c r="U217" s="53"/>
    </row>
    <row r="218" spans="20:21" x14ac:dyDescent="0.2">
      <c r="T218" s="53"/>
      <c r="U218" s="53"/>
    </row>
    <row r="219" spans="20:21" x14ac:dyDescent="0.2">
      <c r="T219" s="53"/>
      <c r="U219" s="53"/>
    </row>
    <row r="220" spans="20:21" x14ac:dyDescent="0.2">
      <c r="T220" s="53"/>
      <c r="U220" s="53"/>
    </row>
    <row r="221" spans="20:21" x14ac:dyDescent="0.2">
      <c r="T221" s="53"/>
      <c r="U221" s="53"/>
    </row>
    <row r="222" spans="20:21" x14ac:dyDescent="0.2">
      <c r="T222" s="53"/>
      <c r="U222" s="53"/>
    </row>
    <row r="223" spans="20:21" x14ac:dyDescent="0.2">
      <c r="T223" s="53"/>
      <c r="U223" s="53"/>
    </row>
    <row r="224" spans="20:21" x14ac:dyDescent="0.2">
      <c r="T224" s="53"/>
      <c r="U224" s="53"/>
    </row>
    <row r="225" spans="20:21" x14ac:dyDescent="0.2">
      <c r="T225" s="53"/>
      <c r="U225" s="53"/>
    </row>
    <row r="226" spans="20:21" x14ac:dyDescent="0.2">
      <c r="T226" s="53"/>
      <c r="U226" s="53"/>
    </row>
    <row r="227" spans="20:21" x14ac:dyDescent="0.2">
      <c r="T227" s="53"/>
      <c r="U227" s="53"/>
    </row>
    <row r="228" spans="20:21" x14ac:dyDescent="0.2">
      <c r="T228" s="53"/>
      <c r="U228" s="53"/>
    </row>
    <row r="229" spans="20:21" x14ac:dyDescent="0.2">
      <c r="T229" s="53"/>
      <c r="U229" s="53"/>
    </row>
    <row r="230" spans="20:21" x14ac:dyDescent="0.2">
      <c r="T230" s="53"/>
      <c r="U230" s="53"/>
    </row>
    <row r="231" spans="20:21" x14ac:dyDescent="0.2">
      <c r="T231" s="53"/>
      <c r="U231" s="53"/>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DD7EE"/>
  </sheetPr>
  <dimension ref="A2:U19"/>
  <sheetViews>
    <sheetView zoomScale="81" zoomScaleNormal="81" workbookViewId="0">
      <selection activeCell="A7" sqref="A7:C7"/>
    </sheetView>
  </sheetViews>
  <sheetFormatPr baseColWidth="10" defaultColWidth="8.6640625" defaultRowHeight="15" x14ac:dyDescent="0.2"/>
  <cols>
    <col min="1" max="1" width="13" customWidth="1"/>
    <col min="2" max="2" width="26.1640625" customWidth="1"/>
    <col min="3" max="3" width="8.83203125" customWidth="1"/>
    <col min="4" max="4" width="12.6640625" customWidth="1"/>
    <col min="5" max="5" width="8.5" customWidth="1"/>
    <col min="6" max="6" width="10.5" customWidth="1"/>
    <col min="12" max="12" width="14.6640625" customWidth="1"/>
    <col min="14" max="15" width="14.6640625" customWidth="1"/>
    <col min="17" max="17" width="10" customWidth="1"/>
    <col min="18" max="18" width="9.6640625" customWidth="1"/>
    <col min="19" max="19" width="8.5" customWidth="1"/>
    <col min="20" max="20" width="15.6640625" customWidth="1"/>
    <col min="21" max="21" width="18.5" customWidth="1"/>
  </cols>
  <sheetData>
    <row r="2" spans="1:21" ht="21" customHeight="1" x14ac:dyDescent="0.25">
      <c r="A2" s="2" t="s">
        <v>185</v>
      </c>
      <c r="M2" s="24"/>
      <c r="T2" t="s">
        <v>180</v>
      </c>
    </row>
    <row r="3" spans="1:21" x14ac:dyDescent="0.2">
      <c r="L3" s="25"/>
      <c r="P3" s="25"/>
      <c r="R3" s="25"/>
      <c r="S3" s="26"/>
      <c r="T3" s="26"/>
      <c r="U3" s="26"/>
    </row>
    <row r="4" spans="1:21" x14ac:dyDescent="0.2">
      <c r="A4" s="107"/>
      <c r="B4" s="108"/>
      <c r="C4" s="108"/>
      <c r="D4" s="108"/>
      <c r="E4" s="108"/>
      <c r="F4" s="108"/>
      <c r="G4" s="108"/>
      <c r="H4" s="108"/>
      <c r="I4" s="108"/>
      <c r="J4" s="108"/>
      <c r="K4" s="108"/>
      <c r="L4" s="108"/>
      <c r="M4" s="108"/>
      <c r="N4" s="109"/>
      <c r="O4" s="108"/>
      <c r="P4" s="110"/>
      <c r="Q4" s="108"/>
      <c r="R4" s="110"/>
      <c r="S4" s="111"/>
      <c r="T4" s="111"/>
      <c r="U4" s="111"/>
    </row>
    <row r="5" spans="1:21" x14ac:dyDescent="0.2">
      <c r="A5" s="112" t="s">
        <v>5</v>
      </c>
      <c r="B5" s="113"/>
      <c r="C5" s="113"/>
      <c r="D5" s="114"/>
      <c r="E5" s="114"/>
      <c r="F5" s="115" t="s">
        <v>140</v>
      </c>
      <c r="G5" s="114"/>
      <c r="H5" s="114"/>
      <c r="I5" s="114"/>
      <c r="J5" s="114"/>
      <c r="K5" s="114"/>
      <c r="L5" s="116" t="s">
        <v>141</v>
      </c>
      <c r="M5" s="116" t="s">
        <v>132</v>
      </c>
      <c r="N5" s="116" t="s">
        <v>142</v>
      </c>
      <c r="O5" s="116" t="s">
        <v>143</v>
      </c>
      <c r="P5" s="117" t="s">
        <v>144</v>
      </c>
      <c r="Q5" s="117" t="s">
        <v>145</v>
      </c>
      <c r="R5" s="117" t="s">
        <v>146</v>
      </c>
      <c r="S5" s="117" t="s">
        <v>147</v>
      </c>
      <c r="T5" s="118" t="s">
        <v>181</v>
      </c>
      <c r="U5" s="118" t="s">
        <v>182</v>
      </c>
    </row>
    <row r="6" spans="1:21" ht="72" customHeight="1" x14ac:dyDescent="0.2">
      <c r="A6" s="119" t="s">
        <v>13</v>
      </c>
      <c r="B6" s="120" t="s">
        <v>14</v>
      </c>
      <c r="C6" s="120" t="s">
        <v>15</v>
      </c>
      <c r="D6" s="121" t="s">
        <v>16</v>
      </c>
      <c r="E6" s="122" t="s">
        <v>17</v>
      </c>
      <c r="F6" s="123" t="s">
        <v>150</v>
      </c>
      <c r="G6" s="124" t="s">
        <v>151</v>
      </c>
      <c r="H6" s="123" t="s">
        <v>152</v>
      </c>
      <c r="I6" s="123" t="s">
        <v>153</v>
      </c>
      <c r="J6" s="123" t="s">
        <v>154</v>
      </c>
      <c r="K6" s="124" t="s">
        <v>155</v>
      </c>
      <c r="L6" s="125" t="s">
        <v>156</v>
      </c>
      <c r="M6" s="125" t="s">
        <v>157</v>
      </c>
      <c r="N6" s="125" t="s">
        <v>158</v>
      </c>
      <c r="O6" s="126" t="s">
        <v>159</v>
      </c>
      <c r="P6" s="127" t="s">
        <v>160</v>
      </c>
      <c r="Q6" s="128" t="s">
        <v>161</v>
      </c>
      <c r="R6" s="128" t="s">
        <v>162</v>
      </c>
      <c r="S6" s="128" t="s">
        <v>163</v>
      </c>
      <c r="T6" s="129" t="s">
        <v>186</v>
      </c>
      <c r="U6" s="129" t="s">
        <v>187</v>
      </c>
    </row>
    <row r="7" spans="1:21" x14ac:dyDescent="0.2">
      <c r="A7" s="51" t="s">
        <v>188</v>
      </c>
      <c r="B7" t="s">
        <v>189</v>
      </c>
      <c r="C7" s="18" t="s">
        <v>190</v>
      </c>
      <c r="D7" t="s">
        <v>88</v>
      </c>
      <c r="E7" t="s">
        <v>39</v>
      </c>
      <c r="F7" s="15">
        <f>'GHG det, per kg offal'!G11</f>
        <v>3.2555886267432443</v>
      </c>
      <c r="G7" s="15">
        <f>'GHG det, per kg offal'!G7</f>
        <v>0.47025410696312114</v>
      </c>
      <c r="H7" s="52">
        <f>'GHG det, per kg offal'!G8</f>
        <v>2.7377074180037976E-3</v>
      </c>
      <c r="I7" s="53">
        <f>'GHG det, per kg offal'!G9</f>
        <v>7.5428749723642038E-2</v>
      </c>
      <c r="J7" s="53">
        <f>'GHG det, per kg offal'!G10</f>
        <v>2.4438629896896529E-3</v>
      </c>
      <c r="L7" s="54">
        <f>'Footprints, absolute'!L7/Production!$B$19*AF_offal_DK</f>
        <v>3.0497781180659342</v>
      </c>
      <c r="M7" s="55">
        <f>'Footprints, absolute'!M7/Production!$B$19*AF_offal_DK</f>
        <v>4.0524713244676533E-2</v>
      </c>
      <c r="N7" s="55">
        <f>'Footprints, absolute'!N7/Production!$B$19*AF_offal_DK</f>
        <v>3.3270112938378281E-3</v>
      </c>
      <c r="O7" s="55">
        <f>'Footprints, absolute'!O7/Production!$B$19*AF_offal_DK</f>
        <v>2.4412210734072712E-2</v>
      </c>
      <c r="P7" s="55">
        <f>'Footprints, absolute'!P7/Production!$B$19*AF_offal_DK</f>
        <v>0.21341084668524304</v>
      </c>
      <c r="Q7" s="56">
        <f>'Footprints, absolute'!Q7/Production!$B$19*AF_offal_DK</f>
        <v>3.3126207662336784E-11</v>
      </c>
      <c r="R7" s="56">
        <f>'Footprints, absolute'!R7/Production!$B$19*AF_offal_DK</f>
        <v>1.5329194745435561E-3</v>
      </c>
      <c r="S7" s="54"/>
      <c r="T7" s="130">
        <v>0</v>
      </c>
      <c r="U7" s="130">
        <v>0</v>
      </c>
    </row>
    <row r="8" spans="1:21" x14ac:dyDescent="0.2">
      <c r="A8" s="51" t="s">
        <v>188</v>
      </c>
      <c r="B8" s="23" t="s">
        <v>189</v>
      </c>
      <c r="C8" s="18" t="s">
        <v>190</v>
      </c>
      <c r="D8" t="s">
        <v>45</v>
      </c>
      <c r="E8" t="s">
        <v>46</v>
      </c>
      <c r="F8" s="15">
        <f>'GHG det, per kg offal'!G16</f>
        <v>3.7784689912621969</v>
      </c>
      <c r="G8" s="15">
        <f>'GHG det, per kg offal'!G12</f>
        <v>0.71190166735359361</v>
      </c>
      <c r="H8" s="52">
        <f>'GHG det, per kg offal'!G13</f>
        <v>3.6612354401437375E-3</v>
      </c>
      <c r="I8" s="53">
        <f>'GHG det, per kg offal'!G14</f>
        <v>8.2112119292243893E-2</v>
      </c>
      <c r="J8" s="53">
        <f>'GHG det, per kg offal'!G15</f>
        <v>2.7122171681382215E-3</v>
      </c>
      <c r="L8" s="54">
        <f>'Footprints, absolute'!L8/Production!$C$19*AF_offal_FR</f>
        <v>3.7985976380334341</v>
      </c>
      <c r="M8" s="55">
        <f>'Footprints, absolute'!M8/Production!$C$19*AF_offal_FR</f>
        <v>5.4190653386193513E-2</v>
      </c>
      <c r="N8" s="55">
        <f>'Footprints, absolute'!N8/Production!$C$19*AF_offal_FR</f>
        <v>4.4557093841676634E-3</v>
      </c>
      <c r="O8" s="55">
        <f>'Footprints, absolute'!O8/Production!$C$19*AF_offal_FR</f>
        <v>4.066133101552092E-2</v>
      </c>
      <c r="P8" s="55">
        <f>'Footprints, absolute'!P8/Production!$C$19*AF_offal_FR</f>
        <v>0.37376271808805844</v>
      </c>
      <c r="Q8" s="56">
        <f>'Footprints, absolute'!Q8/Production!$C$19*AF_offal_FR</f>
        <v>8.0203751977232512E-11</v>
      </c>
      <c r="R8" s="56">
        <f>'Footprints, absolute'!R8/Production!$C$19*AF_offal_FR</f>
        <v>2.373325527499017E-3</v>
      </c>
      <c r="S8" s="57"/>
      <c r="T8" s="130">
        <v>0</v>
      </c>
      <c r="U8" s="130">
        <v>0</v>
      </c>
    </row>
    <row r="9" spans="1:21" x14ac:dyDescent="0.2">
      <c r="A9" s="51" t="s">
        <v>188</v>
      </c>
      <c r="B9" s="23" t="s">
        <v>189</v>
      </c>
      <c r="C9" s="18" t="s">
        <v>190</v>
      </c>
      <c r="D9" t="s">
        <v>47</v>
      </c>
      <c r="E9" t="s">
        <v>48</v>
      </c>
      <c r="F9" s="15">
        <f>'GHG det, per kg offal'!G21</f>
        <v>3.5389977033329107</v>
      </c>
      <c r="G9" s="15">
        <f>'GHG det, per kg offal'!G17</f>
        <v>0.90466866553005232</v>
      </c>
      <c r="H9" s="52">
        <f>'GHG det, per kg offal'!G18</f>
        <v>3.6004236876688894E-3</v>
      </c>
      <c r="I9" s="53">
        <f>'GHG det, per kg offal'!G19</f>
        <v>7.2844342687719679E-2</v>
      </c>
      <c r="J9" s="53">
        <f>'GHG det, per kg offal'!G20</f>
        <v>2.0521580928274503E-3</v>
      </c>
      <c r="L9" s="54">
        <f>'Footprints, absolute'!L9/Production!$D$19*AF_offal_DE</f>
        <v>2.0432225994091997</v>
      </c>
      <c r="M9" s="55">
        <f>'Footprints, absolute'!M9/Production!$D$19*AF_offal_DE</f>
        <v>3.6753062794850189E-2</v>
      </c>
      <c r="N9" s="55">
        <f>'Footprints, absolute'!N9/Production!$D$19*AF_offal_DE</f>
        <v>1.8695539858287844E-3</v>
      </c>
      <c r="O9" s="55">
        <f>'Footprints, absolute'!O9/Production!$D$19*AF_offal_DE</f>
        <v>1.8095455241696399E-2</v>
      </c>
      <c r="P9" s="55">
        <f>'Footprints, absolute'!P9/Production!$D$19*AF_offal_DE</f>
        <v>0.12875342847130822</v>
      </c>
      <c r="Q9" s="56">
        <f>'Footprints, absolute'!Q9/Production!$D$19*AF_offal_DE</f>
        <v>5.7184249070022009E-11</v>
      </c>
      <c r="R9" s="56">
        <f>'Footprints, absolute'!R9/Production!$D$19*AF_offal_DE</f>
        <v>1.066303341162648E-3</v>
      </c>
      <c r="S9" s="57"/>
      <c r="T9" s="130">
        <v>0</v>
      </c>
      <c r="U9" s="130">
        <v>0</v>
      </c>
    </row>
    <row r="10" spans="1:21" x14ac:dyDescent="0.2">
      <c r="A10" s="51" t="s">
        <v>188</v>
      </c>
      <c r="B10" s="23" t="s">
        <v>189</v>
      </c>
      <c r="C10" s="18" t="s">
        <v>190</v>
      </c>
      <c r="D10" t="s">
        <v>49</v>
      </c>
      <c r="E10" t="s">
        <v>50</v>
      </c>
      <c r="F10" s="15">
        <f>'GHG det, per kg offal'!G26</f>
        <v>4.2884817048866637</v>
      </c>
      <c r="G10" s="15">
        <f>'GHG det, per kg offal'!G22</f>
        <v>1.4997494484144178</v>
      </c>
      <c r="H10" s="52">
        <f>'GHG det, per kg offal'!G23</f>
        <v>3.7132049689458987E-3</v>
      </c>
      <c r="I10" s="53">
        <f>'GHG det, per kg offal'!G24</f>
        <v>6.7499500325846409E-2</v>
      </c>
      <c r="J10" s="53">
        <f>'GHG det, per kg offal'!G25</f>
        <v>3.1340375076915933E-3</v>
      </c>
      <c r="L10" s="54">
        <f>'Footprints, absolute'!L10/Production!$E$19*AF_offal_GR</f>
        <v>5.6773343016589441</v>
      </c>
      <c r="M10" s="55">
        <f>'Footprints, absolute'!M10/Production!$E$19*AF_offal_GR</f>
        <v>8.0459423881281258E-2</v>
      </c>
      <c r="N10" s="55">
        <f>'Footprints, absolute'!N10/Production!$E$19*AF_offal_GR</f>
        <v>8.1278397024473741E-3</v>
      </c>
      <c r="O10" s="55">
        <f>'Footprints, absolute'!O10/Production!$E$19*AF_offal_GR</f>
        <v>0.21477989881470314</v>
      </c>
      <c r="P10" s="55">
        <f>'Footprints, absolute'!P10/Production!$E$19*AF_offal_GR</f>
        <v>0.27236274381319137</v>
      </c>
      <c r="Q10" s="56">
        <f>'Footprints, absolute'!Q10/Production!$E$19*AF_offal_GR</f>
        <v>3.4875454421163012E-10</v>
      </c>
      <c r="R10" s="56">
        <f>'Footprints, absolute'!R10/Production!$E$19*AF_offal_GR</f>
        <v>5.9050478776547961E-3</v>
      </c>
      <c r="S10" s="57"/>
      <c r="T10" s="130">
        <v>0</v>
      </c>
      <c r="U10" s="130">
        <v>0</v>
      </c>
    </row>
    <row r="11" spans="1:21" x14ac:dyDescent="0.2">
      <c r="A11" s="51" t="s">
        <v>188</v>
      </c>
      <c r="B11" s="23" t="s">
        <v>189</v>
      </c>
      <c r="C11" s="18" t="s">
        <v>190</v>
      </c>
      <c r="D11" t="s">
        <v>86</v>
      </c>
      <c r="E11" t="s">
        <v>52</v>
      </c>
      <c r="F11" s="15">
        <f>'GHG det, per kg offal'!G31</f>
        <v>4.5467268148441899</v>
      </c>
      <c r="G11" s="15">
        <f>'GHG det, per kg offal'!G27</f>
        <v>1.4935293469003046</v>
      </c>
      <c r="H11" s="52">
        <f>'GHG det, per kg offal'!G28</f>
        <v>4.5353437744719812E-3</v>
      </c>
      <c r="I11" s="53">
        <f>'GHG det, per kg offal'!G29</f>
        <v>7.6884071978109231E-2</v>
      </c>
      <c r="J11" s="53">
        <f>'GHG det, per kg offal'!G30</f>
        <v>3.084887472731398E-3</v>
      </c>
      <c r="L11" s="54">
        <f>'Footprints, absolute'!L11/Production!$F$19*AF_offal_HU</f>
        <v>5.4618940833508409</v>
      </c>
      <c r="M11" s="55">
        <f>'Footprints, absolute'!M11/Production!$F$19*AF_offal_HU</f>
        <v>7.4127671201514173E-2</v>
      </c>
      <c r="N11" s="55">
        <f>'Footprints, absolute'!N11/Production!$F$19*AF_offal_HU</f>
        <v>7.9107657502694856E-3</v>
      </c>
      <c r="O11" s="55">
        <f>'Footprints, absolute'!O11/Production!$F$19*AF_offal_HU</f>
        <v>4.4083043999524868E-2</v>
      </c>
      <c r="P11" s="55">
        <f>'Footprints, absolute'!P11/Production!$F$19*AF_offal_HU</f>
        <v>0.3875400097794946</v>
      </c>
      <c r="Q11" s="56">
        <f>'Footprints, absolute'!Q11/Production!$F$19*AF_offal_HU</f>
        <v>1.1627762285002104E-10</v>
      </c>
      <c r="R11" s="56">
        <f>'Footprints, absolute'!R11/Production!$F$19*AF_offal_HU</f>
        <v>2.6984142164452603E-3</v>
      </c>
      <c r="S11" s="57"/>
      <c r="T11" s="130">
        <v>0</v>
      </c>
      <c r="U11" s="130">
        <v>0</v>
      </c>
    </row>
    <row r="12" spans="1:21" x14ac:dyDescent="0.2">
      <c r="A12" s="51" t="s">
        <v>188</v>
      </c>
      <c r="B12" s="23" t="s">
        <v>189</v>
      </c>
      <c r="C12" s="18" t="s">
        <v>190</v>
      </c>
      <c r="D12" t="s">
        <v>89</v>
      </c>
      <c r="E12" t="s">
        <v>54</v>
      </c>
      <c r="F12" s="15">
        <f>'GHG det, per kg offal'!G36</f>
        <v>2.8072691629573363</v>
      </c>
      <c r="G12" s="15">
        <f>'GHG det, per kg offal'!G32</f>
        <v>0.41801048465813972</v>
      </c>
      <c r="H12" s="52">
        <f>'GHG det, per kg offal'!G33</f>
        <v>5.7016301106904428E-4</v>
      </c>
      <c r="I12" s="53">
        <f>'GHG det, per kg offal'!G34</f>
        <v>6.9543289718042287E-2</v>
      </c>
      <c r="J12" s="53">
        <f>'GHG det, per kg offal'!G35</f>
        <v>1.8117179420593314E-3</v>
      </c>
      <c r="L12" s="54">
        <f>'Footprints, absolute'!L12/Production!$G$19*AF_offal_IE</f>
        <v>0.65318129793865265</v>
      </c>
      <c r="M12" s="55">
        <f>'Footprints, absolute'!M12/Production!$G$19*AF_offal_IE</f>
        <v>4.6481726233633634E-2</v>
      </c>
      <c r="N12" s="55">
        <f>'Footprints, absolute'!N12/Production!$G$19*AF_offal_IE</f>
        <v>1.5188650778860278E-3</v>
      </c>
      <c r="O12" s="55">
        <f>'Footprints, absolute'!O12/Production!$G$19*AF_offal_IE</f>
        <v>2.3840408114808809E-2</v>
      </c>
      <c r="P12" s="55">
        <f>'Footprints, absolute'!P12/Production!$G$19*AF_offal_IE</f>
        <v>0.21640779002772975</v>
      </c>
      <c r="Q12" s="56">
        <f>'Footprints, absolute'!Q12/Production!$G$19*AF_offal_IE</f>
        <v>1.6342808305643179E-11</v>
      </c>
      <c r="R12" s="56">
        <f>'Footprints, absolute'!R12/Production!$G$19*AF_offal_IE</f>
        <v>1.4741622235452361E-3</v>
      </c>
      <c r="S12" s="57"/>
      <c r="T12" s="130">
        <v>0</v>
      </c>
      <c r="U12" s="130">
        <v>0</v>
      </c>
    </row>
    <row r="13" spans="1:21" x14ac:dyDescent="0.2">
      <c r="A13" s="51" t="s">
        <v>188</v>
      </c>
      <c r="B13" s="23" t="s">
        <v>189</v>
      </c>
      <c r="C13" s="18" t="s">
        <v>190</v>
      </c>
      <c r="D13" t="s">
        <v>55</v>
      </c>
      <c r="E13" t="s">
        <v>56</v>
      </c>
      <c r="F13" s="15">
        <f>'GHG det, per kg offal'!G41</f>
        <v>4.147444873547526</v>
      </c>
      <c r="G13" s="15">
        <f>'GHG det, per kg offal'!G37</f>
        <v>1.1489277401764819</v>
      </c>
      <c r="H13" s="52">
        <f>'GHG det, per kg offal'!G38</f>
        <v>5.1902104653745972E-3</v>
      </c>
      <c r="I13" s="53">
        <f>'GHG det, per kg offal'!G39</f>
        <v>8.3201723888801787E-2</v>
      </c>
      <c r="J13" s="53">
        <f>'GHG det, per kg offal'!G40</f>
        <v>2.1882868736455424E-3</v>
      </c>
      <c r="L13" s="54">
        <f>'Footprints, absolute'!L13/Production!$H$19*AF_offal_IT</f>
        <v>3.4774905579818971</v>
      </c>
      <c r="M13" s="55">
        <f>'Footprints, absolute'!M13/Production!$H$19*AF_offal_IT</f>
        <v>6.0486474908767324E-2</v>
      </c>
      <c r="N13" s="55">
        <f>'Footprints, absolute'!N13/Production!$H$19*AF_offal_IT</f>
        <v>3.7989656110909258E-3</v>
      </c>
      <c r="O13" s="55">
        <f>'Footprints, absolute'!O13/Production!$H$19*AF_offal_IT</f>
        <v>3.3521376436873418E-2</v>
      </c>
      <c r="P13" s="55">
        <f>'Footprints, absolute'!P13/Production!$H$19*AF_offal_IT</f>
        <v>0.20248279663280486</v>
      </c>
      <c r="Q13" s="56">
        <f>'Footprints, absolute'!Q13/Production!$H$19*AF_offal_IT</f>
        <v>2.6214769271522627E-10</v>
      </c>
      <c r="R13" s="56">
        <f>'Footprints, absolute'!R13/Production!$H$19*AF_offal_IT</f>
        <v>2.7770928510783676E-3</v>
      </c>
      <c r="S13" s="57"/>
      <c r="T13" s="130">
        <v>0</v>
      </c>
      <c r="U13" s="130">
        <v>0</v>
      </c>
    </row>
    <row r="14" spans="1:21" x14ac:dyDescent="0.2">
      <c r="A14" s="51" t="s">
        <v>188</v>
      </c>
      <c r="B14" s="23" t="s">
        <v>189</v>
      </c>
      <c r="C14" s="18" t="s">
        <v>190</v>
      </c>
      <c r="D14" t="s">
        <v>87</v>
      </c>
      <c r="E14" t="s">
        <v>58</v>
      </c>
      <c r="F14" s="15">
        <f>'GHG det, per kg offal'!G46</f>
        <v>3.748974355310803</v>
      </c>
      <c r="G14" s="15">
        <f>'GHG det, per kg offal'!G42</f>
        <v>1.0606065951459422</v>
      </c>
      <c r="H14" s="52">
        <f>'GHG det, per kg offal'!G43</f>
        <v>2.7349574670116261E-3</v>
      </c>
      <c r="I14" s="53">
        <f>'GHG det, per kg offal'!G44</f>
        <v>6.8195997817548551E-2</v>
      </c>
      <c r="J14" s="53">
        <f>'GHG det, per kg offal'!G45</f>
        <v>2.8043006834216244E-3</v>
      </c>
      <c r="L14" s="54">
        <f>'Footprints, absolute'!L14/Production!$I$19*AF_offal_NL</f>
        <v>2.5228895195112546</v>
      </c>
      <c r="M14" s="55">
        <f>'Footprints, absolute'!M14/Production!$I$19*AF_offal_NL</f>
        <v>7.2661897512210041E-2</v>
      </c>
      <c r="N14" s="55">
        <f>'Footprints, absolute'!N14/Production!$I$19*AF_offal_NL</f>
        <v>2.7894899556480876E-3</v>
      </c>
      <c r="O14" s="55">
        <f>'Footprints, absolute'!O14/Production!$I$19*AF_offal_NL</f>
        <v>1.9062503281538468E-2</v>
      </c>
      <c r="P14" s="55">
        <f>'Footprints, absolute'!P14/Production!$I$19*AF_offal_NL</f>
        <v>0.23131652093279814</v>
      </c>
      <c r="Q14" s="56">
        <f>'Footprints, absolute'!Q14/Production!$I$19*AF_offal_NL</f>
        <v>7.857180050094399E-11</v>
      </c>
      <c r="R14" s="56">
        <f>'Footprints, absolute'!R14/Production!$I$19*AF_offal_NL</f>
        <v>2.8022872878771398E-3</v>
      </c>
      <c r="S14" s="57"/>
      <c r="T14" s="130">
        <v>0</v>
      </c>
      <c r="U14" s="130">
        <v>0</v>
      </c>
    </row>
    <row r="15" spans="1:21" x14ac:dyDescent="0.2">
      <c r="A15" s="51" t="s">
        <v>188</v>
      </c>
      <c r="B15" s="23" t="s">
        <v>189</v>
      </c>
      <c r="C15" s="18" t="s">
        <v>190</v>
      </c>
      <c r="D15" t="s">
        <v>59</v>
      </c>
      <c r="E15" t="s">
        <v>60</v>
      </c>
      <c r="F15" s="15">
        <f>'GHG det, per kg offal'!G51</f>
        <v>4.5546971471255828</v>
      </c>
      <c r="G15" s="15">
        <f>'GHG det, per kg offal'!G47</f>
        <v>1.8313672496980826</v>
      </c>
      <c r="H15" s="52">
        <f>'GHG det, per kg offal'!G48</f>
        <v>3.9739039258112948E-3</v>
      </c>
      <c r="I15" s="53">
        <f>'GHG det, per kg offal'!G49</f>
        <v>6.7900205200685987E-2</v>
      </c>
      <c r="J15" s="53">
        <f>'GHG det, per kg offal'!G50</f>
        <v>2.8263810257135608E-3</v>
      </c>
      <c r="L15" s="54">
        <f>'Footprints, absolute'!L15/Production!$J$19*AF_offal_PL</f>
        <v>3.4897458161888513</v>
      </c>
      <c r="M15" s="55">
        <f>'Footprints, absolute'!M15/Production!$J$19*AF_offal_PL</f>
        <v>5.7956989666114199E-2</v>
      </c>
      <c r="N15" s="55">
        <f>'Footprints, absolute'!N15/Production!$J$19*AF_offal_PL</f>
        <v>5.5130338562530204E-3</v>
      </c>
      <c r="O15" s="55">
        <f>'Footprints, absolute'!O15/Production!$J$19*AF_offal_PL</f>
        <v>2.0781810298318559E-2</v>
      </c>
      <c r="P15" s="55">
        <f>'Footprints, absolute'!P15/Production!$J$19*AF_offal_PL</f>
        <v>0.26842080398427343</v>
      </c>
      <c r="Q15" s="56">
        <f>'Footprints, absolute'!Q15/Production!$J$19*AF_offal_PL</f>
        <v>5.5178293827601874E-11</v>
      </c>
      <c r="R15" s="56">
        <f>'Footprints, absolute'!R15/Production!$J$19*AF_offal_PL</f>
        <v>2.3813603876429862E-3</v>
      </c>
      <c r="S15" s="57"/>
      <c r="T15" s="130">
        <v>0</v>
      </c>
      <c r="U15" s="130">
        <v>0</v>
      </c>
    </row>
    <row r="16" spans="1:21" x14ac:dyDescent="0.2">
      <c r="A16" s="51" t="s">
        <v>188</v>
      </c>
      <c r="B16" s="23" t="s">
        <v>189</v>
      </c>
      <c r="C16" s="18" t="s">
        <v>190</v>
      </c>
      <c r="D16" t="s">
        <v>61</v>
      </c>
      <c r="E16" t="s">
        <v>62</v>
      </c>
      <c r="F16" s="15">
        <f>'GHG det, per kg offal'!G56</f>
        <v>3.8835269247033919</v>
      </c>
      <c r="G16" s="15">
        <f>'GHG det, per kg offal'!G52</f>
        <v>1.0513369193154831</v>
      </c>
      <c r="H16" s="52">
        <f>'GHG det, per kg offal'!G53</f>
        <v>2.904672095530724E-3</v>
      </c>
      <c r="I16" s="53">
        <f>'GHG det, per kg offal'!G54</f>
        <v>7.4498579983757945E-2</v>
      </c>
      <c r="J16" s="53">
        <f>'GHG det, per kg offal'!G55</f>
        <v>2.6892641662257474E-3</v>
      </c>
      <c r="L16" s="54">
        <f>'Footprints, absolute'!L16/Production!$K$19*AF_offal_ES</f>
        <v>4.2115438215921195</v>
      </c>
      <c r="M16" s="55">
        <f>'Footprints, absolute'!M16/Production!$K$19*AF_offal_ES</f>
        <v>7.919602095052776E-2</v>
      </c>
      <c r="N16" s="55">
        <f>'Footprints, absolute'!N16/Production!$K$19*AF_offal_ES</f>
        <v>7.1141277842929002E-3</v>
      </c>
      <c r="O16" s="55">
        <f>'Footprints, absolute'!O16/Production!$K$19*AF_offal_ES</f>
        <v>0.19201911663942714</v>
      </c>
      <c r="P16" s="55">
        <f>'Footprints, absolute'!P16/Production!$K$19*AF_offal_ES</f>
        <v>0.32272879092702333</v>
      </c>
      <c r="Q16" s="56">
        <f>'Footprints, absolute'!Q16/Production!$K$19*AF_offal_ES</f>
        <v>1.2207445138271702E-10</v>
      </c>
      <c r="R16" s="56">
        <f>'Footprints, absolute'!R16/Production!$K$19*AF_offal_ES</f>
        <v>2.4637308664040604E-3</v>
      </c>
      <c r="S16" s="57"/>
      <c r="T16" s="130">
        <v>0</v>
      </c>
      <c r="U16" s="130">
        <v>0</v>
      </c>
    </row>
    <row r="17" spans="1:21" x14ac:dyDescent="0.2">
      <c r="A17" s="51" t="s">
        <v>188</v>
      </c>
      <c r="B17" s="23" t="s">
        <v>189</v>
      </c>
      <c r="C17" s="18" t="s">
        <v>190</v>
      </c>
      <c r="D17" s="58" t="s">
        <v>63</v>
      </c>
      <c r="E17" s="58" t="s">
        <v>64</v>
      </c>
      <c r="F17" s="57">
        <f>'GHG det, per kg offal'!G61</f>
        <v>3.4535221624996049</v>
      </c>
      <c r="G17" s="15">
        <f>'GHG det, per kg offal'!G57</f>
        <v>0.71741950078467764</v>
      </c>
      <c r="H17" s="52">
        <f>'GHG det, per kg offal'!G58</f>
        <v>4.0170104364582139E-3</v>
      </c>
      <c r="I17" s="53">
        <f>'GHG det, per kg offal'!G59</f>
        <v>7.0887637775185086E-2</v>
      </c>
      <c r="J17" s="53">
        <f>'GHG det, per kg offal'!G60</f>
        <v>2.573001944243499E-3</v>
      </c>
      <c r="K17" s="58"/>
      <c r="L17" s="54">
        <f>'Footprints, absolute'!L17/Production!$L$19*AF_offal_SE</f>
        <v>6.4418596342005783</v>
      </c>
      <c r="M17" s="55">
        <f>'Footprints, absolute'!M17/Production!$L$19*AF_offal_SE</f>
        <v>6.4110662106364499E-2</v>
      </c>
      <c r="N17" s="55">
        <f>'Footprints, absolute'!N17/Production!$L$19*AF_offal_SE</f>
        <v>3.2186239649641016E-3</v>
      </c>
      <c r="O17" s="55">
        <f>'Footprints, absolute'!O17/Production!$L$19*AF_offal_SE</f>
        <v>2.0239124576032452E-2</v>
      </c>
      <c r="P17" s="55">
        <f>'Footprints, absolute'!P17/Production!$L$19*AF_offal_SE</f>
        <v>0.15855136904051947</v>
      </c>
      <c r="Q17" s="56">
        <f>'Footprints, absolute'!Q17/Production!$L$19*AF_offal_SE</f>
        <v>4.0340503860856511E-11</v>
      </c>
      <c r="R17" s="56">
        <f>'Footprints, absolute'!R17/Production!$L$19*AF_offal_SE</f>
        <v>1.8764156419028273E-3</v>
      </c>
      <c r="S17" s="57"/>
      <c r="T17" s="130">
        <v>0</v>
      </c>
      <c r="U17" s="130">
        <v>0</v>
      </c>
    </row>
    <row r="18" spans="1:21" x14ac:dyDescent="0.2">
      <c r="A18" s="131" t="s">
        <v>188</v>
      </c>
      <c r="B18" s="519" t="s">
        <v>189</v>
      </c>
      <c r="C18" s="520" t="s">
        <v>190</v>
      </c>
      <c r="D18" s="100" t="s">
        <v>65</v>
      </c>
      <c r="E18" s="100" t="s">
        <v>66</v>
      </c>
      <c r="F18" s="106">
        <f>F12</f>
        <v>2.8072691629573363</v>
      </c>
      <c r="G18" s="106">
        <f>G12</f>
        <v>0.41801048465813972</v>
      </c>
      <c r="H18" s="134">
        <f>H12</f>
        <v>5.7016301106904428E-4</v>
      </c>
      <c r="I18" s="135">
        <f>I12</f>
        <v>6.9543289718042287E-2</v>
      </c>
      <c r="J18" s="135">
        <f>J12</f>
        <v>1.8117179420593314E-3</v>
      </c>
      <c r="K18" s="106"/>
      <c r="L18" s="136">
        <f t="shared" ref="L18:R18" si="0">L12</f>
        <v>0.65318129793865265</v>
      </c>
      <c r="M18" s="134">
        <f t="shared" si="0"/>
        <v>4.6481726233633634E-2</v>
      </c>
      <c r="N18" s="134">
        <f t="shared" si="0"/>
        <v>1.5188650778860278E-3</v>
      </c>
      <c r="O18" s="134">
        <f t="shared" si="0"/>
        <v>2.3840408114808809E-2</v>
      </c>
      <c r="P18" s="134">
        <f t="shared" si="0"/>
        <v>0.21640779002772975</v>
      </c>
      <c r="Q18" s="137">
        <f t="shared" si="0"/>
        <v>1.6342808305643179E-11</v>
      </c>
      <c r="R18" s="137">
        <f t="shared" si="0"/>
        <v>1.4741622235452361E-3</v>
      </c>
      <c r="S18" s="106"/>
      <c r="T18" s="138">
        <f>T12</f>
        <v>0</v>
      </c>
      <c r="U18" s="138">
        <f>U12</f>
        <v>0</v>
      </c>
    </row>
    <row r="19" spans="1:21" x14ac:dyDescent="0.2">
      <c r="J19" s="53"/>
      <c r="M19" s="60"/>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DD7EE"/>
  </sheetPr>
  <dimension ref="A1:AB66"/>
  <sheetViews>
    <sheetView zoomScale="62" zoomScaleNormal="62" workbookViewId="0">
      <selection activeCell="B8" sqref="B8"/>
    </sheetView>
  </sheetViews>
  <sheetFormatPr baseColWidth="10" defaultColWidth="8.6640625" defaultRowHeight="15" x14ac:dyDescent="0.2"/>
  <cols>
    <col min="1" max="1" width="8.33203125" customWidth="1"/>
    <col min="2" max="2" width="22.5" customWidth="1"/>
    <col min="3" max="3" width="27.33203125" customWidth="1"/>
    <col min="4" max="4" width="10.33203125" customWidth="1"/>
    <col min="6" max="6" width="7.6640625" customWidth="1"/>
    <col min="7" max="7" width="9.33203125" customWidth="1"/>
    <col min="8" max="8" width="14.6640625" customWidth="1"/>
    <col min="9" max="10" width="9.33203125" customWidth="1"/>
    <col min="11" max="11" width="8.83203125" customWidth="1"/>
    <col min="12" max="12" width="9.33203125" customWidth="1"/>
    <col min="13" max="13" width="8.83203125" customWidth="1"/>
    <col min="14" max="15" width="9.33203125" customWidth="1"/>
    <col min="21" max="21" width="14.6640625" customWidth="1"/>
    <col min="23" max="23" width="14.6640625" customWidth="1"/>
    <col min="26" max="26" width="16" customWidth="1"/>
    <col min="27" max="27" width="19.33203125" customWidth="1"/>
  </cols>
  <sheetData>
    <row r="1" spans="1:26" x14ac:dyDescent="0.2">
      <c r="H1" s="24"/>
      <c r="N1" s="25"/>
    </row>
    <row r="2" spans="1:26" ht="21" customHeight="1" x14ac:dyDescent="0.25">
      <c r="A2" s="2" t="s">
        <v>191</v>
      </c>
      <c r="H2" s="24"/>
      <c r="M2" s="25"/>
      <c r="N2" s="25"/>
      <c r="S2" s="15"/>
      <c r="T2" s="13"/>
    </row>
    <row r="3" spans="1:26" x14ac:dyDescent="0.2">
      <c r="J3" s="25"/>
      <c r="K3" s="24" t="s">
        <v>1</v>
      </c>
      <c r="L3" s="26"/>
      <c r="M3" s="26"/>
      <c r="N3" s="26"/>
      <c r="O3" s="26"/>
      <c r="P3" s="26"/>
      <c r="Q3" s="26"/>
      <c r="R3" s="26"/>
      <c r="S3" s="26"/>
      <c r="T3" s="26"/>
    </row>
    <row r="4" spans="1:26" x14ac:dyDescent="0.2">
      <c r="A4" s="139"/>
      <c r="B4" s="140"/>
      <c r="C4" s="140"/>
      <c r="D4" s="140"/>
      <c r="E4" s="140"/>
      <c r="F4" s="140"/>
      <c r="G4" s="140"/>
      <c r="H4" s="141"/>
      <c r="I4" s="141"/>
      <c r="J4" s="142"/>
      <c r="K4" s="142"/>
      <c r="L4" s="142"/>
      <c r="M4" s="142"/>
      <c r="N4" s="142"/>
      <c r="O4" s="142"/>
      <c r="P4" s="142"/>
      <c r="Q4" s="142"/>
      <c r="R4" s="142"/>
      <c r="S4" s="141" t="s">
        <v>2</v>
      </c>
      <c r="T4" s="141"/>
      <c r="U4" s="143"/>
      <c r="V4" s="143"/>
      <c r="W4" s="142" t="s">
        <v>3</v>
      </c>
      <c r="X4" s="142" t="s">
        <v>4</v>
      </c>
      <c r="Z4" s="63" t="s">
        <v>170</v>
      </c>
    </row>
    <row r="5" spans="1:26" x14ac:dyDescent="0.2">
      <c r="A5" s="112" t="s">
        <v>5</v>
      </c>
      <c r="B5" s="113"/>
      <c r="C5" s="113"/>
      <c r="D5" s="114"/>
      <c r="E5" s="114"/>
      <c r="F5" s="144"/>
      <c r="G5" s="145" t="s">
        <v>6</v>
      </c>
      <c r="H5" s="145" t="s">
        <v>7</v>
      </c>
      <c r="I5" s="146"/>
      <c r="J5" s="145" t="s">
        <v>8</v>
      </c>
      <c r="K5" s="147"/>
      <c r="L5" s="118" t="s">
        <v>9</v>
      </c>
      <c r="M5" s="147"/>
      <c r="N5" s="147"/>
      <c r="O5" s="147"/>
      <c r="P5" s="118" t="s">
        <v>10</v>
      </c>
      <c r="Q5" s="118" t="s">
        <v>11</v>
      </c>
      <c r="R5" s="118" t="s">
        <v>12</v>
      </c>
      <c r="S5" s="148"/>
      <c r="T5" s="148"/>
      <c r="U5" s="149"/>
      <c r="V5" s="149"/>
      <c r="W5" s="150"/>
      <c r="X5" s="150"/>
      <c r="Z5" s="67"/>
    </row>
    <row r="6" spans="1:26" ht="72" customHeight="1" x14ac:dyDescent="0.2">
      <c r="A6" s="119" t="s">
        <v>13</v>
      </c>
      <c r="B6" s="120" t="s">
        <v>14</v>
      </c>
      <c r="C6" s="120" t="s">
        <v>15</v>
      </c>
      <c r="D6" s="121" t="s">
        <v>16</v>
      </c>
      <c r="E6" s="122" t="s">
        <v>17</v>
      </c>
      <c r="F6" s="121" t="s">
        <v>18</v>
      </c>
      <c r="G6" s="122" t="s">
        <v>19</v>
      </c>
      <c r="H6" s="129" t="s">
        <v>20</v>
      </c>
      <c r="I6" s="129" t="s">
        <v>21</v>
      </c>
      <c r="J6" s="129" t="s">
        <v>22</v>
      </c>
      <c r="K6" s="129" t="s">
        <v>23</v>
      </c>
      <c r="L6" s="129" t="s">
        <v>24</v>
      </c>
      <c r="M6" s="129" t="s">
        <v>25</v>
      </c>
      <c r="N6" s="129" t="s">
        <v>26</v>
      </c>
      <c r="O6" s="129" t="s">
        <v>27</v>
      </c>
      <c r="P6" s="129" t="s">
        <v>28</v>
      </c>
      <c r="Q6" s="129" t="s">
        <v>11</v>
      </c>
      <c r="R6" s="129" t="s">
        <v>29</v>
      </c>
      <c r="S6" s="122" t="s">
        <v>30</v>
      </c>
      <c r="T6" s="122" t="s">
        <v>31</v>
      </c>
      <c r="U6" s="151" t="s">
        <v>32</v>
      </c>
      <c r="V6" s="151" t="s">
        <v>33</v>
      </c>
      <c r="W6" s="129" t="s">
        <v>34</v>
      </c>
      <c r="X6" s="129" t="s">
        <v>35</v>
      </c>
      <c r="Z6" s="42" t="s">
        <v>172</v>
      </c>
    </row>
    <row r="7" spans="1:26" x14ac:dyDescent="0.2">
      <c r="A7" s="51" t="s">
        <v>188</v>
      </c>
      <c r="B7" t="s">
        <v>189</v>
      </c>
      <c r="C7" s="75" t="s">
        <v>190</v>
      </c>
      <c r="D7" s="76" t="s">
        <v>38</v>
      </c>
      <c r="E7" s="76" t="s">
        <v>39</v>
      </c>
      <c r="F7" s="77" t="s">
        <v>40</v>
      </c>
      <c r="G7" s="78">
        <f>SUM(H7:X7)</f>
        <v>0.47025410696312114</v>
      </c>
      <c r="H7" s="78">
        <f>'GHG detailed, absolute'!H7/Production!$B$19*AF_offal_DK</f>
        <v>0.10941332914224113</v>
      </c>
      <c r="I7" s="78">
        <f>'GHG detailed, absolute'!I7/Production!$B$19*AF_offal_DK</f>
        <v>6.2018690483769325E-2</v>
      </c>
      <c r="J7" s="78"/>
      <c r="K7" s="78"/>
      <c r="L7" s="78">
        <f>'GHG detailed, absolute'!L7/Production!$B$19*AF_offal_DK</f>
        <v>4.810562131586963E-2</v>
      </c>
      <c r="M7" s="78"/>
      <c r="N7" s="78">
        <f>'GHG detailed, absolute'!N7/Production!$B$19*AF_offal_DK</f>
        <v>9.912755396948964E-5</v>
      </c>
      <c r="O7" s="78">
        <f>'GHG detailed, absolute'!O7/Production!$B$19*AF_offal_DK</f>
        <v>3.2243556600171204E-2</v>
      </c>
      <c r="P7" s="78">
        <f>'GHG detailed, absolute'!P7/Production!$B$19*AF_offal_DK</f>
        <v>4.2897382108779976E-2</v>
      </c>
      <c r="Q7" s="78">
        <f>'GHG detailed, absolute'!Q7/Production!$B$19*AF_offal_DK</f>
        <v>8.638127425009659E-2</v>
      </c>
      <c r="R7" s="78">
        <f>'GHG detailed, absolute'!R7/Production!$B$19*AF_offal_DK</f>
        <v>8.638127425009659E-2</v>
      </c>
      <c r="S7" s="79"/>
      <c r="T7" s="80"/>
      <c r="U7" s="81"/>
      <c r="V7" s="81"/>
      <c r="W7" s="79">
        <f>'GHG detailed, absolute'!W7/Production!$B$19*AF_offal_DK</f>
        <v>0</v>
      </c>
      <c r="X7" s="82">
        <f>'GHG detailed, absolute'!X7/Production!$B$19*AF_offal_DK</f>
        <v>2.7138512581272546E-3</v>
      </c>
      <c r="Z7" s="83"/>
    </row>
    <row r="8" spans="1:26" x14ac:dyDescent="0.2">
      <c r="A8" s="23" t="s">
        <v>188</v>
      </c>
      <c r="B8" s="23" t="s">
        <v>189</v>
      </c>
      <c r="C8" s="18" t="s">
        <v>190</v>
      </c>
      <c r="D8" s="58" t="s">
        <v>38</v>
      </c>
      <c r="E8" s="58" t="s">
        <v>39</v>
      </c>
      <c r="F8" s="23" t="s">
        <v>41</v>
      </c>
      <c r="G8" s="83">
        <f>SUM(H8:X8)</f>
        <v>2.7377074180037976E-3</v>
      </c>
      <c r="H8" s="56">
        <f>'GHG detailed, absolute'!H8/Production!$B$19*AF_offal_DK</f>
        <v>1.2068974434950411E-4</v>
      </c>
      <c r="I8" s="56">
        <f>'GHG detailed, absolute'!I8/Production!$B$19*AF_offal_DK</f>
        <v>2.1821391096141061E-4</v>
      </c>
      <c r="J8" s="56"/>
      <c r="K8" s="56"/>
      <c r="L8" s="56">
        <f>'GHG detailed, absolute'!L8/Production!$B$19*AF_offal_DK</f>
        <v>2.1309168135572924E-5</v>
      </c>
      <c r="M8" s="56"/>
      <c r="N8" s="56">
        <f>'GHG detailed, absolute'!N8/Production!$B$19*AF_offal_DK</f>
        <v>3.3152836154675653E-7</v>
      </c>
      <c r="O8" s="56">
        <f>'GHG detailed, absolute'!O8/Production!$B$19*AF_offal_DK</f>
        <v>1.9401744737393421E-5</v>
      </c>
      <c r="P8" s="56">
        <f>'GHG detailed, absolute'!P8/Production!$B$19*AF_offal_DK</f>
        <v>0</v>
      </c>
      <c r="Q8" s="56">
        <f>'GHG detailed, absolute'!Q8/Production!$B$19*AF_offal_DK</f>
        <v>1.1226619369115248E-3</v>
      </c>
      <c r="R8" s="56">
        <f>'GHG detailed, absolute'!R8/Production!$B$19*AF_offal_DK</f>
        <v>1.1226619369115248E-3</v>
      </c>
      <c r="W8" s="13">
        <f>'GHG detailed, absolute'!W8/Production!$B$19*AF_offal_DK</f>
        <v>1.0672374105506467E-4</v>
      </c>
      <c r="X8" s="53">
        <f>'GHG detailed, absolute'!X8/Production!$B$19*AF_offal_DK</f>
        <v>5.7137065802559409E-6</v>
      </c>
      <c r="Z8" s="84"/>
    </row>
    <row r="9" spans="1:26" x14ac:dyDescent="0.2">
      <c r="A9" s="23" t="s">
        <v>188</v>
      </c>
      <c r="B9" s="23" t="s">
        <v>189</v>
      </c>
      <c r="C9" s="18" t="s">
        <v>190</v>
      </c>
      <c r="D9" s="58" t="s">
        <v>38</v>
      </c>
      <c r="E9" s="58" t="s">
        <v>39</v>
      </c>
      <c r="F9" s="23" t="s">
        <v>42</v>
      </c>
      <c r="G9" s="83">
        <f>SUM(H9:T9)</f>
        <v>7.5428749723642038E-2</v>
      </c>
      <c r="H9" s="56"/>
      <c r="I9" s="56"/>
      <c r="J9" s="85"/>
      <c r="K9" s="56"/>
      <c r="L9" s="56"/>
      <c r="M9" s="56"/>
      <c r="N9" s="56"/>
      <c r="O9" s="56"/>
      <c r="P9" s="56"/>
      <c r="Q9" s="56"/>
      <c r="R9" s="56"/>
      <c r="S9" s="13">
        <f>'GHG detailed, absolute'!S9/Production!$B$19*AF_offal_DK</f>
        <v>5.680571333696998E-2</v>
      </c>
      <c r="T9" s="53">
        <f>'GHG detailed, absolute'!T9/Production!$B$19*AF_offal_DK</f>
        <v>1.8623036386672055E-2</v>
      </c>
      <c r="U9" s="86">
        <f>'GHG detailed, absolute'!U9/Production!$B$19*AF_offal_DK</f>
        <v>1.8623036386672055E-2</v>
      </c>
      <c r="W9" s="13"/>
      <c r="X9" s="53"/>
      <c r="Z9" s="84"/>
    </row>
    <row r="10" spans="1:26" x14ac:dyDescent="0.2">
      <c r="A10" s="23" t="s">
        <v>188</v>
      </c>
      <c r="B10" s="23" t="s">
        <v>189</v>
      </c>
      <c r="C10" s="18" t="s">
        <v>190</v>
      </c>
      <c r="D10" s="58" t="s">
        <v>38</v>
      </c>
      <c r="E10" s="58" t="s">
        <v>39</v>
      </c>
      <c r="F10" s="87" t="s">
        <v>43</v>
      </c>
      <c r="G10" s="83">
        <f>SUM(H10:T10)+W10+X10</f>
        <v>2.4438629896896529E-3</v>
      </c>
      <c r="H10" s="56">
        <f>'GHG detailed, absolute'!H10/Production!$B$19*AF_offal_DK</f>
        <v>1.6021694685871082E-4</v>
      </c>
      <c r="I10" s="56">
        <f>'GHG detailed, absolute'!I10/Production!$B$19*AF_offal_DK</f>
        <v>2.5266873900794912E-6</v>
      </c>
      <c r="J10" s="56">
        <f>'GHG detailed, absolute'!J10/Production!$B$19*AF_offal_DK</f>
        <v>1.1683435101503355E-3</v>
      </c>
      <c r="K10" s="84">
        <f>'GHG detailed, absolute'!K10/Production!$B$19*AF_offal_DK</f>
        <v>1.1683435101503354E-4</v>
      </c>
      <c r="L10" s="56">
        <f>'GHG detailed, absolute'!L10/Production!$B$19*AF_offal_DK</f>
        <v>1.2926168003737362E-6</v>
      </c>
      <c r="M10" s="56"/>
      <c r="N10" s="56">
        <f>'GHG detailed, absolute'!N10/Production!$B$19*AF_offal_DK</f>
        <v>4.080082642006961E-9</v>
      </c>
      <c r="O10" s="56">
        <f>'GHG detailed, absolute'!O10/Production!$B$19*AF_offal_DK</f>
        <v>1.178564535312848E-6</v>
      </c>
      <c r="P10" s="56">
        <f>'GHG detailed, absolute'!P10/Production!$B$19*AF_offal_DK</f>
        <v>0</v>
      </c>
      <c r="Q10" s="56">
        <f>'GHG detailed, absolute'!Q10/Production!$B$19*AF_offal_DK</f>
        <v>1.0788312398980754E-4</v>
      </c>
      <c r="R10" s="56">
        <f>'GHG detailed, absolute'!R10/Production!$B$19*AF_offal_DK</f>
        <v>1.0788312398980754E-4</v>
      </c>
      <c r="S10" s="13"/>
      <c r="T10" s="53">
        <f>'GHG detailed, absolute'!T10/Production!$B$19*AF_offal_DK</f>
        <v>7.7359149598538418E-4</v>
      </c>
      <c r="U10" s="88">
        <f>'GHG detailed, absolute'!U10/Production!$B$19*AF_offal_DK</f>
        <v>4.5582770515418088E-4</v>
      </c>
      <c r="V10" s="88">
        <f>'GHG detailed, absolute'!V10/Production!$B$19*AF_offal_DK</f>
        <v>3.177637908312033E-4</v>
      </c>
      <c r="W10" s="13">
        <f>'GHG detailed, absolute'!W10/Production!$B$19*AF_offal_DK</f>
        <v>3.9809184156709889E-6</v>
      </c>
      <c r="X10" s="53">
        <f>'GHG detailed, absolute'!X10/Production!$B$19*AF_offal_DK</f>
        <v>1.275704764945593E-7</v>
      </c>
      <c r="Z10" s="84"/>
    </row>
    <row r="11" spans="1:26" x14ac:dyDescent="0.2">
      <c r="A11" s="89" t="s">
        <v>188</v>
      </c>
      <c r="B11" s="89" t="s">
        <v>189</v>
      </c>
      <c r="C11" s="90" t="s">
        <v>190</v>
      </c>
      <c r="D11" s="91" t="s">
        <v>38</v>
      </c>
      <c r="E11" s="91" t="s">
        <v>39</v>
      </c>
      <c r="F11" s="92" t="s">
        <v>44</v>
      </c>
      <c r="G11" s="93">
        <f>SUM(H11:X11)</f>
        <v>3.2555886267432443</v>
      </c>
      <c r="H11" s="94">
        <f>SUMPRODUCT(H7:H10,'Parameters, general'!$B$24:$B$27)</f>
        <v>0.15674911001628442</v>
      </c>
      <c r="I11" s="94">
        <f>SUMPRODUCT(I7:I10,'Parameters, general'!$B$24:$B$27)</f>
        <v>6.9211250687911063E-2</v>
      </c>
      <c r="J11" s="94">
        <f>SUMPRODUCT(J7:J10,'Parameters, general'!$B$24:$B$27)</f>
        <v>0.3189577782710416</v>
      </c>
      <c r="K11" s="94">
        <f>SUMPRODUCT(K7:K10,'Parameters, general'!$B$24:$B$27)</f>
        <v>3.1895777827104156E-2</v>
      </c>
      <c r="L11" s="94">
        <f>SUMPRODUCT(L7:L10,'Parameters, general'!$B$24:$B$27)</f>
        <v>4.9093518912811732E-2</v>
      </c>
      <c r="M11" s="94">
        <f>SUMPRODUCT(M7:M10,'Parameters, general'!$B$24:$B$27)</f>
        <v>0</v>
      </c>
      <c r="N11" s="94">
        <f>SUMPRODUCT(N7:N10,'Parameters, general'!$B$24:$B$27)</f>
        <v>1.1012096170485088E-4</v>
      </c>
      <c r="O11" s="94">
        <f>SUMPRODUCT(O7:O10,'Parameters, general'!$B$24:$B$27)</f>
        <v>3.3143476711485938E-2</v>
      </c>
      <c r="P11" s="94">
        <f>SUMPRODUCT(P7:P10,'Parameters, general'!$B$24:$B$27)</f>
        <v>4.2897382108779976E-2</v>
      </c>
      <c r="Q11" s="94">
        <f>SUMPRODUCT(Q7:Q10,'Parameters, general'!$B$24:$B$27)</f>
        <v>0.14928869281927748</v>
      </c>
      <c r="R11" s="94">
        <f>SUMPRODUCT(R7:R10,'Parameters, general'!$B$24:$B$27)</f>
        <v>0.14928869281927748</v>
      </c>
      <c r="S11" s="94">
        <f>SUMPRODUCT(S7:S10,'Parameters, general'!$B$24:$B$27)</f>
        <v>1.5337542600981895</v>
      </c>
      <c r="T11" s="94">
        <f>SUMPRODUCT(T7:T10,'Parameters, general'!$B$24:$B$27)</f>
        <v>0.71401246084415526</v>
      </c>
      <c r="U11" s="94"/>
      <c r="V11" s="94"/>
      <c r="W11" s="94">
        <f>SUMPRODUCT(W7:W10,'Parameters, general'!$B$24:$B$27)</f>
        <v>4.2671582109191069E-3</v>
      </c>
      <c r="X11" s="94">
        <f>SUMPRODUCT(X7:X10,'Parameters, general'!$B$24:$B$27)</f>
        <v>2.9189464543018964E-3</v>
      </c>
      <c r="Z11" s="95">
        <f>SUM(H11:R11)</f>
        <v>1.0006358011356788</v>
      </c>
    </row>
    <row r="12" spans="1:26" x14ac:dyDescent="0.2">
      <c r="A12" s="74" t="s">
        <v>188</v>
      </c>
      <c r="B12" s="74" t="s">
        <v>189</v>
      </c>
      <c r="C12" s="75" t="s">
        <v>190</v>
      </c>
      <c r="D12" s="58" t="s">
        <v>45</v>
      </c>
      <c r="E12" s="58" t="s">
        <v>46</v>
      </c>
      <c r="F12" s="97" t="s">
        <v>40</v>
      </c>
      <c r="G12" s="78">
        <f>SUM(H12:X12)</f>
        <v>0.71190166735359361</v>
      </c>
      <c r="H12" s="78">
        <f>'GHG detailed, absolute'!H12/Production!$C$19*AF_offal_FR</f>
        <v>0.11156724974993845</v>
      </c>
      <c r="I12" s="78">
        <f>'GHG detailed, absolute'!I12/Production!$C$19*AF_offal_FR</f>
        <v>9.228338854886009E-2</v>
      </c>
      <c r="J12" s="78"/>
      <c r="K12" s="78"/>
      <c r="L12" s="78">
        <f>'GHG detailed, absolute'!L12/Production!$C$19*AF_offal_FR</f>
        <v>6.710529993031572E-2</v>
      </c>
      <c r="M12" s="78"/>
      <c r="N12" s="78">
        <f>'GHG detailed, absolute'!N12/Production!$C$19*AF_offal_FR</f>
        <v>1.3552987771243033E-3</v>
      </c>
      <c r="O12" s="78">
        <f>'GHG detailed, absolute'!O12/Production!$C$19*AF_offal_FR</f>
        <v>3.6986664107522535E-2</v>
      </c>
      <c r="P12" s="78">
        <f>'GHG detailed, absolute'!P12/Production!$C$19*AF_offal_FR</f>
        <v>5.8410498066231428E-2</v>
      </c>
      <c r="Q12" s="78">
        <f>'GHG detailed, absolute'!Q12/Production!$C$19*AF_offal_FR</f>
        <v>0.13880313309607004</v>
      </c>
      <c r="R12" s="78">
        <f>'GHG detailed, absolute'!R12/Production!$C$19*AF_offal_FR</f>
        <v>0.13880313309607004</v>
      </c>
      <c r="S12" s="79"/>
      <c r="T12" s="80"/>
      <c r="U12" s="81"/>
      <c r="V12" s="81"/>
      <c r="W12" s="79">
        <f>'GHG detailed, absolute'!W12/Production!$C$19*AF_offal_FR</f>
        <v>6.4915521409275645E-2</v>
      </c>
      <c r="X12" s="98">
        <f>'GHG detailed, absolute'!X12/Production!$C$19*AF_offal_FR</f>
        <v>1.6714805721853116E-3</v>
      </c>
      <c r="Z12" s="83"/>
    </row>
    <row r="13" spans="1:26" x14ac:dyDescent="0.2">
      <c r="A13" s="23" t="s">
        <v>188</v>
      </c>
      <c r="B13" s="23" t="s">
        <v>189</v>
      </c>
      <c r="C13" s="18" t="s">
        <v>190</v>
      </c>
      <c r="D13" s="58" t="s">
        <v>45</v>
      </c>
      <c r="E13" s="58" t="s">
        <v>46</v>
      </c>
      <c r="F13" s="23" t="s">
        <v>41</v>
      </c>
      <c r="G13" s="83">
        <f>SUM(H13:X13)</f>
        <v>3.6612354401437375E-3</v>
      </c>
      <c r="H13" s="56">
        <f>'GHG detailed, absolute'!H13/Production!$C$19*AF_offal_FR</f>
        <v>6.2378197107815995E-5</v>
      </c>
      <c r="I13" s="99">
        <f>'GHG detailed, absolute'!I13/Production!$C$19*AF_offal_FR</f>
        <v>3.2470081156080405E-4</v>
      </c>
      <c r="J13" s="99"/>
      <c r="K13" s="99"/>
      <c r="L13" s="99">
        <f>'GHG detailed, absolute'!L13/Production!$C$19*AF_offal_FR</f>
        <v>2.9725385098215453E-5</v>
      </c>
      <c r="M13" s="99"/>
      <c r="N13" s="99">
        <f>'GHG detailed, absolute'!N13/Production!$C$19*AF_offal_FR</f>
        <v>4.2596928483040022E-6</v>
      </c>
      <c r="O13" s="99">
        <f>'GHG detailed, absolute'!O13/Production!$C$19*AF_offal_FR</f>
        <v>2.0959262400615397E-5</v>
      </c>
      <c r="P13" s="99">
        <f>'GHG detailed, absolute'!P13/Production!$C$19*AF_offal_FR</f>
        <v>0</v>
      </c>
      <c r="Q13" s="99">
        <f>'GHG detailed, absolute'!Q13/Production!$C$19*AF_offal_FR</f>
        <v>1.505721392344673E-3</v>
      </c>
      <c r="R13" s="99">
        <f>'GHG detailed, absolute'!R13/Production!$C$19*AF_offal_FR</f>
        <v>1.505721392344673E-3</v>
      </c>
      <c r="W13" s="13">
        <f>'GHG detailed, absolute'!W13/Production!$C$19*AF_offal_FR</f>
        <v>2.0125813034427303E-4</v>
      </c>
      <c r="X13" s="15">
        <f>'GHG detailed, absolute'!X13/Production!$C$19*AF_offal_FR</f>
        <v>6.5111760943639179E-6</v>
      </c>
      <c r="Z13" s="84"/>
    </row>
    <row r="14" spans="1:26" x14ac:dyDescent="0.2">
      <c r="A14" s="23" t="s">
        <v>188</v>
      </c>
      <c r="B14" s="23" t="s">
        <v>189</v>
      </c>
      <c r="C14" s="18" t="s">
        <v>190</v>
      </c>
      <c r="D14" s="58" t="s">
        <v>45</v>
      </c>
      <c r="E14" s="58" t="s">
        <v>46</v>
      </c>
      <c r="F14" s="23" t="s">
        <v>42</v>
      </c>
      <c r="G14" s="83">
        <f>SUM(H14:T14)</f>
        <v>8.2112119292243893E-2</v>
      </c>
      <c r="H14" s="56"/>
      <c r="I14" s="99"/>
      <c r="J14" s="99"/>
      <c r="K14" s="99"/>
      <c r="L14" s="99"/>
      <c r="M14" s="99"/>
      <c r="N14" s="99"/>
      <c r="O14" s="99"/>
      <c r="P14" s="99"/>
      <c r="Q14" s="99"/>
      <c r="R14" s="99"/>
      <c r="S14" s="13">
        <f>'GHG detailed, absolute'!S14/Production!$C$19*AF_offal_FR</f>
        <v>7.3774706539243062E-2</v>
      </c>
      <c r="T14" s="53">
        <f>'GHG detailed, absolute'!T14/Production!$C$19*AF_offal_FR</f>
        <v>8.3374127530008359E-3</v>
      </c>
      <c r="U14" s="86">
        <f>'GHG detailed, absolute'!U14/Production!$C$19*AF_offal_FR</f>
        <v>8.3374127530008359E-3</v>
      </c>
      <c r="W14" s="13"/>
      <c r="X14" s="15"/>
      <c r="Z14" s="84"/>
    </row>
    <row r="15" spans="1:26" x14ac:dyDescent="0.2">
      <c r="A15" s="23" t="s">
        <v>188</v>
      </c>
      <c r="B15" s="23" t="s">
        <v>189</v>
      </c>
      <c r="C15" s="18" t="s">
        <v>190</v>
      </c>
      <c r="D15" s="58" t="s">
        <v>45</v>
      </c>
      <c r="E15" s="58" t="s">
        <v>46</v>
      </c>
      <c r="F15" s="87" t="s">
        <v>43</v>
      </c>
      <c r="G15" s="83">
        <f>SUM(H15:T15)+W15+X15</f>
        <v>2.7122171681382215E-3</v>
      </c>
      <c r="H15" s="56">
        <f>'GHG detailed, absolute'!H15/Production!$C$19*AF_offal_FR</f>
        <v>9.5233777355049215E-5</v>
      </c>
      <c r="I15" s="84">
        <f>'GHG detailed, absolute'!I15/Production!$C$19*AF_offal_FR</f>
        <v>3.7596936075461524E-6</v>
      </c>
      <c r="J15" s="84">
        <f>'GHG detailed, absolute'!J15/Production!$C$19*AF_offal_FR</f>
        <v>1.4010976859966818E-3</v>
      </c>
      <c r="K15" s="84">
        <f>'GHG detailed, absolute'!K15/Production!$C$19*AF_offal_FR</f>
        <v>1.4010976859966817E-4</v>
      </c>
      <c r="L15" s="84">
        <f>'GHG detailed, absolute'!L15/Production!$C$19*AF_offal_FR</f>
        <v>1.8031455724162818E-6</v>
      </c>
      <c r="M15" s="84"/>
      <c r="N15" s="84">
        <f>'GHG detailed, absolute'!N15/Production!$C$19*AF_offal_FR</f>
        <v>5.7062184146640545E-8</v>
      </c>
      <c r="O15" s="84">
        <f>'GHG detailed, absolute'!O15/Production!$C$19*AF_offal_FR</f>
        <v>1.3836428577321652E-6</v>
      </c>
      <c r="P15" s="84">
        <f>'GHG detailed, absolute'!P15/Production!$C$19*AF_offal_FR</f>
        <v>0</v>
      </c>
      <c r="Q15" s="84">
        <f>'GHG detailed, absolute'!Q15/Production!$C$19*AF_offal_FR</f>
        <v>1.3750601673872921E-4</v>
      </c>
      <c r="R15" s="84">
        <f>'GHG detailed, absolute'!R15/Production!$C$19*AF_offal_FR</f>
        <v>1.3750601673872921E-4</v>
      </c>
      <c r="S15" s="13"/>
      <c r="T15" s="53">
        <f>'GHG detailed, absolute'!T15/Production!$C$19*AF_offal_FR</f>
        <v>7.8757737583205387E-4</v>
      </c>
      <c r="U15" s="88">
        <f>'GHG detailed, absolute'!U15/Production!$C$19*AF_offal_FR</f>
        <v>5.4705283308906932E-4</v>
      </c>
      <c r="V15" s="88">
        <f>'GHG detailed, absolute'!V15/Production!$C$19*AF_offal_FR</f>
        <v>2.4052454274298458E-4</v>
      </c>
      <c r="W15" s="13">
        <f>'GHG detailed, absolute'!W15/Production!$C$19*AF_offal_FR</f>
        <v>6.0840259375959394E-6</v>
      </c>
      <c r="X15" s="15">
        <f>'GHG detailed, absolute'!X15/Production!$C$19*AF_offal_FR</f>
        <v>9.8956717872715525E-8</v>
      </c>
      <c r="Z15" s="84"/>
    </row>
    <row r="16" spans="1:26" x14ac:dyDescent="0.2">
      <c r="A16" s="89" t="s">
        <v>188</v>
      </c>
      <c r="B16" s="89" t="s">
        <v>189</v>
      </c>
      <c r="C16" s="90" t="s">
        <v>190</v>
      </c>
      <c r="D16" s="100" t="s">
        <v>45</v>
      </c>
      <c r="E16" s="100" t="s">
        <v>46</v>
      </c>
      <c r="F16" s="101" t="s">
        <v>44</v>
      </c>
      <c r="G16" s="102">
        <f>SUM(H16:X16)</f>
        <v>3.7784689912621969</v>
      </c>
      <c r="H16" s="94">
        <f>SUMPRODUCT(H12:H15,'Parameters, general'!$B$24:$B$27)</f>
        <v>0.13942494124167981</v>
      </c>
      <c r="I16" s="94">
        <f>SUMPRODUCT(I12:I15,'Parameters, general'!$B$24:$B$27)</f>
        <v>0.10298586908823215</v>
      </c>
      <c r="J16" s="94">
        <f>SUMPRODUCT(J12:J15,'Parameters, general'!$B$24:$B$27)</f>
        <v>0.38249966827709414</v>
      </c>
      <c r="K16" s="94">
        <f>SUMPRODUCT(K12:K15,'Parameters, general'!$B$24:$B$27)</f>
        <v>3.8249966827709411E-2</v>
      </c>
      <c r="L16" s="94">
        <f>SUMPRODUCT(L12:L15,'Parameters, general'!$B$24:$B$27)</f>
        <v>6.8483375147512182E-2</v>
      </c>
      <c r="M16" s="94">
        <f>SUMPRODUCT(M12:M15,'Parameters, general'!$B$24:$B$27)</f>
        <v>0</v>
      </c>
      <c r="N16" s="94">
        <f>SUMPRODUCT(N12:N15,'Parameters, general'!$B$24:$B$27)</f>
        <v>1.4978156002757954E-3</v>
      </c>
      <c r="O16" s="94">
        <f>SUMPRODUCT(O12:O15,'Parameters, general'!$B$24:$B$27)</f>
        <v>3.7988984627221757E-2</v>
      </c>
      <c r="P16" s="94">
        <f>SUMPRODUCT(P12:P15,'Parameters, general'!$B$24:$B$27)</f>
        <v>5.8410498066231428E-2</v>
      </c>
      <c r="Q16" s="94">
        <f>SUMPRODUCT(Q12:Q15,'Parameters, general'!$B$24:$B$27)</f>
        <v>0.22121277315761437</v>
      </c>
      <c r="R16" s="94">
        <f>SUMPRODUCT(R12:R15,'Parameters, general'!$B$24:$B$27)</f>
        <v>0.22121277315761437</v>
      </c>
      <c r="S16" s="94">
        <f>SUMPRODUCT(S12:S15,'Parameters, general'!$B$24:$B$27)</f>
        <v>1.9919170765595626</v>
      </c>
      <c r="T16" s="94">
        <f>SUMPRODUCT(T12:T15,'Parameters, general'!$B$24:$B$27)</f>
        <v>0.44011876793317328</v>
      </c>
      <c r="U16" s="94"/>
      <c r="V16" s="94"/>
      <c r="W16" s="94">
        <f>SUMPRODUCT(W12:W15,'Parameters, general'!$B$24:$B$27)</f>
        <v>7.2573952774498671E-2</v>
      </c>
      <c r="X16" s="94">
        <f>SUMPRODUCT(X12:X15,'Parameters, general'!$B$24:$B$27)</f>
        <v>1.8925288037766076E-3</v>
      </c>
      <c r="Z16" s="95">
        <f>SUM(H16:R16)</f>
        <v>1.2719666651911856</v>
      </c>
    </row>
    <row r="17" spans="1:26" x14ac:dyDescent="0.2">
      <c r="A17" s="74" t="s">
        <v>188</v>
      </c>
      <c r="B17" s="74" t="s">
        <v>189</v>
      </c>
      <c r="C17" s="75" t="s">
        <v>190</v>
      </c>
      <c r="D17" s="76" t="s">
        <v>47</v>
      </c>
      <c r="E17" s="76" t="s">
        <v>48</v>
      </c>
      <c r="F17" s="77" t="s">
        <v>40</v>
      </c>
      <c r="G17" s="78">
        <f>SUM(H17:X17)</f>
        <v>0.90466866553005232</v>
      </c>
      <c r="H17" s="78">
        <f>'GHG detailed, absolute'!H17/Production!$D$19*AF_offal_DE</f>
        <v>7.3380170091260896E-2</v>
      </c>
      <c r="I17" s="78">
        <f>'GHG detailed, absolute'!I17/Production!$D$19*AF_offal_DE</f>
        <v>7.9985213356030233E-2</v>
      </c>
      <c r="J17" s="78"/>
      <c r="K17" s="78"/>
      <c r="L17" s="78">
        <f>'GHG detailed, absolute'!L17/Production!$D$19*AF_offal_DE</f>
        <v>5.0437734974416518E-2</v>
      </c>
      <c r="M17" s="78"/>
      <c r="N17" s="78">
        <f>'GHG detailed, absolute'!N17/Production!$D$19*AF_offal_DE</f>
        <v>1.0679610010827159E-4</v>
      </c>
      <c r="O17" s="78">
        <f>'GHG detailed, absolute'!O17/Production!$D$19*AF_offal_DE</f>
        <v>1.5340227945701836E-2</v>
      </c>
      <c r="P17" s="78">
        <f>'GHG detailed, absolute'!P17/Production!$D$19*AF_offal_DE</f>
        <v>6.5110521480284733E-2</v>
      </c>
      <c r="Q17" s="78">
        <f>'GHG detailed, absolute'!Q17/Production!$D$19*AF_offal_DE</f>
        <v>0.14827977730490988</v>
      </c>
      <c r="R17" s="78">
        <f>'GHG detailed, absolute'!R17/Production!$D$19*AF_offal_DE</f>
        <v>0.14827977730490988</v>
      </c>
      <c r="S17" s="79"/>
      <c r="T17" s="80"/>
      <c r="U17" s="81"/>
      <c r="V17" s="81"/>
      <c r="W17" s="79">
        <f>'GHG detailed, absolute'!W17/Production!$D$19*AF_offal_DE</f>
        <v>0.32028856220412133</v>
      </c>
      <c r="X17" s="82">
        <f>'GHG detailed, absolute'!X17/Production!$D$19*AF_offal_DE</f>
        <v>3.4598847683088556E-3</v>
      </c>
      <c r="Z17" s="83"/>
    </row>
    <row r="18" spans="1:26" x14ac:dyDescent="0.2">
      <c r="A18" s="23" t="s">
        <v>188</v>
      </c>
      <c r="B18" s="23" t="s">
        <v>189</v>
      </c>
      <c r="C18" s="18" t="s">
        <v>190</v>
      </c>
      <c r="D18" s="58" t="s">
        <v>47</v>
      </c>
      <c r="E18" s="58" t="s">
        <v>48</v>
      </c>
      <c r="F18" s="23" t="s">
        <v>41</v>
      </c>
      <c r="G18" s="83">
        <f>SUM(H18:X18)</f>
        <v>3.6004236876688894E-3</v>
      </c>
      <c r="H18" s="56">
        <f>'GHG detailed, absolute'!H18/Production!$D$19*AF_offal_DE</f>
        <v>6.7836504028373907E-5</v>
      </c>
      <c r="I18" s="56">
        <f>'GHG detailed, absolute'!I18/Production!$D$19*AF_offal_DE</f>
        <v>2.8142945440084717E-4</v>
      </c>
      <c r="J18" s="56"/>
      <c r="K18" s="56"/>
      <c r="L18" s="56">
        <f>'GHG detailed, absolute'!L18/Production!$D$19*AF_offal_DE</f>
        <v>2.2342215848124717E-5</v>
      </c>
      <c r="M18" s="56"/>
      <c r="N18" s="56">
        <f>'GHG detailed, absolute'!N18/Production!$D$19*AF_offal_DE</f>
        <v>3.514360540153934E-7</v>
      </c>
      <c r="O18" s="56">
        <f>'GHG detailed, absolute'!O18/Production!$D$19*AF_offal_DE</f>
        <v>1.0298783375930534E-5</v>
      </c>
      <c r="P18" s="56">
        <f>'GHG detailed, absolute'!P18/Production!$D$19*AF_offal_DE</f>
        <v>0</v>
      </c>
      <c r="Q18" s="56">
        <f>'GHG detailed, absolute'!Q18/Production!$D$19*AF_offal_DE</f>
        <v>1.2985611401217364E-3</v>
      </c>
      <c r="R18" s="56">
        <f>'GHG detailed, absolute'!R18/Production!$D$19*AF_offal_DE</f>
        <v>1.2985611401217364E-3</v>
      </c>
      <c r="W18" s="13">
        <f>'GHG detailed, absolute'!W18/Production!$D$19*AF_offal_DE</f>
        <v>6.1267682552419689E-4</v>
      </c>
      <c r="X18" s="53">
        <f>'GHG detailed, absolute'!X18/Production!$D$19*AF_offal_DE</f>
        <v>8.3661881939281629E-6</v>
      </c>
      <c r="Z18" s="84"/>
    </row>
    <row r="19" spans="1:26" x14ac:dyDescent="0.2">
      <c r="A19" s="23" t="s">
        <v>188</v>
      </c>
      <c r="B19" s="23" t="s">
        <v>189</v>
      </c>
      <c r="C19" s="18" t="s">
        <v>190</v>
      </c>
      <c r="D19" s="58" t="s">
        <v>47</v>
      </c>
      <c r="E19" s="58" t="s">
        <v>48</v>
      </c>
      <c r="F19" s="23" t="s">
        <v>42</v>
      </c>
      <c r="G19" s="83">
        <f>SUM(H19:T19)</f>
        <v>7.2844342687719679E-2</v>
      </c>
      <c r="H19" s="56"/>
      <c r="I19" s="56"/>
      <c r="J19" s="85"/>
      <c r="K19" s="56"/>
      <c r="L19" s="56"/>
      <c r="M19" s="56"/>
      <c r="N19" s="56"/>
      <c r="O19" s="56"/>
      <c r="P19" s="56"/>
      <c r="Q19" s="56"/>
      <c r="R19" s="56"/>
      <c r="S19" s="13">
        <f>'GHG detailed, absolute'!S19/Production!$D$19*AF_offal_DE</f>
        <v>6.1563663110476674E-2</v>
      </c>
      <c r="T19" s="53">
        <f>'GHG detailed, absolute'!T19/Production!$D$19*AF_offal_DE</f>
        <v>1.128067957724301E-2</v>
      </c>
      <c r="U19" s="86">
        <f>'GHG detailed, absolute'!U19/Production!$D$19*AF_offal_DE</f>
        <v>1.128067957724301E-2</v>
      </c>
      <c r="W19" s="13"/>
      <c r="X19" s="53"/>
      <c r="Z19" s="84"/>
    </row>
    <row r="20" spans="1:26" x14ac:dyDescent="0.2">
      <c r="A20" s="23" t="s">
        <v>188</v>
      </c>
      <c r="B20" s="23" t="s">
        <v>189</v>
      </c>
      <c r="C20" s="18" t="s">
        <v>190</v>
      </c>
      <c r="D20" s="58" t="s">
        <v>47</v>
      </c>
      <c r="E20" s="58" t="s">
        <v>48</v>
      </c>
      <c r="F20" s="87" t="s">
        <v>43</v>
      </c>
      <c r="G20" s="83">
        <f>SUM(H20:T20)+W20+X20</f>
        <v>2.0521580928274503E-3</v>
      </c>
      <c r="H20" s="56">
        <f>'GHG detailed, absolute'!H20/Production!$D$19*AF_offal_DE</f>
        <v>9.0710736208211463E-5</v>
      </c>
      <c r="I20" s="56">
        <f>'GHG detailed, absolute'!I20/Production!$D$19*AF_offal_DE</f>
        <v>3.2586568404308619E-6</v>
      </c>
      <c r="J20" s="56">
        <f>'GHG detailed, absolute'!J20/Production!$D$19*AF_offal_DE</f>
        <v>8.8354462362110625E-4</v>
      </c>
      <c r="K20" s="84">
        <f>'GHG detailed, absolute'!K20/Production!$D$19*AF_offal_DE</f>
        <v>8.8354462362110622E-5</v>
      </c>
      <c r="L20" s="56">
        <f>'GHG detailed, absolute'!L20/Production!$D$19*AF_offal_DE</f>
        <v>1.3552816036328999E-6</v>
      </c>
      <c r="M20" s="56"/>
      <c r="N20" s="56">
        <f>'GHG detailed, absolute'!N20/Production!$D$19*AF_offal_DE</f>
        <v>4.4225864908084317E-9</v>
      </c>
      <c r="O20" s="56">
        <f>'GHG detailed, absolute'!O20/Production!$D$19*AF_offal_DE</f>
        <v>5.4929799894768494E-7</v>
      </c>
      <c r="P20" s="56">
        <f>'GHG detailed, absolute'!P20/Production!$D$19*AF_offal_DE</f>
        <v>0</v>
      </c>
      <c r="Q20" s="56">
        <f>'GHG detailed, absolute'!Q20/Production!$D$19*AF_offal_DE</f>
        <v>1.1671385047375733E-4</v>
      </c>
      <c r="R20" s="56">
        <f>'GHG detailed, absolute'!R20/Production!$D$19*AF_offal_DE</f>
        <v>1.1671385047375733E-4</v>
      </c>
      <c r="S20" s="13"/>
      <c r="T20" s="53">
        <f>'GHG detailed, absolute'!T20/Production!$D$19*AF_offal_DE</f>
        <v>7.3646154950997354E-4</v>
      </c>
      <c r="U20" s="88">
        <f>'GHG detailed, absolute'!U20/Production!$D$19*AF_offal_DE</f>
        <v>4.4020678397578984E-4</v>
      </c>
      <c r="V20" s="88">
        <f>'GHG detailed, absolute'!V20/Production!$D$19*AF_offal_DE</f>
        <v>2.9625476553418376E-4</v>
      </c>
      <c r="W20" s="13">
        <f>'GHG detailed, absolute'!W20/Production!$D$19*AF_offal_DE</f>
        <v>1.4344814746067252E-5</v>
      </c>
      <c r="X20" s="53">
        <f>'GHG detailed, absolute'!X20/Production!$D$19*AF_offal_DE</f>
        <v>1.4654640296429243E-7</v>
      </c>
      <c r="Z20" s="84"/>
    </row>
    <row r="21" spans="1:26" x14ac:dyDescent="0.2">
      <c r="A21" s="89" t="s">
        <v>188</v>
      </c>
      <c r="B21" s="89" t="s">
        <v>189</v>
      </c>
      <c r="C21" s="90" t="s">
        <v>190</v>
      </c>
      <c r="D21" s="91" t="s">
        <v>47</v>
      </c>
      <c r="E21" s="91" t="s">
        <v>48</v>
      </c>
      <c r="F21" s="92" t="s">
        <v>44</v>
      </c>
      <c r="G21" s="102">
        <f>SUM(H21:X21)</f>
        <v>3.5389977033329107</v>
      </c>
      <c r="H21" s="94">
        <f>SUMPRODUCT(H17:H20,'Parameters, general'!$B$24:$B$27)</f>
        <v>0.10016572889614817</v>
      </c>
      <c r="I21" s="94">
        <f>SUMPRODUCT(I17:I20,'Parameters, general'!$B$24:$B$27)</f>
        <v>8.9261424414613114E-2</v>
      </c>
      <c r="J21" s="94">
        <f>SUMPRODUCT(J17:J20,'Parameters, general'!$B$24:$B$27)</f>
        <v>0.24120768224856201</v>
      </c>
      <c r="K21" s="94">
        <f>SUMPRODUCT(K17:K20,'Parameters, general'!$B$24:$B$27)</f>
        <v>2.41207682248562E-2</v>
      </c>
      <c r="L21" s="94">
        <f>SUMPRODUCT(L17:L20,'Parameters, general'!$B$24:$B$27)</f>
        <v>5.1473524884482418E-2</v>
      </c>
      <c r="M21" s="94">
        <f>SUMPRODUCT(M17:M20,'Parameters, general'!$B$24:$B$27)</f>
        <v>0</v>
      </c>
      <c r="N21" s="94">
        <f>SUMPRODUCT(N17:N20,'Parameters, general'!$B$24:$B$27)</f>
        <v>1.1847626062992101E-4</v>
      </c>
      <c r="O21" s="94">
        <f>SUMPRODUCT(O17:O20,'Parameters, general'!$B$24:$B$27)</f>
        <v>1.5797090044017283E-2</v>
      </c>
      <c r="P21" s="94">
        <f>SUMPRODUCT(P17:P20,'Parameters, general'!$B$24:$B$27)</f>
        <v>6.5110521480284733E-2</v>
      </c>
      <c r="Q21" s="94">
        <f>SUMPRODUCT(Q17:Q20,'Parameters, general'!$B$24:$B$27)</f>
        <v>0.21883978045987337</v>
      </c>
      <c r="R21" s="94">
        <f>SUMPRODUCT(R17:R20,'Parameters, general'!$B$24:$B$27)</f>
        <v>0.21883978045987337</v>
      </c>
      <c r="S21" s="94">
        <f>SUMPRODUCT(S17:S20,'Parameters, general'!$B$24:$B$27)</f>
        <v>1.6622189039828701</v>
      </c>
      <c r="T21" s="94">
        <f>SUMPRODUCT(T17:T20,'Parameters, general'!$B$24:$B$27)</f>
        <v>0.50563235160178399</v>
      </c>
      <c r="U21" s="94"/>
      <c r="V21" s="94"/>
      <c r="W21" s="94">
        <f>SUMPRODUCT(W17:W20,'Parameters, general'!$B$24:$B$27)</f>
        <v>0.34246246603041874</v>
      </c>
      <c r="X21" s="94">
        <f>SUMPRODUCT(X17:X20,'Parameters, general'!$B$24:$B$27)</f>
        <v>3.7492043444971668E-3</v>
      </c>
      <c r="Z21" s="95">
        <f>SUM(H21:R21)</f>
        <v>1.0249347773733406</v>
      </c>
    </row>
    <row r="22" spans="1:26" x14ac:dyDescent="0.2">
      <c r="A22" s="74" t="s">
        <v>188</v>
      </c>
      <c r="B22" s="74" t="s">
        <v>189</v>
      </c>
      <c r="C22" s="75" t="s">
        <v>190</v>
      </c>
      <c r="D22" s="58" t="s">
        <v>49</v>
      </c>
      <c r="E22" s="58" t="s">
        <v>50</v>
      </c>
      <c r="F22" s="97" t="s">
        <v>40</v>
      </c>
      <c r="G22" s="78">
        <f>SUM(H22:X22)</f>
        <v>1.4997494484144178</v>
      </c>
      <c r="H22" s="78">
        <f>'GHG detailed, absolute'!H22/Production!$E$19*AF_offal_GR</f>
        <v>0.19975105201177135</v>
      </c>
      <c r="I22" s="78">
        <f>'GHG detailed, absolute'!I22/Production!$E$19*AF_offal_GR</f>
        <v>8.3707864447840327E-2</v>
      </c>
      <c r="J22" s="78"/>
      <c r="K22" s="78"/>
      <c r="L22" s="78">
        <f>'GHG detailed, absolute'!L22/Production!$E$19*AF_offal_GR</f>
        <v>0.11048710747601034</v>
      </c>
      <c r="M22" s="78"/>
      <c r="N22" s="78">
        <f>'GHG detailed, absolute'!N22/Production!$E$19*AF_offal_GR</f>
        <v>1.3872232859607751E-2</v>
      </c>
      <c r="O22" s="78">
        <f>'GHG detailed, absolute'!O22/Production!$E$19*AF_offal_GR</f>
        <v>6.794912177475794E-2</v>
      </c>
      <c r="P22" s="78">
        <f>'GHG detailed, absolute'!P22/Production!$E$19*AF_offal_GR</f>
        <v>8.9420830584538549E-2</v>
      </c>
      <c r="Q22" s="78">
        <f>'GHG detailed, absolute'!Q22/Production!$E$19*AF_offal_GR</f>
        <v>0.18517921339254825</v>
      </c>
      <c r="R22" s="78">
        <f>'GHG detailed, absolute'!R22/Production!$E$19*AF_offal_GR</f>
        <v>0.18517921339254825</v>
      </c>
      <c r="S22" s="79"/>
      <c r="T22" s="80"/>
      <c r="U22" s="81"/>
      <c r="V22" s="81"/>
      <c r="W22" s="79">
        <f>'GHG detailed, absolute'!W22/Production!$E$19*AF_offal_GR</f>
        <v>0.5590394265019063</v>
      </c>
      <c r="X22" s="82">
        <f>'GHG detailed, absolute'!X22/Production!$E$19*AF_offal_GR</f>
        <v>5.1633859728885149E-3</v>
      </c>
      <c r="Z22" s="83"/>
    </row>
    <row r="23" spans="1:26" x14ac:dyDescent="0.2">
      <c r="A23" s="23" t="s">
        <v>188</v>
      </c>
      <c r="B23" s="23" t="s">
        <v>189</v>
      </c>
      <c r="C23" s="18" t="s">
        <v>190</v>
      </c>
      <c r="D23" s="58" t="s">
        <v>49</v>
      </c>
      <c r="E23" s="58" t="s">
        <v>50</v>
      </c>
      <c r="F23" s="23" t="s">
        <v>41</v>
      </c>
      <c r="G23" s="83">
        <f>SUM(H23:X23)</f>
        <v>3.7132049689458987E-3</v>
      </c>
      <c r="H23" s="56">
        <f>'GHG detailed, absolute'!H23/Production!$E$19*AF_offal_GR</f>
        <v>4.1958921906537754E-6</v>
      </c>
      <c r="I23" s="56">
        <f>'GHG detailed, absolute'!I23/Production!$E$19*AF_offal_GR</f>
        <v>2.9452767120536423E-4</v>
      </c>
      <c r="J23" s="56"/>
      <c r="K23" s="56"/>
      <c r="L23" s="56">
        <f>'GHG detailed, absolute'!L23/Production!$E$19*AF_offal_GR</f>
        <v>4.894206301920746E-5</v>
      </c>
      <c r="M23" s="56"/>
      <c r="N23" s="56">
        <f>'GHG detailed, absolute'!N23/Production!$E$19*AF_offal_GR</f>
        <v>4.2242055820811379E-5</v>
      </c>
      <c r="O23" s="56">
        <f>'GHG detailed, absolute'!O23/Production!$E$19*AF_offal_GR</f>
        <v>5.5748866240777021E-5</v>
      </c>
      <c r="P23" s="56">
        <f>'GHG detailed, absolute'!P23/Production!$E$19*AF_offal_GR</f>
        <v>0</v>
      </c>
      <c r="Q23" s="56">
        <f>'GHG detailed, absolute'!Q23/Production!$E$19*AF_offal_GR</f>
        <v>1.0727931013058767E-3</v>
      </c>
      <c r="R23" s="56">
        <f>'GHG detailed, absolute'!R23/Production!$E$19*AF_offal_GR</f>
        <v>1.0727931013058767E-3</v>
      </c>
      <c r="W23" s="13">
        <f>'GHG detailed, absolute'!W23/Production!$E$19*AF_offal_GR</f>
        <v>1.1097716282537807E-3</v>
      </c>
      <c r="X23" s="53">
        <f>'GHG detailed, absolute'!X23/Production!$E$19*AF_offal_GR</f>
        <v>1.2190589603550602E-5</v>
      </c>
      <c r="Z23" s="84"/>
    </row>
    <row r="24" spans="1:26" x14ac:dyDescent="0.2">
      <c r="A24" s="23" t="s">
        <v>188</v>
      </c>
      <c r="B24" s="23" t="s">
        <v>189</v>
      </c>
      <c r="C24" s="18" t="s">
        <v>190</v>
      </c>
      <c r="D24" s="58" t="s">
        <v>49</v>
      </c>
      <c r="E24" s="58" t="s">
        <v>50</v>
      </c>
      <c r="F24" s="23" t="s">
        <v>42</v>
      </c>
      <c r="G24" s="83">
        <f>SUM(H24:T24)</f>
        <v>6.7499500325846409E-2</v>
      </c>
      <c r="H24" s="56"/>
      <c r="I24" s="56"/>
      <c r="J24" s="85"/>
      <c r="K24" s="56"/>
      <c r="L24" s="56"/>
      <c r="M24" s="56"/>
      <c r="N24" s="56"/>
      <c r="O24" s="56"/>
      <c r="P24" s="56"/>
      <c r="Q24" s="56"/>
      <c r="R24" s="56"/>
      <c r="S24" s="13">
        <f>'GHG detailed, absolute'!S24/Production!$E$19*AF_offal_GR</f>
        <v>6.1694678597813163E-2</v>
      </c>
      <c r="T24" s="53">
        <f>'GHG detailed, absolute'!T24/Production!$E$19*AF_offal_GR</f>
        <v>5.8048217280332465E-3</v>
      </c>
      <c r="U24" s="86">
        <f>'GHG detailed, absolute'!U24/Production!$E$19*AF_offal_GR</f>
        <v>5.8048217280332465E-3</v>
      </c>
      <c r="W24" s="13"/>
      <c r="X24" s="53"/>
      <c r="Z24" s="84"/>
    </row>
    <row r="25" spans="1:26" x14ac:dyDescent="0.2">
      <c r="A25" s="23" t="s">
        <v>188</v>
      </c>
      <c r="B25" s="23" t="s">
        <v>189</v>
      </c>
      <c r="C25" s="18" t="s">
        <v>190</v>
      </c>
      <c r="D25" s="58" t="s">
        <v>49</v>
      </c>
      <c r="E25" s="58" t="s">
        <v>50</v>
      </c>
      <c r="F25" s="87" t="s">
        <v>43</v>
      </c>
      <c r="G25" s="83">
        <f>SUM(H25:T25)+W25+X25</f>
        <v>3.1340375076915933E-3</v>
      </c>
      <c r="H25" s="56">
        <f>'GHG detailed, absolute'!H25/Production!$E$19*AF_offal_GR</f>
        <v>2.3067732046646433E-5</v>
      </c>
      <c r="I25" s="56">
        <f>'GHG detailed, absolute'!I25/Production!$E$19*AF_offal_GR</f>
        <v>3.4103204034305322E-6</v>
      </c>
      <c r="J25" s="56">
        <f>'GHG detailed, absolute'!J25/Production!$E$19*AF_offal_GR</f>
        <v>1.6609362604043981E-3</v>
      </c>
      <c r="K25" s="84">
        <f>'GHG detailed, absolute'!K25/Production!$E$19*AF_offal_GR</f>
        <v>1.6609362604043984E-4</v>
      </c>
      <c r="L25" s="56">
        <f>'GHG detailed, absolute'!L25/Production!$E$19*AF_offal_GR</f>
        <v>2.9688316550455899E-6</v>
      </c>
      <c r="M25" s="56"/>
      <c r="N25" s="56">
        <f>'GHG detailed, absolute'!N25/Production!$E$19*AF_offal_GR</f>
        <v>5.9042117293437986E-7</v>
      </c>
      <c r="O25" s="56">
        <f>'GHG detailed, absolute'!O25/Production!$E$19*AF_offal_GR</f>
        <v>2.3993141593617558E-6</v>
      </c>
      <c r="P25" s="56">
        <f>'GHG detailed, absolute'!P25/Production!$E$19*AF_offal_GR</f>
        <v>0</v>
      </c>
      <c r="Q25" s="56">
        <f>'GHG detailed, absolute'!Q25/Production!$E$19*AF_offal_GR</f>
        <v>8.4128890478983823E-5</v>
      </c>
      <c r="R25" s="56">
        <f>'GHG detailed, absolute'!R25/Production!$E$19*AF_offal_GR</f>
        <v>8.4128890478983823E-5</v>
      </c>
      <c r="S25" s="13"/>
      <c r="T25" s="53">
        <f>'GHG detailed, absolute'!T25/Production!$E$19*AF_offal_GR</f>
        <v>1.0868992097940065E-3</v>
      </c>
      <c r="U25" s="88">
        <f>'GHG detailed, absolute'!U25/Production!$E$19*AF_offal_GR</f>
        <v>8.1705194925130729E-4</v>
      </c>
      <c r="V25" s="88">
        <f>'GHG detailed, absolute'!V25/Production!$E$19*AF_offal_GR</f>
        <v>2.698472605426991E-4</v>
      </c>
      <c r="W25" s="13">
        <f>'GHG detailed, absolute'!W25/Production!$E$19*AF_offal_GR</f>
        <v>1.923797761120167E-5</v>
      </c>
      <c r="X25" s="53">
        <f>'GHG detailed, absolute'!X25/Production!$E$19*AF_offal_GR</f>
        <v>1.7603344616073991E-7</v>
      </c>
      <c r="Z25" s="84"/>
    </row>
    <row r="26" spans="1:26" x14ac:dyDescent="0.2">
      <c r="A26" s="89" t="s">
        <v>188</v>
      </c>
      <c r="B26" s="89" t="s">
        <v>189</v>
      </c>
      <c r="C26" s="90" t="s">
        <v>190</v>
      </c>
      <c r="D26" s="100" t="s">
        <v>49</v>
      </c>
      <c r="E26" s="100" t="s">
        <v>50</v>
      </c>
      <c r="F26" s="92" t="s">
        <v>44</v>
      </c>
      <c r="G26" s="102">
        <f>SUM(H26:X26)</f>
        <v>4.2884817048866637</v>
      </c>
      <c r="H26" s="94">
        <f>SUMPRODUCT(H22:H25,'Parameters, general'!$B$24:$B$27)</f>
        <v>0.20617358044778733</v>
      </c>
      <c r="I26" s="94">
        <f>SUMPRODUCT(I22:I25,'Parameters, general'!$B$24:$B$27)</f>
        <v>9.3415806519896713E-2</v>
      </c>
      <c r="J26" s="94">
        <f>SUMPRODUCT(J22:J25,'Parameters, general'!$B$24:$B$27)</f>
        <v>0.45343559909040071</v>
      </c>
      <c r="K26" s="94">
        <f>SUMPRODUCT(K22:K25,'Parameters, general'!$B$24:$B$27)</f>
        <v>4.5343559909040078E-2</v>
      </c>
      <c r="L26" s="94">
        <f>SUMPRODUCT(L22:L25,'Parameters, general'!$B$24:$B$27)</f>
        <v>0.11275607199581017</v>
      </c>
      <c r="M26" s="94">
        <f>SUMPRODUCT(M22:M25,'Parameters, general'!$B$24:$B$27)</f>
        <v>0</v>
      </c>
      <c r="N26" s="94">
        <f>SUMPRODUCT(N22:N25,'Parameters, general'!$B$24:$B$27)</f>
        <v>1.5292231103279015E-2</v>
      </c>
      <c r="O26" s="94">
        <f>SUMPRODUCT(O22:O25,'Parameters, general'!$B$24:$B$27)</f>
        <v>7.0265450754238845E-2</v>
      </c>
      <c r="P26" s="94">
        <f>SUMPRODUCT(P22:P25,'Parameters, general'!$B$24:$B$27)</f>
        <v>8.9420830584538549E-2</v>
      </c>
      <c r="Q26" s="94">
        <f>SUMPRODUCT(Q22:Q25,'Parameters, general'!$B$24:$B$27)</f>
        <v>0.24011563491222596</v>
      </c>
      <c r="R26" s="94">
        <f>SUMPRODUCT(R22:R25,'Parameters, general'!$B$24:$B$27)</f>
        <v>0.24011563491222596</v>
      </c>
      <c r="S26" s="94">
        <f>SUMPRODUCT(S22:S25,'Parameters, general'!$B$24:$B$27)</f>
        <v>1.6657563221409555</v>
      </c>
      <c r="T26" s="94">
        <f>SUMPRODUCT(T22:T25,'Parameters, general'!$B$24:$B$27)</f>
        <v>0.45345367093066141</v>
      </c>
      <c r="U26" s="94"/>
      <c r="V26" s="94"/>
      <c r="W26" s="94">
        <f>SUMPRODUCT(W22:W25,'Parameters, general'!$B$24:$B$27)</f>
        <v>0.597362588911727</v>
      </c>
      <c r="X26" s="94">
        <f>SUMPRODUCT(X22:X25,'Parameters, general'!$B$24:$B$27)</f>
        <v>5.5747226738762047E-3</v>
      </c>
      <c r="Z26" s="95">
        <f>SUM(H26:R26)</f>
        <v>1.5663344002294435</v>
      </c>
    </row>
    <row r="27" spans="1:26" x14ac:dyDescent="0.2">
      <c r="A27" s="74" t="s">
        <v>188</v>
      </c>
      <c r="B27" s="74" t="s">
        <v>189</v>
      </c>
      <c r="C27" s="75" t="s">
        <v>190</v>
      </c>
      <c r="D27" s="76" t="s">
        <v>51</v>
      </c>
      <c r="E27" s="76" t="s">
        <v>52</v>
      </c>
      <c r="F27" s="77" t="s">
        <v>40</v>
      </c>
      <c r="G27" s="78">
        <f>SUM(H27:X27)</f>
        <v>1.4935293469003046</v>
      </c>
      <c r="H27" s="78">
        <f>'GHG detailed, absolute'!H27/Production!$F$19*AF_offal_HU</f>
        <v>0.11845446980498879</v>
      </c>
      <c r="I27" s="78">
        <f>'GHG detailed, absolute'!I27/Production!$F$19*AF_offal_HU</f>
        <v>7.8495810985988984E-2</v>
      </c>
      <c r="J27" s="78"/>
      <c r="K27" s="78"/>
      <c r="L27" s="78">
        <f>'GHG detailed, absolute'!L27/Production!$F$19*AF_offal_HU</f>
        <v>9.1882552156773226E-2</v>
      </c>
      <c r="M27" s="78"/>
      <c r="N27" s="78">
        <f>'GHG detailed, absolute'!N27/Production!$F$19*AF_offal_HU</f>
        <v>3.8660172528504684E-4</v>
      </c>
      <c r="O27" s="78">
        <f>'GHG detailed, absolute'!O27/Production!$F$19*AF_offal_HU</f>
        <v>5.6760259508348419E-2</v>
      </c>
      <c r="P27" s="78">
        <f>'GHG detailed, absolute'!P27/Production!$F$19*AF_offal_HU</f>
        <v>0.12679592140785345</v>
      </c>
      <c r="Q27" s="78">
        <f>'GHG detailed, absolute'!Q27/Production!$F$19*AF_offal_HU</f>
        <v>0.3537144802907326</v>
      </c>
      <c r="R27" s="78">
        <f>'GHG detailed, absolute'!R27/Production!$F$19*AF_offal_HU</f>
        <v>0.3537144802907326</v>
      </c>
      <c r="S27" s="79"/>
      <c r="T27" s="80"/>
      <c r="U27" s="81"/>
      <c r="V27" s="81"/>
      <c r="W27" s="79">
        <f>'GHG detailed, absolute'!W27/Production!$F$19*AF_offal_HU</f>
        <v>0.3092478121847464</v>
      </c>
      <c r="X27" s="82">
        <f>'GHG detailed, absolute'!X27/Production!$F$19*AF_offal_HU</f>
        <v>4.0769585448553261E-3</v>
      </c>
      <c r="Z27" s="83"/>
    </row>
    <row r="28" spans="1:26" x14ac:dyDescent="0.2">
      <c r="A28" s="23" t="s">
        <v>188</v>
      </c>
      <c r="B28" s="23" t="s">
        <v>189</v>
      </c>
      <c r="C28" s="18" t="s">
        <v>190</v>
      </c>
      <c r="D28" s="58" t="s">
        <v>51</v>
      </c>
      <c r="E28" s="58" t="s">
        <v>52</v>
      </c>
      <c r="F28" s="23" t="s">
        <v>41</v>
      </c>
      <c r="G28" s="83">
        <f>SUM(H28:X28)</f>
        <v>4.5353437744719812E-3</v>
      </c>
      <c r="H28" s="56">
        <f>'GHG detailed, absolute'!H28/Production!$F$19*AF_offal_HU</f>
        <v>6.2624847323378339E-6</v>
      </c>
      <c r="I28" s="56">
        <f>'GHG detailed, absolute'!I28/Production!$F$19*AF_offal_HU</f>
        <v>2.7618896458033153E-4</v>
      </c>
      <c r="J28" s="56"/>
      <c r="K28" s="56"/>
      <c r="L28" s="56">
        <f>'GHG detailed, absolute'!L28/Production!$F$19*AF_offal_HU</f>
        <v>4.0700872352901531E-5</v>
      </c>
      <c r="M28" s="56"/>
      <c r="N28" s="56">
        <f>'GHG detailed, absolute'!N28/Production!$F$19*AF_offal_HU</f>
        <v>1.170803251049376E-6</v>
      </c>
      <c r="O28" s="56">
        <f>'GHG detailed, absolute'!O28/Production!$F$19*AF_offal_HU</f>
        <v>4.6247693142847202E-5</v>
      </c>
      <c r="P28" s="56">
        <f>'GHG detailed, absolute'!P28/Production!$F$19*AF_offal_HU</f>
        <v>0</v>
      </c>
      <c r="Q28" s="56">
        <f>'GHG detailed, absolute'!Q28/Production!$F$19*AF_offal_HU</f>
        <v>1.6860093822954043E-3</v>
      </c>
      <c r="R28" s="56">
        <f>'GHG detailed, absolute'!R28/Production!$F$19*AF_offal_HU</f>
        <v>1.6860093822954043E-3</v>
      </c>
      <c r="W28" s="13">
        <f>'GHG detailed, absolute'!W28/Production!$F$19*AF_offal_HU</f>
        <v>7.8080939367484753E-4</v>
      </c>
      <c r="X28" s="53">
        <f>'GHG detailed, absolute'!X28/Production!$F$19*AF_offal_HU</f>
        <v>1.1944798146857841E-5</v>
      </c>
      <c r="Z28" s="84"/>
    </row>
    <row r="29" spans="1:26" x14ac:dyDescent="0.2">
      <c r="A29" s="23" t="s">
        <v>188</v>
      </c>
      <c r="B29" s="23" t="s">
        <v>189</v>
      </c>
      <c r="C29" s="18" t="s">
        <v>190</v>
      </c>
      <c r="D29" s="58" t="s">
        <v>51</v>
      </c>
      <c r="E29" s="58" t="s">
        <v>52</v>
      </c>
      <c r="F29" s="23" t="s">
        <v>42</v>
      </c>
      <c r="G29" s="83">
        <f>SUM(H29:T29)</f>
        <v>7.6884071978109231E-2</v>
      </c>
      <c r="H29" s="56"/>
      <c r="I29" s="56"/>
      <c r="J29" s="85"/>
      <c r="K29" s="56"/>
      <c r="L29" s="56"/>
      <c r="M29" s="56"/>
      <c r="N29" s="56"/>
      <c r="O29" s="56"/>
      <c r="P29" s="56"/>
      <c r="Q29" s="56"/>
      <c r="R29" s="56"/>
      <c r="S29" s="13">
        <f>'GHG detailed, absolute'!S29/Production!$F$19*AF_offal_HU</f>
        <v>6.5579191723614691E-2</v>
      </c>
      <c r="T29" s="53">
        <f>'GHG detailed, absolute'!T29/Production!$F$19*AF_offal_HU</f>
        <v>1.1304880254494536E-2</v>
      </c>
      <c r="U29" s="86">
        <f>'GHG detailed, absolute'!U29/Production!$F$19*AF_offal_HU</f>
        <v>1.1304880254494536E-2</v>
      </c>
      <c r="W29" s="13"/>
      <c r="X29" s="53"/>
      <c r="Z29" s="84"/>
    </row>
    <row r="30" spans="1:26" x14ac:dyDescent="0.2">
      <c r="A30" s="23" t="s">
        <v>188</v>
      </c>
      <c r="B30" s="23" t="s">
        <v>189</v>
      </c>
      <c r="C30" s="18" t="s">
        <v>190</v>
      </c>
      <c r="D30" s="58" t="s">
        <v>51</v>
      </c>
      <c r="E30" s="58" t="s">
        <v>52</v>
      </c>
      <c r="F30" s="87" t="s">
        <v>43</v>
      </c>
      <c r="G30" s="83">
        <f>SUM(H30:T30)+W30+X30</f>
        <v>3.084887472731398E-3</v>
      </c>
      <c r="H30" s="56">
        <f>'GHG detailed, absolute'!H30/Production!$F$19*AF_offal_HU</f>
        <v>5.1597816726349563E-5</v>
      </c>
      <c r="I30" s="56">
        <f>'GHG detailed, absolute'!I30/Production!$F$19*AF_offal_HU</f>
        <v>3.197977484614365E-6</v>
      </c>
      <c r="J30" s="56">
        <f>'GHG detailed, absolute'!J30/Production!$F$19*AF_offal_HU</f>
        <v>1.4111758619923442E-3</v>
      </c>
      <c r="K30" s="84">
        <f>'GHG detailed, absolute'!K30/Production!$F$19*AF_offal_HU</f>
        <v>1.4111758619923446E-4</v>
      </c>
      <c r="L30" s="56">
        <f>'GHG detailed, absolute'!L30/Production!$F$19*AF_offal_HU</f>
        <v>2.468919999997596E-6</v>
      </c>
      <c r="M30" s="56"/>
      <c r="N30" s="56">
        <f>'GHG detailed, absolute'!N30/Production!$F$19*AF_offal_HU</f>
        <v>1.6484396121207924E-8</v>
      </c>
      <c r="O30" s="56">
        <f>'GHG detailed, absolute'!O30/Production!$F$19*AF_offal_HU</f>
        <v>2.0215137642259842E-6</v>
      </c>
      <c r="P30" s="56">
        <f>'GHG detailed, absolute'!P30/Production!$F$19*AF_offal_HU</f>
        <v>0</v>
      </c>
      <c r="Q30" s="56">
        <f>'GHG detailed, absolute'!Q30/Production!$F$19*AF_offal_HU</f>
        <v>1.0512598894949134E-4</v>
      </c>
      <c r="R30" s="56">
        <f>'GHG detailed, absolute'!R30/Production!$F$19*AF_offal_HU</f>
        <v>1.0512598894949134E-4</v>
      </c>
      <c r="S30" s="13"/>
      <c r="T30" s="53">
        <f>'GHG detailed, absolute'!T30/Production!$F$19*AF_offal_HU</f>
        <v>1.2520639038133832E-3</v>
      </c>
      <c r="U30" s="88">
        <f>'GHG detailed, absolute'!U30/Production!$F$19*AF_offal_HU</f>
        <v>9.1714198445605358E-4</v>
      </c>
      <c r="V30" s="88">
        <f>'GHG detailed, absolute'!V30/Production!$F$19*AF_offal_HU</f>
        <v>3.349219193573297E-4</v>
      </c>
      <c r="W30" s="13">
        <f>'GHG detailed, absolute'!W30/Production!$F$19*AF_offal_HU</f>
        <v>1.0834892511188902E-5</v>
      </c>
      <c r="X30" s="53">
        <f>'GHG detailed, absolute'!X30/Production!$F$19*AF_offal_HU</f>
        <v>1.4053794495593197E-7</v>
      </c>
      <c r="Z30" s="84"/>
    </row>
    <row r="31" spans="1:26" x14ac:dyDescent="0.2">
      <c r="A31" s="89" t="s">
        <v>188</v>
      </c>
      <c r="B31" s="89" t="s">
        <v>189</v>
      </c>
      <c r="C31" s="90" t="s">
        <v>190</v>
      </c>
      <c r="D31" s="91" t="s">
        <v>51</v>
      </c>
      <c r="E31" s="91" t="s">
        <v>52</v>
      </c>
      <c r="F31" s="92" t="s">
        <v>44</v>
      </c>
      <c r="G31" s="102">
        <f>SUM(H31:X31)</f>
        <v>4.5467268148441899</v>
      </c>
      <c r="H31" s="94">
        <f>SUMPRODUCT(H27:H30,'Parameters, general'!$B$24:$B$27)</f>
        <v>0.13272729581630588</v>
      </c>
      <c r="I31" s="94">
        <f>SUMPRODUCT(I27:I30,'Parameters, general'!$B$24:$B$27)</f>
        <v>8.7599289983782594E-2</v>
      </c>
      <c r="J31" s="94">
        <f>SUMPRODUCT(J27:J30,'Parameters, general'!$B$24:$B$27)</f>
        <v>0.38525101032390996</v>
      </c>
      <c r="K31" s="94">
        <f>SUMPRODUCT(K27:K30,'Parameters, general'!$B$24:$B$27)</f>
        <v>3.8525101032391006E-2</v>
      </c>
      <c r="L31" s="94">
        <f>SUMPRODUCT(L27:L30,'Parameters, general'!$B$24:$B$27)</f>
        <v>9.3769453312889037E-2</v>
      </c>
      <c r="M31" s="94">
        <f>SUMPRODUCT(M27:M30,'Parameters, general'!$B$24:$B$27)</f>
        <v>0</v>
      </c>
      <c r="N31" s="94">
        <f>SUMPRODUCT(N27:N30,'Parameters, general'!$B$24:$B$27)</f>
        <v>4.2599190230740801E-4</v>
      </c>
      <c r="O31" s="94">
        <f>SUMPRODUCT(O27:O30,'Parameters, general'!$B$24:$B$27)</f>
        <v>5.8690314021638962E-2</v>
      </c>
      <c r="P31" s="94">
        <f>SUMPRODUCT(P27:P30,'Parameters, general'!$B$24:$B$27)</f>
        <v>0.12679592140785345</v>
      </c>
      <c r="Q31" s="94">
        <f>SUMPRODUCT(Q27:Q30,'Parameters, general'!$B$24:$B$27)</f>
        <v>0.43265695486634675</v>
      </c>
      <c r="R31" s="94">
        <f>SUMPRODUCT(R27:R30,'Parameters, general'!$B$24:$B$27)</f>
        <v>0.43265695486634675</v>
      </c>
      <c r="S31" s="94">
        <f>SUMPRODUCT(S27:S30,'Parameters, general'!$B$24:$B$27)</f>
        <v>1.7706381765375967</v>
      </c>
      <c r="T31" s="94">
        <f>SUMPRODUCT(T27:T30,'Parameters, general'!$B$24:$B$27)</f>
        <v>0.64704521261240611</v>
      </c>
      <c r="U31" s="94"/>
      <c r="V31" s="94"/>
      <c r="W31" s="94">
        <f>SUMPRODUCT(W27:W30,'Parameters, general'!$B$24:$B$27)</f>
        <v>0.33547385777181143</v>
      </c>
      <c r="X31" s="94">
        <f>SUMPRODUCT(X27:X30,'Parameters, general'!$B$24:$B$27)</f>
        <v>4.4712803886046591E-3</v>
      </c>
      <c r="Z31" s="95">
        <f>SUM(H31:R31)</f>
        <v>1.7890982875337718</v>
      </c>
    </row>
    <row r="32" spans="1:26" x14ac:dyDescent="0.2">
      <c r="A32" s="74" t="s">
        <v>188</v>
      </c>
      <c r="B32" s="74" t="s">
        <v>189</v>
      </c>
      <c r="C32" s="75" t="s">
        <v>190</v>
      </c>
      <c r="D32" s="76" t="s">
        <v>53</v>
      </c>
      <c r="E32" s="76" t="s">
        <v>54</v>
      </c>
      <c r="F32" s="77" t="s">
        <v>40</v>
      </c>
      <c r="G32" s="78">
        <f>SUM(H32:X32)</f>
        <v>0.41801048465813972</v>
      </c>
      <c r="H32" s="78">
        <f>'GHG detailed, absolute'!H32/Production!$G$19*AF_offal_IE</f>
        <v>6.9799415034626375E-2</v>
      </c>
      <c r="I32" s="78">
        <f>'GHG detailed, absolute'!I32/Production!$G$19*AF_offal_IE</f>
        <v>8.4743137974541263E-2</v>
      </c>
      <c r="J32" s="78"/>
      <c r="K32" s="78"/>
      <c r="L32" s="78">
        <f>'GHG detailed, absolute'!L32/Production!$G$19*AF_offal_IE</f>
        <v>5.0290932231947402E-2</v>
      </c>
      <c r="M32" s="78"/>
      <c r="N32" s="78">
        <f>'GHG detailed, absolute'!N32/Production!$G$19*AF_offal_IE</f>
        <v>2.0010265409568269E-4</v>
      </c>
      <c r="O32" s="78">
        <f>'GHG detailed, absolute'!O32/Production!$G$19*AF_offal_IE</f>
        <v>1.6556381538673247E-2</v>
      </c>
      <c r="P32" s="78">
        <f>'GHG detailed, absolute'!P32/Production!$G$19*AF_offal_IE</f>
        <v>7.8488065996741851E-3</v>
      </c>
      <c r="Q32" s="78">
        <f>'GHG detailed, absolute'!Q32/Production!$G$19*AF_offal_IE</f>
        <v>2.1278092641517938E-2</v>
      </c>
      <c r="R32" s="78">
        <f>'GHG detailed, absolute'!R32/Production!$G$19*AF_offal_IE</f>
        <v>2.1278092641517938E-2</v>
      </c>
      <c r="S32" s="79"/>
      <c r="T32" s="80"/>
      <c r="U32" s="81"/>
      <c r="V32" s="81"/>
      <c r="W32" s="79">
        <f>'GHG detailed, absolute'!W32/Production!$G$19*AF_offal_IE</f>
        <v>0.14266977929965866</v>
      </c>
      <c r="X32" s="82">
        <f>'GHG detailed, absolute'!X32/Production!$G$19*AF_offal_IE</f>
        <v>3.3457440418870133E-3</v>
      </c>
      <c r="Z32" s="83"/>
    </row>
    <row r="33" spans="1:26" x14ac:dyDescent="0.2">
      <c r="A33" s="23" t="s">
        <v>188</v>
      </c>
      <c r="B33" s="23" t="s">
        <v>189</v>
      </c>
      <c r="C33" s="18" t="s">
        <v>190</v>
      </c>
      <c r="D33" s="58" t="s">
        <v>53</v>
      </c>
      <c r="E33" s="58" t="s">
        <v>54</v>
      </c>
      <c r="F33" s="23" t="s">
        <v>41</v>
      </c>
      <c r="G33" s="83">
        <f>SUM(H33:X33)</f>
        <v>5.7016301106904428E-4</v>
      </c>
      <c r="H33" s="56">
        <f>'GHG detailed, absolute'!H33/Production!$G$19*AF_offal_IE</f>
        <v>2.8255892171143476E-6</v>
      </c>
      <c r="I33" s="56">
        <f>'GHG detailed, absolute'!I33/Production!$G$19*AF_offal_IE</f>
        <v>2.9817030028079339E-4</v>
      </c>
      <c r="J33" s="56"/>
      <c r="K33" s="56"/>
      <c r="L33" s="56">
        <f>'GHG detailed, absolute'!L33/Production!$G$19*AF_offal_IE</f>
        <v>2.2277187183356048E-5</v>
      </c>
      <c r="M33" s="56"/>
      <c r="N33" s="56">
        <f>'GHG detailed, absolute'!N33/Production!$G$19*AF_offal_IE</f>
        <v>5.9294257893165498E-7</v>
      </c>
      <c r="O33" s="56">
        <f>'GHG detailed, absolute'!O33/Production!$G$19*AF_offal_IE</f>
        <v>8.6550206928265748E-6</v>
      </c>
      <c r="P33" s="56">
        <f>'GHG detailed, absolute'!P33/Production!$G$19*AF_offal_IE</f>
        <v>0</v>
      </c>
      <c r="Q33" s="56">
        <f>'GHG detailed, absolute'!Q33/Production!$G$19*AF_offal_IE</f>
        <v>3.8866706189244265E-5</v>
      </c>
      <c r="R33" s="56">
        <f>'GHG detailed, absolute'!R33/Production!$G$19*AF_offal_IE</f>
        <v>3.8866706189244265E-5</v>
      </c>
      <c r="W33" s="13">
        <f>'GHG detailed, absolute'!W33/Production!$G$19*AF_offal_IE</f>
        <v>1.5375288445641186E-4</v>
      </c>
      <c r="X33" s="53">
        <f>'GHG detailed, absolute'!X33/Production!$G$19*AF_offal_IE</f>
        <v>6.1556742811217724E-6</v>
      </c>
      <c r="Z33" s="84"/>
    </row>
    <row r="34" spans="1:26" x14ac:dyDescent="0.2">
      <c r="A34" s="23" t="s">
        <v>188</v>
      </c>
      <c r="B34" s="23" t="s">
        <v>189</v>
      </c>
      <c r="C34" s="18" t="s">
        <v>190</v>
      </c>
      <c r="D34" s="58" t="s">
        <v>53</v>
      </c>
      <c r="E34" s="58" t="s">
        <v>54</v>
      </c>
      <c r="F34" s="23" t="s">
        <v>42</v>
      </c>
      <c r="G34" s="83">
        <f>SUM(H34:T34)</f>
        <v>6.9543289718042287E-2</v>
      </c>
      <c r="H34" s="56"/>
      <c r="I34" s="56"/>
      <c r="J34" s="85"/>
      <c r="K34" s="56"/>
      <c r="L34" s="56"/>
      <c r="M34" s="56"/>
      <c r="N34" s="56"/>
      <c r="O34" s="56"/>
      <c r="P34" s="56"/>
      <c r="Q34" s="56"/>
      <c r="R34" s="56"/>
      <c r="S34" s="13">
        <f>'GHG detailed, absolute'!S34/Production!$G$19*AF_offal_IE</f>
        <v>6.1892998479134702E-2</v>
      </c>
      <c r="T34" s="53">
        <f>'GHG detailed, absolute'!T34/Production!$G$19*AF_offal_IE</f>
        <v>7.6502912389075839E-3</v>
      </c>
      <c r="U34" s="86">
        <f>'GHG detailed, absolute'!U34/Production!$G$19*AF_offal_IE</f>
        <v>7.6502912389075839E-3</v>
      </c>
      <c r="W34" s="13"/>
      <c r="X34" s="53"/>
      <c r="Z34" s="84"/>
    </row>
    <row r="35" spans="1:26" x14ac:dyDescent="0.2">
      <c r="A35" s="23" t="s">
        <v>188</v>
      </c>
      <c r="B35" s="23" t="s">
        <v>189</v>
      </c>
      <c r="C35" s="18" t="s">
        <v>190</v>
      </c>
      <c r="D35" s="58" t="s">
        <v>53</v>
      </c>
      <c r="E35" s="58" t="s">
        <v>54</v>
      </c>
      <c r="F35" s="87" t="s">
        <v>43</v>
      </c>
      <c r="G35" s="83">
        <f>SUM(H35:T35)+W35+X35</f>
        <v>1.8117179420593314E-3</v>
      </c>
      <c r="H35" s="56">
        <f>'GHG detailed, absolute'!H35/Production!$G$19*AF_offal_IE</f>
        <v>2.7047812370709111E-5</v>
      </c>
      <c r="I35" s="56">
        <f>'GHG detailed, absolute'!I35/Production!$G$19*AF_offal_IE</f>
        <v>3.4524982137776078E-6</v>
      </c>
      <c r="J35" s="56">
        <f>'GHG detailed, absolute'!J35/Production!$G$19*AF_offal_IE</f>
        <v>1.1075024841173161E-3</v>
      </c>
      <c r="K35" s="84">
        <f>'GHG detailed, absolute'!K35/Production!$G$19*AF_offal_IE</f>
        <v>1.1075024841173161E-4</v>
      </c>
      <c r="L35" s="56">
        <f>'GHG detailed, absolute'!L35/Production!$G$19*AF_offal_IE</f>
        <v>1.3513369567066998E-6</v>
      </c>
      <c r="M35" s="56"/>
      <c r="N35" s="56">
        <f>'GHG detailed, absolute'!N35/Production!$G$19*AF_offal_IE</f>
        <v>8.5933466428887581E-9</v>
      </c>
      <c r="O35" s="56">
        <f>'GHG detailed, absolute'!O35/Production!$G$19*AF_offal_IE</f>
        <v>5.963960287974072E-7</v>
      </c>
      <c r="P35" s="56">
        <f>'GHG detailed, absolute'!P35/Production!$G$19*AF_offal_IE</f>
        <v>0</v>
      </c>
      <c r="Q35" s="56">
        <f>'GHG detailed, absolute'!Q35/Production!$G$19*AF_offal_IE</f>
        <v>2.4598944325534209E-6</v>
      </c>
      <c r="R35" s="56">
        <f>'GHG detailed, absolute'!R35/Production!$G$19*AF_offal_IE</f>
        <v>2.4598944325534209E-6</v>
      </c>
      <c r="S35" s="13"/>
      <c r="T35" s="53">
        <f>'GHG detailed, absolute'!T35/Production!$G$19*AF_offal_IE</f>
        <v>5.5072799659843994E-4</v>
      </c>
      <c r="U35" s="88">
        <f>'GHG detailed, absolute'!U35/Production!$G$19*AF_offal_IE</f>
        <v>3.8508066212079097E-4</v>
      </c>
      <c r="V35" s="88">
        <f>'GHG detailed, absolute'!V35/Production!$G$19*AF_offal_IE</f>
        <v>1.6564733447764894E-4</v>
      </c>
      <c r="W35" s="13">
        <f>'GHG detailed, absolute'!W35/Production!$G$19*AF_offal_IE</f>
        <v>5.2411973580526726E-6</v>
      </c>
      <c r="X35" s="53">
        <f>'GHG detailed, absolute'!X35/Production!$G$19*AF_offal_IE</f>
        <v>1.1958979205037584E-7</v>
      </c>
      <c r="Z35" s="84"/>
    </row>
    <row r="36" spans="1:26" x14ac:dyDescent="0.2">
      <c r="A36" s="89" t="s">
        <v>188</v>
      </c>
      <c r="B36" s="89" t="s">
        <v>189</v>
      </c>
      <c r="C36" s="90" t="s">
        <v>190</v>
      </c>
      <c r="D36" s="100" t="s">
        <v>53</v>
      </c>
      <c r="E36" s="100" t="s">
        <v>54</v>
      </c>
      <c r="F36" s="92" t="s">
        <v>44</v>
      </c>
      <c r="G36" s="102">
        <f>SUM(H36:X36)</f>
        <v>2.8072691629573363</v>
      </c>
      <c r="H36" s="94">
        <f>SUMPRODUCT(H32:H35,'Parameters, general'!$B$24:$B$27)</f>
        <v>7.7267670370499961E-2</v>
      </c>
      <c r="I36" s="94">
        <f>SUMPRODUCT(I32:I35,'Parameters, general'!$B$24:$B$27)</f>
        <v>9.4571144935270191E-2</v>
      </c>
      <c r="J36" s="94">
        <f>SUMPRODUCT(J32:J35,'Parameters, general'!$B$24:$B$27)</f>
        <v>0.30234817816402731</v>
      </c>
      <c r="K36" s="94">
        <f>SUMPRODUCT(K32:K35,'Parameters, general'!$B$24:$B$27)</f>
        <v>3.0234817816402731E-2</v>
      </c>
      <c r="L36" s="94">
        <f>SUMPRODUCT(L32:L35,'Parameters, general'!$B$24:$B$27)</f>
        <v>5.1323707399192342E-2</v>
      </c>
      <c r="M36" s="94">
        <f>SUMPRODUCT(M32:M35,'Parameters, general'!$B$24:$B$27)</f>
        <v>0</v>
      </c>
      <c r="N36" s="94">
        <f>SUMPRODUCT(N32:N35,'Parameters, general'!$B$24:$B$27)</f>
        <v>2.2011832658135465E-4</v>
      </c>
      <c r="O36" s="94">
        <f>SUMPRODUCT(O32:O35,'Parameters, general'!$B$24:$B$27)</f>
        <v>1.6977117271181171E-2</v>
      </c>
      <c r="P36" s="94">
        <f>SUMPRODUCT(P32:P35,'Parameters, general'!$B$24:$B$27)</f>
        <v>7.8488065996741851E-3</v>
      </c>
      <c r="Q36" s="94">
        <f>SUMPRODUCT(Q32:Q35,'Parameters, general'!$B$24:$B$27)</f>
        <v>2.3107871666044499E-2</v>
      </c>
      <c r="R36" s="94">
        <f>SUMPRODUCT(R32:R35,'Parameters, general'!$B$24:$B$27)</f>
        <v>2.3107871666044499E-2</v>
      </c>
      <c r="S36" s="94">
        <f>SUMPRODUCT(S32:S35,'Parameters, general'!$B$24:$B$27)</f>
        <v>1.6711109589366369</v>
      </c>
      <c r="T36" s="94">
        <f>SUMPRODUCT(T32:T35,'Parameters, general'!$B$24:$B$27)</f>
        <v>0.35690660652187889</v>
      </c>
      <c r="U36" s="94"/>
      <c r="V36" s="94"/>
      <c r="W36" s="94">
        <f>SUMPRODUCT(W32:W35,'Parameters, general'!$B$24:$B$27)</f>
        <v>0.14868246213520811</v>
      </c>
      <c r="X36" s="94">
        <f>SUMPRODUCT(X32:X35,'Parameters, general'!$B$24:$B$27)</f>
        <v>3.5618311486941947E-3</v>
      </c>
      <c r="Z36" s="95">
        <f>SUM(H36:R36)</f>
        <v>0.62700730421491802</v>
      </c>
    </row>
    <row r="37" spans="1:26" x14ac:dyDescent="0.2">
      <c r="A37" s="74" t="s">
        <v>188</v>
      </c>
      <c r="B37" s="74" t="s">
        <v>189</v>
      </c>
      <c r="C37" s="75" t="s">
        <v>190</v>
      </c>
      <c r="D37" s="76" t="s">
        <v>55</v>
      </c>
      <c r="E37" s="76" t="s">
        <v>56</v>
      </c>
      <c r="F37" s="77" t="s">
        <v>40</v>
      </c>
      <c r="G37" s="78">
        <f>SUM(H37:X37)</f>
        <v>1.1489277401764819</v>
      </c>
      <c r="H37" s="78">
        <f>'GHG detailed, absolute'!H37/Production!$H$19*AF_offal_IT</f>
        <v>6.6731967425291611E-2</v>
      </c>
      <c r="I37" s="78">
        <f>'GHG detailed, absolute'!I37/Production!$H$19*AF_offal_IT</f>
        <v>7.2515793266378095E-2</v>
      </c>
      <c r="J37" s="78"/>
      <c r="K37" s="78"/>
      <c r="L37" s="78">
        <f>'GHG detailed, absolute'!L37/Production!$H$19*AF_offal_IT</f>
        <v>4.7371613718000631E-2</v>
      </c>
      <c r="M37" s="78"/>
      <c r="N37" s="78">
        <f>'GHG detailed, absolute'!N37/Production!$H$19*AF_offal_IT</f>
        <v>7.7449357764002935E-4</v>
      </c>
      <c r="O37" s="78">
        <f>'GHG detailed, absolute'!O37/Production!$H$19*AF_offal_IT</f>
        <v>1.745389227136955E-2</v>
      </c>
      <c r="P37" s="78">
        <f>'GHG detailed, absolute'!P37/Production!$H$19*AF_offal_IT</f>
        <v>0.11965204971631556</v>
      </c>
      <c r="Q37" s="78">
        <f>'GHG detailed, absolute'!Q37/Production!$H$19*AF_offal_IT</f>
        <v>0.2523122340545928</v>
      </c>
      <c r="R37" s="78">
        <f>'GHG detailed, absolute'!R37/Production!$H$19*AF_offal_IT</f>
        <v>0.2523122340545928</v>
      </c>
      <c r="S37" s="79"/>
      <c r="T37" s="80"/>
      <c r="U37" s="81"/>
      <c r="V37" s="81"/>
      <c r="W37" s="79">
        <f>'GHG detailed, absolute'!W37/Production!$H$19*AF_offal_IT</f>
        <v>0.31631655428347449</v>
      </c>
      <c r="X37" s="82">
        <f>'GHG detailed, absolute'!X37/Production!$H$19*AF_offal_IT</f>
        <v>3.4869078088263748E-3</v>
      </c>
      <c r="Z37" s="83"/>
    </row>
    <row r="38" spans="1:26" x14ac:dyDescent="0.2">
      <c r="A38" s="23" t="s">
        <v>188</v>
      </c>
      <c r="B38" s="23" t="s">
        <v>189</v>
      </c>
      <c r="C38" s="18" t="s">
        <v>190</v>
      </c>
      <c r="D38" s="58" t="s">
        <v>55</v>
      </c>
      <c r="E38" s="58" t="s">
        <v>56</v>
      </c>
      <c r="F38" s="23" t="s">
        <v>41</v>
      </c>
      <c r="G38" s="83">
        <f>SUM(H38:X38)</f>
        <v>5.1902104653745972E-3</v>
      </c>
      <c r="H38" s="56">
        <f>'GHG detailed, absolute'!H38/Production!$H$19*AF_offal_IT</f>
        <v>1.0190045774336088E-5</v>
      </c>
      <c r="I38" s="56">
        <f>'GHG detailed, absolute'!I38/Production!$H$19*AF_offal_IT</f>
        <v>2.5514816149281182E-4</v>
      </c>
      <c r="J38" s="56"/>
      <c r="K38" s="56"/>
      <c r="L38" s="56">
        <f>'GHG detailed, absolute'!L38/Production!$H$19*AF_offal_IT</f>
        <v>2.0984027520236589E-5</v>
      </c>
      <c r="M38" s="56"/>
      <c r="N38" s="56">
        <f>'GHG detailed, absolute'!N38/Production!$H$19*AF_offal_IT</f>
        <v>2.5051809288700168E-6</v>
      </c>
      <c r="O38" s="56">
        <f>'GHG detailed, absolute'!O38/Production!$H$19*AF_offal_IT</f>
        <v>1.5241579258741775E-5</v>
      </c>
      <c r="P38" s="56">
        <f>'GHG detailed, absolute'!P38/Production!$H$19*AF_offal_IT</f>
        <v>0</v>
      </c>
      <c r="Q38" s="56">
        <f>'GHG detailed, absolute'!Q38/Production!$H$19*AF_offal_IT</f>
        <v>1.7478746919829414E-3</v>
      </c>
      <c r="R38" s="56">
        <f>'GHG detailed, absolute'!R38/Production!$H$19*AF_offal_IT</f>
        <v>1.7478746919829414E-3</v>
      </c>
      <c r="W38" s="13">
        <f>'GHG detailed, absolute'!W38/Production!$H$19*AF_offal_IT</f>
        <v>1.3750994586306687E-3</v>
      </c>
      <c r="X38" s="53">
        <f>'GHG detailed, absolute'!X38/Production!$H$19*AF_offal_IT</f>
        <v>1.5292627803049478E-5</v>
      </c>
      <c r="Z38" s="84"/>
    </row>
    <row r="39" spans="1:26" x14ac:dyDescent="0.2">
      <c r="A39" s="23" t="s">
        <v>188</v>
      </c>
      <c r="B39" s="23" t="s">
        <v>189</v>
      </c>
      <c r="C39" s="18" t="s">
        <v>190</v>
      </c>
      <c r="D39" s="58" t="s">
        <v>55</v>
      </c>
      <c r="E39" s="58" t="s">
        <v>56</v>
      </c>
      <c r="F39" s="23" t="s">
        <v>42</v>
      </c>
      <c r="G39" s="83">
        <f>SUM(H39:T39)</f>
        <v>8.3201723888801787E-2</v>
      </c>
      <c r="H39" s="56"/>
      <c r="I39" s="56"/>
      <c r="J39" s="85"/>
      <c r="K39" s="56"/>
      <c r="L39" s="56"/>
      <c r="M39" s="56"/>
      <c r="N39" s="56"/>
      <c r="O39" s="56"/>
      <c r="P39" s="56"/>
      <c r="Q39" s="56"/>
      <c r="R39" s="56"/>
      <c r="S39" s="13">
        <f>'GHG detailed, absolute'!S39/Production!$H$19*AF_offal_IT</f>
        <v>6.7205883867570787E-2</v>
      </c>
      <c r="T39" s="53">
        <f>'GHG detailed, absolute'!T39/Production!$H$19*AF_offal_IT</f>
        <v>1.5995840021230993E-2</v>
      </c>
      <c r="U39" s="86">
        <f>'GHG detailed, absolute'!U39/Production!$H$19*AF_offal_IT</f>
        <v>1.5995840021230993E-2</v>
      </c>
      <c r="W39" s="13"/>
      <c r="X39" s="53"/>
      <c r="Z39" s="84"/>
    </row>
    <row r="40" spans="1:26" x14ac:dyDescent="0.2">
      <c r="A40" s="23" t="s">
        <v>188</v>
      </c>
      <c r="B40" s="23" t="s">
        <v>189</v>
      </c>
      <c r="C40" s="18" t="s">
        <v>190</v>
      </c>
      <c r="D40" s="58" t="s">
        <v>55</v>
      </c>
      <c r="E40" s="58" t="s">
        <v>56</v>
      </c>
      <c r="F40" s="87" t="s">
        <v>43</v>
      </c>
      <c r="G40" s="83">
        <f>SUM(H40:T40)+W40+X40</f>
        <v>2.1882868736455424E-3</v>
      </c>
      <c r="H40" s="56">
        <f>'GHG detailed, absolute'!H40/Production!$H$19*AF_offal_IT</f>
        <v>1.3898044652400311E-5</v>
      </c>
      <c r="I40" s="56">
        <f>'GHG detailed, absolute'!I40/Production!$H$19*AF_offal_IT</f>
        <v>2.9543471330746634E-6</v>
      </c>
      <c r="J40" s="56">
        <f>'GHG detailed, absolute'!J40/Production!$H$19*AF_offal_IT</f>
        <v>8.62373659024113E-4</v>
      </c>
      <c r="K40" s="84">
        <f>'GHG detailed, absolute'!K40/Production!$H$19*AF_offal_IT</f>
        <v>8.623736590241131E-5</v>
      </c>
      <c r="L40" s="56">
        <f>'GHG detailed, absolute'!L40/Production!$H$19*AF_offal_IT</f>
        <v>1.272893730041114E-6</v>
      </c>
      <c r="M40" s="56"/>
      <c r="N40" s="56">
        <f>'GHG detailed, absolute'!N40/Production!$H$19*AF_offal_IT</f>
        <v>3.2276382540831582E-8</v>
      </c>
      <c r="O40" s="56">
        <f>'GHG detailed, absolute'!O40/Production!$H$19*AF_offal_IT</f>
        <v>6.417410086167136E-7</v>
      </c>
      <c r="P40" s="56">
        <f>'GHG detailed, absolute'!P40/Production!$H$19*AF_offal_IT</f>
        <v>0</v>
      </c>
      <c r="Q40" s="56">
        <f>'GHG detailed, absolute'!Q40/Production!$H$19*AF_offal_IT</f>
        <v>1.0276455731761035E-4</v>
      </c>
      <c r="R40" s="56">
        <f>'GHG detailed, absolute'!R40/Production!$H$19*AF_offal_IT</f>
        <v>1.0276455731761035E-4</v>
      </c>
      <c r="S40" s="13"/>
      <c r="T40" s="53">
        <f>'GHG detailed, absolute'!T40/Production!$H$19*AF_offal_IT</f>
        <v>1.0014394935205207E-3</v>
      </c>
      <c r="U40" s="88">
        <f>'GHG detailed, absolute'!U40/Production!$H$19*AF_offal_IT</f>
        <v>6.5918704295019309E-4</v>
      </c>
      <c r="V40" s="88">
        <f>'GHG detailed, absolute'!V40/Production!$H$19*AF_offal_IT</f>
        <v>3.4225245057032782E-4</v>
      </c>
      <c r="W40" s="13">
        <f>'GHG detailed, absolute'!W40/Production!$H$19*AF_offal_IT</f>
        <v>1.3765147038948708E-5</v>
      </c>
      <c r="X40" s="53">
        <f>'GHG detailed, absolute'!X40/Production!$H$19*AF_offal_IT</f>
        <v>1.4279061765459589E-7</v>
      </c>
      <c r="Z40" s="84"/>
    </row>
    <row r="41" spans="1:26" x14ac:dyDescent="0.2">
      <c r="A41" s="89" t="s">
        <v>188</v>
      </c>
      <c r="B41" s="89" t="s">
        <v>189</v>
      </c>
      <c r="C41" s="90" t="s">
        <v>190</v>
      </c>
      <c r="D41" s="91" t="s">
        <v>55</v>
      </c>
      <c r="E41" s="91" t="s">
        <v>56</v>
      </c>
      <c r="F41" s="92" t="s">
        <v>44</v>
      </c>
      <c r="G41" s="102">
        <f>SUM(H41:X41)</f>
        <v>4.147444873547526</v>
      </c>
      <c r="H41" s="94">
        <f>SUMPRODUCT(H37:H40,'Parameters, general'!$B$24:$B$27)</f>
        <v>7.0829796979472101E-2</v>
      </c>
      <c r="I41" s="94">
        <f>SUMPRODUCT(I37:I40,'Parameters, general'!$B$24:$B$27)</f>
        <v>8.0925745246193267E-2</v>
      </c>
      <c r="J41" s="94">
        <f>SUMPRODUCT(J37:J40,'Parameters, general'!$B$24:$B$27)</f>
        <v>0.23542800891358284</v>
      </c>
      <c r="K41" s="94">
        <f>SUMPRODUCT(K37:K40,'Parameters, general'!$B$24:$B$27)</f>
        <v>2.3542800891358288E-2</v>
      </c>
      <c r="L41" s="94">
        <f>SUMPRODUCT(L37:L40,'Parameters, general'!$B$24:$B$27)</f>
        <v>4.8344437726404905E-2</v>
      </c>
      <c r="M41" s="94">
        <f>SUMPRODUCT(M37:M40,'Parameters, general'!$B$24:$B$27)</f>
        <v>0</v>
      </c>
      <c r="N41" s="94">
        <f>SUMPRODUCT(N37:N40,'Parameters, general'!$B$24:$B$27)</f>
        <v>8.5795942175400286E-4</v>
      </c>
      <c r="O41" s="94">
        <f>SUMPRODUCT(O37:O40,'Parameters, general'!$B$24:$B$27)</f>
        <v>1.8083286628632417E-2</v>
      </c>
      <c r="P41" s="94">
        <f>SUMPRODUCT(P37:P40,'Parameters, general'!$B$24:$B$27)</f>
        <v>0.11965204971631556</v>
      </c>
      <c r="Q41" s="94">
        <f>SUMPRODUCT(Q37:Q40,'Parameters, general'!$B$24:$B$27)</f>
        <v>0.33245362402339207</v>
      </c>
      <c r="R41" s="94">
        <f>SUMPRODUCT(R37:R40,'Parameters, general'!$B$24:$B$27)</f>
        <v>0.33245362402339207</v>
      </c>
      <c r="S41" s="94">
        <f>SUMPRODUCT(S37:S40,'Parameters, general'!$B$24:$B$27)</f>
        <v>1.8145588644244113</v>
      </c>
      <c r="T41" s="94">
        <f>SUMPRODUCT(T37:T40,'Parameters, general'!$B$24:$B$27)</f>
        <v>0.70528066230433906</v>
      </c>
      <c r="U41" s="94"/>
      <c r="V41" s="94"/>
      <c r="W41" s="94">
        <f>SUMPRODUCT(W37:W40,'Parameters, general'!$B$24:$B$27)</f>
        <v>0.36105240329230143</v>
      </c>
      <c r="X41" s="94">
        <f>SUMPRODUCT(X37:X40,'Parameters, general'!$B$24:$B$27)</f>
        <v>3.9816099559769535E-3</v>
      </c>
      <c r="Z41" s="95">
        <f>SUM(H41:R41)</f>
        <v>1.2625713335704973</v>
      </c>
    </row>
    <row r="42" spans="1:26" x14ac:dyDescent="0.2">
      <c r="A42" s="74" t="s">
        <v>188</v>
      </c>
      <c r="B42" s="74" t="s">
        <v>189</v>
      </c>
      <c r="C42" s="75" t="s">
        <v>190</v>
      </c>
      <c r="D42" t="s">
        <v>57</v>
      </c>
      <c r="E42" s="58" t="s">
        <v>58</v>
      </c>
      <c r="F42" s="77" t="s">
        <v>40</v>
      </c>
      <c r="G42" s="78">
        <f>SUM(H42:X42)</f>
        <v>1.0606065951459422</v>
      </c>
      <c r="H42" s="78">
        <f>'GHG detailed, absolute'!H42/Production!$I$19*AF_offal_NL</f>
        <v>0.16452759016837748</v>
      </c>
      <c r="I42" s="78">
        <f>'GHG detailed, absolute'!I42/Production!$I$19*AF_offal_NL</f>
        <v>7.3702770991389777E-2</v>
      </c>
      <c r="J42" s="78"/>
      <c r="K42" s="78"/>
      <c r="L42" s="78">
        <f>'GHG detailed, absolute'!L42/Production!$I$19*AF_offal_NL</f>
        <v>6.4326985677848239E-2</v>
      </c>
      <c r="M42" s="78"/>
      <c r="N42" s="78">
        <f>'GHG detailed, absolute'!N42/Production!$I$19*AF_offal_NL</f>
        <v>2.5643212531622117E-4</v>
      </c>
      <c r="O42" s="78">
        <f>'GHG detailed, absolute'!O42/Production!$I$19*AF_offal_NL</f>
        <v>3.3453938724158284E-2</v>
      </c>
      <c r="P42" s="78">
        <f>'GHG detailed, absolute'!P42/Production!$I$19*AF_offal_NL</f>
        <v>0.10841821978816767</v>
      </c>
      <c r="Q42" s="78">
        <f>'GHG detailed, absolute'!Q42/Production!$I$19*AF_offal_NL</f>
        <v>9.3226194288362971E-2</v>
      </c>
      <c r="R42" s="78">
        <f>'GHG detailed, absolute'!R42/Production!$I$19*AF_offal_NL</f>
        <v>9.3226194288362971E-2</v>
      </c>
      <c r="S42" s="79"/>
      <c r="T42" s="80"/>
      <c r="U42" s="81"/>
      <c r="V42" s="81"/>
      <c r="W42" s="79">
        <f>'GHG detailed, absolute'!W42/Production!$I$19*AF_offal_NL</f>
        <v>0.42614901642935044</v>
      </c>
      <c r="X42" s="82">
        <f>'GHG detailed, absolute'!X42/Production!$I$19*AF_offal_NL</f>
        <v>3.3192526646081207E-3</v>
      </c>
      <c r="Z42" s="83"/>
    </row>
    <row r="43" spans="1:26" x14ac:dyDescent="0.2">
      <c r="A43" s="23" t="s">
        <v>188</v>
      </c>
      <c r="B43" s="23" t="s">
        <v>189</v>
      </c>
      <c r="C43" s="18" t="s">
        <v>190</v>
      </c>
      <c r="D43" t="s">
        <v>57</v>
      </c>
      <c r="E43" s="58" t="s">
        <v>58</v>
      </c>
      <c r="F43" s="23" t="s">
        <v>41</v>
      </c>
      <c r="G43" s="83">
        <f>SUM(H43:X43)</f>
        <v>2.7349574670116261E-3</v>
      </c>
      <c r="H43" s="56">
        <f>'GHG detailed, absolute'!H43/Production!$I$19*AF_offal_NL</f>
        <v>8.5746761911672739E-5</v>
      </c>
      <c r="I43" s="56">
        <f>'GHG detailed, absolute'!I43/Production!$I$19*AF_offal_NL</f>
        <v>2.5932456459933437E-4</v>
      </c>
      <c r="J43" s="56"/>
      <c r="K43" s="56"/>
      <c r="L43" s="56">
        <f>'GHG detailed, absolute'!L43/Production!$I$19*AF_offal_NL</f>
        <v>2.8494685568309247E-5</v>
      </c>
      <c r="M43" s="56"/>
      <c r="N43" s="56">
        <f>'GHG detailed, absolute'!N43/Production!$I$19*AF_offal_NL</f>
        <v>8.2159135800479621E-7</v>
      </c>
      <c r="O43" s="56">
        <f>'GHG detailed, absolute'!O43/Production!$I$19*AF_offal_NL</f>
        <v>2.3665676244812763E-5</v>
      </c>
      <c r="P43" s="56">
        <f>'GHG detailed, absolute'!P43/Production!$I$19*AF_offal_NL</f>
        <v>0</v>
      </c>
      <c r="Q43" s="56">
        <f>'GHG detailed, absolute'!Q43/Production!$I$19*AF_offal_NL</f>
        <v>7.4253082520622869E-4</v>
      </c>
      <c r="R43" s="56">
        <f>'GHG detailed, absolute'!R43/Production!$I$19*AF_offal_NL</f>
        <v>7.4253082520622869E-4</v>
      </c>
      <c r="W43" s="13">
        <f>'GHG detailed, absolute'!W43/Production!$I$19*AF_offal_NL</f>
        <v>8.4372641320454268E-4</v>
      </c>
      <c r="X43" s="53">
        <f>'GHG detailed, absolute'!X43/Production!$I$19*AF_offal_NL</f>
        <v>8.1161237124922834E-6</v>
      </c>
      <c r="Z43" s="84"/>
    </row>
    <row r="44" spans="1:26" x14ac:dyDescent="0.2">
      <c r="A44" s="23" t="s">
        <v>188</v>
      </c>
      <c r="B44" s="23" t="s">
        <v>189</v>
      </c>
      <c r="C44" s="18" t="s">
        <v>190</v>
      </c>
      <c r="D44" t="s">
        <v>57</v>
      </c>
      <c r="E44" s="58" t="s">
        <v>58</v>
      </c>
      <c r="F44" s="23" t="s">
        <v>42</v>
      </c>
      <c r="G44" s="83">
        <f>SUM(H44:T44)</f>
        <v>6.8195997817548551E-2</v>
      </c>
      <c r="H44" s="56"/>
      <c r="I44" s="56"/>
      <c r="J44" s="85"/>
      <c r="K44" s="56"/>
      <c r="L44" s="56"/>
      <c r="M44" s="56"/>
      <c r="N44" s="56"/>
      <c r="O44" s="56"/>
      <c r="P44" s="56"/>
      <c r="Q44" s="56"/>
      <c r="R44" s="56"/>
      <c r="S44" s="13">
        <f>'GHG detailed, absolute'!S44/Production!$I$19*AF_offal_NL</f>
        <v>5.652245706623496E-2</v>
      </c>
      <c r="T44" s="53">
        <f>'GHG detailed, absolute'!T44/Production!$I$19*AF_offal_NL</f>
        <v>1.1673540751313587E-2</v>
      </c>
      <c r="U44" s="86">
        <f>'GHG detailed, absolute'!U44/Production!$I$19*AF_offal_NL</f>
        <v>1.1673540751313587E-2</v>
      </c>
      <c r="W44" s="13"/>
      <c r="X44" s="53"/>
      <c r="Z44" s="84"/>
    </row>
    <row r="45" spans="1:26" x14ac:dyDescent="0.2">
      <c r="A45" s="23" t="s">
        <v>188</v>
      </c>
      <c r="B45" s="23" t="s">
        <v>189</v>
      </c>
      <c r="C45" s="18" t="s">
        <v>190</v>
      </c>
      <c r="D45" t="s">
        <v>57</v>
      </c>
      <c r="E45" s="58" t="s">
        <v>58</v>
      </c>
      <c r="F45" s="87" t="s">
        <v>43</v>
      </c>
      <c r="G45" s="83">
        <f>SUM(H45:T45)+W45+X45</f>
        <v>2.8043006834216244E-3</v>
      </c>
      <c r="H45" s="56">
        <f>'GHG detailed, absolute'!H45/Production!$I$19*AF_offal_NL</f>
        <v>1.4662680994134334E-4</v>
      </c>
      <c r="I45" s="56">
        <f>'GHG detailed, absolute'!I45/Production!$I$19*AF_offal_NL</f>
        <v>3.0027054848343978E-6</v>
      </c>
      <c r="J45" s="56">
        <f>'GHG detailed, absolute'!J45/Production!$I$19*AF_offal_NL</f>
        <v>1.6758023172263018E-3</v>
      </c>
      <c r="K45" s="84">
        <f>'GHG detailed, absolute'!K45/Production!$I$19*AF_offal_NL</f>
        <v>1.6758023172263017E-4</v>
      </c>
      <c r="L45" s="56">
        <f>'GHG detailed, absolute'!L45/Production!$I$19*AF_offal_NL</f>
        <v>1.7284911852319616E-6</v>
      </c>
      <c r="M45" s="56"/>
      <c r="N45" s="56">
        <f>'GHG detailed, absolute'!N45/Production!$I$19*AF_offal_NL</f>
        <v>1.0723416205683811E-8</v>
      </c>
      <c r="O45" s="56">
        <f>'GHG detailed, absolute'!O45/Production!$I$19*AF_offal_NL</f>
        <v>1.2071216091974398E-6</v>
      </c>
      <c r="P45" s="56">
        <f>'GHG detailed, absolute'!P45/Production!$I$19*AF_offal_NL</f>
        <v>0</v>
      </c>
      <c r="Q45" s="56">
        <f>'GHG detailed, absolute'!Q45/Production!$I$19*AF_offal_NL</f>
        <v>6.6998420602249696E-5</v>
      </c>
      <c r="R45" s="56">
        <f>'GHG detailed, absolute'!R45/Production!$I$19*AF_offal_NL</f>
        <v>6.6998420602249696E-5</v>
      </c>
      <c r="S45" s="13"/>
      <c r="T45" s="53">
        <f>'GHG detailed, absolute'!T45/Production!$I$19*AF_offal_NL</f>
        <v>6.5710826475313369E-4</v>
      </c>
      <c r="U45" s="88">
        <f>'GHG detailed, absolute'!U45/Production!$I$19*AF_offal_NL</f>
        <v>3.5862498608738339E-4</v>
      </c>
      <c r="V45" s="88">
        <f>'GHG detailed, absolute'!V45/Production!$I$19*AF_offal_NL</f>
        <v>2.9848327866575035E-4</v>
      </c>
      <c r="W45" s="13">
        <f>'GHG detailed, absolute'!W45/Production!$I$19*AF_offal_NL</f>
        <v>1.7108721866787546E-5</v>
      </c>
      <c r="X45" s="53">
        <f>'GHG detailed, absolute'!X45/Production!$I$19*AF_offal_NL</f>
        <v>1.2845501145895491E-7</v>
      </c>
      <c r="Z45" s="84"/>
    </row>
    <row r="46" spans="1:26" x14ac:dyDescent="0.2">
      <c r="A46" s="89" t="s">
        <v>188</v>
      </c>
      <c r="B46" s="89" t="s">
        <v>189</v>
      </c>
      <c r="C46" s="90" t="s">
        <v>190</v>
      </c>
      <c r="D46" s="103" t="s">
        <v>57</v>
      </c>
      <c r="E46" s="91" t="s">
        <v>58</v>
      </c>
      <c r="F46" s="92" t="s">
        <v>44</v>
      </c>
      <c r="G46" s="102">
        <f>SUM(H46:X46)</f>
        <v>3.748974355310803</v>
      </c>
      <c r="H46" s="94">
        <f>SUMPRODUCT(H42:H45,'Parameters, general'!$B$24:$B$27)</f>
        <v>0.20711196278733207</v>
      </c>
      <c r="I46" s="94">
        <f>SUMPRODUCT(I42:I45,'Parameters, general'!$B$24:$B$27)</f>
        <v>8.2250381613809723E-2</v>
      </c>
      <c r="J46" s="94">
        <f>SUMPRODUCT(J42:J45,'Parameters, general'!$B$24:$B$27)</f>
        <v>0.45749403260278038</v>
      </c>
      <c r="K46" s="94">
        <f>SUMPRODUCT(K42:K45,'Parameters, general'!$B$24:$B$27)</f>
        <v>4.5749403260278036E-2</v>
      </c>
      <c r="L46" s="94">
        <f>SUMPRODUCT(L42:L45,'Parameters, general'!$B$24:$B$27)</f>
        <v>6.5648005401352183E-2</v>
      </c>
      <c r="M46" s="94">
        <f>SUMPRODUCT(M42:M45,'Parameters, general'!$B$24:$B$27)</f>
        <v>0</v>
      </c>
      <c r="N46" s="94">
        <f>SUMPRODUCT(N42:N45,'Parameters, general'!$B$24:$B$27)</f>
        <v>2.8384304040891578E-4</v>
      </c>
      <c r="O46" s="94">
        <f>SUMPRODUCT(O42:O45,'Parameters, general'!$B$24:$B$27)</f>
        <v>3.4488720075564604E-2</v>
      </c>
      <c r="P46" s="94">
        <f>SUMPRODUCT(P42:P45,'Parameters, general'!$B$24:$B$27)</f>
        <v>0.10841821978816767</v>
      </c>
      <c r="Q46" s="94">
        <f>SUMPRODUCT(Q42:Q45,'Parameters, general'!$B$24:$B$27)</f>
        <v>0.13364418170392275</v>
      </c>
      <c r="R46" s="94">
        <f>SUMPRODUCT(R42:R45,'Parameters, general'!$B$24:$B$27)</f>
        <v>0.13364418170392275</v>
      </c>
      <c r="S46" s="94">
        <f>SUMPRODUCT(S42:S45,'Parameters, general'!$B$24:$B$27)</f>
        <v>1.526106340788344</v>
      </c>
      <c r="T46" s="94">
        <f>SUMPRODUCT(T42:T45,'Parameters, general'!$B$24:$B$27)</f>
        <v>0.49457615656307241</v>
      </c>
      <c r="U46" s="94"/>
      <c r="V46" s="94"/>
      <c r="W46" s="94">
        <f>SUMPRODUCT(W42:W45,'Parameters, general'!$B$24:$B$27)</f>
        <v>0.45596274461247877</v>
      </c>
      <c r="X46" s="94">
        <f>SUMPRODUCT(X42:X45,'Parameters, general'!$B$24:$B$27)</f>
        <v>3.5961813693686853E-3</v>
      </c>
      <c r="Z46" s="95">
        <f>SUM(H46:R46)</f>
        <v>1.2687329319775389</v>
      </c>
    </row>
    <row r="47" spans="1:26" x14ac:dyDescent="0.2">
      <c r="A47" s="74" t="s">
        <v>188</v>
      </c>
      <c r="B47" s="74" t="s">
        <v>189</v>
      </c>
      <c r="C47" s="75" t="s">
        <v>190</v>
      </c>
      <c r="D47" t="s">
        <v>59</v>
      </c>
      <c r="E47" s="58" t="s">
        <v>60</v>
      </c>
      <c r="F47" s="77" t="s">
        <v>40</v>
      </c>
      <c r="G47" s="78">
        <f>SUM(H47:X47)</f>
        <v>1.8313672496980826</v>
      </c>
      <c r="H47" s="78">
        <f>'GHG detailed, absolute'!H47/Production!$J$19*AF_offal_PL</f>
        <v>0.21726793441306988</v>
      </c>
      <c r="I47" s="78">
        <f>'GHG detailed, absolute'!I47/Production!$J$19*AF_offal_PL</f>
        <v>8.3679431542269478E-2</v>
      </c>
      <c r="J47" s="78"/>
      <c r="K47" s="78"/>
      <c r="L47" s="78">
        <f>'GHG detailed, absolute'!L47/Production!$J$19*AF_offal_PL</f>
        <v>0.10292300693617908</v>
      </c>
      <c r="M47" s="78"/>
      <c r="N47" s="78">
        <f>'GHG detailed, absolute'!N47/Production!$J$19*AF_offal_PL</f>
        <v>5.8520690727206749E-4</v>
      </c>
      <c r="O47" s="78">
        <f>'GHG detailed, absolute'!O47/Production!$J$19*AF_offal_PL</f>
        <v>7.6494741390318199E-2</v>
      </c>
      <c r="P47" s="78">
        <f>'GHG detailed, absolute'!P47/Production!$J$19*AF_offal_PL</f>
        <v>8.5139076493099528E-2</v>
      </c>
      <c r="Q47" s="78">
        <f>'GHG detailed, absolute'!Q47/Production!$J$19*AF_offal_PL</f>
        <v>0.24002546297902991</v>
      </c>
      <c r="R47" s="78">
        <f>'GHG detailed, absolute'!R47/Production!$J$19*AF_offal_PL</f>
        <v>0.24002546297902991</v>
      </c>
      <c r="S47" s="79"/>
      <c r="T47" s="80"/>
      <c r="U47" s="81"/>
      <c r="V47" s="81"/>
      <c r="W47" s="79">
        <f>'GHG detailed, absolute'!W47/Production!$J$19*AF_offal_PL</f>
        <v>0.77762554034471032</v>
      </c>
      <c r="X47" s="82">
        <f>'GHG detailed, absolute'!X47/Production!$J$19*AF_offal_PL</f>
        <v>7.6013857131042211E-3</v>
      </c>
      <c r="Z47" s="83"/>
    </row>
    <row r="48" spans="1:26" x14ac:dyDescent="0.2">
      <c r="A48" s="23" t="s">
        <v>188</v>
      </c>
      <c r="B48" s="23" t="s">
        <v>189</v>
      </c>
      <c r="C48" s="18" t="s">
        <v>190</v>
      </c>
      <c r="D48" t="s">
        <v>59</v>
      </c>
      <c r="E48" s="58" t="s">
        <v>60</v>
      </c>
      <c r="F48" s="23" t="s">
        <v>41</v>
      </c>
      <c r="G48" s="83">
        <f>SUM(H48:X48)</f>
        <v>3.9739039258112948E-3</v>
      </c>
      <c r="H48" s="56">
        <f>'GHG detailed, absolute'!H48/Production!$J$19*AF_offal_PL</f>
        <v>2.0461174821475838E-5</v>
      </c>
      <c r="I48" s="56">
        <f>'GHG detailed, absolute'!I48/Production!$J$19*AF_offal_PL</f>
        <v>2.944276295005778E-4</v>
      </c>
      <c r="J48" s="56"/>
      <c r="K48" s="56"/>
      <c r="L48" s="56">
        <f>'GHG detailed, absolute'!L48/Production!$J$19*AF_offal_PL</f>
        <v>4.5591421539300656E-5</v>
      </c>
      <c r="M48" s="56"/>
      <c r="N48" s="56">
        <f>'GHG detailed, absolute'!N48/Production!$J$19*AF_offal_PL</f>
        <v>1.7529540837710987E-6</v>
      </c>
      <c r="O48" s="56">
        <f>'GHG detailed, absolute'!O48/Production!$J$19*AF_offal_PL</f>
        <v>6.6868574010146731E-5</v>
      </c>
      <c r="P48" s="56">
        <f>'GHG detailed, absolute'!P48/Production!$J$19*AF_offal_PL</f>
        <v>0</v>
      </c>
      <c r="Q48" s="56">
        <f>'GHG detailed, absolute'!Q48/Production!$J$19*AF_offal_PL</f>
        <v>1.0149426528010101E-3</v>
      </c>
      <c r="R48" s="56">
        <f>'GHG detailed, absolute'!R48/Production!$J$19*AF_offal_PL</f>
        <v>1.0149426528010101E-3</v>
      </c>
      <c r="W48" s="13">
        <f>'GHG detailed, absolute'!W48/Production!$J$19*AF_offal_PL</f>
        <v>1.4982505388034782E-3</v>
      </c>
      <c r="X48" s="53">
        <f>'GHG detailed, absolute'!X48/Production!$J$19*AF_offal_PL</f>
        <v>1.6666327450524021E-5</v>
      </c>
      <c r="Z48" s="84"/>
    </row>
    <row r="49" spans="1:28" x14ac:dyDescent="0.2">
      <c r="A49" s="23" t="s">
        <v>188</v>
      </c>
      <c r="B49" s="23" t="s">
        <v>189</v>
      </c>
      <c r="C49" s="18" t="s">
        <v>190</v>
      </c>
      <c r="D49" t="s">
        <v>59</v>
      </c>
      <c r="E49" s="58" t="s">
        <v>60</v>
      </c>
      <c r="F49" s="23" t="s">
        <v>42</v>
      </c>
      <c r="G49" s="83">
        <f>SUM(H49:T49)</f>
        <v>6.7900205200685987E-2</v>
      </c>
      <c r="H49" s="56"/>
      <c r="I49" s="56"/>
      <c r="J49" s="85"/>
      <c r="K49" s="56"/>
      <c r="L49" s="56"/>
      <c r="M49" s="56"/>
      <c r="N49" s="56"/>
      <c r="O49" s="56"/>
      <c r="P49" s="56"/>
      <c r="Q49" s="56"/>
      <c r="R49" s="56"/>
      <c r="S49" s="13">
        <f>'GHG detailed, absolute'!S49/Production!$J$19*AF_offal_PL</f>
        <v>6.3447381742492537E-2</v>
      </c>
      <c r="T49" s="53">
        <f>'GHG detailed, absolute'!T49/Production!$J$19*AF_offal_PL</f>
        <v>4.4528234581934535E-3</v>
      </c>
      <c r="U49" s="86">
        <f>'GHG detailed, absolute'!U49/Production!$J$19*AF_offal_PL</f>
        <v>4.4528234581934535E-3</v>
      </c>
      <c r="W49" s="13"/>
      <c r="X49" s="53"/>
      <c r="Z49" s="84"/>
    </row>
    <row r="50" spans="1:28" x14ac:dyDescent="0.2">
      <c r="A50" s="23" t="s">
        <v>188</v>
      </c>
      <c r="B50" s="23" t="s">
        <v>189</v>
      </c>
      <c r="C50" s="18" t="s">
        <v>190</v>
      </c>
      <c r="D50" t="s">
        <v>59</v>
      </c>
      <c r="E50" s="58" t="s">
        <v>60</v>
      </c>
      <c r="F50" s="87" t="s">
        <v>43</v>
      </c>
      <c r="G50" s="83">
        <f>SUM(H50:T50)+W50+X50</f>
        <v>2.8263810257135608E-3</v>
      </c>
      <c r="H50" s="56">
        <f>'GHG detailed, absolute'!H50/Production!$J$19*AF_offal_PL</f>
        <v>6.7232337088521575E-5</v>
      </c>
      <c r="I50" s="56">
        <f>'GHG detailed, absolute'!I50/Production!$J$19*AF_offal_PL</f>
        <v>3.4091620257961641E-6</v>
      </c>
      <c r="J50" s="56">
        <f>'GHG detailed, absolute'!J50/Production!$J$19*AF_offal_PL</f>
        <v>1.3146924416993562E-3</v>
      </c>
      <c r="K50" s="84">
        <f>'GHG detailed, absolute'!K50/Production!$J$19*AF_offal_PL</f>
        <v>1.3146924416993562E-4</v>
      </c>
      <c r="L50" s="56">
        <f>'GHG detailed, absolute'!L50/Production!$J$19*AF_offal_PL</f>
        <v>2.765581324417878E-6</v>
      </c>
      <c r="M50" s="56"/>
      <c r="N50" s="56">
        <f>'GHG detailed, absolute'!N50/Production!$J$19*AF_offal_PL</f>
        <v>2.5043180133998653E-8</v>
      </c>
      <c r="O50" s="56">
        <f>'GHG detailed, absolute'!O50/Production!$J$19*AF_offal_PL</f>
        <v>2.4797742769637886E-6</v>
      </c>
      <c r="P50" s="56">
        <f>'GHG detailed, absolute'!P50/Production!$J$19*AF_offal_PL</f>
        <v>0</v>
      </c>
      <c r="Q50" s="56">
        <f>'GHG detailed, absolute'!Q50/Production!$J$19*AF_offal_PL</f>
        <v>6.603249747282256E-5</v>
      </c>
      <c r="R50" s="56">
        <f>'GHG detailed, absolute'!R50/Production!$J$19*AF_offal_PL</f>
        <v>6.603249747282256E-5</v>
      </c>
      <c r="S50" s="13"/>
      <c r="T50" s="53">
        <f>'GHG detailed, absolute'!T50/Production!$J$19*AF_offal_PL</f>
        <v>1.1580631589833662E-3</v>
      </c>
      <c r="U50" s="88">
        <f>'GHG detailed, absolute'!U50/Production!$J$19*AF_offal_PL</f>
        <v>8.6392214197053725E-4</v>
      </c>
      <c r="V50" s="88">
        <f>'GHG detailed, absolute'!V50/Production!$J$19*AF_offal_PL</f>
        <v>2.9414101701282896E-4</v>
      </c>
      <c r="W50" s="13">
        <f>'GHG detailed, absolute'!W50/Production!$J$19*AF_offal_PL</f>
        <v>1.4031040038702265E-5</v>
      </c>
      <c r="X50" s="53">
        <f>'GHG detailed, absolute'!X50/Production!$J$19*AF_offal_PL</f>
        <v>1.4824798072164729E-7</v>
      </c>
      <c r="Z50" s="84"/>
    </row>
    <row r="51" spans="1:28" x14ac:dyDescent="0.2">
      <c r="A51" s="89" t="s">
        <v>188</v>
      </c>
      <c r="B51" s="89" t="s">
        <v>189</v>
      </c>
      <c r="C51" s="90" t="s">
        <v>190</v>
      </c>
      <c r="D51" s="103" t="s">
        <v>59</v>
      </c>
      <c r="E51" s="100" t="s">
        <v>60</v>
      </c>
      <c r="F51" s="92" t="s">
        <v>44</v>
      </c>
      <c r="G51" s="102">
        <f>SUM(H51:X51)</f>
        <v>4.5546971471255828</v>
      </c>
      <c r="H51" s="94">
        <f>SUMPRODUCT(H47:H50,'Parameters, general'!$B$24:$B$27)</f>
        <v>0.23623210544791623</v>
      </c>
      <c r="I51" s="94">
        <f>SUMPRODUCT(I47:I50,'Parameters, general'!$B$24:$B$27)</f>
        <v>9.3384076134429048E-2</v>
      </c>
      <c r="J51" s="94">
        <f>SUMPRODUCT(J47:J50,'Parameters, general'!$B$24:$B$27)</f>
        <v>0.35891103658392426</v>
      </c>
      <c r="K51" s="94">
        <f>SUMPRODUCT(K47:K50,'Parameters, general'!$B$24:$B$27)</f>
        <v>3.5891103658392425E-2</v>
      </c>
      <c r="L51" s="94">
        <f>SUMPRODUCT(L47:L50,'Parameters, general'!$B$24:$B$27)</f>
        <v>0.10503663499961632</v>
      </c>
      <c r="M51" s="94">
        <f>SUMPRODUCT(M47:M50,'Parameters, general'!$B$24:$B$27)</f>
        <v>0</v>
      </c>
      <c r="N51" s="94">
        <f>SUMPRODUCT(N47:N50,'Parameters, general'!$B$24:$B$27)</f>
        <v>6.442817271450278E-4</v>
      </c>
      <c r="O51" s="94">
        <f>SUMPRODUCT(O47:O50,'Parameters, general'!$B$24:$B$27)</f>
        <v>7.9164403273431688E-2</v>
      </c>
      <c r="P51" s="94">
        <f>SUMPRODUCT(P47:P50,'Parameters, general'!$B$24:$B$27)</f>
        <v>8.5139076493099528E-2</v>
      </c>
      <c r="Q51" s="94">
        <f>SUMPRODUCT(Q47:Q50,'Parameters, general'!$B$24:$B$27)</f>
        <v>0.28829762584258056</v>
      </c>
      <c r="R51" s="94">
        <f>SUMPRODUCT(R47:R50,'Parameters, general'!$B$24:$B$27)</f>
        <v>0.28829762584258056</v>
      </c>
      <c r="S51" s="94">
        <f>SUMPRODUCT(S47:S50,'Parameters, general'!$B$24:$B$27)</f>
        <v>1.7130793070472985</v>
      </c>
      <c r="T51" s="94">
        <f>SUMPRODUCT(T47:T50,'Parameters, general'!$B$24:$B$27)</f>
        <v>0.43637747577368219</v>
      </c>
      <c r="U51" s="94"/>
      <c r="V51" s="94"/>
      <c r="W51" s="94">
        <f>SUMPRODUCT(W47:W50,'Parameters, general'!$B$24:$B$27)</f>
        <v>0.82610388033161963</v>
      </c>
      <c r="X51" s="94">
        <f>SUMPRODUCT(X47:X50,'Parameters, general'!$B$24:$B$27)</f>
        <v>8.1385139698668466E-3</v>
      </c>
      <c r="Z51" s="95">
        <f>SUM(H51:R51)</f>
        <v>1.5709979700031158</v>
      </c>
    </row>
    <row r="52" spans="1:28" x14ac:dyDescent="0.2">
      <c r="A52" s="74" t="s">
        <v>188</v>
      </c>
      <c r="B52" s="74" t="s">
        <v>189</v>
      </c>
      <c r="C52" s="75" t="s">
        <v>190</v>
      </c>
      <c r="D52" t="s">
        <v>61</v>
      </c>
      <c r="E52" s="76" t="s">
        <v>62</v>
      </c>
      <c r="F52" s="77" t="s">
        <v>40</v>
      </c>
      <c r="G52" s="78">
        <f>SUM(H52:X52)</f>
        <v>1.0513369193154831</v>
      </c>
      <c r="H52" s="78">
        <f>'GHG detailed, absolute'!H52/Production!$K$19*AF_offal_ES</f>
        <v>0.14987661245853587</v>
      </c>
      <c r="I52" s="78">
        <f>'GHG detailed, absolute'!I52/Production!$K$19*AF_offal_ES</f>
        <v>8.4796801917063763E-2</v>
      </c>
      <c r="J52" s="78"/>
      <c r="K52" s="78"/>
      <c r="L52" s="78">
        <f>'GHG detailed, absolute'!L52/Production!$K$19*AF_offal_ES</f>
        <v>0.10703764529481451</v>
      </c>
      <c r="M52" s="78"/>
      <c r="N52" s="78">
        <f>'GHG detailed, absolute'!N52/Production!$K$19*AF_offal_ES</f>
        <v>1.3571017767555342E-2</v>
      </c>
      <c r="O52" s="78">
        <f>'GHG detailed, absolute'!O52/Production!$K$19*AF_offal_ES</f>
        <v>6.2625056579123831E-2</v>
      </c>
      <c r="P52" s="78">
        <f>'GHG detailed, absolute'!P52/Production!$K$19*AF_offal_ES</f>
        <v>0.11549746219066229</v>
      </c>
      <c r="Q52" s="78">
        <f>'GHG detailed, absolute'!Q52/Production!$K$19*AF_offal_ES</f>
        <v>0.12784185869323747</v>
      </c>
      <c r="R52" s="78">
        <f>'GHG detailed, absolute'!R52/Production!$K$19*AF_offal_ES</f>
        <v>0.12784185869323747</v>
      </c>
      <c r="S52" s="79"/>
      <c r="T52" s="80"/>
      <c r="U52" s="81"/>
      <c r="V52" s="81"/>
      <c r="W52" s="79">
        <f>'GHG detailed, absolute'!W52/Production!$K$19*AF_offal_ES</f>
        <v>0.25960938694275343</v>
      </c>
      <c r="X52" s="82">
        <f>'GHG detailed, absolute'!X52/Production!$K$19*AF_offal_ES</f>
        <v>2.6392187784992373E-3</v>
      </c>
      <c r="Z52" s="83"/>
    </row>
    <row r="53" spans="1:28" x14ac:dyDescent="0.2">
      <c r="A53" s="23" t="s">
        <v>188</v>
      </c>
      <c r="B53" s="23" t="s">
        <v>189</v>
      </c>
      <c r="C53" s="18" t="s">
        <v>190</v>
      </c>
      <c r="D53" t="s">
        <v>61</v>
      </c>
      <c r="E53" s="58" t="s">
        <v>62</v>
      </c>
      <c r="F53" s="23" t="s">
        <v>41</v>
      </c>
      <c r="G53" s="83">
        <f>SUM(H53:X53)</f>
        <v>2.904672095530724E-3</v>
      </c>
      <c r="H53" s="56">
        <f>'GHG detailed, absolute'!H53/Production!$K$19*AF_offal_ES</f>
        <v>1.8078054797300288E-5</v>
      </c>
      <c r="I53" s="56">
        <f>'GHG detailed, absolute'!I53/Production!$K$19*AF_offal_ES</f>
        <v>2.9835911785633547E-4</v>
      </c>
      <c r="J53" s="56"/>
      <c r="K53" s="56"/>
      <c r="L53" s="56">
        <f>'GHG detailed, absolute'!L53/Production!$K$19*AF_offal_ES</f>
        <v>4.7414067587784677E-5</v>
      </c>
      <c r="M53" s="56"/>
      <c r="N53" s="56">
        <f>'GHG detailed, absolute'!N53/Production!$K$19*AF_offal_ES</f>
        <v>4.0477741203706883E-5</v>
      </c>
      <c r="O53" s="56">
        <f>'GHG detailed, absolute'!O53/Production!$K$19*AF_offal_ES</f>
        <v>4.7254322363711143E-5</v>
      </c>
      <c r="P53" s="56">
        <f>'GHG detailed, absolute'!P53/Production!$K$19*AF_offal_ES</f>
        <v>0</v>
      </c>
      <c r="Q53" s="56">
        <f>'GHG detailed, absolute'!Q53/Production!$K$19*AF_offal_ES</f>
        <v>8.2066640985754239E-4</v>
      </c>
      <c r="R53" s="56">
        <f>'GHG detailed, absolute'!R53/Production!$K$19*AF_offal_ES</f>
        <v>8.2066640985754239E-4</v>
      </c>
      <c r="W53" s="13">
        <f>'GHG detailed, absolute'!W53/Production!$K$19*AF_offal_ES</f>
        <v>8.024924191229665E-4</v>
      </c>
      <c r="X53" s="53">
        <f>'GHG detailed, absolute'!X53/Production!$K$19*AF_offal_ES</f>
        <v>9.2635528838344426E-6</v>
      </c>
      <c r="Z53" s="84"/>
    </row>
    <row r="54" spans="1:28" x14ac:dyDescent="0.2">
      <c r="A54" s="23" t="s">
        <v>188</v>
      </c>
      <c r="B54" s="23" t="s">
        <v>189</v>
      </c>
      <c r="C54" s="18" t="s">
        <v>190</v>
      </c>
      <c r="D54" t="s">
        <v>61</v>
      </c>
      <c r="E54" s="58" t="s">
        <v>62</v>
      </c>
      <c r="F54" s="23" t="s">
        <v>42</v>
      </c>
      <c r="G54" s="83">
        <f>SUM(H54:T54)</f>
        <v>7.4498579983757945E-2</v>
      </c>
      <c r="H54" s="56"/>
      <c r="I54" s="56"/>
      <c r="J54" s="85"/>
      <c r="K54" s="56"/>
      <c r="L54" s="56"/>
      <c r="M54" s="56"/>
      <c r="N54" s="56"/>
      <c r="O54" s="56"/>
      <c r="P54" s="56"/>
      <c r="Q54" s="56"/>
      <c r="R54" s="56"/>
      <c r="S54" s="13">
        <f>'GHG detailed, absolute'!S54/Production!$K$19*AF_offal_ES</f>
        <v>6.3361286514566253E-2</v>
      </c>
      <c r="T54" s="53">
        <f>'GHG detailed, absolute'!T54/Production!$K$19*AF_offal_ES</f>
        <v>1.113729346919169E-2</v>
      </c>
      <c r="U54" s="86">
        <f>'GHG detailed, absolute'!U54/Production!$K$19*AF_offal_ES</f>
        <v>1.113729346919169E-2</v>
      </c>
      <c r="W54" s="13"/>
      <c r="X54" s="53"/>
      <c r="Z54" s="84"/>
    </row>
    <row r="55" spans="1:28" x14ac:dyDescent="0.2">
      <c r="A55" s="23" t="s">
        <v>188</v>
      </c>
      <c r="B55" s="23" t="s">
        <v>189</v>
      </c>
      <c r="C55" s="18" t="s">
        <v>190</v>
      </c>
      <c r="D55" t="s">
        <v>61</v>
      </c>
      <c r="E55" s="58" t="s">
        <v>62</v>
      </c>
      <c r="F55" s="87" t="s">
        <v>43</v>
      </c>
      <c r="G55" s="83">
        <f>SUM(H55:T55)+W55+X55</f>
        <v>2.6892641662257474E-3</v>
      </c>
      <c r="H55" s="56">
        <f>'GHG detailed, absolute'!H55/Production!$K$19*AF_offal_ES</f>
        <v>4.3737494470620961E-5</v>
      </c>
      <c r="I55" s="56">
        <f>'GHG detailed, absolute'!I55/Production!$K$19*AF_offal_ES</f>
        <v>3.4546845225470424E-6</v>
      </c>
      <c r="J55" s="56">
        <f>'GHG detailed, absolute'!J55/Production!$K$19*AF_offal_ES</f>
        <v>1.4961759446278629E-3</v>
      </c>
      <c r="K55" s="84">
        <f>'GHG detailed, absolute'!K55/Production!$K$19*AF_offal_ES</f>
        <v>1.4961759446278629E-4</v>
      </c>
      <c r="L55" s="56">
        <f>'GHG detailed, absolute'!L55/Production!$K$19*AF_offal_ES</f>
        <v>2.8761432613464399E-6</v>
      </c>
      <c r="M55" s="56"/>
      <c r="N55" s="56">
        <f>'GHG detailed, absolute'!N55/Production!$K$19*AF_offal_ES</f>
        <v>5.8156636808720145E-7</v>
      </c>
      <c r="O55" s="56">
        <f>'GHG detailed, absolute'!O55/Production!$K$19*AF_offal_ES</f>
        <v>2.3007030295689035E-6</v>
      </c>
      <c r="P55" s="56">
        <f>'GHG detailed, absolute'!P55/Production!$K$19*AF_offal_ES</f>
        <v>0</v>
      </c>
      <c r="Q55" s="56">
        <f>'GHG detailed, absolute'!Q55/Production!$K$19*AF_offal_ES</f>
        <v>5.9571387846178435E-5</v>
      </c>
      <c r="R55" s="56">
        <f>'GHG detailed, absolute'!R55/Production!$K$19*AF_offal_ES</f>
        <v>5.9571387846178435E-5</v>
      </c>
      <c r="S55" s="13"/>
      <c r="T55" s="53">
        <f>'GHG detailed, absolute'!T55/Production!$K$19*AF_offal_ES</f>
        <v>8.5951484927802293E-4</v>
      </c>
      <c r="U55" s="88">
        <f>'GHG detailed, absolute'!U55/Production!$K$19*AF_offal_ES</f>
        <v>5.9166686490697115E-4</v>
      </c>
      <c r="V55" s="88">
        <f>'GHG detailed, absolute'!V55/Production!$K$19*AF_offal_ES</f>
        <v>2.6784798437105178E-4</v>
      </c>
      <c r="W55" s="13">
        <f>'GHG detailed, absolute'!W55/Production!$K$19*AF_offal_ES</f>
        <v>1.1753022527548877E-5</v>
      </c>
      <c r="X55" s="53">
        <f>'GHG detailed, absolute'!X55/Production!$K$19*AF_offal_ES</f>
        <v>1.0938798499850906E-7</v>
      </c>
      <c r="Z55" s="84"/>
    </row>
    <row r="56" spans="1:28" x14ac:dyDescent="0.2">
      <c r="A56" s="89" t="s">
        <v>188</v>
      </c>
      <c r="B56" s="89" t="s">
        <v>189</v>
      </c>
      <c r="C56" s="90" t="s">
        <v>190</v>
      </c>
      <c r="D56" s="103" t="s">
        <v>61</v>
      </c>
      <c r="E56" s="91" t="s">
        <v>62</v>
      </c>
      <c r="F56" s="92" t="s">
        <v>44</v>
      </c>
      <c r="G56" s="102">
        <f>SUM(H56:X56)</f>
        <v>3.8835269247033919</v>
      </c>
      <c r="H56" s="94">
        <f>SUMPRODUCT(H52:H55,'Parameters, general'!$B$24:$B$27)</f>
        <v>0.16235567448197494</v>
      </c>
      <c r="I56" s="94">
        <f>SUMPRODUCT(I52:I55,'Parameters, general'!$B$24:$B$27)</f>
        <v>9.4631032503837892E-2</v>
      </c>
      <c r="J56" s="94">
        <f>SUMPRODUCT(J52:J55,'Parameters, general'!$B$24:$B$27)</f>
        <v>0.40845603288340659</v>
      </c>
      <c r="K56" s="94">
        <f>SUMPRODUCT(K52:K55,'Parameters, general'!$B$24:$B$27)</f>
        <v>4.0845603288340658E-2</v>
      </c>
      <c r="L56" s="94">
        <f>SUMPRODUCT(L52:L55,'Parameters, general'!$B$24:$B$27)</f>
        <v>0.10923577161927807</v>
      </c>
      <c r="M56" s="94">
        <f>SUMPRODUCT(M52:M55,'Parameters, general'!$B$24:$B$27)</f>
        <v>0</v>
      </c>
      <c r="N56" s="94">
        <f>SUMPRODUCT(N52:N55,'Parameters, general'!$B$24:$B$27)</f>
        <v>1.4936022073913613E-2</v>
      </c>
      <c r="O56" s="94">
        <f>SUMPRODUCT(O52:O55,'Parameters, general'!$B$24:$B$27)</f>
        <v>6.4661327312634728E-2</v>
      </c>
      <c r="P56" s="94">
        <f>SUMPRODUCT(P52:P55,'Parameters, general'!$B$24:$B$27)</f>
        <v>0.11549746219066229</v>
      </c>
      <c r="Q56" s="94">
        <f>SUMPRODUCT(Q52:Q55,'Parameters, general'!$B$24:$B$27)</f>
        <v>0.16856070658899897</v>
      </c>
      <c r="R56" s="94">
        <f>SUMPRODUCT(R52:R55,'Parameters, general'!$B$24:$B$27)</f>
        <v>0.16856070658899897</v>
      </c>
      <c r="S56" s="94">
        <f>SUMPRODUCT(S52:S55,'Parameters, general'!$B$24:$B$27)</f>
        <v>1.7107547358932889</v>
      </c>
      <c r="T56" s="94">
        <f>SUMPRODUCT(T52:T55,'Parameters, general'!$B$24:$B$27)</f>
        <v>0.5353544775210759</v>
      </c>
      <c r="U56" s="94"/>
      <c r="V56" s="94"/>
      <c r="W56" s="94">
        <f>SUMPRODUCT(W52:W55,'Parameters, general'!$B$24:$B$27)</f>
        <v>0.28673223618263866</v>
      </c>
      <c r="X56" s="94">
        <f>SUMPRODUCT(X52:X55,'Parameters, general'!$B$24:$B$27)</f>
        <v>2.9451355743420967E-3</v>
      </c>
      <c r="Z56" s="95">
        <f>SUM(H56:R56)</f>
        <v>1.3477403395320466</v>
      </c>
    </row>
    <row r="57" spans="1:28" x14ac:dyDescent="0.2">
      <c r="A57" s="74" t="s">
        <v>188</v>
      </c>
      <c r="B57" s="74" t="s">
        <v>189</v>
      </c>
      <c r="C57" s="75" t="s">
        <v>190</v>
      </c>
      <c r="D57" s="58" t="s">
        <v>63</v>
      </c>
      <c r="E57" s="58" t="s">
        <v>64</v>
      </c>
      <c r="F57" s="97" t="s">
        <v>40</v>
      </c>
      <c r="G57" s="78">
        <f>SUM(H57:X57)</f>
        <v>0.71741950078467764</v>
      </c>
      <c r="H57" s="78">
        <f>'GHG detailed, absolute'!H57/Production!$L$19*AF_offal_SE</f>
        <v>0.10948374819127134</v>
      </c>
      <c r="I57" s="83">
        <f>'GHG detailed, absolute'!I57/Production!$L$19*AF_offal_SE</f>
        <v>8.8866405728136269E-2</v>
      </c>
      <c r="J57" s="83"/>
      <c r="K57" s="83"/>
      <c r="L57" s="78">
        <f>'GHG detailed, absolute'!L57/Production!$L$19*AF_offal_SE</f>
        <v>8.7105966550619793E-2</v>
      </c>
      <c r="M57" s="78"/>
      <c r="N57" s="78">
        <f>'GHG detailed, absolute'!N57/Production!$L$19*AF_offal_SE</f>
        <v>2.1468987386299662E-4</v>
      </c>
      <c r="O57" s="78">
        <f>'GHG detailed, absolute'!O57/Production!$L$19*AF_offal_SE</f>
        <v>3.0894653501377947E-2</v>
      </c>
      <c r="P57" s="78">
        <f>'GHG detailed, absolute'!P57/Production!$L$19*AF_offal_SE</f>
        <v>8.0612383802033186E-2</v>
      </c>
      <c r="Q57" s="78">
        <f>'GHG detailed, absolute'!Q57/Production!$L$19*AF_offal_SE</f>
        <v>0.1379072194773564</v>
      </c>
      <c r="R57" s="78">
        <f>'GHG detailed, absolute'!R57/Production!$L$19*AF_offal_SE</f>
        <v>0.1379072194773564</v>
      </c>
      <c r="S57" s="79"/>
      <c r="U57" s="81"/>
      <c r="V57" s="81"/>
      <c r="W57" s="79">
        <f>'GHG detailed, absolute'!W57/Production!$L$19*AF_offal_SE</f>
        <v>4.3126070925385923E-2</v>
      </c>
      <c r="X57" s="82">
        <f>'GHG detailed, absolute'!X57/Production!$L$19*AF_offal_SE</f>
        <v>1.3011432572774346E-3</v>
      </c>
    </row>
    <row r="58" spans="1:28" x14ac:dyDescent="0.2">
      <c r="A58" s="23" t="s">
        <v>188</v>
      </c>
      <c r="B58" s="23" t="s">
        <v>189</v>
      </c>
      <c r="C58" s="18" t="s">
        <v>190</v>
      </c>
      <c r="D58" s="58" t="s">
        <v>63</v>
      </c>
      <c r="E58" s="58" t="s">
        <v>64</v>
      </c>
      <c r="F58" s="23" t="s">
        <v>41</v>
      </c>
      <c r="G58" s="83">
        <f>SUM(H58:X58)</f>
        <v>4.0170104364582139E-3</v>
      </c>
      <c r="H58" s="56">
        <f>'GHG detailed, absolute'!H58/Production!$L$19*AF_offal_SE</f>
        <v>4.2451011191077637E-5</v>
      </c>
      <c r="I58" s="99">
        <f>'GHG detailed, absolute'!I58/Production!$L$19*AF_offal_SE</f>
        <v>3.1267809422862766E-4</v>
      </c>
      <c r="J58" s="99"/>
      <c r="K58" s="99"/>
      <c r="L58" s="56">
        <f>'GHG detailed, absolute'!L58/Production!$L$19*AF_offal_SE</f>
        <v>3.8585005994432887E-5</v>
      </c>
      <c r="M58" s="56"/>
      <c r="N58" s="56">
        <f>'GHG detailed, absolute'!N58/Production!$L$19*AF_offal_SE</f>
        <v>6.5802640284771359E-7</v>
      </c>
      <c r="O58" s="56">
        <f>'GHG detailed, absolute'!O58/Production!$L$19*AF_offal_SE</f>
        <v>1.5820552316528387E-5</v>
      </c>
      <c r="P58" s="56">
        <f>'GHG detailed, absolute'!P58/Production!$L$19*AF_offal_SE</f>
        <v>0</v>
      </c>
      <c r="Q58" s="56">
        <f>'GHG detailed, absolute'!Q58/Production!$L$19*AF_offal_SE</f>
        <v>1.7774912152681613E-3</v>
      </c>
      <c r="R58" s="56">
        <f>'GHG detailed, absolute'!R58/Production!$L$19*AF_offal_SE</f>
        <v>1.7774912152681613E-3</v>
      </c>
      <c r="W58" s="13">
        <f>'GHG detailed, absolute'!W58/Production!$L$19*AF_offal_SE</f>
        <v>4.791804839632867E-5</v>
      </c>
      <c r="X58" s="53">
        <f>'GHG detailed, absolute'!X58/Production!$L$19*AF_offal_SE</f>
        <v>3.9172673920484732E-6</v>
      </c>
    </row>
    <row r="59" spans="1:28" x14ac:dyDescent="0.2">
      <c r="A59" s="23" t="s">
        <v>188</v>
      </c>
      <c r="B59" s="23" t="s">
        <v>189</v>
      </c>
      <c r="C59" s="18" t="s">
        <v>190</v>
      </c>
      <c r="D59" s="58" t="s">
        <v>63</v>
      </c>
      <c r="E59" s="58" t="s">
        <v>64</v>
      </c>
      <c r="F59" s="23" t="s">
        <v>42</v>
      </c>
      <c r="G59" s="83">
        <f>SUM(H59:T59)</f>
        <v>7.0887637775185086E-2</v>
      </c>
      <c r="H59" s="56"/>
      <c r="I59" s="99"/>
      <c r="J59" s="99"/>
      <c r="K59" s="99"/>
      <c r="L59" s="56"/>
      <c r="M59" s="56"/>
      <c r="N59" s="56"/>
      <c r="O59" s="56"/>
      <c r="P59" s="56"/>
      <c r="Q59" s="56"/>
      <c r="R59" s="56"/>
      <c r="S59" s="13">
        <f>'GHG detailed, absolute'!S59/Production!$L$19*AF_offal_SE</f>
        <v>6.6945592973583642E-2</v>
      </c>
      <c r="T59" s="52">
        <f>'GHG detailed, absolute'!T59/Production!$L$19*AF_offal_SE</f>
        <v>3.9420448016014419E-3</v>
      </c>
      <c r="U59" s="86">
        <f>'GHG detailed, absolute'!U59/Production!$L$19*AF_offal_SE</f>
        <v>3.9420448016014419E-3</v>
      </c>
      <c r="W59" s="13"/>
      <c r="X59" s="53"/>
      <c r="Z59" s="84"/>
    </row>
    <row r="60" spans="1:28" x14ac:dyDescent="0.2">
      <c r="A60" s="23" t="s">
        <v>188</v>
      </c>
      <c r="B60" s="23" t="s">
        <v>189</v>
      </c>
      <c r="C60" s="18" t="s">
        <v>190</v>
      </c>
      <c r="D60" s="58" t="s">
        <v>63</v>
      </c>
      <c r="E60" s="58" t="s">
        <v>64</v>
      </c>
      <c r="F60" s="87" t="s">
        <v>43</v>
      </c>
      <c r="G60" s="83">
        <f>SUM(H60:T60)+W60+X60</f>
        <v>2.573001944243499E-3</v>
      </c>
      <c r="H60" s="56">
        <f>'GHG detailed, absolute'!H60/Production!$L$19*AF_offal_SE</f>
        <v>9.4936185841631987E-5</v>
      </c>
      <c r="I60" s="84">
        <f>'GHG detailed, absolute'!I60/Production!$L$19*AF_offal_SE</f>
        <v>3.6204831963314782E-6</v>
      </c>
      <c r="J60" s="84">
        <f>'GHG detailed, absolute'!J60/Production!$L$19*AF_offal_SE</f>
        <v>1.3520537480029768E-3</v>
      </c>
      <c r="K60" s="84">
        <f>'GHG detailed, absolute'!K60/Production!$L$19*AF_offal_SE</f>
        <v>1.3520537480029768E-4</v>
      </c>
      <c r="L60" s="56">
        <f>'GHG detailed, absolute'!L60/Production!$L$19*AF_offal_SE</f>
        <v>2.3405712824455274E-6</v>
      </c>
      <c r="M60" s="56"/>
      <c r="N60" s="56">
        <f>'GHG detailed, absolute'!N60/Production!$L$19*AF_offal_SE</f>
        <v>9.1174655707913106E-9</v>
      </c>
      <c r="O60" s="56">
        <f>'GHG detailed, absolute'!O60/Production!$L$19*AF_offal_SE</f>
        <v>1.1572599228985063E-6</v>
      </c>
      <c r="P60" s="56">
        <f>'GHG detailed, absolute'!P60/Production!$L$19*AF_offal_SE</f>
        <v>0</v>
      </c>
      <c r="Q60" s="56">
        <f>'GHG detailed, absolute'!Q60/Production!$L$19*AF_offal_SE</f>
        <v>1.7091046056734425E-4</v>
      </c>
      <c r="R60" s="56">
        <f>'GHG detailed, absolute'!R60/Production!$L$19*AF_offal_SE</f>
        <v>1.7091046056734425E-4</v>
      </c>
      <c r="S60" s="13"/>
      <c r="T60" s="53">
        <f>'GHG detailed, absolute'!T60/Production!$L$19*AF_offal_SE</f>
        <v>6.3779706519925827E-4</v>
      </c>
      <c r="U60" s="88">
        <f>'GHG detailed, absolute'!U60/Production!$L$19*AF_offal_SE</f>
        <v>3.5905709666655917E-4</v>
      </c>
      <c r="V60" s="88">
        <f>'GHG detailed, absolute'!V60/Production!$L$19*AF_offal_SE</f>
        <v>2.787399685326991E-4</v>
      </c>
      <c r="W60" s="13">
        <f>'GHG detailed, absolute'!W60/Production!$L$19*AF_offal_SE</f>
        <v>3.9846487698746396E-6</v>
      </c>
      <c r="X60" s="53">
        <f>'GHG detailed, absolute'!X60/Production!$L$19*AF_offal_SE</f>
        <v>7.6568627524960884E-8</v>
      </c>
    </row>
    <row r="61" spans="1:28" ht="15" customHeight="1" thickTop="1" x14ac:dyDescent="0.2">
      <c r="A61" s="89" t="s">
        <v>188</v>
      </c>
      <c r="B61" s="89" t="s">
        <v>189</v>
      </c>
      <c r="C61" s="90" t="s">
        <v>190</v>
      </c>
      <c r="D61" s="91" t="s">
        <v>63</v>
      </c>
      <c r="E61" s="91" t="s">
        <v>64</v>
      </c>
      <c r="F61" s="92" t="s">
        <v>44</v>
      </c>
      <c r="G61" s="104">
        <f>SUM(H61:X61)</f>
        <v>3.4535221624996049</v>
      </c>
      <c r="H61" s="105">
        <f>SUMPRODUCT(H57:H60,'Parameters, general'!$B$24:$B$27)</f>
        <v>0.13666636705953097</v>
      </c>
      <c r="I61" s="94">
        <f>SUMPRODUCT(I57:I60,'Parameters, general'!$B$24:$B$27)</f>
        <v>9.9172604848747861E-2</v>
      </c>
      <c r="J61" s="94">
        <f>SUMPRODUCT(J57:J60,'Parameters, general'!$B$24:$B$27)</f>
        <v>0.36911067320481267</v>
      </c>
      <c r="K61" s="94">
        <f>SUMPRODUCT(K57:K60,'Parameters, general'!$B$24:$B$27)</f>
        <v>3.6911067320481265E-2</v>
      </c>
      <c r="L61" s="94">
        <f>SUMPRODUCT(L57:L60,'Parameters, general'!$B$24:$B$27)</f>
        <v>8.8894775689361522E-2</v>
      </c>
      <c r="M61" s="94">
        <f>SUMPRODUCT(M57:M60,'Parameters, general'!$B$24:$B$27)</f>
        <v>0</v>
      </c>
      <c r="N61" s="94">
        <f>SUMPRODUCT(N57:N60,'Parameters, general'!$B$24:$B$27)</f>
        <v>2.367881287686845E-4</v>
      </c>
      <c r="O61" s="94">
        <f>SUMPRODUCT(O57:O60,'Parameters, general'!$B$24:$B$27)</f>
        <v>3.1682037919361784E-2</v>
      </c>
      <c r="P61" s="94">
        <f>SUMPRODUCT(P57:P60,'Parameters, general'!$B$24:$B$27)</f>
        <v>8.0612383802033186E-2</v>
      </c>
      <c r="Q61" s="94">
        <f>SUMPRODUCT(Q57:Q60,'Parameters, general'!$B$24:$B$27)</f>
        <v>0.2375350134272326</v>
      </c>
      <c r="R61" s="94">
        <f>SUMPRODUCT(R57:R60,'Parameters, general'!$B$24:$B$27)</f>
        <v>0.2375350134272326</v>
      </c>
      <c r="S61" s="94">
        <f>SUMPRODUCT(S57:S60,'Parameters, general'!$B$24:$B$27)</f>
        <v>1.8075310102867583</v>
      </c>
      <c r="T61" s="94">
        <f>SUMPRODUCT(T57:T60,'Parameters, general'!$B$24:$B$27)</f>
        <v>0.28055380844263644</v>
      </c>
      <c r="U61" s="94"/>
      <c r="V61" s="94"/>
      <c r="W61" s="94">
        <f>SUMPRODUCT(W57:W60,'Parameters, general'!$B$24:$B$27)</f>
        <v>4.5641837881772292E-2</v>
      </c>
      <c r="X61" s="94">
        <f>SUMPRODUCT(X57:X60,'Parameters, general'!$B$24:$B$27)</f>
        <v>1.4387810608747936E-3</v>
      </c>
      <c r="Z61" s="95">
        <f>SUM(H61:R61)</f>
        <v>1.3183567248275629</v>
      </c>
    </row>
    <row r="62" spans="1:28" x14ac:dyDescent="0.2">
      <c r="A62" s="74" t="s">
        <v>188</v>
      </c>
      <c r="B62" s="74" t="s">
        <v>189</v>
      </c>
      <c r="C62" s="75" t="s">
        <v>190</v>
      </c>
      <c r="D62" s="58" t="s">
        <v>65</v>
      </c>
      <c r="E62" s="58" t="s">
        <v>66</v>
      </c>
      <c r="F62" s="97" t="s">
        <v>40</v>
      </c>
      <c r="G62" s="78">
        <f>SUM(H62:X62)</f>
        <v>0.41801048465813972</v>
      </c>
      <c r="H62" s="152">
        <f>H32</f>
        <v>6.9799415034626375E-2</v>
      </c>
      <c r="I62" s="152">
        <f>I32</f>
        <v>8.4743137974541263E-2</v>
      </c>
      <c r="J62" s="152"/>
      <c r="K62" s="152"/>
      <c r="L62" s="152">
        <f>L32</f>
        <v>5.0290932231947402E-2</v>
      </c>
      <c r="M62" s="152"/>
      <c r="N62" s="152">
        <f t="shared" ref="N62:R63" si="0">N32</f>
        <v>2.0010265409568269E-4</v>
      </c>
      <c r="O62" s="152">
        <f t="shared" si="0"/>
        <v>1.6556381538673247E-2</v>
      </c>
      <c r="P62" s="152">
        <f t="shared" si="0"/>
        <v>7.8488065996741851E-3</v>
      </c>
      <c r="Q62" s="152">
        <f t="shared" si="0"/>
        <v>2.1278092641517938E-2</v>
      </c>
      <c r="R62" s="152">
        <f t="shared" si="0"/>
        <v>2.1278092641517938E-2</v>
      </c>
      <c r="S62" s="152"/>
      <c r="T62" s="152"/>
      <c r="U62" s="152"/>
      <c r="V62" s="152"/>
      <c r="W62" s="152">
        <f>W32</f>
        <v>0.14266977929965866</v>
      </c>
      <c r="X62" s="152">
        <f>X32</f>
        <v>3.3457440418870133E-3</v>
      </c>
      <c r="AB62" t="s">
        <v>67</v>
      </c>
    </row>
    <row r="63" spans="1:28" x14ac:dyDescent="0.2">
      <c r="A63" s="23" t="s">
        <v>188</v>
      </c>
      <c r="B63" s="23" t="s">
        <v>189</v>
      </c>
      <c r="C63" s="18" t="s">
        <v>190</v>
      </c>
      <c r="D63" s="58" t="s">
        <v>65</v>
      </c>
      <c r="E63" s="58" t="s">
        <v>66</v>
      </c>
      <c r="F63" s="23" t="s">
        <v>41</v>
      </c>
      <c r="G63" s="83">
        <f>SUM(H63:X63)</f>
        <v>5.7016301106904428E-4</v>
      </c>
      <c r="H63" s="153">
        <f>H33</f>
        <v>2.8255892171143476E-6</v>
      </c>
      <c r="I63" s="153">
        <f>I33</f>
        <v>2.9817030028079339E-4</v>
      </c>
      <c r="J63" s="153"/>
      <c r="K63" s="153"/>
      <c r="L63" s="153">
        <f>L33</f>
        <v>2.2277187183356048E-5</v>
      </c>
      <c r="M63" s="153"/>
      <c r="N63" s="153">
        <f t="shared" si="0"/>
        <v>5.9294257893165498E-7</v>
      </c>
      <c r="O63" s="153">
        <f t="shared" si="0"/>
        <v>8.6550206928265748E-6</v>
      </c>
      <c r="P63" s="153">
        <f t="shared" si="0"/>
        <v>0</v>
      </c>
      <c r="Q63" s="153">
        <f t="shared" si="0"/>
        <v>3.8866706189244265E-5</v>
      </c>
      <c r="R63" s="153">
        <f t="shared" si="0"/>
        <v>3.8866706189244265E-5</v>
      </c>
      <c r="S63" s="153"/>
      <c r="T63" s="153"/>
      <c r="U63" s="153"/>
      <c r="V63" s="153"/>
      <c r="W63" s="153">
        <f>W33</f>
        <v>1.5375288445641186E-4</v>
      </c>
      <c r="X63" s="153">
        <f>X33</f>
        <v>6.1556742811217724E-6</v>
      </c>
    </row>
    <row r="64" spans="1:28" x14ac:dyDescent="0.2">
      <c r="A64" s="23" t="s">
        <v>188</v>
      </c>
      <c r="B64" s="23" t="s">
        <v>189</v>
      </c>
      <c r="C64" s="18" t="s">
        <v>190</v>
      </c>
      <c r="D64" s="58" t="s">
        <v>65</v>
      </c>
      <c r="E64" s="58" t="s">
        <v>66</v>
      </c>
      <c r="F64" s="23" t="s">
        <v>42</v>
      </c>
      <c r="G64" s="83">
        <f>SUM(H64:T64)</f>
        <v>6.9543289718042287E-2</v>
      </c>
      <c r="H64" s="152"/>
      <c r="I64" s="152"/>
      <c r="J64" s="152"/>
      <c r="K64" s="152"/>
      <c r="L64" s="152"/>
      <c r="M64" s="152"/>
      <c r="N64" s="152"/>
      <c r="O64" s="152"/>
      <c r="P64" s="152"/>
      <c r="Q64" s="152"/>
      <c r="R64" s="152"/>
      <c r="S64" s="152">
        <f>S34</f>
        <v>6.1892998479134702E-2</v>
      </c>
      <c r="T64" s="153">
        <f>T34</f>
        <v>7.6502912389075839E-3</v>
      </c>
      <c r="U64" s="153">
        <f>U34</f>
        <v>7.6502912389075839E-3</v>
      </c>
      <c r="V64" s="152"/>
      <c r="W64" s="152"/>
      <c r="X64" s="152"/>
      <c r="Z64" s="84"/>
      <c r="AA64" s="84"/>
    </row>
    <row r="65" spans="1:27" ht="15" customHeight="1" thickBot="1" x14ac:dyDescent="0.25">
      <c r="A65" s="23" t="s">
        <v>188</v>
      </c>
      <c r="B65" s="23" t="s">
        <v>189</v>
      </c>
      <c r="C65" s="18" t="s">
        <v>190</v>
      </c>
      <c r="D65" s="58" t="s">
        <v>65</v>
      </c>
      <c r="E65" s="58" t="s">
        <v>66</v>
      </c>
      <c r="F65" s="87" t="s">
        <v>43</v>
      </c>
      <c r="G65" s="83">
        <f>SUM(H65:T65)+W65+X65</f>
        <v>1.8117179420593314E-3</v>
      </c>
      <c r="H65" s="153">
        <f t="shared" ref="H65:R65" si="1">H35</f>
        <v>2.7047812370709111E-5</v>
      </c>
      <c r="I65" s="153">
        <f t="shared" si="1"/>
        <v>3.4524982137776078E-6</v>
      </c>
      <c r="J65" s="153">
        <f t="shared" si="1"/>
        <v>1.1075024841173161E-3</v>
      </c>
      <c r="K65" s="153">
        <f t="shared" si="1"/>
        <v>1.1075024841173161E-4</v>
      </c>
      <c r="L65" s="153">
        <f t="shared" si="1"/>
        <v>1.3513369567066998E-6</v>
      </c>
      <c r="M65" s="153">
        <f t="shared" si="1"/>
        <v>0</v>
      </c>
      <c r="N65" s="153">
        <f t="shared" si="1"/>
        <v>8.5933466428887581E-9</v>
      </c>
      <c r="O65" s="153">
        <f t="shared" si="1"/>
        <v>5.963960287974072E-7</v>
      </c>
      <c r="P65" s="153">
        <f t="shared" si="1"/>
        <v>0</v>
      </c>
      <c r="Q65" s="153">
        <f t="shared" si="1"/>
        <v>2.4598944325534209E-6</v>
      </c>
      <c r="R65" s="153">
        <f t="shared" si="1"/>
        <v>2.4598944325534209E-6</v>
      </c>
      <c r="S65" s="153"/>
      <c r="T65" s="153">
        <f>T35</f>
        <v>5.5072799659843994E-4</v>
      </c>
      <c r="U65" s="153">
        <f>U35</f>
        <v>3.8508066212079097E-4</v>
      </c>
      <c r="V65" s="153">
        <f>V35</f>
        <v>1.6564733447764894E-4</v>
      </c>
      <c r="W65" s="153">
        <f>W35</f>
        <v>5.2411973580526726E-6</v>
      </c>
      <c r="X65" s="153">
        <f>X35</f>
        <v>1.1958979205037584E-7</v>
      </c>
    </row>
    <row r="66" spans="1:27" ht="15" customHeight="1" thickTop="1" x14ac:dyDescent="0.2">
      <c r="A66" s="89" t="s">
        <v>188</v>
      </c>
      <c r="B66" s="89" t="s">
        <v>189</v>
      </c>
      <c r="C66" s="90" t="s">
        <v>190</v>
      </c>
      <c r="D66" s="91" t="s">
        <v>65</v>
      </c>
      <c r="E66" s="91" t="s">
        <v>66</v>
      </c>
      <c r="F66" s="92" t="s">
        <v>44</v>
      </c>
      <c r="G66" s="104">
        <f>SUM(H66:X66)</f>
        <v>2.8072691629573363</v>
      </c>
      <c r="H66" s="105">
        <f>SUMPRODUCT(H62:H65,'Parameters, general'!$B$24:$B$27)</f>
        <v>7.7267670370499961E-2</v>
      </c>
      <c r="I66" s="94">
        <f>SUMPRODUCT(I62:I65,'Parameters, general'!$B$24:$B$27)</f>
        <v>9.4571144935270191E-2</v>
      </c>
      <c r="J66" s="94">
        <f>SUMPRODUCT(J62:J65,'Parameters, general'!$B$24:$B$27)</f>
        <v>0.30234817816402731</v>
      </c>
      <c r="K66" s="94">
        <f>SUMPRODUCT(K62:K65,'Parameters, general'!$B$24:$B$27)</f>
        <v>3.0234817816402731E-2</v>
      </c>
      <c r="L66" s="94">
        <f>SUMPRODUCT(L62:L65,'Parameters, general'!$B$24:$B$27)</f>
        <v>5.1323707399192342E-2</v>
      </c>
      <c r="M66" s="94">
        <f>SUMPRODUCT(M62:M65,'Parameters, general'!$B$24:$B$27)</f>
        <v>0</v>
      </c>
      <c r="N66" s="94">
        <f>SUMPRODUCT(N62:N65,'Parameters, general'!$B$24:$B$27)</f>
        <v>2.2011832658135465E-4</v>
      </c>
      <c r="O66" s="94">
        <f>SUMPRODUCT(O62:O65,'Parameters, general'!$B$24:$B$27)</f>
        <v>1.6977117271181171E-2</v>
      </c>
      <c r="P66" s="94">
        <f>SUMPRODUCT(P62:P65,'Parameters, general'!$B$24:$B$27)</f>
        <v>7.8488065996741851E-3</v>
      </c>
      <c r="Q66" s="94">
        <f>SUMPRODUCT(Q62:Q65,'Parameters, general'!$B$24:$B$27)</f>
        <v>2.3107871666044499E-2</v>
      </c>
      <c r="R66" s="94">
        <f>SUMPRODUCT(R62:R65,'Parameters, general'!$B$24:$B$27)</f>
        <v>2.3107871666044499E-2</v>
      </c>
      <c r="S66" s="94">
        <f>SUMPRODUCT(S62:S65,'Parameters, general'!$B$24:$B$27)</f>
        <v>1.6711109589366369</v>
      </c>
      <c r="T66" s="94">
        <f>SUMPRODUCT(T62:T65,'Parameters, general'!$B$24:$B$27)</f>
        <v>0.35690660652187889</v>
      </c>
      <c r="U66" s="94"/>
      <c r="V66" s="94"/>
      <c r="W66" s="94">
        <f>SUMPRODUCT(W62:W65,'Parameters, general'!$B$24:$B$27)</f>
        <v>0.14868246213520811</v>
      </c>
      <c r="X66" s="94">
        <f>SUMPRODUCT(X62:X65,'Parameters, general'!$B$24:$B$27)</f>
        <v>3.5618311486941947E-3</v>
      </c>
      <c r="Z66" s="95">
        <f>SUM(H66:R66)</f>
        <v>0.62700730421491802</v>
      </c>
      <c r="AA66" s="106">
        <f>'CO2 per kg feed'!F185+'CH4 per kg feed'!F185*CF_GWP_CH4_fossil+'N2O per kg feed'!F185*CF_GWP_N2O</f>
        <v>0</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249977111117893"/>
  </sheetPr>
  <dimension ref="A2:U19"/>
  <sheetViews>
    <sheetView zoomScale="70" zoomScaleNormal="70" workbookViewId="0">
      <selection activeCell="A7" sqref="A7:B7"/>
    </sheetView>
  </sheetViews>
  <sheetFormatPr baseColWidth="10" defaultColWidth="8.6640625" defaultRowHeight="15" x14ac:dyDescent="0.2"/>
  <cols>
    <col min="1" max="1" width="13" customWidth="1"/>
    <col min="2" max="2" width="26.1640625" customWidth="1"/>
    <col min="3" max="3" width="8.83203125" customWidth="1"/>
    <col min="4" max="4" width="12.6640625" customWidth="1"/>
    <col min="5" max="5" width="8.5" customWidth="1"/>
    <col min="6" max="6" width="10.5" customWidth="1"/>
    <col min="12" max="12" width="14.6640625" customWidth="1"/>
    <col min="14" max="14" width="14.6640625" customWidth="1"/>
    <col min="19" max="19" width="8.5" customWidth="1"/>
    <col min="20" max="20" width="15.6640625" customWidth="1"/>
    <col min="21" max="21" width="18.5" customWidth="1"/>
  </cols>
  <sheetData>
    <row r="2" spans="1:21" ht="21" customHeight="1" x14ac:dyDescent="0.25">
      <c r="A2" s="2" t="s">
        <v>192</v>
      </c>
      <c r="M2" s="24"/>
      <c r="T2" t="s">
        <v>180</v>
      </c>
    </row>
    <row r="3" spans="1:21" x14ac:dyDescent="0.2">
      <c r="L3" s="25"/>
      <c r="P3" s="25"/>
      <c r="R3" s="25"/>
      <c r="S3" s="26"/>
      <c r="T3" s="26"/>
      <c r="U3" s="26"/>
    </row>
    <row r="4" spans="1:21" x14ac:dyDescent="0.2">
      <c r="A4" s="107"/>
      <c r="B4" s="108"/>
      <c r="C4" s="108"/>
      <c r="D4" s="108"/>
      <c r="E4" s="108"/>
      <c r="F4" s="108"/>
      <c r="G4" s="108"/>
      <c r="H4" s="108"/>
      <c r="I4" s="108"/>
      <c r="J4" s="108"/>
      <c r="K4" s="108"/>
      <c r="L4" s="108"/>
      <c r="M4" s="108"/>
      <c r="N4" s="109"/>
      <c r="O4" s="108"/>
      <c r="P4" s="110"/>
      <c r="Q4" s="108"/>
      <c r="R4" s="110"/>
      <c r="S4" s="111"/>
      <c r="T4" s="111"/>
      <c r="U4" s="111"/>
    </row>
    <row r="5" spans="1:21" x14ac:dyDescent="0.2">
      <c r="A5" s="112" t="s">
        <v>5</v>
      </c>
      <c r="B5" s="113"/>
      <c r="C5" s="113"/>
      <c r="D5" s="114"/>
      <c r="E5" s="114"/>
      <c r="F5" s="115" t="s">
        <v>140</v>
      </c>
      <c r="G5" s="114"/>
      <c r="H5" s="114"/>
      <c r="I5" s="114"/>
      <c r="J5" s="114"/>
      <c r="K5" s="114"/>
      <c r="L5" s="116" t="s">
        <v>141</v>
      </c>
      <c r="M5" s="116" t="s">
        <v>132</v>
      </c>
      <c r="N5" s="116" t="s">
        <v>142</v>
      </c>
      <c r="O5" s="116" t="s">
        <v>143</v>
      </c>
      <c r="P5" s="117" t="s">
        <v>144</v>
      </c>
      <c r="Q5" s="117" t="s">
        <v>145</v>
      </c>
      <c r="R5" s="117" t="s">
        <v>146</v>
      </c>
      <c r="S5" s="117" t="s">
        <v>147</v>
      </c>
      <c r="T5" s="118" t="s">
        <v>181</v>
      </c>
      <c r="U5" s="118" t="s">
        <v>182</v>
      </c>
    </row>
    <row r="6" spans="1:21" ht="72.5" customHeight="1" x14ac:dyDescent="0.2">
      <c r="A6" s="119" t="s">
        <v>13</v>
      </c>
      <c r="B6" s="120" t="s">
        <v>14</v>
      </c>
      <c r="C6" s="120" t="s">
        <v>15</v>
      </c>
      <c r="D6" s="121" t="s">
        <v>16</v>
      </c>
      <c r="E6" s="122" t="s">
        <v>17</v>
      </c>
      <c r="F6" s="123" t="s">
        <v>150</v>
      </c>
      <c r="G6" s="124" t="s">
        <v>151</v>
      </c>
      <c r="H6" s="123" t="s">
        <v>152</v>
      </c>
      <c r="I6" s="123" t="s">
        <v>153</v>
      </c>
      <c r="J6" s="123" t="s">
        <v>154</v>
      </c>
      <c r="K6" s="124" t="s">
        <v>155</v>
      </c>
      <c r="L6" s="125" t="s">
        <v>156</v>
      </c>
      <c r="M6" s="125" t="s">
        <v>157</v>
      </c>
      <c r="N6" s="125" t="s">
        <v>158</v>
      </c>
      <c r="O6" s="126" t="s">
        <v>159</v>
      </c>
      <c r="P6" s="127" t="s">
        <v>160</v>
      </c>
      <c r="Q6" s="128" t="s">
        <v>161</v>
      </c>
      <c r="R6" s="128" t="s">
        <v>162</v>
      </c>
      <c r="S6" s="128" t="s">
        <v>163</v>
      </c>
      <c r="T6" s="129" t="s">
        <v>193</v>
      </c>
      <c r="U6" s="129" t="s">
        <v>194</v>
      </c>
    </row>
    <row r="7" spans="1:21" x14ac:dyDescent="0.2">
      <c r="A7" s="51" t="s">
        <v>195</v>
      </c>
      <c r="B7" s="23" t="s">
        <v>196</v>
      </c>
      <c r="C7" s="18" t="s">
        <v>197</v>
      </c>
      <c r="D7" t="s">
        <v>88</v>
      </c>
      <c r="E7" t="s">
        <v>39</v>
      </c>
      <c r="F7" s="15">
        <f>'GHG det, per kg tallow'!G11</f>
        <v>4.3977958477597898</v>
      </c>
      <c r="G7" s="15">
        <f>'GHG det, per kg tallow'!G7</f>
        <v>0.63524044223708476</v>
      </c>
      <c r="H7" s="52">
        <f>'GHG det, per kg tallow'!G8</f>
        <v>3.6982185698696433E-3</v>
      </c>
      <c r="I7" s="53">
        <f>'GHG det, per kg tallow'!G9</f>
        <v>0.10189255473231716</v>
      </c>
      <c r="J7" s="53">
        <f>'GHG det, per kg tallow'!G10</f>
        <v>3.301280272410351E-3</v>
      </c>
      <c r="L7" s="54">
        <f>'Footprints, absolute'!L7/Production!$B$21*AF_tallow_DK</f>
        <v>4.1197777366718897</v>
      </c>
      <c r="M7" s="55">
        <f>'Footprints, absolute'!M7/Production!$B$21*AF_tallow_DK</f>
        <v>5.4742609116858201E-2</v>
      </c>
      <c r="N7" s="55">
        <f>'Footprints, absolute'!N7/Production!$B$21*AF_tallow_DK</f>
        <v>4.4942768055209375E-3</v>
      </c>
      <c r="O7" s="55">
        <f>'Footprints, absolute'!O7/Production!$B$21*AF_tallow_DK</f>
        <v>3.2977114528238274E-2</v>
      </c>
      <c r="P7" s="55">
        <f>'Footprints, absolute'!P7/Production!$B$21*AF_tallow_DK</f>
        <v>0.28828499021946041</v>
      </c>
      <c r="Q7" s="56">
        <f>'Footprints, absolute'!Q7/Production!$B$21*AF_tallow_DK</f>
        <v>4.4748374322460935E-11</v>
      </c>
      <c r="R7" s="56">
        <f>'Footprints, absolute'!R7/Production!$B$21*AF_tallow_DK</f>
        <v>2.0707367155418689E-3</v>
      </c>
      <c r="S7" s="54"/>
      <c r="T7" s="130">
        <v>0</v>
      </c>
      <c r="U7" s="130">
        <v>0</v>
      </c>
    </row>
    <row r="8" spans="1:21" x14ac:dyDescent="0.2">
      <c r="A8" s="51" t="s">
        <v>195</v>
      </c>
      <c r="B8" s="23" t="s">
        <v>196</v>
      </c>
      <c r="C8" s="18" t="s">
        <v>197</v>
      </c>
      <c r="D8" t="s">
        <v>45</v>
      </c>
      <c r="E8" t="s">
        <v>46</v>
      </c>
      <c r="F8" s="15">
        <f>'GHG det, per kg tallow'!G16</f>
        <v>5.1041262105909544</v>
      </c>
      <c r="G8" s="15">
        <f>'GHG det, per kg tallow'!G12</f>
        <v>0.96166885797018675</v>
      </c>
      <c r="H8" s="52">
        <f>'GHG det, per kg tallow'!G13</f>
        <v>4.9457618459744562E-3</v>
      </c>
      <c r="I8" s="53">
        <f>'GHG det, per kg tallow'!G14</f>
        <v>0.11092075156787498</v>
      </c>
      <c r="J8" s="53">
        <f>'GHG det, per kg tallow'!G15</f>
        <v>3.6637851914948891E-3</v>
      </c>
      <c r="L8" s="54">
        <f>'Footprints, absolute'!L8/Production!$C$21*AF_tallow_FR</f>
        <v>5.131316893856158</v>
      </c>
      <c r="M8" s="55">
        <f>'Footprints, absolute'!M8/Production!$C$21*AF_tallow_FR</f>
        <v>7.3203176989715874E-2</v>
      </c>
      <c r="N8" s="55">
        <f>'Footprints, absolute'!N8/Production!$C$21*AF_tallow_FR</f>
        <v>6.018973056838327E-3</v>
      </c>
      <c r="O8" s="55">
        <f>'Footprints, absolute'!O8/Production!$C$21*AF_tallow_FR</f>
        <v>5.492715855913545E-2</v>
      </c>
      <c r="P8" s="55">
        <f>'Footprints, absolute'!P8/Production!$C$21*AF_tallow_FR</f>
        <v>0.50489552523698222</v>
      </c>
      <c r="Q8" s="56">
        <f>'Footprints, absolute'!Q8/Production!$C$21*AF_tallow_FR</f>
        <v>1.0834284298783635E-10</v>
      </c>
      <c r="R8" s="56">
        <f>'Footprints, absolute'!R8/Production!$C$21*AF_tallow_FR</f>
        <v>3.2059950893300149E-3</v>
      </c>
      <c r="S8" s="57"/>
      <c r="T8" s="130">
        <v>0</v>
      </c>
      <c r="U8" s="130">
        <v>0</v>
      </c>
    </row>
    <row r="9" spans="1:21" x14ac:dyDescent="0.2">
      <c r="A9" s="51" t="s">
        <v>195</v>
      </c>
      <c r="B9" s="23" t="s">
        <v>196</v>
      </c>
      <c r="C9" s="18" t="s">
        <v>197</v>
      </c>
      <c r="D9" t="s">
        <v>47</v>
      </c>
      <c r="E9" t="s">
        <v>48</v>
      </c>
      <c r="F9" s="15">
        <f>'GHG det, per kg tallow'!G21</f>
        <v>4.780637601783944</v>
      </c>
      <c r="G9" s="15">
        <f>'GHG det, per kg tallow'!G17</f>
        <v>1.2220672071970065</v>
      </c>
      <c r="H9" s="52">
        <f>'GHG det, per kg tallow'!G18</f>
        <v>4.8636145899200525E-3</v>
      </c>
      <c r="I9" s="53">
        <f>'GHG det, per kg tallow'!G19</f>
        <v>9.8401421227876137E-2</v>
      </c>
      <c r="J9" s="53">
        <f>'GHG det, per kg tallow'!G20</f>
        <v>2.7721476434236767E-3</v>
      </c>
      <c r="L9" s="54">
        <f>'Footprints, absolute'!L9/Production!$D$21*AF_tallow_DE</f>
        <v>2.7600771761878402</v>
      </c>
      <c r="M9" s="55">
        <f>'Footprints, absolute'!M9/Production!$D$21*AF_tallow_DE</f>
        <v>4.9647693699353339E-2</v>
      </c>
      <c r="N9" s="55">
        <f>'Footprints, absolute'!N9/Production!$D$21*AF_tallow_DE</f>
        <v>2.5254777856456197E-3</v>
      </c>
      <c r="O9" s="55">
        <f>'Footprints, absolute'!O9/Production!$D$21*AF_tallow_DE</f>
        <v>2.4444156510297244E-2</v>
      </c>
      <c r="P9" s="55">
        <f>'Footprints, absolute'!P9/Production!$D$21*AF_tallow_DE</f>
        <v>0.17392593415046745</v>
      </c>
      <c r="Q9" s="56">
        <f>'Footprints, absolute'!Q9/Production!$D$21*AF_tallow_DE</f>
        <v>7.7247060962053782E-11</v>
      </c>
      <c r="R9" s="56">
        <f>'Footprints, absolute'!R9/Production!$D$21*AF_tallow_DE</f>
        <v>1.440410611984644E-3</v>
      </c>
      <c r="S9" s="57"/>
      <c r="T9" s="130">
        <v>0</v>
      </c>
      <c r="U9" s="130">
        <v>0</v>
      </c>
    </row>
    <row r="10" spans="1:21" x14ac:dyDescent="0.2">
      <c r="A10" s="51" t="s">
        <v>195</v>
      </c>
      <c r="B10" s="23" t="s">
        <v>196</v>
      </c>
      <c r="C10" s="18" t="s">
        <v>197</v>
      </c>
      <c r="D10" t="s">
        <v>49</v>
      </c>
      <c r="E10" t="s">
        <v>50</v>
      </c>
      <c r="F10" s="15">
        <f>'GHG det, per kg tallow'!G26</f>
        <v>5.7930743706433887</v>
      </c>
      <c r="G10" s="15">
        <f>'GHG det, per kg tallow'!G22</f>
        <v>2.025929149259535</v>
      </c>
      <c r="H10" s="52">
        <f>'GHG det, per kg tallow'!G23</f>
        <v>5.0159646277690368E-3</v>
      </c>
      <c r="I10" s="53">
        <f>'GHG det, per kg tallow'!G24</f>
        <v>9.1181367271154071E-2</v>
      </c>
      <c r="J10" s="53">
        <f>'GHG det, per kg tallow'!G25</f>
        <v>4.2335991177845228E-3</v>
      </c>
      <c r="L10" s="54">
        <f>'Footprints, absolute'!L10/Production!$E$21*AF_tallow_GR</f>
        <v>7.6691990545367625</v>
      </c>
      <c r="M10" s="55">
        <f>'Footprints, absolute'!M10/Production!$E$21*AF_tallow_GR</f>
        <v>0.10868821611906614</v>
      </c>
      <c r="N10" s="55">
        <f>'Footprints, absolute'!N10/Production!$E$21*AF_tallow_GR</f>
        <v>1.0979452195235618E-2</v>
      </c>
      <c r="O10" s="55">
        <f>'Footprints, absolute'!O10/Production!$E$21*AF_tallow_GR</f>
        <v>0.29013436753969307</v>
      </c>
      <c r="P10" s="55">
        <f>'Footprints, absolute'!P10/Production!$E$21*AF_tallow_GR</f>
        <v>0.36791986984680597</v>
      </c>
      <c r="Q10" s="56">
        <f>'Footprints, absolute'!Q10/Production!$E$21*AF_tallow_GR</f>
        <v>4.7111335683573928E-10</v>
      </c>
      <c r="R10" s="56">
        <f>'Footprints, absolute'!R10/Production!$E$21*AF_tallow_GR</f>
        <v>7.9768048161390475E-3</v>
      </c>
      <c r="S10" s="57"/>
      <c r="T10" s="130">
        <v>0</v>
      </c>
      <c r="U10" s="130">
        <v>0</v>
      </c>
    </row>
    <row r="11" spans="1:21" x14ac:dyDescent="0.2">
      <c r="A11" s="51" t="s">
        <v>195</v>
      </c>
      <c r="B11" s="23" t="s">
        <v>196</v>
      </c>
      <c r="C11" s="18" t="s">
        <v>197</v>
      </c>
      <c r="D11" t="s">
        <v>86</v>
      </c>
      <c r="E11" t="s">
        <v>52</v>
      </c>
      <c r="F11" s="15">
        <f>'GHG det, per kg tallow'!G31</f>
        <v>6.1419235043902392</v>
      </c>
      <c r="G11" s="15">
        <f>'GHG det, per kg tallow'!G27</f>
        <v>2.0175267557916685</v>
      </c>
      <c r="H11" s="52">
        <f>'GHG det, per kg tallow'!G28</f>
        <v>6.1265467804170201E-3</v>
      </c>
      <c r="I11" s="53">
        <f>'GHG det, per kg tallow'!G29</f>
        <v>0.10385846962564038</v>
      </c>
      <c r="J11" s="53">
        <f>'GHG det, per kg tallow'!G30</f>
        <v>4.1672050353474491E-3</v>
      </c>
      <c r="L11" s="54">
        <f>'Footprints, absolute'!L11/Production!$F$21*AF_tallow_HU</f>
        <v>7.3781726976645059</v>
      </c>
      <c r="M11" s="55">
        <f>'Footprints, absolute'!M11/Production!$F$21*AF_tallow_HU</f>
        <v>0.1001349992244681</v>
      </c>
      <c r="N11" s="55">
        <f>'Footprints, absolute'!N11/Production!$F$21*AF_tallow_HU</f>
        <v>1.0686218917018977E-2</v>
      </c>
      <c r="O11" s="55">
        <f>'Footprints, absolute'!O11/Production!$F$21*AF_tallow_HU</f>
        <v>5.9549362675977977E-2</v>
      </c>
      <c r="P11" s="55">
        <f>'Footprints, absolute'!P11/Production!$F$21*AF_tallow_HU</f>
        <v>0.52350651180213215</v>
      </c>
      <c r="Q11" s="56">
        <f>'Footprints, absolute'!Q11/Production!$F$21*AF_tallow_HU</f>
        <v>1.5707305362740189E-10</v>
      </c>
      <c r="R11" s="56">
        <f>'Footprints, absolute'!R11/Production!$F$21*AF_tallow_HU</f>
        <v>3.6451395422431726E-3</v>
      </c>
      <c r="S11" s="57"/>
      <c r="T11" s="130">
        <v>0</v>
      </c>
      <c r="U11" s="130">
        <v>0</v>
      </c>
    </row>
    <row r="12" spans="1:21" x14ac:dyDescent="0.2">
      <c r="A12" s="51" t="s">
        <v>195</v>
      </c>
      <c r="B12" s="23" t="s">
        <v>196</v>
      </c>
      <c r="C12" s="18" t="s">
        <v>197</v>
      </c>
      <c r="D12" t="s">
        <v>89</v>
      </c>
      <c r="E12" t="s">
        <v>54</v>
      </c>
      <c r="F12" s="15">
        <f>'GHG det, per kg tallow'!G36</f>
        <v>3.79218571013012</v>
      </c>
      <c r="G12" s="15">
        <f>'GHG det, per kg tallow'!G32</f>
        <v>0.56466740258538362</v>
      </c>
      <c r="H12" s="52">
        <f>'GHG det, per kg tallow'!G33</f>
        <v>7.7020189283988892E-4</v>
      </c>
      <c r="I12" s="53">
        <f>'GHG det, per kg tallow'!G34</f>
        <v>9.3942210096583739E-2</v>
      </c>
      <c r="J12" s="53">
        <f>'GHG det, per kg tallow'!G35</f>
        <v>2.4473502510269115E-3</v>
      </c>
      <c r="L12" s="54">
        <f>'Footprints, absolute'!L12/Production!$G$21*AF_tallow_IE</f>
        <v>0.88234673641262351</v>
      </c>
      <c r="M12" s="55">
        <f>'Footprints, absolute'!M12/Production!$G$21*AF_tallow_IE</f>
        <v>6.2789610747433916E-2</v>
      </c>
      <c r="N12" s="55">
        <f>'Footprints, absolute'!N12/Production!$G$21*AF_tallow_IE</f>
        <v>2.0517514030992836E-3</v>
      </c>
      <c r="O12" s="55">
        <f>'Footprints, absolute'!O12/Production!$G$21*AF_tallow_IE</f>
        <v>3.2204697778750936E-2</v>
      </c>
      <c r="P12" s="55">
        <f>'Footprints, absolute'!P12/Production!$G$21*AF_tallow_IE</f>
        <v>0.29233339635999422</v>
      </c>
      <c r="Q12" s="56">
        <f>'Footprints, absolute'!Q12/Production!$G$21*AF_tallow_IE</f>
        <v>2.2076602036538583E-11</v>
      </c>
      <c r="R12" s="56">
        <f>'Footprints, absolute'!R12/Production!$G$21*AF_tallow_IE</f>
        <v>1.9913647726792086E-3</v>
      </c>
      <c r="S12" s="57"/>
      <c r="T12" s="130">
        <v>0</v>
      </c>
      <c r="U12" s="130">
        <v>0</v>
      </c>
    </row>
    <row r="13" spans="1:21" x14ac:dyDescent="0.2">
      <c r="A13" s="51" t="s">
        <v>195</v>
      </c>
      <c r="B13" s="23" t="s">
        <v>196</v>
      </c>
      <c r="C13" s="18" t="s">
        <v>197</v>
      </c>
      <c r="D13" t="s">
        <v>55</v>
      </c>
      <c r="E13" t="s">
        <v>56</v>
      </c>
      <c r="F13" s="15">
        <f>'GHG det, per kg tallow'!G41</f>
        <v>5.6025554622808986</v>
      </c>
      <c r="G13" s="15">
        <f>'GHG det, per kg tallow'!G37</f>
        <v>1.5520233740891061</v>
      </c>
      <c r="H13" s="52">
        <f>'GHG det, per kg tallow'!G38</f>
        <v>7.011170221606737E-3</v>
      </c>
      <c r="I13" s="53">
        <f>'GHG det, per kg tallow'!G39</f>
        <v>0.11239263856584494</v>
      </c>
      <c r="J13" s="53">
        <f>'GHG det, per kg tallow'!G40</f>
        <v>2.9560365359344275E-3</v>
      </c>
      <c r="L13" s="54">
        <f>'Footprints, absolute'!L13/Production!$H$21*AF_tallow_IT</f>
        <v>4.6975509776907645</v>
      </c>
      <c r="M13" s="55">
        <f>'Footprints, absolute'!M13/Production!$H$21*AF_tallow_IT</f>
        <v>8.1707856457744824E-2</v>
      </c>
      <c r="N13" s="55">
        <f>'Footprints, absolute'!N13/Production!$H$21*AF_tallow_IT</f>
        <v>5.1318139684469188E-3</v>
      </c>
      <c r="O13" s="55">
        <f>'Footprints, absolute'!O13/Production!$H$21*AF_tallow_IT</f>
        <v>4.5282186113528654E-2</v>
      </c>
      <c r="P13" s="55">
        <f>'Footprints, absolute'!P13/Production!$H$21*AF_tallow_IT</f>
        <v>0.27352288767679361</v>
      </c>
      <c r="Q13" s="56">
        <f>'Footprints, absolute'!Q13/Production!$H$21*AF_tallow_IT</f>
        <v>3.5412091842700546E-10</v>
      </c>
      <c r="R13" s="56">
        <f>'Footprints, absolute'!R13/Production!$H$21*AF_tallow_IT</f>
        <v>3.7514221879848815E-3</v>
      </c>
      <c r="S13" s="57"/>
      <c r="T13" s="130">
        <v>0</v>
      </c>
      <c r="U13" s="130">
        <v>0</v>
      </c>
    </row>
    <row r="14" spans="1:21" x14ac:dyDescent="0.2">
      <c r="A14" s="51" t="s">
        <v>195</v>
      </c>
      <c r="B14" s="23" t="s">
        <v>196</v>
      </c>
      <c r="C14" s="18" t="s">
        <v>197</v>
      </c>
      <c r="D14" t="s">
        <v>87</v>
      </c>
      <c r="E14" t="s">
        <v>58</v>
      </c>
      <c r="F14" s="15">
        <f>'GHG det, per kg tallow'!G46</f>
        <v>5.0642835270121074</v>
      </c>
      <c r="G14" s="15">
        <f>'GHG det, per kg tallow'!G42</f>
        <v>1.4327151907105278</v>
      </c>
      <c r="H14" s="52">
        <f>'GHG det, per kg tallow'!G43</f>
        <v>3.6945038121279639E-3</v>
      </c>
      <c r="I14" s="53">
        <f>'GHG det, per kg tallow'!G44</f>
        <v>9.2122227474381563E-2</v>
      </c>
      <c r="J14" s="53">
        <f>'GHG det, per kg tallow'!G45</f>
        <v>3.7881757541826534E-3</v>
      </c>
      <c r="L14" s="54">
        <f>'Footprints, absolute'!L14/Production!$I$21*AF_tallow_NL</f>
        <v>3.4080328706524621</v>
      </c>
      <c r="M14" s="55">
        <f>'Footprints, absolute'!M14/Production!$I$21*AF_tallow_NL</f>
        <v>9.8154966061916551E-2</v>
      </c>
      <c r="N14" s="55">
        <f>'Footprints, absolute'!N14/Production!$I$21*AF_tallow_NL</f>
        <v>3.7681687555804013E-3</v>
      </c>
      <c r="O14" s="55">
        <f>'Footprints, absolute'!O14/Production!$I$21*AF_tallow_NL</f>
        <v>2.5750488587779678E-2</v>
      </c>
      <c r="P14" s="55">
        <f>'Footprints, absolute'!P14/Production!$I$21*AF_tallow_NL</f>
        <v>0.31247278200936202</v>
      </c>
      <c r="Q14" s="56">
        <f>'Footprints, absolute'!Q14/Production!$I$21*AF_tallow_NL</f>
        <v>1.0613832938092323E-10</v>
      </c>
      <c r="R14" s="56">
        <f>'Footprints, absolute'!R14/Production!$I$21*AF_tallow_NL</f>
        <v>3.7854559687365758E-3</v>
      </c>
      <c r="S14" s="57"/>
      <c r="T14" s="130">
        <v>0</v>
      </c>
      <c r="U14" s="130">
        <v>0</v>
      </c>
    </row>
    <row r="15" spans="1:21" x14ac:dyDescent="0.2">
      <c r="A15" s="51" t="s">
        <v>195</v>
      </c>
      <c r="B15" s="23" t="s">
        <v>196</v>
      </c>
      <c r="C15" s="18" t="s">
        <v>197</v>
      </c>
      <c r="D15" t="s">
        <v>59</v>
      </c>
      <c r="E15" t="s">
        <v>60</v>
      </c>
      <c r="F15" s="15">
        <f>'GHG det, per kg tallow'!G51</f>
        <v>6.1526901884621878</v>
      </c>
      <c r="G15" s="15">
        <f>'GHG det, per kg tallow'!G47</f>
        <v>2.4738934213879342</v>
      </c>
      <c r="H15" s="52">
        <f>'GHG det, per kg tallow'!G48</f>
        <v>5.3681285285149555E-3</v>
      </c>
      <c r="I15" s="53">
        <f>'GHG det, per kg tallow'!G49</f>
        <v>9.1722657476025413E-2</v>
      </c>
      <c r="J15" s="53">
        <f>'GHG det, per kg tallow'!G50</f>
        <v>3.818002875720958E-3</v>
      </c>
      <c r="L15" s="54">
        <f>'Footprints, absolute'!L15/Production!$J$21*AF_tallow_PL</f>
        <v>4.7141059328263832</v>
      </c>
      <c r="M15" s="55">
        <f>'Footprints, absolute'!M15/Production!$J$21*AF_tallow_PL</f>
        <v>7.8290913787000302E-2</v>
      </c>
      <c r="N15" s="55">
        <f>'Footprints, absolute'!N15/Production!$J$21*AF_tallow_PL</f>
        <v>7.4472546077919448E-3</v>
      </c>
      <c r="O15" s="55">
        <f>'Footprints, absolute'!O15/Production!$J$21*AF_tallow_PL</f>
        <v>2.8073005995939947E-2</v>
      </c>
      <c r="P15" s="55">
        <f>'Footprints, absolute'!P15/Production!$J$21*AF_tallow_PL</f>
        <v>0.36259491986100989</v>
      </c>
      <c r="Q15" s="56">
        <f>'Footprints, absolute'!Q15/Production!$J$21*AF_tallow_PL</f>
        <v>7.4537326211342297E-11</v>
      </c>
      <c r="R15" s="56">
        <f>'Footprints, absolute'!R15/Production!$J$21*AF_tallow_PL</f>
        <v>3.21684894054703E-3</v>
      </c>
      <c r="S15" s="57"/>
      <c r="T15" s="130">
        <v>0</v>
      </c>
      <c r="U15" s="130">
        <v>0</v>
      </c>
    </row>
    <row r="16" spans="1:21" x14ac:dyDescent="0.2">
      <c r="A16" s="51" t="s">
        <v>195</v>
      </c>
      <c r="B16" s="23" t="s">
        <v>196</v>
      </c>
      <c r="C16" s="18" t="s">
        <v>197</v>
      </c>
      <c r="D16" t="s">
        <v>61</v>
      </c>
      <c r="E16" t="s">
        <v>62</v>
      </c>
      <c r="F16" s="15">
        <f>'GHG det, per kg tallow'!G56</f>
        <v>5.2460432020887753</v>
      </c>
      <c r="G16" s="15">
        <f>'GHG det, per kg tallow'!G52</f>
        <v>1.4201932948105376</v>
      </c>
      <c r="H16" s="52">
        <f>'GHG det, per kg tallow'!G53</f>
        <v>3.9237619814415804E-3</v>
      </c>
      <c r="I16" s="53">
        <f>'GHG det, per kg tallow'!G54</f>
        <v>0.10063603952453853</v>
      </c>
      <c r="J16" s="53">
        <f>'GHG det, per kg tallow'!G55</f>
        <v>3.6327792420100262E-3</v>
      </c>
      <c r="L16" s="54">
        <f>'Footprints, absolute'!L16/Production!$K$21*AF_tallow_ES</f>
        <v>5.6891432102662094</v>
      </c>
      <c r="M16" s="55">
        <f>'Footprints, absolute'!M16/Production!$K$21*AF_tallow_ES</f>
        <v>0.10698155449810041</v>
      </c>
      <c r="N16" s="55">
        <f>'Footprints, absolute'!N16/Production!$K$21*AF_tallow_ES</f>
        <v>9.610084447768074E-3</v>
      </c>
      <c r="O16" s="55">
        <f>'Footprints, absolute'!O16/Production!$K$21*AF_tallow_ES</f>
        <v>0.25938807713926043</v>
      </c>
      <c r="P16" s="55">
        <f>'Footprints, absolute'!P16/Production!$K$21*AF_tallow_ES</f>
        <v>0.43595659630719513</v>
      </c>
      <c r="Q16" s="56">
        <f>'Footprints, absolute'!Q16/Production!$K$21*AF_tallow_ES</f>
        <v>1.6490367087487903E-10</v>
      </c>
      <c r="R16" s="56">
        <f>'Footprints, absolute'!R16/Production!$K$21*AF_tallow_ES</f>
        <v>3.3281186957297721E-3</v>
      </c>
      <c r="S16" s="57"/>
      <c r="T16" s="130">
        <v>0</v>
      </c>
      <c r="U16" s="130">
        <v>0</v>
      </c>
    </row>
    <row r="17" spans="1:21" x14ac:dyDescent="0.2">
      <c r="A17" s="51" t="s">
        <v>195</v>
      </c>
      <c r="B17" s="23" t="s">
        <v>196</v>
      </c>
      <c r="C17" s="18" t="s">
        <v>197</v>
      </c>
      <c r="D17" s="58" t="s">
        <v>63</v>
      </c>
      <c r="E17" s="58" t="s">
        <v>64</v>
      </c>
      <c r="F17" s="57">
        <f>'GHG det, per kg tallow'!G61</f>
        <v>4.6651733888075722</v>
      </c>
      <c r="G17" s="15">
        <f>'GHG det, per kg tallow'!G57</f>
        <v>0.96912259605997952</v>
      </c>
      <c r="H17" s="52">
        <f>'GHG det, per kg tallow'!G58</f>
        <v>5.4263587459254629E-3</v>
      </c>
      <c r="I17" s="53">
        <f>'GHG det, per kg tallow'!G59</f>
        <v>9.5758216042507199E-2</v>
      </c>
      <c r="J17" s="53">
        <f>'GHG det, per kg tallow'!G60</f>
        <v>3.4757269925689348E-3</v>
      </c>
      <c r="K17" s="58"/>
      <c r="L17" s="54">
        <f>'Footprints, absolute'!L17/Production!$L$21*AF_tallow_SE</f>
        <v>8.7019543312137806</v>
      </c>
      <c r="M17" s="55">
        <f>'Footprints, absolute'!M17/Production!$L$21*AF_tallow_SE</f>
        <v>8.6603571867907431E-2</v>
      </c>
      <c r="N17" s="55">
        <f>'Footprints, absolute'!N17/Production!$L$21*AF_tallow_SE</f>
        <v>4.3478623166155984E-3</v>
      </c>
      <c r="O17" s="55">
        <f>'Footprints, absolute'!O17/Production!$L$21*AF_tallow_SE</f>
        <v>2.733992166320106E-2</v>
      </c>
      <c r="P17" s="55">
        <f>'Footprints, absolute'!P17/Production!$L$21*AF_tallow_SE</f>
        <v>0.21417833527713021</v>
      </c>
      <c r="Q17" s="56">
        <f>'Footprints, absolute'!Q17/Production!$L$21*AF_tallow_SE</f>
        <v>5.4493770778799344E-11</v>
      </c>
      <c r="R17" s="56">
        <f>'Footprints, absolute'!R17/Production!$L$21*AF_tallow_SE</f>
        <v>2.5347468199281753E-3</v>
      </c>
      <c r="S17" s="57"/>
      <c r="T17" s="130">
        <v>0</v>
      </c>
      <c r="U17" s="130">
        <v>0</v>
      </c>
    </row>
    <row r="18" spans="1:21" x14ac:dyDescent="0.2">
      <c r="A18" s="131" t="s">
        <v>195</v>
      </c>
      <c r="B18" s="519" t="s">
        <v>196</v>
      </c>
      <c r="C18" s="520" t="s">
        <v>197</v>
      </c>
      <c r="D18" s="100" t="s">
        <v>65</v>
      </c>
      <c r="E18" s="100" t="s">
        <v>66</v>
      </c>
      <c r="F18" s="106">
        <f>F12</f>
        <v>3.79218571013012</v>
      </c>
      <c r="G18" s="106">
        <f>G12</f>
        <v>0.56466740258538362</v>
      </c>
      <c r="H18" s="134">
        <f>H12</f>
        <v>7.7020189283988892E-4</v>
      </c>
      <c r="I18" s="135">
        <f>I12</f>
        <v>9.3942210096583739E-2</v>
      </c>
      <c r="J18" s="135">
        <f>J12</f>
        <v>2.4473502510269115E-3</v>
      </c>
      <c r="K18" s="106"/>
      <c r="L18" s="136">
        <f t="shared" ref="L18:R18" si="0">L12</f>
        <v>0.88234673641262351</v>
      </c>
      <c r="M18" s="134">
        <f t="shared" si="0"/>
        <v>6.2789610747433916E-2</v>
      </c>
      <c r="N18" s="134">
        <f t="shared" si="0"/>
        <v>2.0517514030992836E-3</v>
      </c>
      <c r="O18" s="134">
        <f t="shared" si="0"/>
        <v>3.2204697778750936E-2</v>
      </c>
      <c r="P18" s="134">
        <f t="shared" si="0"/>
        <v>0.29233339635999422</v>
      </c>
      <c r="Q18" s="137">
        <f t="shared" si="0"/>
        <v>2.2076602036538583E-11</v>
      </c>
      <c r="R18" s="137">
        <f t="shared" si="0"/>
        <v>1.9913647726792086E-3</v>
      </c>
      <c r="S18" s="106"/>
      <c r="T18" s="138">
        <f>T12</f>
        <v>0</v>
      </c>
      <c r="U18" s="138">
        <f>U12</f>
        <v>0</v>
      </c>
    </row>
    <row r="19" spans="1:21" x14ac:dyDescent="0.2">
      <c r="J19" s="53"/>
      <c r="M19" s="60"/>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249977111117893"/>
  </sheetPr>
  <dimension ref="A1:AB66"/>
  <sheetViews>
    <sheetView zoomScale="47" zoomScaleNormal="100" workbookViewId="0">
      <selection activeCell="A8" sqref="A8"/>
    </sheetView>
  </sheetViews>
  <sheetFormatPr baseColWidth="10" defaultColWidth="8.6640625" defaultRowHeight="15" x14ac:dyDescent="0.2"/>
  <cols>
    <col min="1" max="1" width="8.33203125" customWidth="1"/>
    <col min="2" max="2" width="22.5" customWidth="1"/>
    <col min="3" max="3" width="27.33203125" customWidth="1"/>
    <col min="4" max="4" width="10.33203125" customWidth="1"/>
    <col min="6" max="6" width="7.6640625" customWidth="1"/>
    <col min="7" max="7" width="9.33203125" customWidth="1"/>
    <col min="8" max="8" width="14.6640625" customWidth="1"/>
    <col min="9" max="9" width="9.33203125" customWidth="1"/>
    <col min="10" max="10" width="9.1640625" bestFit="1" customWidth="1"/>
    <col min="11" max="11" width="8.83203125" bestFit="1" customWidth="1"/>
    <col min="12" max="12" width="9.33203125" customWidth="1"/>
    <col min="13" max="13" width="8.83203125" bestFit="1" customWidth="1"/>
    <col min="14" max="14" width="9.33203125" customWidth="1"/>
    <col min="15" max="15" width="9.1640625" bestFit="1" customWidth="1"/>
    <col min="21" max="21" width="14.6640625" customWidth="1"/>
    <col min="23" max="23" width="14.6640625" customWidth="1"/>
    <col min="26" max="26" width="16" customWidth="1"/>
    <col min="27" max="27" width="19.33203125" customWidth="1"/>
  </cols>
  <sheetData>
    <row r="1" spans="1:26" x14ac:dyDescent="0.2">
      <c r="H1" s="24"/>
      <c r="N1" s="25"/>
    </row>
    <row r="2" spans="1:26" ht="21" customHeight="1" x14ac:dyDescent="0.25">
      <c r="A2" s="2" t="s">
        <v>198</v>
      </c>
      <c r="H2" s="24"/>
      <c r="M2" s="25"/>
      <c r="N2" s="25"/>
      <c r="S2" s="15"/>
      <c r="T2" s="13"/>
    </row>
    <row r="3" spans="1:26" x14ac:dyDescent="0.2">
      <c r="J3" s="25"/>
      <c r="K3" s="24" t="s">
        <v>1</v>
      </c>
      <c r="L3" s="26"/>
      <c r="M3" s="26"/>
      <c r="N3" s="26"/>
      <c r="O3" s="26"/>
      <c r="P3" s="26"/>
      <c r="Q3" s="26"/>
      <c r="R3" s="26"/>
      <c r="S3" s="26"/>
      <c r="T3" s="26"/>
    </row>
    <row r="4" spans="1:26" x14ac:dyDescent="0.2">
      <c r="A4" s="139"/>
      <c r="B4" s="140"/>
      <c r="C4" s="140"/>
      <c r="D4" s="140"/>
      <c r="E4" s="140"/>
      <c r="F4" s="140"/>
      <c r="G4" s="140"/>
      <c r="H4" s="141"/>
      <c r="I4" s="141"/>
      <c r="J4" s="142"/>
      <c r="K4" s="142"/>
      <c r="L4" s="142"/>
      <c r="M4" s="142"/>
      <c r="N4" s="142"/>
      <c r="O4" s="142"/>
      <c r="P4" s="142"/>
      <c r="Q4" s="142"/>
      <c r="R4" s="142"/>
      <c r="S4" s="141" t="s">
        <v>2</v>
      </c>
      <c r="T4" s="141"/>
      <c r="U4" s="143"/>
      <c r="V4" s="143"/>
      <c r="W4" s="142" t="s">
        <v>3</v>
      </c>
      <c r="X4" s="142" t="s">
        <v>4</v>
      </c>
      <c r="Z4" s="63" t="s">
        <v>170</v>
      </c>
    </row>
    <row r="5" spans="1:26" x14ac:dyDescent="0.2">
      <c r="A5" s="112" t="s">
        <v>5</v>
      </c>
      <c r="B5" s="113"/>
      <c r="C5" s="113"/>
      <c r="D5" s="114"/>
      <c r="E5" s="114"/>
      <c r="F5" s="144"/>
      <c r="G5" s="145" t="s">
        <v>6</v>
      </c>
      <c r="H5" s="145" t="s">
        <v>7</v>
      </c>
      <c r="I5" s="146"/>
      <c r="J5" s="145" t="s">
        <v>8</v>
      </c>
      <c r="K5" s="147"/>
      <c r="L5" s="118" t="s">
        <v>9</v>
      </c>
      <c r="M5" s="147"/>
      <c r="N5" s="147"/>
      <c r="O5" s="147"/>
      <c r="P5" s="118" t="s">
        <v>10</v>
      </c>
      <c r="Q5" s="118" t="s">
        <v>11</v>
      </c>
      <c r="R5" s="118" t="s">
        <v>12</v>
      </c>
      <c r="S5" s="148"/>
      <c r="T5" s="148"/>
      <c r="U5" s="149"/>
      <c r="V5" s="149"/>
      <c r="W5" s="150"/>
      <c r="X5" s="150"/>
      <c r="Z5" s="67"/>
    </row>
    <row r="6" spans="1:26" ht="72.5" customHeight="1" x14ac:dyDescent="0.2">
      <c r="A6" s="119" t="s">
        <v>13</v>
      </c>
      <c r="B6" s="120" t="s">
        <v>14</v>
      </c>
      <c r="C6" s="120" t="s">
        <v>15</v>
      </c>
      <c r="D6" s="121" t="s">
        <v>16</v>
      </c>
      <c r="E6" s="122" t="s">
        <v>17</v>
      </c>
      <c r="F6" s="121" t="s">
        <v>18</v>
      </c>
      <c r="G6" s="122" t="s">
        <v>19</v>
      </c>
      <c r="H6" s="129" t="s">
        <v>20</v>
      </c>
      <c r="I6" s="129" t="s">
        <v>21</v>
      </c>
      <c r="J6" s="129" t="s">
        <v>22</v>
      </c>
      <c r="K6" s="129" t="s">
        <v>23</v>
      </c>
      <c r="L6" s="129" t="s">
        <v>24</v>
      </c>
      <c r="M6" s="129" t="s">
        <v>25</v>
      </c>
      <c r="N6" s="129" t="s">
        <v>26</v>
      </c>
      <c r="O6" s="129" t="s">
        <v>27</v>
      </c>
      <c r="P6" s="129" t="s">
        <v>28</v>
      </c>
      <c r="Q6" s="129" t="s">
        <v>11</v>
      </c>
      <c r="R6" s="129" t="s">
        <v>29</v>
      </c>
      <c r="S6" s="122" t="s">
        <v>30</v>
      </c>
      <c r="T6" s="122" t="s">
        <v>31</v>
      </c>
      <c r="U6" s="151" t="s">
        <v>32</v>
      </c>
      <c r="V6" s="151" t="s">
        <v>33</v>
      </c>
      <c r="W6" s="129" t="s">
        <v>34</v>
      </c>
      <c r="X6" s="129" t="s">
        <v>35</v>
      </c>
      <c r="Z6" s="42" t="s">
        <v>172</v>
      </c>
    </row>
    <row r="7" spans="1:26" x14ac:dyDescent="0.2">
      <c r="A7" s="51" t="s">
        <v>195</v>
      </c>
      <c r="B7" s="23" t="s">
        <v>196</v>
      </c>
      <c r="C7" s="18" t="s">
        <v>197</v>
      </c>
      <c r="D7" s="76" t="s">
        <v>38</v>
      </c>
      <c r="E7" s="76" t="s">
        <v>39</v>
      </c>
      <c r="F7" s="77" t="s">
        <v>40</v>
      </c>
      <c r="G7" s="78">
        <f>SUM(H7:X7)</f>
        <v>0.63524044223708476</v>
      </c>
      <c r="H7" s="78">
        <f>'GHG detailed, absolute'!H7/Production!$B$21*AF_tallow_DK</f>
        <v>0.14780045631031496</v>
      </c>
      <c r="I7" s="78">
        <f>'GHG detailed, absolute'!I7/Production!$B$21*AF_tallow_DK</f>
        <v>8.3777642314060902E-2</v>
      </c>
      <c r="J7" s="78"/>
      <c r="K7" s="78"/>
      <c r="L7" s="78">
        <f>'GHG detailed, absolute'!L7/Production!$B$21*AF_tallow_DK</f>
        <v>6.4983241414155818E-2</v>
      </c>
      <c r="M7" s="78"/>
      <c r="N7" s="78">
        <f>'GHG detailed, absolute'!N7/Production!$B$21*AF_tallow_DK</f>
        <v>1.3390596762272909E-4</v>
      </c>
      <c r="O7" s="78">
        <f>'GHG detailed, absolute'!O7/Production!$B$21*AF_tallow_DK</f>
        <v>4.3556049486231339E-2</v>
      </c>
      <c r="P7" s="78">
        <f>'GHG detailed, absolute'!P7/Production!$B$21*AF_tallow_DK</f>
        <v>5.7947717155677377E-2</v>
      </c>
      <c r="Q7" s="78">
        <f>'GHG detailed, absolute'!Q7/Production!$B$21*AF_tallow_DK</f>
        <v>0.11668771849756022</v>
      </c>
      <c r="R7" s="78">
        <f>'GHG detailed, absolute'!R7/Production!$B$21*AF_tallow_DK</f>
        <v>0.11668771849756022</v>
      </c>
      <c r="S7" s="79"/>
      <c r="T7" s="80"/>
      <c r="U7" s="81"/>
      <c r="V7" s="81"/>
      <c r="W7" s="79">
        <f>'GHG detailed, absolute'!W7/Production!$B$21*AF_tallow_DK</f>
        <v>0</v>
      </c>
      <c r="X7" s="82">
        <f>'GHG detailed, absolute'!X7/Production!$B$21*AF_tallow_DK</f>
        <v>3.6659925939012028E-3</v>
      </c>
      <c r="Z7" s="83"/>
    </row>
    <row r="8" spans="1:26" x14ac:dyDescent="0.2">
      <c r="A8" s="23" t="s">
        <v>195</v>
      </c>
      <c r="B8" s="23" t="s">
        <v>196</v>
      </c>
      <c r="C8" s="18" t="s">
        <v>197</v>
      </c>
      <c r="D8" s="58" t="s">
        <v>38</v>
      </c>
      <c r="E8" s="58" t="s">
        <v>39</v>
      </c>
      <c r="F8" s="23" t="s">
        <v>41</v>
      </c>
      <c r="G8" s="83">
        <f>SUM(H8:X8)</f>
        <v>3.6982185698696433E-3</v>
      </c>
      <c r="H8" s="56">
        <f>'GHG detailed, absolute'!H8/Production!$B$21*AF_tallow_DK</f>
        <v>1.6303314620508388E-4</v>
      </c>
      <c r="I8" s="56">
        <f>'GHG detailed, absolute'!I8/Production!$B$21*AF_tallow_DK</f>
        <v>2.9477318591984399E-4</v>
      </c>
      <c r="J8" s="56"/>
      <c r="K8" s="56"/>
      <c r="L8" s="56">
        <f>'GHG detailed, absolute'!L8/Production!$B$21*AF_tallow_DK</f>
        <v>2.8785384730743696E-5</v>
      </c>
      <c r="M8" s="56"/>
      <c r="N8" s="56">
        <f>'GHG detailed, absolute'!N8/Production!$B$21*AF_tallow_DK</f>
        <v>4.4784345290069666E-7</v>
      </c>
      <c r="O8" s="56">
        <f>'GHG detailed, absolute'!O8/Production!$B$21*AF_tallow_DK</f>
        <v>2.6208751236104306E-5</v>
      </c>
      <c r="P8" s="56">
        <f>'GHG detailed, absolute'!P8/Production!$B$21*AF_tallow_DK</f>
        <v>0</v>
      </c>
      <c r="Q8" s="56">
        <f>'GHG detailed, absolute'!Q8/Production!$B$21*AF_tallow_DK</f>
        <v>1.5165423432279509E-3</v>
      </c>
      <c r="R8" s="56">
        <f>'GHG detailed, absolute'!R8/Production!$B$21*AF_tallow_DK</f>
        <v>1.5165423432279509E-3</v>
      </c>
      <c r="W8" s="13">
        <f>'GHG detailed, absolute'!W8/Production!$B$21*AF_tallow_DK</f>
        <v>1.4416723950128548E-4</v>
      </c>
      <c r="X8" s="53">
        <f>'GHG detailed, absolute'!X8/Production!$B$21*AF_tallow_DK</f>
        <v>7.7183323677795503E-6</v>
      </c>
      <c r="Z8" s="84"/>
    </row>
    <row r="9" spans="1:26" x14ac:dyDescent="0.2">
      <c r="A9" s="23" t="s">
        <v>195</v>
      </c>
      <c r="B9" s="23" t="s">
        <v>196</v>
      </c>
      <c r="C9" s="18" t="s">
        <v>197</v>
      </c>
      <c r="D9" s="58" t="s">
        <v>38</v>
      </c>
      <c r="E9" s="58" t="s">
        <v>39</v>
      </c>
      <c r="F9" s="23" t="s">
        <v>42</v>
      </c>
      <c r="G9" s="83">
        <f>SUM(H9:T9)</f>
        <v>0.10189255473231716</v>
      </c>
      <c r="H9" s="56"/>
      <c r="I9" s="56"/>
      <c r="J9" s="85"/>
      <c r="K9" s="56"/>
      <c r="L9" s="56"/>
      <c r="M9" s="56"/>
      <c r="N9" s="56"/>
      <c r="O9" s="56"/>
      <c r="P9" s="56"/>
      <c r="Q9" s="56"/>
      <c r="R9" s="56"/>
      <c r="S9" s="13">
        <f>'GHG detailed, absolute'!S9/Production!$B$21*AF_tallow_DK</f>
        <v>7.6735717833081682E-2</v>
      </c>
      <c r="T9" s="53">
        <f>'GHG detailed, absolute'!T9/Production!$B$21*AF_tallow_DK</f>
        <v>2.515683689923548E-2</v>
      </c>
      <c r="U9" s="86">
        <f>'GHG detailed, absolute'!U9/Production!$B$21*AF_tallow_DK</f>
        <v>2.515683689923548E-2</v>
      </c>
      <c r="W9" s="13"/>
      <c r="X9" s="53"/>
      <c r="Z9" s="84"/>
    </row>
    <row r="10" spans="1:26" x14ac:dyDescent="0.2">
      <c r="A10" s="23" t="s">
        <v>195</v>
      </c>
      <c r="B10" s="23" t="s">
        <v>196</v>
      </c>
      <c r="C10" s="18" t="s">
        <v>197</v>
      </c>
      <c r="D10" s="58" t="s">
        <v>38</v>
      </c>
      <c r="E10" s="58" t="s">
        <v>39</v>
      </c>
      <c r="F10" s="87" t="s">
        <v>43</v>
      </c>
      <c r="G10" s="83">
        <f>SUM(H10:T10)+W10+X10</f>
        <v>3.301280272410351E-3</v>
      </c>
      <c r="H10" s="56">
        <f>'GHG detailed, absolute'!H10/Production!$B$21*AF_tallow_DK</f>
        <v>2.1642827286223913E-4</v>
      </c>
      <c r="I10" s="56">
        <f>'GHG detailed, absolute'!I10/Production!$B$21*AF_tallow_DK</f>
        <v>3.4131632053876667E-6</v>
      </c>
      <c r="J10" s="56">
        <f>'GHG detailed, absolute'!J10/Production!$B$21*AF_tallow_DK</f>
        <v>1.5782510712467441E-3</v>
      </c>
      <c r="K10" s="84">
        <f>'GHG detailed, absolute'!K10/Production!$B$21*AF_tallow_DK</f>
        <v>1.5782510712467442E-4</v>
      </c>
      <c r="L10" s="56">
        <f>'GHG detailed, absolute'!L10/Production!$B$21*AF_tallow_DK</f>
        <v>1.7461250327302145E-6</v>
      </c>
      <c r="M10" s="56"/>
      <c r="N10" s="56">
        <f>'GHG detailed, absolute'!N10/Production!$B$21*AF_tallow_DK</f>
        <v>5.511559523871665E-9</v>
      </c>
      <c r="O10" s="56">
        <f>'GHG detailed, absolute'!O10/Production!$B$21*AF_tallow_DK</f>
        <v>1.5920580927021892E-6</v>
      </c>
      <c r="P10" s="56">
        <f>'GHG detailed, absolute'!P10/Production!$B$21*AF_tallow_DK</f>
        <v>0</v>
      </c>
      <c r="Q10" s="56">
        <f>'GHG detailed, absolute'!Q10/Production!$B$21*AF_tallow_DK</f>
        <v>1.457333862234149E-4</v>
      </c>
      <c r="R10" s="56">
        <f>'GHG detailed, absolute'!R10/Production!$B$21*AF_tallow_DK</f>
        <v>1.457333862234149E-4</v>
      </c>
      <c r="S10" s="13"/>
      <c r="T10" s="53">
        <f>'GHG detailed, absolute'!T10/Production!$B$21*AF_tallow_DK</f>
        <v>1.0450022588726522E-3</v>
      </c>
      <c r="U10" s="88">
        <f>'GHG detailed, absolute'!U10/Production!$B$21*AF_tallow_DK</f>
        <v>6.1575260846954299E-4</v>
      </c>
      <c r="V10" s="88">
        <f>'GHG detailed, absolute'!V10/Production!$B$21*AF_tallow_DK</f>
        <v>4.2924965040310923E-4</v>
      </c>
      <c r="W10" s="13">
        <f>'GHG detailed, absolute'!W10/Production!$B$21*AF_tallow_DK</f>
        <v>5.3776040175634527E-6</v>
      </c>
      <c r="X10" s="53">
        <f>'GHG detailed, absolute'!X10/Production!$B$21*AF_tallow_DK</f>
        <v>1.7232794930412954E-7</v>
      </c>
      <c r="Z10" s="84"/>
    </row>
    <row r="11" spans="1:26" x14ac:dyDescent="0.2">
      <c r="A11" s="89" t="s">
        <v>195</v>
      </c>
      <c r="B11" s="89" t="s">
        <v>196</v>
      </c>
      <c r="C11" s="90" t="s">
        <v>197</v>
      </c>
      <c r="D11" s="91" t="s">
        <v>38</v>
      </c>
      <c r="E11" s="91" t="s">
        <v>39</v>
      </c>
      <c r="F11" s="92" t="s">
        <v>44</v>
      </c>
      <c r="G11" s="93">
        <f>SUM(H11:X11)</f>
        <v>4.3977958477597898</v>
      </c>
      <c r="H11" s="94">
        <f>SUMPRODUCT(H7:H10,'Parameters, general'!$B$24:$B$27)</f>
        <v>0.21174376255861774</v>
      </c>
      <c r="I11" s="94">
        <f>SUMPRODUCT(I7:I10,'Parameters, general'!$B$24:$B$27)</f>
        <v>9.3493676809543097E-2</v>
      </c>
      <c r="J11" s="94">
        <f>SUMPRODUCT(J7:J10,'Parameters, general'!$B$24:$B$27)</f>
        <v>0.43086254245036115</v>
      </c>
      <c r="K11" s="94">
        <f>SUMPRODUCT(K7:K10,'Parameters, general'!$B$24:$B$27)</f>
        <v>4.3086254245036114E-2</v>
      </c>
      <c r="L11" s="94">
        <f>SUMPRODUCT(L7:L10,'Parameters, general'!$B$24:$B$27)</f>
        <v>6.6317738013067326E-2</v>
      </c>
      <c r="M11" s="94">
        <f>SUMPRODUCT(M7:M10,'Parameters, general'!$B$24:$B$27)</f>
        <v>0</v>
      </c>
      <c r="N11" s="94">
        <f>SUMPRODUCT(N7:N10,'Parameters, general'!$B$24:$B$27)</f>
        <v>1.4875635826918683E-4</v>
      </c>
      <c r="O11" s="94">
        <f>SUMPRODUCT(O7:O10,'Parameters, general'!$B$24:$B$27)</f>
        <v>4.4771702132374948E-2</v>
      </c>
      <c r="P11" s="94">
        <f>SUMPRODUCT(P7:P10,'Parameters, general'!$B$24:$B$27)</f>
        <v>5.7947717155677377E-2</v>
      </c>
      <c r="Q11" s="94">
        <f>SUMPRODUCT(Q7:Q10,'Parameters, general'!$B$24:$B$27)</f>
        <v>0.20166589476474542</v>
      </c>
      <c r="R11" s="94">
        <f>SUMPRODUCT(R7:R10,'Parameters, general'!$B$24:$B$27)</f>
        <v>0.20166589476474542</v>
      </c>
      <c r="S11" s="94">
        <f>SUMPRODUCT(S7:S10,'Parameters, general'!$B$24:$B$27)</f>
        <v>2.0718643814932056</v>
      </c>
      <c r="T11" s="94">
        <f>SUMPRODUCT(T7:T10,'Parameters, general'!$B$24:$B$27)</f>
        <v>0.96452021295159207</v>
      </c>
      <c r="U11" s="94"/>
      <c r="V11" s="94"/>
      <c r="W11" s="94">
        <f>SUMPRODUCT(W7:W10,'Parameters, general'!$B$24:$B$27)</f>
        <v>5.7642696339331298E-3</v>
      </c>
      <c r="X11" s="94">
        <f>SUMPRODUCT(X7:X10,'Parameters, general'!$B$24:$B$27)</f>
        <v>3.9430444286210611E-3</v>
      </c>
      <c r="Z11" s="95">
        <f>SUM(H11:R11)</f>
        <v>1.3517039392524377</v>
      </c>
    </row>
    <row r="12" spans="1:26" x14ac:dyDescent="0.2">
      <c r="A12" s="74" t="s">
        <v>195</v>
      </c>
      <c r="B12" s="74" t="s">
        <v>196</v>
      </c>
      <c r="C12" s="75" t="s">
        <v>197</v>
      </c>
      <c r="D12" s="58" t="s">
        <v>45</v>
      </c>
      <c r="E12" s="58" t="s">
        <v>46</v>
      </c>
      <c r="F12" s="97" t="s">
        <v>40</v>
      </c>
      <c r="G12" s="78">
        <f>SUM(H12:X12)</f>
        <v>0.96166885797018675</v>
      </c>
      <c r="H12" s="78">
        <f>'GHG detailed, absolute'!H12/Production!$C$21*AF_tallow_FR</f>
        <v>0.1507100693453044</v>
      </c>
      <c r="I12" s="78">
        <f>'GHG detailed, absolute'!I12/Production!$C$21*AF_tallow_FR</f>
        <v>0.12466056050311526</v>
      </c>
      <c r="J12" s="78"/>
      <c r="K12" s="78"/>
      <c r="L12" s="78">
        <f>'GHG detailed, absolute'!L12/Production!$C$21*AF_tallow_FR</f>
        <v>9.0648863610092834E-2</v>
      </c>
      <c r="M12" s="78"/>
      <c r="N12" s="78">
        <f>'GHG detailed, absolute'!N12/Production!$C$21*AF_tallow_FR</f>
        <v>1.8307986720280584E-3</v>
      </c>
      <c r="O12" s="78">
        <f>'GHG detailed, absolute'!O12/Production!$C$21*AF_tallow_FR</f>
        <v>4.9963252881021006E-2</v>
      </c>
      <c r="P12" s="78">
        <f>'GHG detailed, absolute'!P12/Production!$C$21*AF_tallow_FR</f>
        <v>7.8903533373693865E-2</v>
      </c>
      <c r="Q12" s="78">
        <f>'GHG detailed, absolute'!Q12/Production!$C$21*AF_tallow_FR</f>
        <v>0.18750152810202955</v>
      </c>
      <c r="R12" s="78">
        <f>'GHG detailed, absolute'!R12/Production!$C$21*AF_tallow_FR</f>
        <v>0.18750152810202955</v>
      </c>
      <c r="S12" s="79"/>
      <c r="T12" s="80"/>
      <c r="U12" s="81"/>
      <c r="V12" s="81"/>
      <c r="W12" s="79">
        <f>'GHG detailed, absolute'!W12/Production!$C$21*AF_tallow_FR</f>
        <v>8.7690812089628686E-2</v>
      </c>
      <c r="X12" s="98">
        <f>'GHG detailed, absolute'!X12/Production!$C$21*AF_tallow_FR</f>
        <v>2.2579112912435697E-3</v>
      </c>
      <c r="Z12" s="83"/>
    </row>
    <row r="13" spans="1:26" x14ac:dyDescent="0.2">
      <c r="A13" s="23" t="s">
        <v>195</v>
      </c>
      <c r="B13" s="23" t="s">
        <v>196</v>
      </c>
      <c r="C13" s="18" t="s">
        <v>197</v>
      </c>
      <c r="D13" s="58" t="s">
        <v>45</v>
      </c>
      <c r="E13" s="58" t="s">
        <v>46</v>
      </c>
      <c r="F13" s="23" t="s">
        <v>41</v>
      </c>
      <c r="G13" s="83">
        <f>SUM(H13:X13)</f>
        <v>4.9457618459744562E-3</v>
      </c>
      <c r="H13" s="56">
        <f>'GHG detailed, absolute'!H13/Production!$C$21*AF_tallow_FR</f>
        <v>8.426328006493861E-5</v>
      </c>
      <c r="I13" s="99">
        <f>'GHG detailed, absolute'!I13/Production!$C$21*AF_tallow_FR</f>
        <v>4.3862049065910929E-4</v>
      </c>
      <c r="J13" s="99"/>
      <c r="K13" s="99"/>
      <c r="L13" s="99">
        <f>'GHG detailed, absolute'!L13/Production!$C$21*AF_tallow_FR</f>
        <v>4.0154389926335891E-5</v>
      </c>
      <c r="M13" s="99"/>
      <c r="N13" s="99">
        <f>'GHG detailed, absolute'!N13/Production!$C$21*AF_tallow_FR</f>
        <v>5.7541850856455982E-6</v>
      </c>
      <c r="O13" s="99">
        <f>'GHG detailed, absolute'!O13/Production!$C$21*AF_tallow_FR</f>
        <v>2.8312716293563738E-5</v>
      </c>
      <c r="P13" s="99">
        <f>'GHG detailed, absolute'!P13/Production!$C$21*AF_tallow_FR</f>
        <v>0</v>
      </c>
      <c r="Q13" s="99">
        <f>'GHG detailed, absolute'!Q13/Production!$C$21*AF_tallow_FR</f>
        <v>2.0339963202785608E-3</v>
      </c>
      <c r="R13" s="99">
        <f>'GHG detailed, absolute'!R13/Production!$C$21*AF_tallow_FR</f>
        <v>2.0339963202785608E-3</v>
      </c>
      <c r="W13" s="13">
        <f>'GHG detailed, absolute'!W13/Production!$C$21*AF_tallow_FR</f>
        <v>2.7186855325801767E-4</v>
      </c>
      <c r="X13" s="15">
        <f>'GHG detailed, absolute'!X13/Production!$C$21*AF_tallow_FR</f>
        <v>8.7955901297245666E-6</v>
      </c>
      <c r="Z13" s="84"/>
    </row>
    <row r="14" spans="1:26" x14ac:dyDescent="0.2">
      <c r="A14" s="23" t="s">
        <v>195</v>
      </c>
      <c r="B14" s="23" t="s">
        <v>196</v>
      </c>
      <c r="C14" s="18" t="s">
        <v>197</v>
      </c>
      <c r="D14" s="58" t="s">
        <v>45</v>
      </c>
      <c r="E14" s="58" t="s">
        <v>46</v>
      </c>
      <c r="F14" s="23" t="s">
        <v>42</v>
      </c>
      <c r="G14" s="83">
        <f>SUM(H14:T14)</f>
        <v>0.11092075156787498</v>
      </c>
      <c r="H14" s="56"/>
      <c r="I14" s="99"/>
      <c r="J14" s="99"/>
      <c r="K14" s="99"/>
      <c r="L14" s="99"/>
      <c r="M14" s="99"/>
      <c r="N14" s="99"/>
      <c r="O14" s="99"/>
      <c r="P14" s="99"/>
      <c r="Q14" s="99"/>
      <c r="R14" s="99"/>
      <c r="S14" s="13">
        <f>'GHG detailed, absolute'!S14/Production!$C$21*AF_tallow_FR</f>
        <v>9.9658198650405802E-2</v>
      </c>
      <c r="T14" s="53">
        <f>'GHG detailed, absolute'!T14/Production!$C$21*AF_tallow_FR</f>
        <v>1.1262552917469174E-2</v>
      </c>
      <c r="U14" s="86">
        <f>'GHG detailed, absolute'!U14/Production!$C$21*AF_tallow_FR</f>
        <v>1.1262552917469174E-2</v>
      </c>
      <c r="W14" s="13"/>
      <c r="X14" s="15"/>
      <c r="Z14" s="84"/>
    </row>
    <row r="15" spans="1:26" x14ac:dyDescent="0.2">
      <c r="A15" s="23" t="s">
        <v>195</v>
      </c>
      <c r="B15" s="23" t="s">
        <v>196</v>
      </c>
      <c r="C15" s="18" t="s">
        <v>197</v>
      </c>
      <c r="D15" s="58" t="s">
        <v>45</v>
      </c>
      <c r="E15" s="58" t="s">
        <v>46</v>
      </c>
      <c r="F15" s="87" t="s">
        <v>43</v>
      </c>
      <c r="G15" s="83">
        <f>SUM(H15:T15)+W15+X15</f>
        <v>3.6637851914948891E-3</v>
      </c>
      <c r="H15" s="56">
        <f>'GHG detailed, absolute'!H15/Production!$C$21*AF_tallow_FR</f>
        <v>1.286460786777857E-4</v>
      </c>
      <c r="I15" s="84">
        <f>'GHG detailed, absolute'!I15/Production!$C$21*AF_tallow_FR</f>
        <v>5.0787635760528451E-6</v>
      </c>
      <c r="J15" s="84">
        <f>'GHG detailed, absolute'!J15/Production!$C$21*AF_tallow_FR</f>
        <v>1.8926659023090415E-3</v>
      </c>
      <c r="K15" s="84">
        <f>'GHG detailed, absolute'!K15/Production!$C$21*AF_tallow_FR</f>
        <v>1.8926659023090416E-4</v>
      </c>
      <c r="L15" s="84">
        <f>'GHG detailed, absolute'!L15/Production!$C$21*AF_tallow_FR</f>
        <v>2.4357703077527586E-6</v>
      </c>
      <c r="M15" s="84"/>
      <c r="N15" s="84">
        <f>'GHG detailed, absolute'!N15/Production!$C$21*AF_tallow_FR</f>
        <v>7.7082170162032436E-8</v>
      </c>
      <c r="O15" s="84">
        <f>'GHG detailed, absolute'!O15/Production!$C$21*AF_tallow_FR</f>
        <v>1.8690871335928475E-6</v>
      </c>
      <c r="P15" s="84">
        <f>'GHG detailed, absolute'!P15/Production!$C$21*AF_tallow_FR</f>
        <v>0</v>
      </c>
      <c r="Q15" s="84">
        <f>'GHG detailed, absolute'!Q15/Production!$C$21*AF_tallow_FR</f>
        <v>1.8574932486495124E-4</v>
      </c>
      <c r="R15" s="84">
        <f>'GHG detailed, absolute'!R15/Production!$C$21*AF_tallow_FR</f>
        <v>1.8574932486495124E-4</v>
      </c>
      <c r="S15" s="13"/>
      <c r="T15" s="53">
        <f>'GHG detailed, absolute'!T15/Production!$C$21*AF_tallow_FR</f>
        <v>1.0638950157190478E-3</v>
      </c>
      <c r="U15" s="88">
        <f>'GHG detailed, absolute'!U15/Production!$C$21*AF_tallow_FR</f>
        <v>7.3898362283905238E-4</v>
      </c>
      <c r="V15" s="88">
        <f>'GHG detailed, absolute'!V15/Production!$C$21*AF_tallow_FR</f>
        <v>3.2491139287999551E-4</v>
      </c>
      <c r="W15" s="13">
        <f>'GHG detailed, absolute'!W15/Production!$C$21*AF_tallow_FR</f>
        <v>8.2185764461243291E-6</v>
      </c>
      <c r="X15" s="15">
        <f>'GHG detailed, absolute'!X15/Production!$C$21*AF_tallow_FR</f>
        <v>1.3367519452355157E-7</v>
      </c>
      <c r="Z15" s="84"/>
    </row>
    <row r="16" spans="1:26" x14ac:dyDescent="0.2">
      <c r="A16" s="89" t="s">
        <v>195</v>
      </c>
      <c r="B16" s="89" t="s">
        <v>196</v>
      </c>
      <c r="C16" s="90" t="s">
        <v>197</v>
      </c>
      <c r="D16" s="100" t="s">
        <v>45</v>
      </c>
      <c r="E16" s="100" t="s">
        <v>46</v>
      </c>
      <c r="F16" s="101" t="s">
        <v>44</v>
      </c>
      <c r="G16" s="102">
        <f>SUM(H16:X16)</f>
        <v>5.1041262105909544</v>
      </c>
      <c r="H16" s="94">
        <f>SUMPRODUCT(H12:H15,'Parameters, general'!$B$24:$B$27)</f>
        <v>0.18834149457027505</v>
      </c>
      <c r="I16" s="94">
        <f>SUMPRODUCT(I12:I15,'Parameters, general'!$B$24:$B$27)</f>
        <v>0.13911795358101914</v>
      </c>
      <c r="J16" s="94">
        <f>SUMPRODUCT(J12:J15,'Parameters, general'!$B$24:$B$27)</f>
        <v>0.51669779133036831</v>
      </c>
      <c r="K16" s="94">
        <f>SUMPRODUCT(K12:K15,'Parameters, general'!$B$24:$B$27)</f>
        <v>5.1669779133036838E-2</v>
      </c>
      <c r="L16" s="94">
        <f>SUMPRODUCT(L12:L15,'Parameters, general'!$B$24:$B$27)</f>
        <v>9.2510429723914156E-2</v>
      </c>
      <c r="M16" s="94">
        <f>SUMPRODUCT(M12:M15,'Parameters, general'!$B$24:$B$27)</f>
        <v>0</v>
      </c>
      <c r="N16" s="94">
        <f>SUMPRODUCT(N12:N15,'Parameters, general'!$B$24:$B$27)</f>
        <v>2.0233168200345323E-3</v>
      </c>
      <c r="O16" s="94">
        <f>SUMPRODUCT(O12:O15,'Parameters, general'!$B$24:$B$27)</f>
        <v>5.1317232614040052E-2</v>
      </c>
      <c r="P16" s="94">
        <f>SUMPRODUCT(P12:P15,'Parameters, general'!$B$24:$B$27)</f>
        <v>7.8903533373693865E-2</v>
      </c>
      <c r="Q16" s="94">
        <f>SUMPRODUCT(Q12:Q15,'Parameters, general'!$B$24:$B$27)</f>
        <v>0.29882418413446232</v>
      </c>
      <c r="R16" s="94">
        <f>SUMPRODUCT(R12:R15,'Parameters, general'!$B$24:$B$27)</f>
        <v>0.29882418413446232</v>
      </c>
      <c r="S16" s="94">
        <f>SUMPRODUCT(S12:S15,'Parameters, general'!$B$24:$B$27)</f>
        <v>2.6907713635609567</v>
      </c>
      <c r="T16" s="94">
        <f>SUMPRODUCT(T12:T15,'Parameters, general'!$B$24:$B$27)</f>
        <v>0.59453226806296777</v>
      </c>
      <c r="U16" s="94"/>
      <c r="V16" s="94"/>
      <c r="W16" s="94">
        <f>SUMPRODUCT(W12:W15,'Parameters, general'!$B$24:$B$27)</f>
        <v>9.8036166346509551E-2</v>
      </c>
      <c r="X16" s="94">
        <f>SUMPRODUCT(X12:X15,'Parameters, general'!$B$24:$B$27)</f>
        <v>2.5565132052142911E-3</v>
      </c>
      <c r="Z16" s="95">
        <f>SUM(H16:R16)</f>
        <v>1.7182298994153067</v>
      </c>
    </row>
    <row r="17" spans="1:26" x14ac:dyDescent="0.2">
      <c r="A17" s="74" t="s">
        <v>195</v>
      </c>
      <c r="B17" s="74" t="s">
        <v>196</v>
      </c>
      <c r="C17" s="75" t="s">
        <v>197</v>
      </c>
      <c r="D17" s="76" t="s">
        <v>47</v>
      </c>
      <c r="E17" s="76" t="s">
        <v>48</v>
      </c>
      <c r="F17" s="77" t="s">
        <v>40</v>
      </c>
      <c r="G17" s="78">
        <f>SUM(H17:X17)</f>
        <v>1.2220672071970065</v>
      </c>
      <c r="H17" s="78">
        <f>'GHG detailed, absolute'!H17/Production!$D$21*AF_tallow_DE</f>
        <v>9.9125241034547076E-2</v>
      </c>
      <c r="I17" s="78">
        <f>'GHG detailed, absolute'!I17/Production!$D$21*AF_tallow_DE</f>
        <v>0.10804763116868833</v>
      </c>
      <c r="J17" s="78"/>
      <c r="K17" s="78"/>
      <c r="L17" s="78">
        <f>'GHG detailed, absolute'!L17/Production!$D$21*AF_tallow_DE</f>
        <v>6.8133565653468953E-2</v>
      </c>
      <c r="M17" s="78"/>
      <c r="N17" s="78">
        <f>'GHG detailed, absolute'!N17/Production!$D$21*AF_tallow_DE</f>
        <v>1.4426498537161049E-4</v>
      </c>
      <c r="O17" s="78">
        <f>'GHG detailed, absolute'!O17/Production!$D$21*AF_tallow_DE</f>
        <v>2.0722271299609369E-2</v>
      </c>
      <c r="P17" s="78">
        <f>'GHG detailed, absolute'!P17/Production!$D$21*AF_tallow_DE</f>
        <v>8.7954226974283359E-2</v>
      </c>
      <c r="Q17" s="78">
        <f>'GHG detailed, absolute'!Q17/Production!$D$21*AF_tallow_DE</f>
        <v>0.20030300621568911</v>
      </c>
      <c r="R17" s="78">
        <f>'GHG detailed, absolute'!R17/Production!$D$21*AF_tallow_DE</f>
        <v>0.20030300621568911</v>
      </c>
      <c r="S17" s="79"/>
      <c r="T17" s="80"/>
      <c r="U17" s="81"/>
      <c r="V17" s="81"/>
      <c r="W17" s="79">
        <f>'GHG detailed, absolute'!W17/Production!$D$21*AF_tallow_DE</f>
        <v>0.4326602253661595</v>
      </c>
      <c r="X17" s="82">
        <f>'GHG detailed, absolute'!X17/Production!$D$21*AF_tallow_DE</f>
        <v>4.6737682835000403E-3</v>
      </c>
      <c r="Z17" s="83"/>
    </row>
    <row r="18" spans="1:26" x14ac:dyDescent="0.2">
      <c r="A18" s="23" t="s">
        <v>195</v>
      </c>
      <c r="B18" s="23" t="s">
        <v>196</v>
      </c>
      <c r="C18" s="18" t="s">
        <v>197</v>
      </c>
      <c r="D18" s="58" t="s">
        <v>47</v>
      </c>
      <c r="E18" s="58" t="s">
        <v>48</v>
      </c>
      <c r="F18" s="23" t="s">
        <v>41</v>
      </c>
      <c r="G18" s="83">
        <f>SUM(H18:X18)</f>
        <v>4.8636145899200525E-3</v>
      </c>
      <c r="H18" s="56">
        <f>'GHG detailed, absolute'!H18/Production!$D$21*AF_tallow_DE</f>
        <v>9.1636607061427468E-5</v>
      </c>
      <c r="I18" s="56">
        <f>'GHG detailed, absolute'!I18/Production!$D$21*AF_tallow_DE</f>
        <v>3.801675911490886E-4</v>
      </c>
      <c r="J18" s="56"/>
      <c r="K18" s="56"/>
      <c r="L18" s="56">
        <f>'GHG detailed, absolute'!L18/Production!$D$21*AF_tallow_DE</f>
        <v>3.0180872140755559E-5</v>
      </c>
      <c r="M18" s="56"/>
      <c r="N18" s="56">
        <f>'GHG detailed, absolute'!N18/Production!$D$21*AF_tallow_DE</f>
        <v>4.7473566113544275E-7</v>
      </c>
      <c r="O18" s="56">
        <f>'GHG detailed, absolute'!O18/Production!$D$21*AF_tallow_DE</f>
        <v>1.3912060754725337E-5</v>
      </c>
      <c r="P18" s="56">
        <f>'GHG detailed, absolute'!P18/Production!$D$21*AF_tallow_DE</f>
        <v>0</v>
      </c>
      <c r="Q18" s="56">
        <f>'GHG detailed, absolute'!Q18/Production!$D$21*AF_tallow_DE</f>
        <v>1.7541549147757174E-3</v>
      </c>
      <c r="R18" s="56">
        <f>'GHG detailed, absolute'!R18/Production!$D$21*AF_tallow_DE</f>
        <v>1.7541549147757174E-3</v>
      </c>
      <c r="W18" s="13">
        <f>'GHG detailed, absolute'!W18/Production!$D$21*AF_tallow_DE</f>
        <v>8.2763146952149038E-4</v>
      </c>
      <c r="X18" s="53">
        <f>'GHG detailed, absolute'!X18/Production!$D$21*AF_tallow_DE</f>
        <v>1.130142407999509E-5</v>
      </c>
      <c r="Z18" s="84"/>
    </row>
    <row r="19" spans="1:26" x14ac:dyDescent="0.2">
      <c r="A19" s="23" t="s">
        <v>195</v>
      </c>
      <c r="B19" s="23" t="s">
        <v>196</v>
      </c>
      <c r="C19" s="18" t="s">
        <v>197</v>
      </c>
      <c r="D19" s="58" t="s">
        <v>47</v>
      </c>
      <c r="E19" s="58" t="s">
        <v>48</v>
      </c>
      <c r="F19" s="23" t="s">
        <v>42</v>
      </c>
      <c r="G19" s="83">
        <f>SUM(H19:T19)</f>
        <v>9.8401421227876137E-2</v>
      </c>
      <c r="H19" s="56"/>
      <c r="I19" s="56"/>
      <c r="J19" s="85"/>
      <c r="K19" s="56"/>
      <c r="L19" s="56"/>
      <c r="M19" s="56"/>
      <c r="N19" s="56"/>
      <c r="O19" s="56"/>
      <c r="P19" s="56"/>
      <c r="Q19" s="56"/>
      <c r="R19" s="56"/>
      <c r="S19" s="13">
        <f>'GHG detailed, absolute'!S19/Production!$D$21*AF_tallow_DE</f>
        <v>8.316297082994123E-2</v>
      </c>
      <c r="T19" s="53">
        <f>'GHG detailed, absolute'!T19/Production!$D$21*AF_tallow_DE</f>
        <v>1.5238450397934913E-2</v>
      </c>
      <c r="U19" s="86">
        <f>'GHG detailed, absolute'!U19/Production!$D$21*AF_tallow_DE</f>
        <v>1.5238450397934913E-2</v>
      </c>
      <c r="W19" s="13"/>
      <c r="X19" s="53"/>
      <c r="Z19" s="84"/>
    </row>
    <row r="20" spans="1:26" x14ac:dyDescent="0.2">
      <c r="A20" s="23" t="s">
        <v>195</v>
      </c>
      <c r="B20" s="23" t="s">
        <v>196</v>
      </c>
      <c r="C20" s="18" t="s">
        <v>197</v>
      </c>
      <c r="D20" s="58" t="s">
        <v>47</v>
      </c>
      <c r="E20" s="58" t="s">
        <v>48</v>
      </c>
      <c r="F20" s="87" t="s">
        <v>43</v>
      </c>
      <c r="G20" s="83">
        <f>SUM(H20:T20)+W20+X20</f>
        <v>2.7721476434236767E-3</v>
      </c>
      <c r="H20" s="56">
        <f>'GHG detailed, absolute'!H20/Production!$D$21*AF_tallow_DE</f>
        <v>1.2253615084126162E-4</v>
      </c>
      <c r="I20" s="56">
        <f>'GHG detailed, absolute'!I20/Production!$D$21*AF_tallow_DE</f>
        <v>4.4019405290947102E-6</v>
      </c>
      <c r="J20" s="56">
        <f>'GHG detailed, absolute'!J20/Production!$D$21*AF_tallow_DE</f>
        <v>1.1935318993169075E-3</v>
      </c>
      <c r="K20" s="84">
        <f>'GHG detailed, absolute'!K20/Production!$D$21*AF_tallow_DE</f>
        <v>1.1935318993169073E-4</v>
      </c>
      <c r="L20" s="56">
        <f>'GHG detailed, absolute'!L20/Production!$D$21*AF_tallow_DE</f>
        <v>1.8307754733018539E-6</v>
      </c>
      <c r="M20" s="56"/>
      <c r="N20" s="56">
        <f>'GHG detailed, absolute'!N20/Production!$D$21*AF_tallow_DE</f>
        <v>5.9742291596258773E-9</v>
      </c>
      <c r="O20" s="56">
        <f>'GHG detailed, absolute'!O20/Production!$D$21*AF_tallow_DE</f>
        <v>7.4201649407144433E-7</v>
      </c>
      <c r="P20" s="56">
        <f>'GHG detailed, absolute'!P20/Production!$D$21*AF_tallow_DE</f>
        <v>0</v>
      </c>
      <c r="Q20" s="56">
        <f>'GHG detailed, absolute'!Q20/Production!$D$21*AF_tallow_DE</f>
        <v>1.5766232956250821E-4</v>
      </c>
      <c r="R20" s="56">
        <f>'GHG detailed, absolute'!R20/Production!$D$21*AF_tallow_DE</f>
        <v>1.5766232956250821E-4</v>
      </c>
      <c r="S20" s="13"/>
      <c r="T20" s="53">
        <f>'GHG detailed, absolute'!T20/Production!$D$21*AF_tallow_DE</f>
        <v>9.9484545371129104E-4</v>
      </c>
      <c r="U20" s="88">
        <f>'GHG detailed, absolute'!U20/Production!$D$21*AF_tallow_DE</f>
        <v>5.9465116410025451E-4</v>
      </c>
      <c r="V20" s="88">
        <f>'GHG detailed, absolute'!V20/Production!$D$21*AF_tallow_DE</f>
        <v>4.0019428961103669E-4</v>
      </c>
      <c r="W20" s="13">
        <f>'GHG detailed, absolute'!W20/Production!$D$21*AF_tallow_DE</f>
        <v>1.9377622285849465E-5</v>
      </c>
      <c r="X20" s="53">
        <f>'GHG detailed, absolute'!X20/Production!$D$21*AF_tallow_DE</f>
        <v>1.9796148603246913E-7</v>
      </c>
      <c r="Z20" s="84"/>
    </row>
    <row r="21" spans="1:26" x14ac:dyDescent="0.2">
      <c r="A21" s="89" t="s">
        <v>195</v>
      </c>
      <c r="B21" s="89" t="s">
        <v>196</v>
      </c>
      <c r="C21" s="90" t="s">
        <v>197</v>
      </c>
      <c r="D21" s="91" t="s">
        <v>47</v>
      </c>
      <c r="E21" s="91" t="s">
        <v>48</v>
      </c>
      <c r="F21" s="92" t="s">
        <v>44</v>
      </c>
      <c r="G21" s="102">
        <f>SUM(H21:X21)</f>
        <v>4.780637601783944</v>
      </c>
      <c r="H21" s="94">
        <f>SUMPRODUCT(H17:H20,'Parameters, general'!$B$24:$B$27)</f>
        <v>0.13530838110464205</v>
      </c>
      <c r="I21" s="94">
        <f>SUMPRODUCT(I17:I20,'Parameters, general'!$B$24:$B$27)</f>
        <v>0.12057835514937403</v>
      </c>
      <c r="J21" s="94">
        <f>SUMPRODUCT(J17:J20,'Parameters, general'!$B$24:$B$27)</f>
        <v>0.32583420851351574</v>
      </c>
      <c r="K21" s="94">
        <f>SUMPRODUCT(K17:K20,'Parameters, general'!$B$24:$B$27)</f>
        <v>3.2583420851351567E-2</v>
      </c>
      <c r="L21" s="94">
        <f>SUMPRODUCT(L17:L20,'Parameters, general'!$B$24:$B$27)</f>
        <v>6.9532757347474869E-2</v>
      </c>
      <c r="M21" s="94">
        <f>SUMPRODUCT(M17:M20,'Parameters, general'!$B$24:$B$27)</f>
        <v>0</v>
      </c>
      <c r="N21" s="94">
        <f>SUMPRODUCT(N17:N20,'Parameters, general'!$B$24:$B$27)</f>
        <v>1.6004307263402454E-4</v>
      </c>
      <c r="O21" s="94">
        <f>SUMPRODUCT(O17:O20,'Parameters, general'!$B$24:$B$27)</f>
        <v>2.1339421212981689E-2</v>
      </c>
      <c r="P21" s="94">
        <f>SUMPRODUCT(P17:P20,'Parameters, general'!$B$24:$B$27)</f>
        <v>8.7954226974283359E-2</v>
      </c>
      <c r="Q21" s="94">
        <f>SUMPRODUCT(Q17:Q20,'Parameters, general'!$B$24:$B$27)</f>
        <v>0.29561863864657023</v>
      </c>
      <c r="R21" s="94">
        <f>SUMPRODUCT(R17:R20,'Parameters, general'!$B$24:$B$27)</f>
        <v>0.29561863864657023</v>
      </c>
      <c r="S21" s="94">
        <f>SUMPRODUCT(S17:S20,'Parameters, general'!$B$24:$B$27)</f>
        <v>2.2454002124084131</v>
      </c>
      <c r="T21" s="94">
        <f>SUMPRODUCT(T17:T20,'Parameters, general'!$B$24:$B$27)</f>
        <v>0.68303096960742504</v>
      </c>
      <c r="U21" s="94"/>
      <c r="V21" s="94"/>
      <c r="W21" s="94">
        <f>SUMPRODUCT(W17:W20,'Parameters, general'!$B$24:$B$27)</f>
        <v>0.46261373404193684</v>
      </c>
      <c r="X21" s="94">
        <f>SUMPRODUCT(X17:X20,'Parameters, general'!$B$24:$B$27)</f>
        <v>5.064594206770758E-3</v>
      </c>
      <c r="Z21" s="95">
        <f>SUM(H21:R21)</f>
        <v>1.3845280915193978</v>
      </c>
    </row>
    <row r="22" spans="1:26" x14ac:dyDescent="0.2">
      <c r="A22" s="74" t="s">
        <v>195</v>
      </c>
      <c r="B22" s="74" t="s">
        <v>196</v>
      </c>
      <c r="C22" s="75" t="s">
        <v>197</v>
      </c>
      <c r="D22" s="58" t="s">
        <v>49</v>
      </c>
      <c r="E22" s="58" t="s">
        <v>50</v>
      </c>
      <c r="F22" s="97" t="s">
        <v>40</v>
      </c>
      <c r="G22" s="78">
        <f>SUM(H22:X22)</f>
        <v>2.025929149259535</v>
      </c>
      <c r="H22" s="78">
        <f>'GHG detailed, absolute'!H22/Production!$E$21*AF_tallow_GR</f>
        <v>0.26983272392181717</v>
      </c>
      <c r="I22" s="78">
        <f>'GHG detailed, absolute'!I22/Production!$E$21*AF_tallow_GR</f>
        <v>0.11307635604496306</v>
      </c>
      <c r="J22" s="78"/>
      <c r="K22" s="78"/>
      <c r="L22" s="78">
        <f>'GHG detailed, absolute'!L22/Production!$E$21*AF_tallow_GR</f>
        <v>0.14925096447921363</v>
      </c>
      <c r="M22" s="78"/>
      <c r="N22" s="78">
        <f>'GHG detailed, absolute'!N22/Production!$E$21*AF_tallow_GR</f>
        <v>1.8739237374154668E-2</v>
      </c>
      <c r="O22" s="78">
        <f>'GHG detailed, absolute'!O22/Production!$E$21*AF_tallow_GR</f>
        <v>9.1788736188972458E-2</v>
      </c>
      <c r="P22" s="78">
        <f>'GHG detailed, absolute'!P22/Production!$E$21*AF_tallow_GR</f>
        <v>0.12079368818821276</v>
      </c>
      <c r="Q22" s="78">
        <f>'GHG detailed, absolute'!Q22/Production!$E$21*AF_tallow_GR</f>
        <v>0.25014842755604688</v>
      </c>
      <c r="R22" s="78">
        <f>'GHG detailed, absolute'!R22/Production!$E$21*AF_tallow_GR</f>
        <v>0.25014842755604688</v>
      </c>
      <c r="S22" s="79"/>
      <c r="T22" s="80"/>
      <c r="U22" s="81"/>
      <c r="V22" s="81"/>
      <c r="W22" s="79">
        <f>'GHG detailed, absolute'!W22/Production!$E$21*AF_tallow_GR</f>
        <v>0.75517565346194249</v>
      </c>
      <c r="X22" s="82">
        <f>'GHG detailed, absolute'!X22/Production!$E$21*AF_tallow_GR</f>
        <v>6.9749344881653279E-3</v>
      </c>
      <c r="Z22" s="83"/>
    </row>
    <row r="23" spans="1:26" x14ac:dyDescent="0.2">
      <c r="A23" s="23" t="s">
        <v>195</v>
      </c>
      <c r="B23" s="23" t="s">
        <v>196</v>
      </c>
      <c r="C23" s="18" t="s">
        <v>197</v>
      </c>
      <c r="D23" s="58" t="s">
        <v>49</v>
      </c>
      <c r="E23" s="58" t="s">
        <v>50</v>
      </c>
      <c r="F23" s="23" t="s">
        <v>41</v>
      </c>
      <c r="G23" s="83">
        <f>SUM(H23:X23)</f>
        <v>5.0159646277690368E-3</v>
      </c>
      <c r="H23" s="56">
        <f>'GHG detailed, absolute'!H23/Production!$E$21*AF_tallow_GR</f>
        <v>5.6680002817690731E-6</v>
      </c>
      <c r="I23" s="56">
        <f>'GHG detailed, absolute'!I23/Production!$E$21*AF_tallow_GR</f>
        <v>3.978612527507961E-4</v>
      </c>
      <c r="J23" s="56"/>
      <c r="K23" s="56"/>
      <c r="L23" s="56">
        <f>'GHG detailed, absolute'!L23/Production!$E$21*AF_tallow_GR</f>
        <v>6.6113144565805557E-5</v>
      </c>
      <c r="M23" s="56"/>
      <c r="N23" s="56">
        <f>'GHG detailed, absolute'!N23/Production!$E$21*AF_tallow_GR</f>
        <v>5.7062472870056693E-5</v>
      </c>
      <c r="O23" s="56">
        <f>'GHG detailed, absolute'!O23/Production!$E$21*AF_tallow_GR</f>
        <v>7.5308081142999049E-5</v>
      </c>
      <c r="P23" s="56">
        <f>'GHG detailed, absolute'!P23/Production!$E$21*AF_tallow_GR</f>
        <v>0</v>
      </c>
      <c r="Q23" s="56">
        <f>'GHG detailed, absolute'!Q23/Production!$E$21*AF_tallow_GR</f>
        <v>1.449177272482349E-3</v>
      </c>
      <c r="R23" s="56">
        <f>'GHG detailed, absolute'!R23/Production!$E$21*AF_tallow_GR</f>
        <v>1.449177272482349E-3</v>
      </c>
      <c r="W23" s="13">
        <f>'GHG detailed, absolute'!W23/Production!$E$21*AF_tallow_GR</f>
        <v>1.4991295333214121E-3</v>
      </c>
      <c r="X23" s="53">
        <f>'GHG detailed, absolute'!X23/Production!$E$21*AF_tallow_GR</f>
        <v>1.6467597871500564E-5</v>
      </c>
      <c r="Z23" s="84"/>
    </row>
    <row r="24" spans="1:26" x14ac:dyDescent="0.2">
      <c r="A24" s="23" t="s">
        <v>195</v>
      </c>
      <c r="B24" s="23" t="s">
        <v>196</v>
      </c>
      <c r="C24" s="18" t="s">
        <v>197</v>
      </c>
      <c r="D24" s="58" t="s">
        <v>49</v>
      </c>
      <c r="E24" s="58" t="s">
        <v>50</v>
      </c>
      <c r="F24" s="23" t="s">
        <v>42</v>
      </c>
      <c r="G24" s="83">
        <f>SUM(H24:T24)</f>
        <v>9.1181367271154071E-2</v>
      </c>
      <c r="H24" s="56"/>
      <c r="I24" s="56"/>
      <c r="J24" s="85"/>
      <c r="K24" s="56"/>
      <c r="L24" s="56"/>
      <c r="M24" s="56"/>
      <c r="N24" s="56"/>
      <c r="O24" s="56"/>
      <c r="P24" s="56"/>
      <c r="Q24" s="56"/>
      <c r="R24" s="56"/>
      <c r="S24" s="13">
        <f>'GHG detailed, absolute'!S24/Production!$E$21*AF_tallow_GR</f>
        <v>8.3339952455158725E-2</v>
      </c>
      <c r="T24" s="53">
        <f>'GHG detailed, absolute'!T24/Production!$E$21*AF_tallow_GR</f>
        <v>7.8414148159953439E-3</v>
      </c>
      <c r="U24" s="86">
        <f>'GHG detailed, absolute'!U24/Production!$E$21*AF_tallow_GR</f>
        <v>7.8414148159953439E-3</v>
      </c>
      <c r="W24" s="13"/>
      <c r="X24" s="53"/>
      <c r="Z24" s="84"/>
    </row>
    <row r="25" spans="1:26" x14ac:dyDescent="0.2">
      <c r="A25" s="23" t="s">
        <v>195</v>
      </c>
      <c r="B25" s="23" t="s">
        <v>196</v>
      </c>
      <c r="C25" s="18" t="s">
        <v>197</v>
      </c>
      <c r="D25" s="58" t="s">
        <v>49</v>
      </c>
      <c r="E25" s="58" t="s">
        <v>50</v>
      </c>
      <c r="F25" s="87" t="s">
        <v>43</v>
      </c>
      <c r="G25" s="83">
        <f>SUM(H25:T25)+W25+X25</f>
        <v>4.2335991177845228E-3</v>
      </c>
      <c r="H25" s="56">
        <f>'GHG detailed, absolute'!H25/Production!$E$21*AF_tallow_GR</f>
        <v>3.116093212104032E-5</v>
      </c>
      <c r="I25" s="56">
        <f>'GHG detailed, absolute'!I25/Production!$E$21*AF_tallow_GR</f>
        <v>4.6068145055355333E-6</v>
      </c>
      <c r="J25" s="56">
        <f>'GHG detailed, absolute'!J25/Production!$E$21*AF_tallow_GR</f>
        <v>2.243667559653325E-3</v>
      </c>
      <c r="K25" s="84">
        <f>'GHG detailed, absolute'!K25/Production!$E$21*AF_tallow_GR</f>
        <v>2.243667559653325E-4</v>
      </c>
      <c r="L25" s="56">
        <f>'GHG detailed, absolute'!L25/Production!$E$21*AF_tallow_GR</f>
        <v>4.0104316061327176E-6</v>
      </c>
      <c r="M25" s="56"/>
      <c r="N25" s="56">
        <f>'GHG detailed, absolute'!N25/Production!$E$21*AF_tallow_GR</f>
        <v>7.9756753093149944E-7</v>
      </c>
      <c r="O25" s="56">
        <f>'GHG detailed, absolute'!O25/Production!$E$21*AF_tallow_GR</f>
        <v>3.241101704568822E-6</v>
      </c>
      <c r="P25" s="56">
        <f>'GHG detailed, absolute'!P25/Production!$E$21*AF_tallow_GR</f>
        <v>0</v>
      </c>
      <c r="Q25" s="56">
        <f>'GHG detailed, absolute'!Q25/Production!$E$21*AF_tallow_GR</f>
        <v>1.1364509698365283E-4</v>
      </c>
      <c r="R25" s="56">
        <f>'GHG detailed, absolute'!R25/Production!$E$21*AF_tallow_GR</f>
        <v>1.1364509698365283E-4</v>
      </c>
      <c r="S25" s="13"/>
      <c r="T25" s="53">
        <f>'GHG detailed, absolute'!T25/Production!$E$21*AF_tallow_GR</f>
        <v>1.4682324395963848E-3</v>
      </c>
      <c r="U25" s="88">
        <f>'GHG detailed, absolute'!U25/Production!$E$21*AF_tallow_GR</f>
        <v>1.1037105979252535E-3</v>
      </c>
      <c r="V25" s="88">
        <f>'GHG detailed, absolute'!V25/Production!$E$21*AF_tallow_GR</f>
        <v>3.6452184167113115E-4</v>
      </c>
      <c r="W25" s="13">
        <f>'GHG detailed, absolute'!W25/Production!$E$21*AF_tallow_GR</f>
        <v>2.5987527220990912E-5</v>
      </c>
      <c r="X25" s="53">
        <f>'GHG detailed, absolute'!X25/Production!$E$21*AF_tallow_GR</f>
        <v>2.3779391297572665E-7</v>
      </c>
      <c r="Z25" s="84"/>
    </row>
    <row r="26" spans="1:26" x14ac:dyDescent="0.2">
      <c r="A26" s="89" t="s">
        <v>195</v>
      </c>
      <c r="B26" s="89" t="s">
        <v>196</v>
      </c>
      <c r="C26" s="90" t="s">
        <v>197</v>
      </c>
      <c r="D26" s="100" t="s">
        <v>49</v>
      </c>
      <c r="E26" s="100" t="s">
        <v>50</v>
      </c>
      <c r="F26" s="92" t="s">
        <v>44</v>
      </c>
      <c r="G26" s="102">
        <f>SUM(H26:X26)</f>
        <v>5.7930743706433887</v>
      </c>
      <c r="H26" s="94">
        <f>SUMPRODUCT(H22:H25,'Parameters, general'!$B$24:$B$27)</f>
        <v>0.2785085647992579</v>
      </c>
      <c r="I26" s="94">
        <f>SUMPRODUCT(I22:I25,'Parameters, general'!$B$24:$B$27)</f>
        <v>0.12619028173694799</v>
      </c>
      <c r="J26" s="94">
        <f>SUMPRODUCT(J22:J25,'Parameters, general'!$B$24:$B$27)</f>
        <v>0.61252124378535766</v>
      </c>
      <c r="K26" s="94">
        <f>SUMPRODUCT(K22:K25,'Parameters, general'!$B$24:$B$27)</f>
        <v>6.125212437853577E-2</v>
      </c>
      <c r="L26" s="94">
        <f>SUMPRODUCT(L22:L25,'Parameters, general'!$B$24:$B$27)</f>
        <v>0.15231598401574889</v>
      </c>
      <c r="M26" s="94">
        <f>SUMPRODUCT(M22:M25,'Parameters, general'!$B$24:$B$27)</f>
        <v>0</v>
      </c>
      <c r="N26" s="94">
        <f>SUMPRODUCT(N22:N25,'Parameters, general'!$B$24:$B$27)</f>
        <v>2.0657435001626655E-2</v>
      </c>
      <c r="O26" s="94">
        <f>SUMPRODUCT(O22:O25,'Parameters, general'!$B$24:$B$27)</f>
        <v>9.4917737772381119E-2</v>
      </c>
      <c r="P26" s="94">
        <f>SUMPRODUCT(P22:P25,'Parameters, general'!$B$24:$B$27)</f>
        <v>0.12079368818821276</v>
      </c>
      <c r="Q26" s="94">
        <f>SUMPRODUCT(Q22:Q25,'Parameters, general'!$B$24:$B$27)</f>
        <v>0.32435902175255815</v>
      </c>
      <c r="R26" s="94">
        <f>SUMPRODUCT(R22:R25,'Parameters, general'!$B$24:$B$27)</f>
        <v>0.32435902175255815</v>
      </c>
      <c r="S26" s="94">
        <f>SUMPRODUCT(S22:S25,'Parameters, general'!$B$24:$B$27)</f>
        <v>2.2501787162892857</v>
      </c>
      <c r="T26" s="94">
        <f>SUMPRODUCT(T22:T25,'Parameters, general'!$B$24:$B$27)</f>
        <v>0.61254565604168731</v>
      </c>
      <c r="U26" s="94"/>
      <c r="V26" s="94"/>
      <c r="W26" s="94">
        <f>SUMPRODUCT(W22:W25,'Parameters, general'!$B$24:$B$27)</f>
        <v>0.80694430848625098</v>
      </c>
      <c r="X26" s="94">
        <f>SUMPRODUCT(X22:X25,'Parameters, general'!$B$24:$B$27)</f>
        <v>7.5305866429784185E-3</v>
      </c>
      <c r="Z26" s="95">
        <f>SUM(H26:R26)</f>
        <v>2.1158751031831851</v>
      </c>
    </row>
    <row r="27" spans="1:26" x14ac:dyDescent="0.2">
      <c r="A27" s="74" t="s">
        <v>195</v>
      </c>
      <c r="B27" s="74" t="s">
        <v>196</v>
      </c>
      <c r="C27" s="75" t="s">
        <v>197</v>
      </c>
      <c r="D27" s="76" t="s">
        <v>51</v>
      </c>
      <c r="E27" s="76" t="s">
        <v>52</v>
      </c>
      <c r="F27" s="77" t="s">
        <v>40</v>
      </c>
      <c r="G27" s="78">
        <f>SUM(H27:X27)</f>
        <v>2.0175267557916685</v>
      </c>
      <c r="H27" s="78">
        <f>'GHG detailed, absolute'!H27/Production!$F$21*AF_tallow_HU</f>
        <v>0.16001363660558438</v>
      </c>
      <c r="I27" s="78">
        <f>'GHG detailed, absolute'!I27/Production!$F$21*AF_tallow_HU</f>
        <v>0.10603567931924245</v>
      </c>
      <c r="J27" s="78"/>
      <c r="K27" s="78"/>
      <c r="L27" s="78">
        <f>'GHG detailed, absolute'!L27/Production!$F$21*AF_tallow_HU</f>
        <v>0.12411909263881876</v>
      </c>
      <c r="M27" s="78"/>
      <c r="N27" s="78">
        <f>'GHG detailed, absolute'!N27/Production!$F$21*AF_tallow_HU</f>
        <v>5.2223903481815343E-4</v>
      </c>
      <c r="O27" s="78">
        <f>'GHG detailed, absolute'!O27/Production!$F$21*AF_tallow_HU</f>
        <v>7.6674316752756419E-2</v>
      </c>
      <c r="P27" s="78">
        <f>'GHG detailed, absolute'!P27/Production!$F$21*AF_tallow_HU</f>
        <v>0.17128164538348228</v>
      </c>
      <c r="Q27" s="78">
        <f>'GHG detailed, absolute'!Q27/Production!$F$21*AF_tallow_HU</f>
        <v>0.47781346203780584</v>
      </c>
      <c r="R27" s="78">
        <f>'GHG detailed, absolute'!R27/Production!$F$21*AF_tallow_HU</f>
        <v>0.47781346203780584</v>
      </c>
      <c r="S27" s="79"/>
      <c r="T27" s="80"/>
      <c r="U27" s="81"/>
      <c r="V27" s="81"/>
      <c r="W27" s="79">
        <f>'GHG detailed, absolute'!W27/Production!$F$21*AF_tallow_HU</f>
        <v>0.41774588262871937</v>
      </c>
      <c r="X27" s="82">
        <f>'GHG detailed, absolute'!X27/Production!$F$21*AF_tallow_HU</f>
        <v>5.5073393526348571E-3</v>
      </c>
      <c r="Z27" s="83"/>
    </row>
    <row r="28" spans="1:26" x14ac:dyDescent="0.2">
      <c r="A28" s="23" t="s">
        <v>195</v>
      </c>
      <c r="B28" s="23" t="s">
        <v>196</v>
      </c>
      <c r="C28" s="18" t="s">
        <v>197</v>
      </c>
      <c r="D28" s="58" t="s">
        <v>51</v>
      </c>
      <c r="E28" s="58" t="s">
        <v>52</v>
      </c>
      <c r="F28" s="23" t="s">
        <v>41</v>
      </c>
      <c r="G28" s="83">
        <f>SUM(H28:X28)</f>
        <v>6.1265467804170201E-3</v>
      </c>
      <c r="H28" s="56">
        <f>'GHG detailed, absolute'!H28/Production!$F$21*AF_tallow_HU</f>
        <v>8.4596466292749646E-6</v>
      </c>
      <c r="I28" s="56">
        <f>'GHG detailed, absolute'!I28/Production!$F$21*AF_tallow_HU</f>
        <v>3.7308850130844559E-4</v>
      </c>
      <c r="J28" s="56"/>
      <c r="K28" s="56"/>
      <c r="L28" s="56">
        <f>'GHG detailed, absolute'!L28/Production!$F$21*AF_tallow_HU</f>
        <v>5.4980572779813975E-5</v>
      </c>
      <c r="M28" s="56"/>
      <c r="N28" s="56">
        <f>'GHG detailed, absolute'!N28/Production!$F$21*AF_tallow_HU</f>
        <v>1.5815738001147298E-6</v>
      </c>
      <c r="O28" s="56">
        <f>'GHG detailed, absolute'!O28/Production!$F$21*AF_tallow_HU</f>
        <v>6.2473468300429315E-5</v>
      </c>
      <c r="P28" s="56">
        <f>'GHG detailed, absolute'!P28/Production!$F$21*AF_tallow_HU</f>
        <v>0</v>
      </c>
      <c r="Q28" s="56">
        <f>'GHG detailed, absolute'!Q28/Production!$F$21*AF_tallow_HU</f>
        <v>2.2775374627598938E-3</v>
      </c>
      <c r="R28" s="56">
        <f>'GHG detailed, absolute'!R28/Production!$F$21*AF_tallow_HU</f>
        <v>2.2775374627598938E-3</v>
      </c>
      <c r="W28" s="13">
        <f>'GHG detailed, absolute'!W28/Production!$F$21*AF_tallow_HU</f>
        <v>1.054752520385278E-3</v>
      </c>
      <c r="X28" s="53">
        <f>'GHG detailed, absolute'!X28/Production!$F$21*AF_tallow_HU</f>
        <v>1.6135571693875173E-5</v>
      </c>
      <c r="Z28" s="84"/>
    </row>
    <row r="29" spans="1:26" x14ac:dyDescent="0.2">
      <c r="A29" s="23" t="s">
        <v>195</v>
      </c>
      <c r="B29" s="23" t="s">
        <v>196</v>
      </c>
      <c r="C29" s="18" t="s">
        <v>197</v>
      </c>
      <c r="D29" s="58" t="s">
        <v>51</v>
      </c>
      <c r="E29" s="58" t="s">
        <v>52</v>
      </c>
      <c r="F29" s="23" t="s">
        <v>42</v>
      </c>
      <c r="G29" s="83">
        <f>SUM(H29:T29)</f>
        <v>0.10385846962564038</v>
      </c>
      <c r="H29" s="56"/>
      <c r="I29" s="56"/>
      <c r="J29" s="85"/>
      <c r="K29" s="56"/>
      <c r="L29" s="56"/>
      <c r="M29" s="56"/>
      <c r="N29" s="56"/>
      <c r="O29" s="56"/>
      <c r="P29" s="56"/>
      <c r="Q29" s="56"/>
      <c r="R29" s="56"/>
      <c r="S29" s="13">
        <f>'GHG detailed, absolute'!S29/Production!$F$21*AF_tallow_HU</f>
        <v>8.8587327862139353E-2</v>
      </c>
      <c r="T29" s="53">
        <f>'GHG detailed, absolute'!T29/Production!$F$21*AF_tallow_HU</f>
        <v>1.5271141763501023E-2</v>
      </c>
      <c r="U29" s="86">
        <f>'GHG detailed, absolute'!U29/Production!$F$21*AF_tallow_HU</f>
        <v>1.5271141763501023E-2</v>
      </c>
      <c r="W29" s="13"/>
      <c r="X29" s="53"/>
      <c r="Z29" s="84"/>
    </row>
    <row r="30" spans="1:26" x14ac:dyDescent="0.2">
      <c r="A30" s="23" t="s">
        <v>195</v>
      </c>
      <c r="B30" s="23" t="s">
        <v>196</v>
      </c>
      <c r="C30" s="18" t="s">
        <v>197</v>
      </c>
      <c r="D30" s="58" t="s">
        <v>51</v>
      </c>
      <c r="E30" s="58" t="s">
        <v>52</v>
      </c>
      <c r="F30" s="87" t="s">
        <v>43</v>
      </c>
      <c r="G30" s="83">
        <f>SUM(H30:T30)+W30+X30</f>
        <v>4.1672050353474491E-3</v>
      </c>
      <c r="H30" s="56">
        <f>'GHG detailed, absolute'!H30/Production!$F$21*AF_tallow_HU</f>
        <v>6.9700656369354837E-5</v>
      </c>
      <c r="I30" s="56">
        <f>'GHG detailed, absolute'!I30/Production!$F$21*AF_tallow_HU</f>
        <v>4.3199721204135806E-6</v>
      </c>
      <c r="J30" s="56">
        <f>'GHG detailed, absolute'!J30/Production!$F$21*AF_tallow_HU</f>
        <v>1.9062799566716333E-3</v>
      </c>
      <c r="K30" s="84">
        <f>'GHG detailed, absolute'!K30/Production!$F$21*AF_tallow_HU</f>
        <v>1.9062799566716332E-4</v>
      </c>
      <c r="L30" s="56">
        <f>'GHG detailed, absolute'!L30/Production!$F$21*AF_tallow_HU</f>
        <v>3.3351284112643627E-6</v>
      </c>
      <c r="M30" s="56"/>
      <c r="N30" s="56">
        <f>'GHG detailed, absolute'!N30/Production!$F$21*AF_tallow_HU</f>
        <v>2.226786523922612E-8</v>
      </c>
      <c r="O30" s="56">
        <f>'GHG detailed, absolute'!O30/Production!$F$21*AF_tallow_HU</f>
        <v>2.7307519031959783E-6</v>
      </c>
      <c r="P30" s="56">
        <f>'GHG detailed, absolute'!P30/Production!$F$21*AF_tallow_HU</f>
        <v>0</v>
      </c>
      <c r="Q30" s="56">
        <f>'GHG detailed, absolute'!Q30/Production!$F$21*AF_tallow_HU</f>
        <v>1.4200892394571451E-4</v>
      </c>
      <c r="R30" s="56">
        <f>'GHG detailed, absolute'!R30/Production!$F$21*AF_tallow_HU</f>
        <v>1.4200892394571451E-4</v>
      </c>
      <c r="S30" s="13"/>
      <c r="T30" s="53">
        <f>'GHG detailed, absolute'!T30/Production!$F$21*AF_tallow_HU</f>
        <v>1.6913443523203064E-3</v>
      </c>
      <c r="U30" s="88">
        <f>'GHG detailed, absolute'!U30/Production!$F$21*AF_tallow_HU</f>
        <v>1.2389167285800032E-3</v>
      </c>
      <c r="V30" s="88">
        <f>'GHG detailed, absolute'!V30/Production!$F$21*AF_tallow_HU</f>
        <v>4.5242762374030331E-4</v>
      </c>
      <c r="W30" s="13">
        <f>'GHG detailed, absolute'!W30/Production!$F$21*AF_tallow_HU</f>
        <v>1.4636261137297592E-5</v>
      </c>
      <c r="X30" s="53">
        <f>'GHG detailed, absolute'!X30/Production!$F$21*AF_tallow_HU</f>
        <v>1.8984499015103458E-7</v>
      </c>
      <c r="Z30" s="84"/>
    </row>
    <row r="31" spans="1:26" x14ac:dyDescent="0.2">
      <c r="A31" s="89" t="s">
        <v>195</v>
      </c>
      <c r="B31" s="89" t="s">
        <v>196</v>
      </c>
      <c r="C31" s="90" t="s">
        <v>197</v>
      </c>
      <c r="D31" s="91" t="s">
        <v>51</v>
      </c>
      <c r="E31" s="91" t="s">
        <v>52</v>
      </c>
      <c r="F31" s="92" t="s">
        <v>44</v>
      </c>
      <c r="G31" s="102">
        <f>SUM(H31:X31)</f>
        <v>6.1419235043902392</v>
      </c>
      <c r="H31" s="94">
        <f>SUMPRODUCT(H27:H30,'Parameters, general'!$B$24:$B$27)</f>
        <v>0.17929401326397065</v>
      </c>
      <c r="I31" s="94">
        <f>SUMPRODUCT(I27:I30,'Parameters, general'!$B$24:$B$27)</f>
        <v>0.11833306904710703</v>
      </c>
      <c r="J31" s="94">
        <f>SUMPRODUCT(J27:J30,'Parameters, general'!$B$24:$B$27)</f>
        <v>0.52041442817135586</v>
      </c>
      <c r="K31" s="94">
        <f>SUMPRODUCT(K27:K30,'Parameters, general'!$B$24:$B$27)</f>
        <v>5.2041442817135589E-2</v>
      </c>
      <c r="L31" s="94">
        <f>SUMPRODUCT(L27:L30,'Parameters, general'!$B$24:$B$27)</f>
        <v>0.12666800376393239</v>
      </c>
      <c r="M31" s="94">
        <f>SUMPRODUCT(M27:M30,'Parameters, general'!$B$24:$B$27)</f>
        <v>0</v>
      </c>
      <c r="N31" s="94">
        <f>SUMPRODUCT(N27:N30,'Parameters, general'!$B$24:$B$27)</f>
        <v>5.7544906127188114E-4</v>
      </c>
      <c r="O31" s="94">
        <f>SUMPRODUCT(O27:O30,'Parameters, general'!$B$24:$B$27)</f>
        <v>7.9281521377681713E-2</v>
      </c>
      <c r="P31" s="94">
        <f>SUMPRODUCT(P27:P30,'Parameters, general'!$B$24:$B$27)</f>
        <v>0.17128164538348228</v>
      </c>
      <c r="Q31" s="94">
        <f>SUMPRODUCT(Q27:Q30,'Parameters, general'!$B$24:$B$27)</f>
        <v>0.58445251466523074</v>
      </c>
      <c r="R31" s="94">
        <f>SUMPRODUCT(R27:R30,'Parameters, general'!$B$24:$B$27)</f>
        <v>0.58445251466523074</v>
      </c>
      <c r="S31" s="94">
        <f>SUMPRODUCT(S27:S30,'Parameters, general'!$B$24:$B$27)</f>
        <v>2.3918578522777625</v>
      </c>
      <c r="T31" s="94">
        <f>SUMPRODUCT(T27:T30,'Parameters, general'!$B$24:$B$27)</f>
        <v>0.87405783579797125</v>
      </c>
      <c r="U31" s="94"/>
      <c r="V31" s="94"/>
      <c r="W31" s="94">
        <f>SUMPRODUCT(W27:W30,'Parameters, general'!$B$24:$B$27)</f>
        <v>0.4531732070266829</v>
      </c>
      <c r="X31" s="94">
        <f>SUMPRODUCT(X27:X30,'Parameters, general'!$B$24:$B$27)</f>
        <v>6.0400070714235702E-3</v>
      </c>
      <c r="Z31" s="95">
        <f>SUM(H31:R31)</f>
        <v>2.4167946022163989</v>
      </c>
    </row>
    <row r="32" spans="1:26" x14ac:dyDescent="0.2">
      <c r="A32" s="74" t="s">
        <v>195</v>
      </c>
      <c r="B32" s="74" t="s">
        <v>196</v>
      </c>
      <c r="C32" s="75" t="s">
        <v>197</v>
      </c>
      <c r="D32" s="76" t="s">
        <v>53</v>
      </c>
      <c r="E32" s="76" t="s">
        <v>54</v>
      </c>
      <c r="F32" s="77" t="s">
        <v>40</v>
      </c>
      <c r="G32" s="78">
        <f>SUM(H32:X32)</f>
        <v>0.56466740258538362</v>
      </c>
      <c r="H32" s="78">
        <f>'GHG detailed, absolute'!H32/Production!$G$21*AF_tallow_IE</f>
        <v>9.4288195717901771E-2</v>
      </c>
      <c r="I32" s="78">
        <f>'GHG detailed, absolute'!I32/Production!$G$21*AF_tallow_IE</f>
        <v>0.114474850185046</v>
      </c>
      <c r="J32" s="78"/>
      <c r="K32" s="78"/>
      <c r="L32" s="78">
        <f>'GHG detailed, absolute'!L32/Production!$G$21*AF_tallow_IE</f>
        <v>6.7935257892480019E-2</v>
      </c>
      <c r="M32" s="78"/>
      <c r="N32" s="78">
        <f>'GHG detailed, absolute'!N32/Production!$G$21*AF_tallow_IE</f>
        <v>2.7030768386361907E-4</v>
      </c>
      <c r="O32" s="78">
        <f>'GHG detailed, absolute'!O32/Production!$G$21*AF_tallow_IE</f>
        <v>2.2365106385551458E-2</v>
      </c>
      <c r="P32" s="78">
        <f>'GHG detailed, absolute'!P32/Production!$G$21*AF_tallow_IE</f>
        <v>1.0602521703869749E-2</v>
      </c>
      <c r="Q32" s="78">
        <f>'GHG detailed, absolute'!Q32/Production!$G$21*AF_tallow_IE</f>
        <v>2.8743406552788568E-2</v>
      </c>
      <c r="R32" s="78">
        <f>'GHG detailed, absolute'!R32/Production!$G$21*AF_tallow_IE</f>
        <v>2.8743406552788568E-2</v>
      </c>
      <c r="S32" s="79"/>
      <c r="T32" s="80"/>
      <c r="U32" s="81"/>
      <c r="V32" s="81"/>
      <c r="W32" s="79">
        <f>'GHG detailed, absolute'!W32/Production!$G$21*AF_tallow_IE</f>
        <v>0.19272476806521521</v>
      </c>
      <c r="X32" s="82">
        <f>'GHG detailed, absolute'!X32/Production!$G$21*AF_tallow_IE</f>
        <v>4.5195818458786466E-3</v>
      </c>
      <c r="Z32" s="83"/>
    </row>
    <row r="33" spans="1:26" x14ac:dyDescent="0.2">
      <c r="A33" s="23" t="s">
        <v>195</v>
      </c>
      <c r="B33" s="23" t="s">
        <v>196</v>
      </c>
      <c r="C33" s="18" t="s">
        <v>197</v>
      </c>
      <c r="D33" s="58" t="s">
        <v>53</v>
      </c>
      <c r="E33" s="58" t="s">
        <v>54</v>
      </c>
      <c r="F33" s="23" t="s">
        <v>41</v>
      </c>
      <c r="G33" s="83">
        <f>SUM(H33:X33)</f>
        <v>7.7020189283988892E-4</v>
      </c>
      <c r="H33" s="56">
        <f>'GHG detailed, absolute'!H33/Production!$G$21*AF_tallow_IE</f>
        <v>3.8169332649779929E-6</v>
      </c>
      <c r="I33" s="56">
        <f>'GHG detailed, absolute'!I33/Production!$G$21*AF_tallow_IE</f>
        <v>4.0278188028071741E-4</v>
      </c>
      <c r="J33" s="56"/>
      <c r="K33" s="56"/>
      <c r="L33" s="56">
        <f>'GHG detailed, absolute'!L33/Production!$G$21*AF_tallow_IE</f>
        <v>3.0093028489516642E-5</v>
      </c>
      <c r="M33" s="56"/>
      <c r="N33" s="56">
        <f>'GHG detailed, absolute'!N33/Production!$G$21*AF_tallow_IE</f>
        <v>8.0097355979345223E-7</v>
      </c>
      <c r="O33" s="56">
        <f>'GHG detailed, absolute'!O33/Production!$G$21*AF_tallow_IE</f>
        <v>1.1691592037309831E-5</v>
      </c>
      <c r="P33" s="56">
        <f>'GHG detailed, absolute'!P33/Production!$G$21*AF_tallow_IE</f>
        <v>0</v>
      </c>
      <c r="Q33" s="56">
        <f>'GHG detailed, absolute'!Q33/Production!$G$21*AF_tallow_IE</f>
        <v>5.2502898459301721E-5</v>
      </c>
      <c r="R33" s="56">
        <f>'GHG detailed, absolute'!R33/Production!$G$21*AF_tallow_IE</f>
        <v>5.2502898459301721E-5</v>
      </c>
      <c r="W33" s="13">
        <f>'GHG detailed, absolute'!W33/Production!$G$21*AF_tallow_IE</f>
        <v>2.0769632603118992E-4</v>
      </c>
      <c r="X33" s="53">
        <f>'GHG detailed, absolute'!X33/Production!$G$21*AF_tallow_IE</f>
        <v>8.31536225778014E-6</v>
      </c>
      <c r="Z33" s="84"/>
    </row>
    <row r="34" spans="1:26" x14ac:dyDescent="0.2">
      <c r="A34" s="23" t="s">
        <v>195</v>
      </c>
      <c r="B34" s="23" t="s">
        <v>196</v>
      </c>
      <c r="C34" s="18" t="s">
        <v>197</v>
      </c>
      <c r="D34" s="58" t="s">
        <v>53</v>
      </c>
      <c r="E34" s="58" t="s">
        <v>54</v>
      </c>
      <c r="F34" s="23" t="s">
        <v>42</v>
      </c>
      <c r="G34" s="83">
        <f>SUM(H34:T34)</f>
        <v>9.3942210096583739E-2</v>
      </c>
      <c r="H34" s="56"/>
      <c r="I34" s="56"/>
      <c r="J34" s="85"/>
      <c r="K34" s="56"/>
      <c r="L34" s="56"/>
      <c r="M34" s="56"/>
      <c r="N34" s="56"/>
      <c r="O34" s="56"/>
      <c r="P34" s="56"/>
      <c r="Q34" s="56"/>
      <c r="R34" s="56"/>
      <c r="S34" s="13">
        <f>'GHG detailed, absolute'!S34/Production!$G$21*AF_tallow_IE</f>
        <v>8.3607851889208704E-2</v>
      </c>
      <c r="T34" s="53">
        <f>'GHG detailed, absolute'!T34/Production!$G$21*AF_tallow_IE</f>
        <v>1.0334358207375034E-2</v>
      </c>
      <c r="U34" s="86">
        <f>'GHG detailed, absolute'!U34/Production!$G$21*AF_tallow_IE</f>
        <v>1.0334358207375034E-2</v>
      </c>
      <c r="W34" s="13"/>
      <c r="X34" s="53"/>
      <c r="Z34" s="84"/>
    </row>
    <row r="35" spans="1:26" x14ac:dyDescent="0.2">
      <c r="A35" s="23" t="s">
        <v>195</v>
      </c>
      <c r="B35" s="23" t="s">
        <v>196</v>
      </c>
      <c r="C35" s="18" t="s">
        <v>197</v>
      </c>
      <c r="D35" s="58" t="s">
        <v>53</v>
      </c>
      <c r="E35" s="58" t="s">
        <v>54</v>
      </c>
      <c r="F35" s="87" t="s">
        <v>43</v>
      </c>
      <c r="G35" s="83">
        <f>SUM(H35:T35)+W35+X35</f>
        <v>2.4473502510269115E-3</v>
      </c>
      <c r="H35" s="56">
        <f>'GHG detailed, absolute'!H35/Production!$G$21*AF_tallow_IE</f>
        <v>3.6537404006686123E-5</v>
      </c>
      <c r="I35" s="56">
        <f>'GHG detailed, absolute'!I35/Production!$G$21*AF_tallow_IE</f>
        <v>4.6637901927240964E-6</v>
      </c>
      <c r="J35" s="56">
        <f>'GHG detailed, absolute'!J35/Production!$G$21*AF_tallow_IE</f>
        <v>1.4960642711505906E-3</v>
      </c>
      <c r="K35" s="84">
        <f>'GHG detailed, absolute'!K35/Production!$G$21*AF_tallow_IE</f>
        <v>1.4960642711505905E-4</v>
      </c>
      <c r="L35" s="56">
        <f>'GHG detailed, absolute'!L35/Production!$G$21*AF_tallow_IE</f>
        <v>1.8254468664470391E-6</v>
      </c>
      <c r="M35" s="56"/>
      <c r="N35" s="56">
        <f>'GHG detailed, absolute'!N35/Production!$G$21*AF_tallow_IE</f>
        <v>1.1608279950978337E-8</v>
      </c>
      <c r="O35" s="56">
        <f>'GHG detailed, absolute'!O35/Production!$G$21*AF_tallow_IE</f>
        <v>8.0563863552055514E-7</v>
      </c>
      <c r="P35" s="56">
        <f>'GHG detailed, absolute'!P35/Production!$G$21*AF_tallow_IE</f>
        <v>0</v>
      </c>
      <c r="Q35" s="56">
        <f>'GHG detailed, absolute'!Q35/Production!$G$21*AF_tallow_IE</f>
        <v>3.3229362679746333E-6</v>
      </c>
      <c r="R35" s="56">
        <f>'GHG detailed, absolute'!R35/Production!$G$21*AF_tallow_IE</f>
        <v>3.3229362679746333E-6</v>
      </c>
      <c r="S35" s="13"/>
      <c r="T35" s="53">
        <f>'GHG detailed, absolute'!T35/Production!$G$21*AF_tallow_IE</f>
        <v>7.4394819934868234E-4</v>
      </c>
      <c r="U35" s="88">
        <f>'GHG detailed, absolute'!U35/Production!$G$21*AF_tallow_IE</f>
        <v>5.2018431414091709E-4</v>
      </c>
      <c r="V35" s="88">
        <f>'GHG detailed, absolute'!V35/Production!$G$21*AF_tallow_IE</f>
        <v>2.2376388520776525E-4</v>
      </c>
      <c r="W35" s="13">
        <f>'GHG detailed, absolute'!W35/Production!$G$21*AF_tallow_IE</f>
        <v>7.0800456142370774E-6</v>
      </c>
      <c r="X35" s="53">
        <f>'GHG detailed, absolute'!X35/Production!$G$21*AF_tallow_IE</f>
        <v>1.6154728106410652E-7</v>
      </c>
      <c r="Z35" s="84"/>
    </row>
    <row r="36" spans="1:26" x14ac:dyDescent="0.2">
      <c r="A36" s="89" t="s">
        <v>195</v>
      </c>
      <c r="B36" s="89" t="s">
        <v>196</v>
      </c>
      <c r="C36" s="90" t="s">
        <v>197</v>
      </c>
      <c r="D36" s="100" t="s">
        <v>53</v>
      </c>
      <c r="E36" s="100" t="s">
        <v>54</v>
      </c>
      <c r="F36" s="92" t="s">
        <v>44</v>
      </c>
      <c r="G36" s="102">
        <f>SUM(H36:X36)</f>
        <v>3.79218571013012</v>
      </c>
      <c r="H36" s="94">
        <f>SUMPRODUCT(H32:H35,'Parameters, general'!$B$24:$B$27)</f>
        <v>0.10437665162302343</v>
      </c>
      <c r="I36" s="94">
        <f>SUMPRODUCT(I32:I35,'Parameters, general'!$B$24:$B$27)</f>
        <v>0.12775096494002505</v>
      </c>
      <c r="J36" s="94">
        <f>SUMPRODUCT(J32:J35,'Parameters, general'!$B$24:$B$27)</f>
        <v>0.40842554602411124</v>
      </c>
      <c r="K36" s="94">
        <f>SUMPRODUCT(K32:K35,'Parameters, general'!$B$24:$B$27)</f>
        <v>4.0842554602411117E-2</v>
      </c>
      <c r="L36" s="94">
        <f>SUMPRODUCT(L32:L35,'Parameters, general'!$B$24:$B$27)</f>
        <v>6.9330377136007662E-2</v>
      </c>
      <c r="M36" s="94">
        <f>SUMPRODUCT(M32:M35,'Parameters, general'!$B$24:$B$27)</f>
        <v>0</v>
      </c>
      <c r="N36" s="94">
        <f>SUMPRODUCT(N32:N35,'Parameters, general'!$B$24:$B$27)</f>
        <v>2.9734575637208104E-4</v>
      </c>
      <c r="O36" s="94">
        <f>SUMPRODUCT(O32:O35,'Parameters, general'!$B$24:$B$27)</f>
        <v>2.2933455175760405E-2</v>
      </c>
      <c r="P36" s="94">
        <f>SUMPRODUCT(P32:P35,'Parameters, general'!$B$24:$B$27)</f>
        <v>1.0602521703869749E-2</v>
      </c>
      <c r="Q36" s="94">
        <f>SUMPRODUCT(Q32:Q35,'Parameters, general'!$B$24:$B$27)</f>
        <v>3.1215154528032835E-2</v>
      </c>
      <c r="R36" s="94">
        <f>SUMPRODUCT(R32:R35,'Parameters, general'!$B$24:$B$27)</f>
        <v>3.1215154528032835E-2</v>
      </c>
      <c r="S36" s="94">
        <f>SUMPRODUCT(S32:S35,'Parameters, general'!$B$24:$B$27)</f>
        <v>2.2574120010086349</v>
      </c>
      <c r="T36" s="94">
        <f>SUMPRODUCT(T32:T35,'Parameters, general'!$B$24:$B$27)</f>
        <v>0.4821255300213162</v>
      </c>
      <c r="U36" s="94"/>
      <c r="V36" s="94"/>
      <c r="W36" s="94">
        <f>SUMPRODUCT(W32:W35,'Parameters, general'!$B$24:$B$27)</f>
        <v>0.20084697103363142</v>
      </c>
      <c r="X36" s="94">
        <f>SUMPRODUCT(X32:X35,'Parameters, general'!$B$24:$B$27)</f>
        <v>4.811482048890996E-3</v>
      </c>
      <c r="Z36" s="95">
        <f>SUM(H36:R36)</f>
        <v>0.84698972601764633</v>
      </c>
    </row>
    <row r="37" spans="1:26" x14ac:dyDescent="0.2">
      <c r="A37" s="74" t="s">
        <v>195</v>
      </c>
      <c r="B37" s="74" t="s">
        <v>196</v>
      </c>
      <c r="C37" s="75" t="s">
        <v>197</v>
      </c>
      <c r="D37" s="76" t="s">
        <v>55</v>
      </c>
      <c r="E37" s="76" t="s">
        <v>56</v>
      </c>
      <c r="F37" s="77" t="s">
        <v>40</v>
      </c>
      <c r="G37" s="78">
        <f>SUM(H37:X37)</f>
        <v>1.5520233740891061</v>
      </c>
      <c r="H37" s="78">
        <f>'GHG detailed, absolute'!H37/Production!$H$21*AF_tallow_IT</f>
        <v>9.0144549236052515E-2</v>
      </c>
      <c r="I37" s="78">
        <f>'GHG detailed, absolute'!I37/Production!$H$21*AF_tallow_IT</f>
        <v>9.7957601861666674E-2</v>
      </c>
      <c r="J37" s="78"/>
      <c r="K37" s="78"/>
      <c r="L37" s="78">
        <f>'GHG detailed, absolute'!L37/Production!$H$21*AF_tallow_IT</f>
        <v>6.3991710868921789E-2</v>
      </c>
      <c r="M37" s="78"/>
      <c r="N37" s="78">
        <f>'GHG detailed, absolute'!N37/Production!$H$21*AF_tallow_IT</f>
        <v>1.0462208314289481E-3</v>
      </c>
      <c r="O37" s="78">
        <f>'GHG detailed, absolute'!O37/Production!$H$21*AF_tallow_IT</f>
        <v>2.3577504334465579E-2</v>
      </c>
      <c r="P37" s="78">
        <f>'GHG detailed, absolute'!P37/Production!$H$21*AF_tallow_IT</f>
        <v>0.16163138152523721</v>
      </c>
      <c r="Q37" s="78">
        <f>'GHG detailed, absolute'!Q37/Production!$H$21*AF_tallow_IT</f>
        <v>0.34083473757994409</v>
      </c>
      <c r="R37" s="78">
        <f>'GHG detailed, absolute'!R37/Production!$H$21*AF_tallow_IT</f>
        <v>0.34083473757994409</v>
      </c>
      <c r="S37" s="79"/>
      <c r="T37" s="80"/>
      <c r="U37" s="81"/>
      <c r="V37" s="81"/>
      <c r="W37" s="79">
        <f>'GHG detailed, absolute'!W37/Production!$H$21*AF_tallow_IT</f>
        <v>0.42729465804687444</v>
      </c>
      <c r="X37" s="82">
        <f>'GHG detailed, absolute'!X37/Production!$H$21*AF_tallow_IT</f>
        <v>4.7102722245709588E-3</v>
      </c>
      <c r="Z37" s="83"/>
    </row>
    <row r="38" spans="1:26" x14ac:dyDescent="0.2">
      <c r="A38" s="23" t="s">
        <v>195</v>
      </c>
      <c r="B38" s="23" t="s">
        <v>196</v>
      </c>
      <c r="C38" s="18" t="s">
        <v>197</v>
      </c>
      <c r="D38" s="58" t="s">
        <v>55</v>
      </c>
      <c r="E38" s="58" t="s">
        <v>56</v>
      </c>
      <c r="F38" s="23" t="s">
        <v>41</v>
      </c>
      <c r="G38" s="83">
        <f>SUM(H38:X38)</f>
        <v>7.011170221606737E-3</v>
      </c>
      <c r="H38" s="56">
        <f>'GHG detailed, absolute'!H38/Production!$H$21*AF_tallow_IT</f>
        <v>1.376517310164191E-5</v>
      </c>
      <c r="I38" s="56">
        <f>'GHG detailed, absolute'!I38/Production!$H$21*AF_tallow_IT</f>
        <v>3.4466563617993823E-4</v>
      </c>
      <c r="J38" s="56"/>
      <c r="K38" s="56"/>
      <c r="L38" s="56">
        <f>'GHG detailed, absolute'!L38/Production!$H$21*AF_tallow_IT</f>
        <v>2.8346170133322455E-5</v>
      </c>
      <c r="M38" s="56"/>
      <c r="N38" s="56">
        <f>'GHG detailed, absolute'!N38/Production!$H$21*AF_tallow_IT</f>
        <v>3.3841113082806151E-6</v>
      </c>
      <c r="O38" s="56">
        <f>'GHG detailed, absolute'!O38/Production!$H$21*AF_tallow_IT</f>
        <v>2.0589012207125714E-5</v>
      </c>
      <c r="P38" s="56">
        <f>'GHG detailed, absolute'!P38/Production!$H$21*AF_tallow_IT</f>
        <v>0</v>
      </c>
      <c r="Q38" s="56">
        <f>'GHG detailed, absolute'!Q38/Production!$H$21*AF_tallow_IT</f>
        <v>2.3611079113814671E-3</v>
      </c>
      <c r="R38" s="56">
        <f>'GHG detailed, absolute'!R38/Production!$H$21*AF_tallow_IT</f>
        <v>2.3611079113814671E-3</v>
      </c>
      <c r="W38" s="13">
        <f>'GHG detailed, absolute'!W38/Production!$H$21*AF_tallow_IT</f>
        <v>1.8575463250319383E-3</v>
      </c>
      <c r="X38" s="53">
        <f>'GHG detailed, absolute'!X38/Production!$H$21*AF_tallow_IT</f>
        <v>2.0657970881556024E-5</v>
      </c>
      <c r="Z38" s="84"/>
    </row>
    <row r="39" spans="1:26" x14ac:dyDescent="0.2">
      <c r="A39" s="23" t="s">
        <v>195</v>
      </c>
      <c r="B39" s="23" t="s">
        <v>196</v>
      </c>
      <c r="C39" s="18" t="s">
        <v>197</v>
      </c>
      <c r="D39" s="58" t="s">
        <v>55</v>
      </c>
      <c r="E39" s="58" t="s">
        <v>56</v>
      </c>
      <c r="F39" s="23" t="s">
        <v>42</v>
      </c>
      <c r="G39" s="83">
        <f>SUM(H39:T39)</f>
        <v>0.11239263856584494</v>
      </c>
      <c r="H39" s="56"/>
      <c r="I39" s="56"/>
      <c r="J39" s="85"/>
      <c r="K39" s="56"/>
      <c r="L39" s="56"/>
      <c r="M39" s="56"/>
      <c r="N39" s="56"/>
      <c r="O39" s="56"/>
      <c r="P39" s="56"/>
      <c r="Q39" s="56"/>
      <c r="R39" s="56"/>
      <c r="S39" s="13">
        <f>'GHG detailed, absolute'!S39/Production!$H$21*AF_tallow_IT</f>
        <v>9.078473692589753E-2</v>
      </c>
      <c r="T39" s="53">
        <f>'GHG detailed, absolute'!T39/Production!$H$21*AF_tallow_IT</f>
        <v>2.160790163994742E-2</v>
      </c>
      <c r="U39" s="86">
        <f>'GHG detailed, absolute'!U39/Production!$H$21*AF_tallow_IT</f>
        <v>2.160790163994742E-2</v>
      </c>
      <c r="W39" s="13"/>
      <c r="X39" s="53"/>
      <c r="Z39" s="84"/>
    </row>
    <row r="40" spans="1:26" x14ac:dyDescent="0.2">
      <c r="A40" s="23" t="s">
        <v>195</v>
      </c>
      <c r="B40" s="23" t="s">
        <v>196</v>
      </c>
      <c r="C40" s="18" t="s">
        <v>197</v>
      </c>
      <c r="D40" s="58" t="s">
        <v>55</v>
      </c>
      <c r="E40" s="58" t="s">
        <v>56</v>
      </c>
      <c r="F40" s="87" t="s">
        <v>43</v>
      </c>
      <c r="G40" s="83">
        <f>SUM(H40:T40)+W40+X40</f>
        <v>2.9560365359344275E-3</v>
      </c>
      <c r="H40" s="56">
        <f>'GHG detailed, absolute'!H40/Production!$H$21*AF_tallow_IT</f>
        <v>1.8774105107207267E-5</v>
      </c>
      <c r="I40" s="56">
        <f>'GHG detailed, absolute'!I40/Production!$H$21*AF_tallow_IT</f>
        <v>3.9908652610308645E-6</v>
      </c>
      <c r="J40" s="56">
        <f>'GHG detailed, absolute'!J40/Production!$H$21*AF_tallow_IT</f>
        <v>1.1649332061549689E-3</v>
      </c>
      <c r="K40" s="84">
        <f>'GHG detailed, absolute'!K40/Production!$H$21*AF_tallow_IT</f>
        <v>1.1649332061549692E-4</v>
      </c>
      <c r="L40" s="56">
        <f>'GHG detailed, absolute'!L40/Production!$H$21*AF_tallow_IT</f>
        <v>1.7194822203977945E-6</v>
      </c>
      <c r="M40" s="56"/>
      <c r="N40" s="56">
        <f>'GHG detailed, absolute'!N40/Production!$H$21*AF_tallow_IT</f>
        <v>4.360039224635439E-8</v>
      </c>
      <c r="O40" s="56">
        <f>'GHG detailed, absolute'!O40/Production!$H$21*AF_tallow_IT</f>
        <v>8.6689267797787458E-7</v>
      </c>
      <c r="P40" s="56">
        <f>'GHG detailed, absolute'!P40/Production!$H$21*AF_tallow_IT</f>
        <v>0</v>
      </c>
      <c r="Q40" s="56">
        <f>'GHG detailed, absolute'!Q40/Production!$H$21*AF_tallow_IT</f>
        <v>1.3881899566664822E-4</v>
      </c>
      <c r="R40" s="56">
        <f>'GHG detailed, absolute'!R40/Production!$H$21*AF_tallow_IT</f>
        <v>1.3881899566664822E-4</v>
      </c>
      <c r="S40" s="13"/>
      <c r="T40" s="53">
        <f>'GHG detailed, absolute'!T40/Production!$H$21*AF_tallow_IT</f>
        <v>1.3527896031486379E-3</v>
      </c>
      <c r="U40" s="88">
        <f>'GHG detailed, absolute'!U40/Production!$H$21*AF_tallow_IT</f>
        <v>8.9045956745567752E-4</v>
      </c>
      <c r="V40" s="88">
        <f>'GHG detailed, absolute'!V40/Production!$H$21*AF_tallow_IT</f>
        <v>4.6233003569296041E-4</v>
      </c>
      <c r="W40" s="13">
        <f>'GHG detailed, absolute'!W40/Production!$H$21*AF_tallow_IT</f>
        <v>1.8594581021205247E-5</v>
      </c>
      <c r="X40" s="53">
        <f>'GHG detailed, absolute'!X40/Production!$H$21*AF_tallow_IT</f>
        <v>1.9288800196130016E-7</v>
      </c>
      <c r="Z40" s="84"/>
    </row>
    <row r="41" spans="1:26" x14ac:dyDescent="0.2">
      <c r="A41" s="89" t="s">
        <v>195</v>
      </c>
      <c r="B41" s="89" t="s">
        <v>196</v>
      </c>
      <c r="C41" s="90" t="s">
        <v>197</v>
      </c>
      <c r="D41" s="91" t="s">
        <v>55</v>
      </c>
      <c r="E41" s="91" t="s">
        <v>56</v>
      </c>
      <c r="F41" s="92" t="s">
        <v>44</v>
      </c>
      <c r="G41" s="102">
        <f>SUM(H41:X41)</f>
        <v>5.6025554622808986</v>
      </c>
      <c r="H41" s="94">
        <f>SUMPRODUCT(H37:H40,'Parameters, general'!$B$24:$B$27)</f>
        <v>9.5680082088749036E-2</v>
      </c>
      <c r="I41" s="94">
        <f>SUMPRODUCT(I37:I40,'Parameters, general'!$B$24:$B$27)</f>
        <v>0.10931814403609026</v>
      </c>
      <c r="J41" s="94">
        <f>SUMPRODUCT(J37:J40,'Parameters, general'!$B$24:$B$27)</f>
        <v>0.31802676528030649</v>
      </c>
      <c r="K41" s="94">
        <f>SUMPRODUCT(K37:K40,'Parameters, general'!$B$24:$B$27)</f>
        <v>3.1802676528030656E-2</v>
      </c>
      <c r="L41" s="94">
        <f>SUMPRODUCT(L37:L40,'Parameters, general'!$B$24:$B$27)</f>
        <v>6.5305845385063399E-2</v>
      </c>
      <c r="M41" s="94">
        <f>SUMPRODUCT(M37:M40,'Parameters, general'!$B$24:$B$27)</f>
        <v>0</v>
      </c>
      <c r="N41" s="94">
        <f>SUMPRODUCT(N37:N40,'Parameters, general'!$B$24:$B$27)</f>
        <v>1.1589702554989651E-3</v>
      </c>
      <c r="O41" s="94">
        <f>SUMPRODUCT(O37:O40,'Parameters, general'!$B$24:$B$27)</f>
        <v>2.4427718599325885E-2</v>
      </c>
      <c r="P41" s="94">
        <f>SUMPRODUCT(P37:P40,'Parameters, general'!$B$24:$B$27)</f>
        <v>0.16163138152523721</v>
      </c>
      <c r="Q41" s="94">
        <f>SUMPRODUCT(Q37:Q40,'Parameters, general'!$B$24:$B$27)</f>
        <v>0.44909333915610683</v>
      </c>
      <c r="R41" s="94">
        <f>SUMPRODUCT(R37:R40,'Parameters, general'!$B$24:$B$27)</f>
        <v>0.44909333915610683</v>
      </c>
      <c r="S41" s="94">
        <f>SUMPRODUCT(S37:S40,'Parameters, general'!$B$24:$B$27)</f>
        <v>2.4511878969992331</v>
      </c>
      <c r="T41" s="94">
        <f>SUMPRODUCT(T37:T40,'Parameters, general'!$B$24:$B$27)</f>
        <v>0.95272490593815851</v>
      </c>
      <c r="U41" s="94"/>
      <c r="V41" s="94"/>
      <c r="W41" s="94">
        <f>SUMPRODUCT(W37:W40,'Parameters, general'!$B$24:$B$27)</f>
        <v>0.48772585915161526</v>
      </c>
      <c r="X41" s="94">
        <f>SUMPRODUCT(X37:X40,'Parameters, general'!$B$24:$B$27)</f>
        <v>5.378538181376763E-3</v>
      </c>
      <c r="Z41" s="95">
        <f>SUM(H41:R41)</f>
        <v>1.7055382620105157</v>
      </c>
    </row>
    <row r="42" spans="1:26" x14ac:dyDescent="0.2">
      <c r="A42" s="74" t="s">
        <v>195</v>
      </c>
      <c r="B42" s="74" t="s">
        <v>196</v>
      </c>
      <c r="C42" s="75" t="s">
        <v>197</v>
      </c>
      <c r="D42" t="s">
        <v>57</v>
      </c>
      <c r="E42" s="58" t="s">
        <v>58</v>
      </c>
      <c r="F42" s="77" t="s">
        <v>40</v>
      </c>
      <c r="G42" s="78">
        <f>SUM(H42:X42)</f>
        <v>1.4327151907105278</v>
      </c>
      <c r="H42" s="78">
        <f>'GHG detailed, absolute'!H42/Production!$I$21*AF_tallow_NL</f>
        <v>0.22225128412745218</v>
      </c>
      <c r="I42" s="78">
        <f>'GHG detailed, absolute'!I42/Production!$I$21*AF_tallow_NL</f>
        <v>9.9561024870200049E-2</v>
      </c>
      <c r="J42" s="78"/>
      <c r="K42" s="78"/>
      <c r="L42" s="78">
        <f>'GHG detailed, absolute'!L42/Production!$I$21*AF_tallow_NL</f>
        <v>8.6895791498062452E-2</v>
      </c>
      <c r="M42" s="78"/>
      <c r="N42" s="78">
        <f>'GHG detailed, absolute'!N42/Production!$I$21*AF_tallow_NL</f>
        <v>3.4640007238139159E-4</v>
      </c>
      <c r="O42" s="78">
        <f>'GHG detailed, absolute'!O42/Production!$I$21*AF_tallow_NL</f>
        <v>4.519108821174684E-2</v>
      </c>
      <c r="P42" s="78">
        <f>'GHG detailed, absolute'!P42/Production!$I$21*AF_tallow_NL</f>
        <v>0.14645621774483347</v>
      </c>
      <c r="Q42" s="78">
        <f>'GHG detailed, absolute'!Q42/Production!$I$21*AF_tallow_NL</f>
        <v>0.1259341449886888</v>
      </c>
      <c r="R42" s="78">
        <f>'GHG detailed, absolute'!R42/Production!$I$21*AF_tallow_NL</f>
        <v>0.1259341449886888</v>
      </c>
      <c r="S42" s="79"/>
      <c r="T42" s="80"/>
      <c r="U42" s="81"/>
      <c r="V42" s="81"/>
      <c r="W42" s="79">
        <f>'GHG detailed, absolute'!W42/Production!$I$21*AF_tallow_NL</f>
        <v>0.57566129810900091</v>
      </c>
      <c r="X42" s="82">
        <f>'GHG detailed, absolute'!X42/Production!$I$21*AF_tallow_NL</f>
        <v>4.4837960994727503E-3</v>
      </c>
      <c r="Z42" s="83"/>
    </row>
    <row r="43" spans="1:26" x14ac:dyDescent="0.2">
      <c r="A43" s="23" t="s">
        <v>195</v>
      </c>
      <c r="B43" s="23" t="s">
        <v>196</v>
      </c>
      <c r="C43" s="18" t="s">
        <v>197</v>
      </c>
      <c r="D43" t="s">
        <v>57</v>
      </c>
      <c r="E43" s="58" t="s">
        <v>58</v>
      </c>
      <c r="F43" s="23" t="s">
        <v>41</v>
      </c>
      <c r="G43" s="83">
        <f>SUM(H43:X43)</f>
        <v>3.6945038121279639E-3</v>
      </c>
      <c r="H43" s="56">
        <f>'GHG detailed, absolute'!H43/Production!$I$21*AF_tallow_NL</f>
        <v>1.1583059063307808E-4</v>
      </c>
      <c r="I43" s="56">
        <f>'GHG detailed, absolute'!I43/Production!$I$21*AF_tallow_NL</f>
        <v>3.5030730972848164E-4</v>
      </c>
      <c r="J43" s="56"/>
      <c r="K43" s="56"/>
      <c r="L43" s="56">
        <f>'GHG detailed, absolute'!L43/Production!$I$21*AF_tallow_NL</f>
        <v>3.8491905533190757E-5</v>
      </c>
      <c r="M43" s="56"/>
      <c r="N43" s="56">
        <f>'GHG detailed, absolute'!N43/Production!$I$21*AF_tallow_NL</f>
        <v>1.109842635862537E-6</v>
      </c>
      <c r="O43" s="56">
        <f>'GHG detailed, absolute'!O43/Production!$I$21*AF_tallow_NL</f>
        <v>3.1968662093521064E-5</v>
      </c>
      <c r="P43" s="56">
        <f>'GHG detailed, absolute'!P43/Production!$I$21*AF_tallow_NL</f>
        <v>0</v>
      </c>
      <c r="Q43" s="56">
        <f>'GHG detailed, absolute'!Q43/Production!$I$21*AF_tallow_NL</f>
        <v>1.0030441048666126E-3</v>
      </c>
      <c r="R43" s="56">
        <f>'GHG detailed, absolute'!R43/Production!$I$21*AF_tallow_NL</f>
        <v>1.0030441048666126E-3</v>
      </c>
      <c r="W43" s="13">
        <f>'GHG detailed, absolute'!W43/Production!$I$21*AF_tallow_NL</f>
        <v>1.1397436660626453E-3</v>
      </c>
      <c r="X43" s="53">
        <f>'GHG detailed, absolute'!X43/Production!$I$21*AF_tallow_NL</f>
        <v>1.0963625707959663E-5</v>
      </c>
      <c r="Z43" s="84"/>
    </row>
    <row r="44" spans="1:26" x14ac:dyDescent="0.2">
      <c r="A44" s="23" t="s">
        <v>195</v>
      </c>
      <c r="B44" s="23" t="s">
        <v>196</v>
      </c>
      <c r="C44" s="18" t="s">
        <v>197</v>
      </c>
      <c r="D44" t="s">
        <v>57</v>
      </c>
      <c r="E44" s="58" t="s">
        <v>58</v>
      </c>
      <c r="F44" s="23" t="s">
        <v>42</v>
      </c>
      <c r="G44" s="83">
        <f>SUM(H44:T44)</f>
        <v>9.2122227474381563E-2</v>
      </c>
      <c r="H44" s="56"/>
      <c r="I44" s="56"/>
      <c r="J44" s="85"/>
      <c r="K44" s="56"/>
      <c r="L44" s="56"/>
      <c r="M44" s="56"/>
      <c r="N44" s="56"/>
      <c r="O44" s="56"/>
      <c r="P44" s="56"/>
      <c r="Q44" s="56"/>
      <c r="R44" s="56"/>
      <c r="S44" s="13">
        <f>'GHG detailed, absolute'!S44/Production!$I$21*AF_tallow_NL</f>
        <v>7.6353082496093003E-2</v>
      </c>
      <c r="T44" s="53">
        <f>'GHG detailed, absolute'!T44/Production!$I$21*AF_tallow_NL</f>
        <v>1.576914497828856E-2</v>
      </c>
      <c r="U44" s="86">
        <f>'GHG detailed, absolute'!U44/Production!$I$21*AF_tallow_NL</f>
        <v>1.576914497828856E-2</v>
      </c>
      <c r="W44" s="13"/>
      <c r="X44" s="53"/>
      <c r="Z44" s="84"/>
    </row>
    <row r="45" spans="1:26" x14ac:dyDescent="0.2">
      <c r="A45" s="23" t="s">
        <v>195</v>
      </c>
      <c r="B45" s="23" t="s">
        <v>196</v>
      </c>
      <c r="C45" s="18" t="s">
        <v>197</v>
      </c>
      <c r="D45" t="s">
        <v>57</v>
      </c>
      <c r="E45" s="58" t="s">
        <v>58</v>
      </c>
      <c r="F45" s="87" t="s">
        <v>43</v>
      </c>
      <c r="G45" s="83">
        <f>SUM(H45:T45)+W45+X45</f>
        <v>3.7881757541826534E-3</v>
      </c>
      <c r="H45" s="56">
        <f>'GHG detailed, absolute'!H45/Production!$I$21*AF_tallow_NL</f>
        <v>1.9807010340104592E-4</v>
      </c>
      <c r="I45" s="56">
        <f>'GHG detailed, absolute'!I45/Production!$I$21*AF_tallow_NL</f>
        <v>4.0561899021192608E-6</v>
      </c>
      <c r="J45" s="56">
        <f>'GHG detailed, absolute'!J45/Production!$I$21*AF_tallow_NL</f>
        <v>2.2637492992278146E-3</v>
      </c>
      <c r="K45" s="84">
        <f>'GHG detailed, absolute'!K45/Production!$I$21*AF_tallow_NL</f>
        <v>2.2637492992278146E-4</v>
      </c>
      <c r="L45" s="56">
        <f>'GHG detailed, absolute'!L45/Production!$I$21*AF_tallow_NL</f>
        <v>2.3349237968394039E-6</v>
      </c>
      <c r="M45" s="56"/>
      <c r="N45" s="56">
        <f>'GHG detailed, absolute'!N45/Production!$I$21*AF_tallow_NL</f>
        <v>1.4485673919537124E-8</v>
      </c>
      <c r="O45" s="56">
        <f>'GHG detailed, absolute'!O45/Production!$I$21*AF_tallow_NL</f>
        <v>1.6306342751848819E-6</v>
      </c>
      <c r="P45" s="56">
        <f>'GHG detailed, absolute'!P45/Production!$I$21*AF_tallow_NL</f>
        <v>0</v>
      </c>
      <c r="Q45" s="56">
        <f>'GHG detailed, absolute'!Q45/Production!$I$21*AF_tallow_NL</f>
        <v>9.0504486196644752E-5</v>
      </c>
      <c r="R45" s="56">
        <f>'GHG detailed, absolute'!R45/Production!$I$21*AF_tallow_NL</f>
        <v>9.0504486196644752E-5</v>
      </c>
      <c r="S45" s="13"/>
      <c r="T45" s="53">
        <f>'GHG detailed, absolute'!T45/Production!$I$21*AF_tallow_NL</f>
        <v>8.8765146017567821E-4</v>
      </c>
      <c r="U45" s="88">
        <f>'GHG detailed, absolute'!U45/Production!$I$21*AF_tallow_NL</f>
        <v>4.8444679458649282E-4</v>
      </c>
      <c r="V45" s="88">
        <f>'GHG detailed, absolute'!V45/Production!$I$21*AF_tallow_NL</f>
        <v>4.0320466558918533E-4</v>
      </c>
      <c r="W45" s="13">
        <f>'GHG detailed, absolute'!W45/Production!$I$21*AF_tallow_NL</f>
        <v>2.3111232594980226E-5</v>
      </c>
      <c r="X45" s="53">
        <f>'GHG detailed, absolute'!X45/Production!$I$21*AF_tallow_NL</f>
        <v>1.7352281900039974E-7</v>
      </c>
      <c r="Z45" s="84"/>
    </row>
    <row r="46" spans="1:26" x14ac:dyDescent="0.2">
      <c r="A46" s="89" t="s">
        <v>195</v>
      </c>
      <c r="B46" s="89" t="s">
        <v>196</v>
      </c>
      <c r="C46" s="90" t="s">
        <v>197</v>
      </c>
      <c r="D46" s="103" t="s">
        <v>57</v>
      </c>
      <c r="E46" s="91" t="s">
        <v>58</v>
      </c>
      <c r="F46" s="92" t="s">
        <v>44</v>
      </c>
      <c r="G46" s="102">
        <f>SUM(H46:X46)</f>
        <v>5.0642835270121074</v>
      </c>
      <c r="H46" s="94">
        <f>SUMPRODUCT(H42:H45,'Parameters, general'!$B$24:$B$27)</f>
        <v>0.27977617395680343</v>
      </c>
      <c r="I46" s="94">
        <f>SUMPRODUCT(I42:I45,'Parameters, general'!$B$24:$B$27)</f>
        <v>0.11110752254338736</v>
      </c>
      <c r="J46" s="94">
        <f>SUMPRODUCT(J42:J45,'Parameters, general'!$B$24:$B$27)</f>
        <v>0.61800355868919343</v>
      </c>
      <c r="K46" s="94">
        <f>SUMPRODUCT(K42:K45,'Parameters, general'!$B$24:$B$27)</f>
        <v>6.1800355868919341E-2</v>
      </c>
      <c r="L46" s="94">
        <f>SUMPRODUCT(L42:L45,'Parameters, general'!$B$24:$B$27)</f>
        <v>8.8680284479488697E-2</v>
      </c>
      <c r="M46" s="94">
        <f>SUMPRODUCT(M42:M45,'Parameters, general'!$B$24:$B$27)</f>
        <v>0</v>
      </c>
      <c r="N46" s="94">
        <f>SUMPRODUCT(N42:N45,'Parameters, general'!$B$24:$B$27)</f>
        <v>3.8342797191012886E-4</v>
      </c>
      <c r="O46" s="94">
        <f>SUMPRODUCT(O42:O45,'Parameters, general'!$B$24:$B$27)</f>
        <v>4.6588917499259239E-2</v>
      </c>
      <c r="P46" s="94">
        <f>SUMPRODUCT(P42:P45,'Parameters, general'!$B$24:$B$27)</f>
        <v>0.14645621774483347</v>
      </c>
      <c r="Q46" s="94">
        <f>SUMPRODUCT(Q42:Q45,'Parameters, general'!$B$24:$B$27)</f>
        <v>0.18053258404539785</v>
      </c>
      <c r="R46" s="94">
        <f>SUMPRODUCT(R42:R45,'Parameters, general'!$B$24:$B$27)</f>
        <v>0.18053258404539785</v>
      </c>
      <c r="S46" s="94">
        <f>SUMPRODUCT(S42:S45,'Parameters, general'!$B$24:$B$27)</f>
        <v>2.0615332273945111</v>
      </c>
      <c r="T46" s="94">
        <f>SUMPRODUCT(T42:T45,'Parameters, general'!$B$24:$B$27)</f>
        <v>0.66809576304175122</v>
      </c>
      <c r="U46" s="94"/>
      <c r="V46" s="94"/>
      <c r="W46" s="94">
        <f>SUMPRODUCT(W42:W45,'Parameters, general'!$B$24:$B$27)</f>
        <v>0.61593502585609738</v>
      </c>
      <c r="X46" s="94">
        <f>SUMPRODUCT(X42:X45,'Parameters, general'!$B$24:$B$27)</f>
        <v>4.8578838751570574E-3</v>
      </c>
      <c r="Z46" s="95">
        <f>SUM(H46:R46)</f>
        <v>1.7138616268445905</v>
      </c>
    </row>
    <row r="47" spans="1:26" x14ac:dyDescent="0.2">
      <c r="A47" s="74" t="s">
        <v>195</v>
      </c>
      <c r="B47" s="74" t="s">
        <v>196</v>
      </c>
      <c r="C47" s="75" t="s">
        <v>197</v>
      </c>
      <c r="D47" t="s">
        <v>59</v>
      </c>
      <c r="E47" s="58" t="s">
        <v>60</v>
      </c>
      <c r="F47" s="77" t="s">
        <v>40</v>
      </c>
      <c r="G47" s="78">
        <f>SUM(H47:X47)</f>
        <v>2.4738934213879342</v>
      </c>
      <c r="H47" s="78">
        <f>'GHG detailed, absolute'!H47/Production!$J$21*AF_tallow_PL</f>
        <v>0.29349531816278257</v>
      </c>
      <c r="I47" s="78">
        <f>'GHG detailed, absolute'!I47/Production!$J$21*AF_tallow_PL</f>
        <v>0.11303794759463488</v>
      </c>
      <c r="J47" s="78"/>
      <c r="K47" s="78"/>
      <c r="L47" s="78">
        <f>'GHG detailed, absolute'!L47/Production!$J$21*AF_tallow_PL</f>
        <v>0.13903303655280211</v>
      </c>
      <c r="M47" s="78"/>
      <c r="N47" s="78">
        <f>'GHG detailed, absolute'!N47/Production!$J$21*AF_tallow_PL</f>
        <v>7.9052386586569133E-4</v>
      </c>
      <c r="O47" s="78">
        <f>'GHG detailed, absolute'!O47/Production!$J$21*AF_tallow_PL</f>
        <v>0.10333254432035817</v>
      </c>
      <c r="P47" s="78">
        <f>'GHG detailed, absolute'!P47/Production!$J$21*AF_tallow_PL</f>
        <v>0.11500970178103079</v>
      </c>
      <c r="Q47" s="78">
        <f>'GHG detailed, absolute'!Q47/Production!$J$21*AF_tallow_PL</f>
        <v>0.32423721344110978</v>
      </c>
      <c r="R47" s="78">
        <f>'GHG detailed, absolute'!R47/Production!$J$21*AF_tallow_PL</f>
        <v>0.32423721344110978</v>
      </c>
      <c r="S47" s="79"/>
      <c r="T47" s="80"/>
      <c r="U47" s="81"/>
      <c r="V47" s="81"/>
      <c r="W47" s="79">
        <f>'GHG detailed, absolute'!W47/Production!$J$21*AF_tallow_PL</f>
        <v>1.0504516278093139</v>
      </c>
      <c r="X47" s="82">
        <f>'GHG detailed, absolute'!X47/Production!$J$21*AF_tallow_PL</f>
        <v>1.026829441892714E-2</v>
      </c>
      <c r="Z47" s="83"/>
    </row>
    <row r="48" spans="1:26" x14ac:dyDescent="0.2">
      <c r="A48" s="23" t="s">
        <v>195</v>
      </c>
      <c r="B48" s="23" t="s">
        <v>196</v>
      </c>
      <c r="C48" s="18" t="s">
        <v>197</v>
      </c>
      <c r="D48" t="s">
        <v>59</v>
      </c>
      <c r="E48" s="58" t="s">
        <v>60</v>
      </c>
      <c r="F48" s="23" t="s">
        <v>41</v>
      </c>
      <c r="G48" s="83">
        <f>SUM(H48:X48)</f>
        <v>5.3681285285149555E-3</v>
      </c>
      <c r="H48" s="56">
        <f>'GHG detailed, absolute'!H48/Production!$J$21*AF_tallow_PL</f>
        <v>2.7639877142644373E-5</v>
      </c>
      <c r="I48" s="56">
        <f>'GHG detailed, absolute'!I48/Production!$J$21*AF_tallow_PL</f>
        <v>3.9772611190704872E-4</v>
      </c>
      <c r="J48" s="56"/>
      <c r="K48" s="56"/>
      <c r="L48" s="56">
        <f>'GHG detailed, absolute'!L48/Production!$J$21*AF_tallow_PL</f>
        <v>6.1586947039920175E-5</v>
      </c>
      <c r="M48" s="56"/>
      <c r="N48" s="56">
        <f>'GHG detailed, absolute'!N48/Production!$J$21*AF_tallow_PL</f>
        <v>2.3679693827392443E-6</v>
      </c>
      <c r="O48" s="56">
        <f>'GHG detailed, absolute'!O48/Production!$J$21*AF_tallow_PL</f>
        <v>9.0329083567791313E-5</v>
      </c>
      <c r="P48" s="56">
        <f>'GHG detailed, absolute'!P48/Production!$J$21*AF_tallow_PL</f>
        <v>0</v>
      </c>
      <c r="Q48" s="56">
        <f>'GHG detailed, absolute'!Q48/Production!$J$21*AF_tallow_PL</f>
        <v>1.3710302792978174E-3</v>
      </c>
      <c r="R48" s="56">
        <f>'GHG detailed, absolute'!R48/Production!$J$21*AF_tallow_PL</f>
        <v>1.3710302792978174E-3</v>
      </c>
      <c r="W48" s="13">
        <f>'GHG detailed, absolute'!W48/Production!$J$21*AF_tallow_PL</f>
        <v>2.0239043546005889E-3</v>
      </c>
      <c r="X48" s="53">
        <f>'GHG detailed, absolute'!X48/Production!$J$21*AF_tallow_PL</f>
        <v>2.2513626278588186E-5</v>
      </c>
      <c r="Z48" s="84"/>
    </row>
    <row r="49" spans="1:28" x14ac:dyDescent="0.2">
      <c r="A49" s="23" t="s">
        <v>195</v>
      </c>
      <c r="B49" s="23" t="s">
        <v>196</v>
      </c>
      <c r="C49" s="18" t="s">
        <v>197</v>
      </c>
      <c r="D49" t="s">
        <v>59</v>
      </c>
      <c r="E49" s="58" t="s">
        <v>60</v>
      </c>
      <c r="F49" s="23" t="s">
        <v>42</v>
      </c>
      <c r="G49" s="83">
        <f>SUM(H49:T49)</f>
        <v>9.1722657476025413E-2</v>
      </c>
      <c r="H49" s="56"/>
      <c r="I49" s="56"/>
      <c r="J49" s="85"/>
      <c r="K49" s="56"/>
      <c r="L49" s="56"/>
      <c r="M49" s="56"/>
      <c r="N49" s="56"/>
      <c r="O49" s="56"/>
      <c r="P49" s="56"/>
      <c r="Q49" s="56"/>
      <c r="R49" s="56"/>
      <c r="S49" s="13">
        <f>'GHG detailed, absolute'!S49/Production!$J$21*AF_tallow_PL</f>
        <v>8.5707582858062945E-2</v>
      </c>
      <c r="T49" s="53">
        <f>'GHG detailed, absolute'!T49/Production!$J$21*AF_tallow_PL</f>
        <v>6.015074617962462E-3</v>
      </c>
      <c r="U49" s="86">
        <f>'GHG detailed, absolute'!U49/Production!$J$21*AF_tallow_PL</f>
        <v>6.015074617962462E-3</v>
      </c>
      <c r="W49" s="13"/>
      <c r="X49" s="53"/>
      <c r="Z49" s="84"/>
    </row>
    <row r="50" spans="1:28" x14ac:dyDescent="0.2">
      <c r="A50" s="23" t="s">
        <v>195</v>
      </c>
      <c r="B50" s="23" t="s">
        <v>196</v>
      </c>
      <c r="C50" s="18" t="s">
        <v>197</v>
      </c>
      <c r="D50" t="s">
        <v>59</v>
      </c>
      <c r="E50" s="58" t="s">
        <v>60</v>
      </c>
      <c r="F50" s="87" t="s">
        <v>43</v>
      </c>
      <c r="G50" s="83">
        <f>SUM(H50:T50)+W50+X50</f>
        <v>3.818002875720958E-3</v>
      </c>
      <c r="H50" s="56">
        <f>'GHG detailed, absolute'!H50/Production!$J$21*AF_tallow_PL</f>
        <v>9.0820471129015698E-5</v>
      </c>
      <c r="I50" s="56">
        <f>'GHG detailed, absolute'!I50/Production!$J$21*AF_tallow_PL</f>
        <v>4.605249716818459E-6</v>
      </c>
      <c r="J50" s="56">
        <f>'GHG detailed, absolute'!J50/Production!$J$21*AF_tallow_PL</f>
        <v>1.7759458039913443E-3</v>
      </c>
      <c r="K50" s="84">
        <f>'GHG detailed, absolute'!K50/Production!$J$21*AF_tallow_PL</f>
        <v>1.7759458039913443E-4</v>
      </c>
      <c r="L50" s="56">
        <f>'GHG detailed, absolute'!L50/Production!$J$21*AF_tallow_PL</f>
        <v>3.7358718989425219E-6</v>
      </c>
      <c r="M50" s="56"/>
      <c r="N50" s="56">
        <f>'GHG detailed, absolute'!N50/Production!$J$21*AF_tallow_PL</f>
        <v>3.3829456431715691E-8</v>
      </c>
      <c r="O50" s="56">
        <f>'GHG detailed, absolute'!O50/Production!$J$21*AF_tallow_PL</f>
        <v>3.3497908577971455E-6</v>
      </c>
      <c r="P50" s="56">
        <f>'GHG detailed, absolute'!P50/Production!$J$21*AF_tallow_PL</f>
        <v>0</v>
      </c>
      <c r="Q50" s="56">
        <f>'GHG detailed, absolute'!Q50/Production!$J$21*AF_tallow_PL</f>
        <v>8.9199673698851003E-5</v>
      </c>
      <c r="R50" s="56">
        <f>'GHG detailed, absolute'!R50/Production!$J$21*AF_tallow_PL</f>
        <v>8.9199673698851003E-5</v>
      </c>
      <c r="S50" s="13"/>
      <c r="T50" s="53">
        <f>'GHG detailed, absolute'!T50/Production!$J$21*AF_tallow_PL</f>
        <v>1.5643639095506312E-3</v>
      </c>
      <c r="U50" s="88">
        <f>'GHG detailed, absolute'!U50/Production!$J$21*AF_tallow_PL</f>
        <v>1.1670249667097795E-3</v>
      </c>
      <c r="V50" s="88">
        <f>'GHG detailed, absolute'!V50/Production!$J$21*AF_tallow_PL</f>
        <v>3.9733894284085168E-4</v>
      </c>
      <c r="W50" s="13">
        <f>'GHG detailed, absolute'!W50/Production!$J$21*AF_tallow_PL</f>
        <v>1.8953761269182203E-5</v>
      </c>
      <c r="X50" s="53">
        <f>'GHG detailed, absolute'!X50/Production!$J$21*AF_tallow_PL</f>
        <v>2.0026005395793259E-7</v>
      </c>
      <c r="Z50" s="84"/>
    </row>
    <row r="51" spans="1:28" x14ac:dyDescent="0.2">
      <c r="A51" s="89" t="s">
        <v>195</v>
      </c>
      <c r="B51" s="89" t="s">
        <v>196</v>
      </c>
      <c r="C51" s="90" t="s">
        <v>197</v>
      </c>
      <c r="D51" s="103" t="s">
        <v>59</v>
      </c>
      <c r="E51" s="100" t="s">
        <v>60</v>
      </c>
      <c r="F51" s="92" t="s">
        <v>44</v>
      </c>
      <c r="G51" s="102">
        <f>SUM(H51:X51)</f>
        <v>6.1526901884621878</v>
      </c>
      <c r="H51" s="94">
        <f>SUMPRODUCT(H47:H50,'Parameters, general'!$B$24:$B$27)</f>
        <v>0.31911297511985465</v>
      </c>
      <c r="I51" s="94">
        <f>SUMPRODUCT(I47:I50,'Parameters, general'!$B$24:$B$27)</f>
        <v>0.12614741890215636</v>
      </c>
      <c r="J51" s="94">
        <f>SUMPRODUCT(J47:J50,'Parameters, general'!$B$24:$B$27)</f>
        <v>0.48483320448963702</v>
      </c>
      <c r="K51" s="94">
        <f>SUMPRODUCT(K47:K50,'Parameters, general'!$B$24:$B$27)</f>
        <v>4.8483320448963696E-2</v>
      </c>
      <c r="L51" s="94">
        <f>SUMPRODUCT(L47:L50,'Parameters, general'!$B$24:$B$27)</f>
        <v>0.14188822060300302</v>
      </c>
      <c r="M51" s="94">
        <f>SUMPRODUCT(M47:M50,'Parameters, general'!$B$24:$B$27)</f>
        <v>0</v>
      </c>
      <c r="N51" s="94">
        <f>SUMPRODUCT(N47:N50,'Parameters, general'!$B$24:$B$27)</f>
        <v>8.7032479507717913E-4</v>
      </c>
      <c r="O51" s="94">
        <f>SUMPRODUCT(O47:O50,'Parameters, general'!$B$24:$B$27)</f>
        <v>0.10693884391485697</v>
      </c>
      <c r="P51" s="94">
        <f>SUMPRODUCT(P47:P50,'Parameters, general'!$B$24:$B$27)</f>
        <v>0.11500970178103079</v>
      </c>
      <c r="Q51" s="94">
        <f>SUMPRODUCT(Q47:Q50,'Parameters, general'!$B$24:$B$27)</f>
        <v>0.38944542668397109</v>
      </c>
      <c r="R51" s="94">
        <f>SUMPRODUCT(R47:R50,'Parameters, general'!$B$24:$B$27)</f>
        <v>0.38944542668397109</v>
      </c>
      <c r="S51" s="94">
        <f>SUMPRODUCT(S47:S50,'Parameters, general'!$B$24:$B$27)</f>
        <v>2.3141047371676997</v>
      </c>
      <c r="T51" s="94">
        <f>SUMPRODUCT(T47:T50,'Parameters, general'!$B$24:$B$27)</f>
        <v>0.58947836199230874</v>
      </c>
      <c r="U51" s="94"/>
      <c r="V51" s="94"/>
      <c r="W51" s="94">
        <f>SUMPRODUCT(W47:W50,'Parameters, general'!$B$24:$B$27)</f>
        <v>1.1159383544028982</v>
      </c>
      <c r="X51" s="94">
        <f>SUMPRODUCT(X47:X50,'Parameters, general'!$B$24:$B$27)</f>
        <v>1.0993871476759585E-2</v>
      </c>
      <c r="Z51" s="95">
        <f>SUM(H51:R51)</f>
        <v>2.1221748634225217</v>
      </c>
    </row>
    <row r="52" spans="1:28" x14ac:dyDescent="0.2">
      <c r="A52" s="74" t="s">
        <v>195</v>
      </c>
      <c r="B52" s="74" t="s">
        <v>196</v>
      </c>
      <c r="C52" s="75" t="s">
        <v>197</v>
      </c>
      <c r="D52" t="s">
        <v>61</v>
      </c>
      <c r="E52" s="76" t="s">
        <v>62</v>
      </c>
      <c r="F52" s="77" t="s">
        <v>40</v>
      </c>
      <c r="G52" s="78">
        <f>SUM(H52:X52)</f>
        <v>1.4201932948105376</v>
      </c>
      <c r="H52" s="78">
        <f>'GHG detailed, absolute'!H52/Production!$K$21*AF_tallow_ES</f>
        <v>0.20246008311124222</v>
      </c>
      <c r="I52" s="78">
        <f>'GHG detailed, absolute'!I52/Production!$K$21*AF_tallow_ES</f>
        <v>0.11454734185726195</v>
      </c>
      <c r="J52" s="78"/>
      <c r="K52" s="78"/>
      <c r="L52" s="78">
        <f>'GHG detailed, absolute'!L52/Production!$K$21*AF_tallow_ES</f>
        <v>0.14459127549613626</v>
      </c>
      <c r="M52" s="78"/>
      <c r="N52" s="78">
        <f>'GHG detailed, absolute'!N52/Production!$K$21*AF_tallow_ES</f>
        <v>1.8332342451918802E-2</v>
      </c>
      <c r="O52" s="78">
        <f>'GHG detailed, absolute'!O52/Production!$K$21*AF_tallow_ES</f>
        <v>8.4596748964841928E-2</v>
      </c>
      <c r="P52" s="78">
        <f>'GHG detailed, absolute'!P52/Production!$K$21*AF_tallow_ES</f>
        <v>0.15601917744656957</v>
      </c>
      <c r="Q52" s="78">
        <f>'GHG detailed, absolute'!Q52/Production!$K$21*AF_tallow_ES</f>
        <v>0.17269454460941447</v>
      </c>
      <c r="R52" s="78">
        <f>'GHG detailed, absolute'!R52/Production!$K$21*AF_tallow_ES</f>
        <v>0.17269454460941447</v>
      </c>
      <c r="S52" s="79"/>
      <c r="T52" s="80"/>
      <c r="U52" s="81"/>
      <c r="V52" s="81"/>
      <c r="W52" s="79">
        <f>'GHG detailed, absolute'!W52/Production!$K$21*AF_tallow_ES</f>
        <v>0.35069206058703556</v>
      </c>
      <c r="X52" s="82">
        <f>'GHG detailed, absolute'!X52/Production!$K$21*AF_tallow_ES</f>
        <v>3.5651756767022856E-3</v>
      </c>
      <c r="Z52" s="83"/>
    </row>
    <row r="53" spans="1:28" x14ac:dyDescent="0.2">
      <c r="A53" s="23" t="s">
        <v>195</v>
      </c>
      <c r="B53" s="23" t="s">
        <v>196</v>
      </c>
      <c r="C53" s="18" t="s">
        <v>197</v>
      </c>
      <c r="D53" t="s">
        <v>61</v>
      </c>
      <c r="E53" s="58" t="s">
        <v>62</v>
      </c>
      <c r="F53" s="23" t="s">
        <v>41</v>
      </c>
      <c r="G53" s="83">
        <f>SUM(H53:X53)</f>
        <v>3.9237619814415804E-3</v>
      </c>
      <c r="H53" s="56">
        <f>'GHG detailed, absolute'!H53/Production!$K$21*AF_tallow_ES</f>
        <v>2.4420651205761597E-5</v>
      </c>
      <c r="I53" s="56">
        <f>'GHG detailed, absolute'!I53/Production!$K$21*AF_tallow_ES</f>
        <v>4.0303694357184767E-4</v>
      </c>
      <c r="J53" s="56"/>
      <c r="K53" s="56"/>
      <c r="L53" s="56">
        <f>'GHG detailed, absolute'!L53/Production!$K$21*AF_tallow_ES</f>
        <v>6.4049059469639943E-5</v>
      </c>
      <c r="M53" s="56"/>
      <c r="N53" s="56">
        <f>'GHG detailed, absolute'!N53/Production!$K$21*AF_tallow_ES</f>
        <v>5.4679157166866675E-5</v>
      </c>
      <c r="O53" s="56">
        <f>'GHG detailed, absolute'!O53/Production!$K$21*AF_tallow_ES</f>
        <v>6.3833268421176667E-5</v>
      </c>
      <c r="P53" s="56">
        <f>'GHG detailed, absolute'!P53/Production!$K$21*AF_tallow_ES</f>
        <v>0</v>
      </c>
      <c r="Q53" s="56">
        <f>'GHG detailed, absolute'!Q53/Production!$K$21*AF_tallow_ES</f>
        <v>1.1085931742174228E-3</v>
      </c>
      <c r="R53" s="56">
        <f>'GHG detailed, absolute'!R53/Production!$K$21*AF_tallow_ES</f>
        <v>1.1085931742174228E-3</v>
      </c>
      <c r="W53" s="13">
        <f>'GHG detailed, absolute'!W53/Production!$K$21*AF_tallow_ES</f>
        <v>1.0840429284237163E-3</v>
      </c>
      <c r="X53" s="53">
        <f>'GHG detailed, absolute'!X53/Production!$K$21*AF_tallow_ES</f>
        <v>1.2513624747726238E-5</v>
      </c>
      <c r="Z53" s="84"/>
    </row>
    <row r="54" spans="1:28" x14ac:dyDescent="0.2">
      <c r="A54" s="23" t="s">
        <v>195</v>
      </c>
      <c r="B54" s="23" t="s">
        <v>196</v>
      </c>
      <c r="C54" s="18" t="s">
        <v>197</v>
      </c>
      <c r="D54" t="s">
        <v>61</v>
      </c>
      <c r="E54" s="58" t="s">
        <v>62</v>
      </c>
      <c r="F54" s="23" t="s">
        <v>42</v>
      </c>
      <c r="G54" s="83">
        <f>SUM(H54:T54)</f>
        <v>0.10063603952453853</v>
      </c>
      <c r="H54" s="56"/>
      <c r="I54" s="56"/>
      <c r="J54" s="85"/>
      <c r="K54" s="56"/>
      <c r="L54" s="56"/>
      <c r="M54" s="56"/>
      <c r="N54" s="56"/>
      <c r="O54" s="56"/>
      <c r="P54" s="56"/>
      <c r="Q54" s="56"/>
      <c r="R54" s="56"/>
      <c r="S54" s="13">
        <f>'GHG detailed, absolute'!S54/Production!$K$21*AF_tallow_ES</f>
        <v>8.5591281543831818E-2</v>
      </c>
      <c r="T54" s="53">
        <f>'GHG detailed, absolute'!T54/Production!$K$21*AF_tallow_ES</f>
        <v>1.5044757980706716E-2</v>
      </c>
      <c r="U54" s="86">
        <f>'GHG detailed, absolute'!U54/Production!$K$21*AF_tallow_ES</f>
        <v>1.5044757980706716E-2</v>
      </c>
      <c r="W54" s="13"/>
      <c r="X54" s="53"/>
      <c r="Z54" s="84"/>
    </row>
    <row r="55" spans="1:28" x14ac:dyDescent="0.2">
      <c r="A55" s="23" t="s">
        <v>195</v>
      </c>
      <c r="B55" s="23" t="s">
        <v>196</v>
      </c>
      <c r="C55" s="18" t="s">
        <v>197</v>
      </c>
      <c r="D55" t="s">
        <v>61</v>
      </c>
      <c r="E55" s="58" t="s">
        <v>62</v>
      </c>
      <c r="F55" s="87" t="s">
        <v>43</v>
      </c>
      <c r="G55" s="83">
        <f>SUM(H55:T55)+W55+X55</f>
        <v>3.6327792420100262E-3</v>
      </c>
      <c r="H55" s="56">
        <f>'GHG detailed, absolute'!H55/Production!$K$21*AF_tallow_ES</f>
        <v>5.9082578798271302E-5</v>
      </c>
      <c r="I55" s="56">
        <f>'GHG detailed, absolute'!I55/Production!$K$21*AF_tallow_ES</f>
        <v>4.6667435571477099E-6</v>
      </c>
      <c r="J55" s="56">
        <f>'GHG detailed, absolute'!J55/Production!$K$21*AF_tallow_ES</f>
        <v>2.0211018992853319E-3</v>
      </c>
      <c r="K55" s="84">
        <f>'GHG detailed, absolute'!K55/Production!$K$21*AF_tallow_ES</f>
        <v>2.0211018992853319E-4</v>
      </c>
      <c r="L55" s="56">
        <f>'GHG detailed, absolute'!L55/Production!$K$21*AF_tallow_ES</f>
        <v>3.8852239464188382E-6</v>
      </c>
      <c r="M55" s="56"/>
      <c r="N55" s="56">
        <f>'GHG detailed, absolute'!N55/Production!$K$21*AF_tallow_ES</f>
        <v>7.8560606145413492E-7</v>
      </c>
      <c r="O55" s="56">
        <f>'GHG detailed, absolute'!O55/Production!$K$21*AF_tallow_ES</f>
        <v>3.1078933459993509E-6</v>
      </c>
      <c r="P55" s="56">
        <f>'GHG detailed, absolute'!P55/Production!$K$21*AF_tallow_ES</f>
        <v>0</v>
      </c>
      <c r="Q55" s="56">
        <f>'GHG detailed, absolute'!Q55/Production!$K$21*AF_tallow_ES</f>
        <v>8.0471715610239207E-5</v>
      </c>
      <c r="R55" s="56">
        <f>'GHG detailed, absolute'!R55/Production!$K$21*AF_tallow_ES</f>
        <v>8.0471715610239207E-5</v>
      </c>
      <c r="S55" s="13"/>
      <c r="T55" s="53">
        <f>'GHG detailed, absolute'!T55/Production!$K$21*AF_tallow_ES</f>
        <v>1.1610713971021876E-3</v>
      </c>
      <c r="U55" s="88">
        <f>'GHG detailed, absolute'!U55/Production!$K$21*AF_tallow_ES</f>
        <v>7.9925026779193928E-4</v>
      </c>
      <c r="V55" s="88">
        <f>'GHG detailed, absolute'!V55/Production!$K$21*AF_tallow_ES</f>
        <v>3.6182112931024813E-4</v>
      </c>
      <c r="W55" s="13">
        <f>'GHG detailed, absolute'!W55/Production!$K$21*AF_tallow_ES</f>
        <v>1.5876512543904432E-5</v>
      </c>
      <c r="X55" s="53">
        <f>'GHG detailed, absolute'!X55/Production!$K$21*AF_tallow_ES</f>
        <v>1.4776622029869045E-7</v>
      </c>
      <c r="Z55" s="84"/>
    </row>
    <row r="56" spans="1:28" x14ac:dyDescent="0.2">
      <c r="A56" s="89" t="s">
        <v>195</v>
      </c>
      <c r="B56" s="89" t="s">
        <v>196</v>
      </c>
      <c r="C56" s="90" t="s">
        <v>197</v>
      </c>
      <c r="D56" s="103" t="s">
        <v>61</v>
      </c>
      <c r="E56" s="91" t="s">
        <v>62</v>
      </c>
      <c r="F56" s="92" t="s">
        <v>44</v>
      </c>
      <c r="G56" s="102">
        <f>SUM(H56:X56)</f>
        <v>5.2460432020887753</v>
      </c>
      <c r="H56" s="94">
        <f>SUMPRODUCT(H52:H55,'Parameters, general'!$B$24:$B$27)</f>
        <v>0.21931736252910197</v>
      </c>
      <c r="I56" s="94">
        <f>SUMPRODUCT(I52:I55,'Parameters, general'!$B$24:$B$27)</f>
        <v>0.12783186376680433</v>
      </c>
      <c r="J56" s="94">
        <f>SUMPRODUCT(J52:J55,'Parameters, general'!$B$24:$B$27)</f>
        <v>0.55176081850489567</v>
      </c>
      <c r="K56" s="94">
        <f>SUMPRODUCT(K52:K55,'Parameters, general'!$B$24:$B$27)</f>
        <v>5.5176081850489563E-2</v>
      </c>
      <c r="L56" s="94">
        <f>SUMPRODUCT(L52:L55,'Parameters, general'!$B$24:$B$27)</f>
        <v>0.14756060360570389</v>
      </c>
      <c r="M56" s="94">
        <f>SUMPRODUCT(M52:M55,'Parameters, general'!$B$24:$B$27)</f>
        <v>0</v>
      </c>
      <c r="N56" s="94">
        <f>SUMPRODUCT(N52:N55,'Parameters, general'!$B$24:$B$27)</f>
        <v>2.0176251790268409E-2</v>
      </c>
      <c r="O56" s="94">
        <f>SUMPRODUCT(O52:O55,'Parameters, general'!$B$24:$B$27)</f>
        <v>8.7347435247250818E-2</v>
      </c>
      <c r="P56" s="94">
        <f>SUMPRODUCT(P52:P55,'Parameters, general'!$B$24:$B$27)</f>
        <v>0.15601917744656957</v>
      </c>
      <c r="Q56" s="94">
        <f>SUMPRODUCT(Q52:Q55,'Parameters, general'!$B$24:$B$27)</f>
        <v>0.22769939956268898</v>
      </c>
      <c r="R56" s="94">
        <f>SUMPRODUCT(R52:R55,'Parameters, general'!$B$24:$B$27)</f>
        <v>0.22769939956268898</v>
      </c>
      <c r="S56" s="94">
        <f>SUMPRODUCT(S52:S55,'Parameters, general'!$B$24:$B$27)</f>
        <v>2.3109646016834593</v>
      </c>
      <c r="T56" s="94">
        <f>SUMPRODUCT(T52:T55,'Parameters, general'!$B$24:$B$27)</f>
        <v>0.72318095688797857</v>
      </c>
      <c r="U56" s="94"/>
      <c r="V56" s="94"/>
      <c r="W56" s="94">
        <f>SUMPRODUCT(W52:W55,'Parameters, general'!$B$24:$B$27)</f>
        <v>0.38733082777854821</v>
      </c>
      <c r="X56" s="94">
        <f>SUMPRODUCT(X52:X55,'Parameters, general'!$B$24:$B$27)</f>
        <v>3.9784218723260692E-3</v>
      </c>
      <c r="Z56" s="95">
        <f>SUM(H56:R56)</f>
        <v>1.8205883938664622</v>
      </c>
    </row>
    <row r="57" spans="1:28" x14ac:dyDescent="0.2">
      <c r="A57" s="74" t="s">
        <v>195</v>
      </c>
      <c r="B57" s="74" t="s">
        <v>196</v>
      </c>
      <c r="C57" s="75" t="s">
        <v>197</v>
      </c>
      <c r="D57" s="58" t="s">
        <v>63</v>
      </c>
      <c r="E57" s="58" t="s">
        <v>64</v>
      </c>
      <c r="F57" s="97" t="s">
        <v>40</v>
      </c>
      <c r="G57" s="78">
        <f>SUM(H57:X57)</f>
        <v>0.96912259605997952</v>
      </c>
      <c r="H57" s="78">
        <f>'GHG detailed, absolute'!H57/Production!$L$21*AF_tallow_SE</f>
        <v>0.14789558153556126</v>
      </c>
      <c r="I57" s="83">
        <f>'GHG detailed, absolute'!I57/Production!$L$21*AF_tallow_SE</f>
        <v>0.12004474610402201</v>
      </c>
      <c r="J57" s="83"/>
      <c r="K57" s="83"/>
      <c r="L57" s="78">
        <f>'GHG detailed, absolute'!L57/Production!$L$21*AF_tallow_SE</f>
        <v>0.11766666551929517</v>
      </c>
      <c r="M57" s="78"/>
      <c r="N57" s="78">
        <f>'GHG detailed, absolute'!N57/Production!$L$21*AF_tallow_SE</f>
        <v>2.9001275777746526E-4</v>
      </c>
      <c r="O57" s="78">
        <f>'GHG detailed, absolute'!O57/Production!$L$21*AF_tallow_SE</f>
        <v>4.1733890384748777E-2</v>
      </c>
      <c r="P57" s="78">
        <f>'GHG detailed, absolute'!P57/Production!$L$21*AF_tallow_SE</f>
        <v>0.10889484127398612</v>
      </c>
      <c r="Q57" s="78">
        <f>'GHG detailed, absolute'!Q57/Production!$L$21*AF_tallow_SE</f>
        <v>0.18629128760666583</v>
      </c>
      <c r="R57" s="78">
        <f>'GHG detailed, absolute'!R57/Production!$L$21*AF_tallow_SE</f>
        <v>0.18629128760666583</v>
      </c>
      <c r="S57" s="79"/>
      <c r="U57" s="81"/>
      <c r="V57" s="81"/>
      <c r="W57" s="79">
        <f>'GHG detailed, absolute'!W57/Production!$L$21*AF_tallow_SE</f>
        <v>5.8256640316250281E-2</v>
      </c>
      <c r="X57" s="82">
        <f>'GHG detailed, absolute'!X57/Production!$L$21*AF_tallow_SE</f>
        <v>1.7576429550067454E-3</v>
      </c>
    </row>
    <row r="58" spans="1:28" x14ac:dyDescent="0.2">
      <c r="A58" s="23" t="s">
        <v>195</v>
      </c>
      <c r="B58" s="23" t="s">
        <v>196</v>
      </c>
      <c r="C58" s="18" t="s">
        <v>197</v>
      </c>
      <c r="D58" s="58" t="s">
        <v>63</v>
      </c>
      <c r="E58" s="58" t="s">
        <v>64</v>
      </c>
      <c r="F58" s="23" t="s">
        <v>41</v>
      </c>
      <c r="G58" s="83">
        <f>SUM(H58:X58)</f>
        <v>5.4263587459254629E-3</v>
      </c>
      <c r="H58" s="56">
        <f>'GHG detailed, absolute'!H58/Production!$L$21*AF_tallow_SE</f>
        <v>5.7344739201919177E-5</v>
      </c>
      <c r="I58" s="99">
        <f>'GHG detailed, absolute'!I58/Production!$L$21*AF_tallow_SE</f>
        <v>4.2237966221785522E-4</v>
      </c>
      <c r="J58" s="99"/>
      <c r="K58" s="99"/>
      <c r="L58" s="56">
        <f>'GHG detailed, absolute'!L58/Production!$L$21*AF_tallow_SE</f>
        <v>5.2122365139803715E-5</v>
      </c>
      <c r="M58" s="56"/>
      <c r="N58" s="56">
        <f>'GHG detailed, absolute'!N58/Production!$L$21*AF_tallow_SE</f>
        <v>8.8889172249470855E-7</v>
      </c>
      <c r="O58" s="56">
        <f>'GHG detailed, absolute'!O58/Production!$L$21*AF_tallow_SE</f>
        <v>2.1371115108144217E-5</v>
      </c>
      <c r="P58" s="56">
        <f>'GHG detailed, absolute'!P58/Production!$L$21*AF_tallow_SE</f>
        <v>0</v>
      </c>
      <c r="Q58" s="56">
        <f>'GHG detailed, absolute'!Q58/Production!$L$21*AF_tallow_SE</f>
        <v>2.4011152458643607E-3</v>
      </c>
      <c r="R58" s="56">
        <f>'GHG detailed, absolute'!R58/Production!$L$21*AF_tallow_SE</f>
        <v>2.4011152458643607E-3</v>
      </c>
      <c r="W58" s="13">
        <f>'GHG detailed, absolute'!W58/Production!$L$21*AF_tallow_SE</f>
        <v>6.4729859460449149E-5</v>
      </c>
      <c r="X58" s="53">
        <f>'GHG detailed, absolute'!X58/Production!$L$21*AF_tallow_SE</f>
        <v>5.2916213460756295E-6</v>
      </c>
    </row>
    <row r="59" spans="1:28" x14ac:dyDescent="0.2">
      <c r="A59" s="23" t="s">
        <v>195</v>
      </c>
      <c r="B59" s="23" t="s">
        <v>196</v>
      </c>
      <c r="C59" s="18" t="s">
        <v>197</v>
      </c>
      <c r="D59" s="58" t="s">
        <v>63</v>
      </c>
      <c r="E59" s="58" t="s">
        <v>64</v>
      </c>
      <c r="F59" s="23" t="s">
        <v>42</v>
      </c>
      <c r="G59" s="83">
        <f>SUM(H59:T59)</f>
        <v>9.5758216042507199E-2</v>
      </c>
      <c r="H59" s="56"/>
      <c r="I59" s="99"/>
      <c r="J59" s="99"/>
      <c r="K59" s="99"/>
      <c r="L59" s="56"/>
      <c r="M59" s="56"/>
      <c r="N59" s="56"/>
      <c r="O59" s="56"/>
      <c r="P59" s="56"/>
      <c r="Q59" s="56"/>
      <c r="R59" s="56"/>
      <c r="S59" s="13">
        <f>'GHG detailed, absolute'!S59/Production!$L$21*AF_tallow_SE</f>
        <v>9.0433124254879108E-2</v>
      </c>
      <c r="T59" s="52">
        <f>'GHG detailed, absolute'!T59/Production!$L$21*AF_tallow_SE</f>
        <v>5.3250917876280961E-3</v>
      </c>
      <c r="U59" s="86">
        <f>'GHG detailed, absolute'!U59/Production!$L$21*AF_tallow_SE</f>
        <v>5.3250917876280961E-3</v>
      </c>
      <c r="W59" s="13"/>
      <c r="X59" s="53"/>
      <c r="Z59" s="84"/>
    </row>
    <row r="60" spans="1:28" x14ac:dyDescent="0.2">
      <c r="A60" s="23" t="s">
        <v>195</v>
      </c>
      <c r="B60" s="23" t="s">
        <v>196</v>
      </c>
      <c r="C60" s="18" t="s">
        <v>197</v>
      </c>
      <c r="D60" s="58" t="s">
        <v>63</v>
      </c>
      <c r="E60" s="58" t="s">
        <v>64</v>
      </c>
      <c r="F60" s="87" t="s">
        <v>43</v>
      </c>
      <c r="G60" s="83">
        <f>SUM(H60:T60)+W60+X60</f>
        <v>3.4757269925689348E-3</v>
      </c>
      <c r="H60" s="56">
        <f>'GHG detailed, absolute'!H60/Production!$L$21*AF_tallow_SE</f>
        <v>1.2824407864888644E-4</v>
      </c>
      <c r="I60" s="84">
        <f>'GHG detailed, absolute'!I60/Production!$L$21*AF_tallow_SE</f>
        <v>4.8907118783120077E-6</v>
      </c>
      <c r="J60" s="84">
        <f>'GHG detailed, absolute'!J60/Production!$L$21*AF_tallow_SE</f>
        <v>1.8264151404361367E-3</v>
      </c>
      <c r="K60" s="84">
        <f>'GHG detailed, absolute'!K60/Production!$L$21*AF_tallow_SE</f>
        <v>1.8264151404361368E-4</v>
      </c>
      <c r="L60" s="56">
        <f>'GHG detailed, absolute'!L60/Production!$L$21*AF_tallow_SE</f>
        <v>3.1617491788640965E-6</v>
      </c>
      <c r="M60" s="56"/>
      <c r="N60" s="56">
        <f>'GHG detailed, absolute'!N60/Production!$L$21*AF_tallow_SE</f>
        <v>1.2316283421050645E-8</v>
      </c>
      <c r="O60" s="56">
        <f>'GHG detailed, absolute'!O60/Production!$L$21*AF_tallow_SE</f>
        <v>1.5632788620450127E-6</v>
      </c>
      <c r="P60" s="56">
        <f>'GHG detailed, absolute'!P60/Production!$L$21*AF_tallow_SE</f>
        <v>0</v>
      </c>
      <c r="Q60" s="56">
        <f>'GHG detailed, absolute'!Q60/Production!$L$21*AF_tallow_SE</f>
        <v>2.3087355314104237E-4</v>
      </c>
      <c r="R60" s="56">
        <f>'GHG detailed, absolute'!R60/Production!$L$21*AF_tallow_SE</f>
        <v>2.3087355314104237E-4</v>
      </c>
      <c r="S60" s="13"/>
      <c r="T60" s="53">
        <f>'GHG detailed, absolute'!T60/Production!$L$21*AF_tallow_SE</f>
        <v>8.6156502145437951E-4</v>
      </c>
      <c r="U60" s="88">
        <f>'GHG detailed, absolute'!U60/Production!$L$21*AF_tallow_SE</f>
        <v>4.8503050903224985E-4</v>
      </c>
      <c r="V60" s="88">
        <f>'GHG detailed, absolute'!V60/Production!$L$21*AF_tallow_SE</f>
        <v>3.7653451242212972E-4</v>
      </c>
      <c r="W60" s="13">
        <f>'GHG detailed, absolute'!W60/Production!$L$21*AF_tallow_SE</f>
        <v>5.3826431481503824E-6</v>
      </c>
      <c r="X60" s="53">
        <f>'GHG detailed, absolute'!X60/Production!$L$21*AF_tallow_SE</f>
        <v>1.0343235304111283E-7</v>
      </c>
    </row>
    <row r="61" spans="1:28" ht="15" customHeight="1" thickTop="1" x14ac:dyDescent="0.2">
      <c r="A61" s="89" t="s">
        <v>195</v>
      </c>
      <c r="B61" s="89" t="s">
        <v>196</v>
      </c>
      <c r="C61" s="90" t="s">
        <v>197</v>
      </c>
      <c r="D61" s="91" t="s">
        <v>63</v>
      </c>
      <c r="E61" s="91" t="s">
        <v>64</v>
      </c>
      <c r="F61" s="92" t="s">
        <v>44</v>
      </c>
      <c r="G61" s="104">
        <f>SUM(H61:X61)</f>
        <v>4.6651733888075722</v>
      </c>
      <c r="H61" s="105">
        <f>SUMPRODUCT(H57:H60,'Parameters, general'!$B$24:$B$27)</f>
        <v>0.18461508823492445</v>
      </c>
      <c r="I61" s="94">
        <f>SUMPRODUCT(I57:I60,'Parameters, general'!$B$24:$B$27)</f>
        <v>0.13396682438089327</v>
      </c>
      <c r="J61" s="94">
        <f>SUMPRODUCT(J57:J60,'Parameters, general'!$B$24:$B$27)</f>
        <v>0.49861133333906532</v>
      </c>
      <c r="K61" s="94">
        <f>SUMPRODUCT(K57:K60,'Parameters, general'!$B$24:$B$27)</f>
        <v>4.9861133333906536E-2</v>
      </c>
      <c r="L61" s="94">
        <f>SUMPRODUCT(L57:L60,'Parameters, general'!$B$24:$B$27)</f>
        <v>0.12008306952629122</v>
      </c>
      <c r="M61" s="94">
        <f>SUMPRODUCT(M57:M60,'Parameters, general'!$B$24:$B$27)</f>
        <v>0</v>
      </c>
      <c r="N61" s="94">
        <f>SUMPRODUCT(N57:N60,'Parameters, general'!$B$24:$B$27)</f>
        <v>3.1986407648175441E-4</v>
      </c>
      <c r="O61" s="94">
        <f>SUMPRODUCT(O57:O60,'Parameters, general'!$B$24:$B$27)</f>
        <v>4.2797524744309763E-2</v>
      </c>
      <c r="P61" s="94">
        <f>SUMPRODUCT(P57:P60,'Parameters, general'!$B$24:$B$27)</f>
        <v>0.10889484127398612</v>
      </c>
      <c r="Q61" s="94">
        <f>SUMPRODUCT(Q57:Q60,'Parameters, general'!$B$24:$B$27)</f>
        <v>0.32087300194092833</v>
      </c>
      <c r="R61" s="94">
        <f>SUMPRODUCT(R57:R60,'Parameters, general'!$B$24:$B$27)</f>
        <v>0.32087300194092833</v>
      </c>
      <c r="S61" s="94">
        <f>SUMPRODUCT(S57:S60,'Parameters, general'!$B$24:$B$27)</f>
        <v>2.441694354881736</v>
      </c>
      <c r="T61" s="94">
        <f>SUMPRODUCT(T57:T60,'Parameters, general'!$B$24:$B$27)</f>
        <v>0.37898472912300418</v>
      </c>
      <c r="U61" s="94"/>
      <c r="V61" s="94"/>
      <c r="W61" s="94">
        <f>SUMPRODUCT(W57:W60,'Parameters, general'!$B$24:$B$27)</f>
        <v>6.1655051707616718E-2</v>
      </c>
      <c r="X61" s="94">
        <f>SUMPRODUCT(X57:X60,'Parameters, general'!$B$24:$B$27)</f>
        <v>1.943570303500023E-3</v>
      </c>
      <c r="Z61" s="95">
        <f>SUM(H61:R61)</f>
        <v>1.7808956827917148</v>
      </c>
    </row>
    <row r="62" spans="1:28" x14ac:dyDescent="0.2">
      <c r="A62" s="74" t="s">
        <v>195</v>
      </c>
      <c r="B62" s="74" t="s">
        <v>196</v>
      </c>
      <c r="C62" s="75" t="s">
        <v>197</v>
      </c>
      <c r="D62" s="58" t="s">
        <v>65</v>
      </c>
      <c r="E62" s="58" t="s">
        <v>66</v>
      </c>
      <c r="F62" s="97" t="s">
        <v>40</v>
      </c>
      <c r="G62" s="78">
        <f>SUM(H62:X62)</f>
        <v>0.56466740258538362</v>
      </c>
      <c r="H62" s="152">
        <f>H32</f>
        <v>9.4288195717901771E-2</v>
      </c>
      <c r="I62" s="152">
        <f>I32</f>
        <v>0.114474850185046</v>
      </c>
      <c r="J62" s="152"/>
      <c r="K62" s="152"/>
      <c r="L62" s="152">
        <f>L32</f>
        <v>6.7935257892480019E-2</v>
      </c>
      <c r="M62" s="152"/>
      <c r="N62" s="152">
        <f t="shared" ref="N62:R63" si="0">N32</f>
        <v>2.7030768386361907E-4</v>
      </c>
      <c r="O62" s="152">
        <f t="shared" si="0"/>
        <v>2.2365106385551458E-2</v>
      </c>
      <c r="P62" s="152">
        <f t="shared" si="0"/>
        <v>1.0602521703869749E-2</v>
      </c>
      <c r="Q62" s="152">
        <f t="shared" si="0"/>
        <v>2.8743406552788568E-2</v>
      </c>
      <c r="R62" s="152">
        <f t="shared" si="0"/>
        <v>2.8743406552788568E-2</v>
      </c>
      <c r="S62" s="152"/>
      <c r="T62" s="152"/>
      <c r="U62" s="152"/>
      <c r="V62" s="152"/>
      <c r="W62" s="152">
        <f>W32</f>
        <v>0.19272476806521521</v>
      </c>
      <c r="X62" s="152">
        <f>X32</f>
        <v>4.5195818458786466E-3</v>
      </c>
      <c r="AB62" t="s">
        <v>67</v>
      </c>
    </row>
    <row r="63" spans="1:28" x14ac:dyDescent="0.2">
      <c r="A63" s="23" t="s">
        <v>195</v>
      </c>
      <c r="B63" s="23" t="s">
        <v>196</v>
      </c>
      <c r="C63" s="18" t="s">
        <v>197</v>
      </c>
      <c r="D63" s="58" t="s">
        <v>65</v>
      </c>
      <c r="E63" s="58" t="s">
        <v>66</v>
      </c>
      <c r="F63" s="23" t="s">
        <v>41</v>
      </c>
      <c r="G63" s="83">
        <f>SUM(H63:X63)</f>
        <v>7.7020189283988892E-4</v>
      </c>
      <c r="H63" s="153">
        <f>H33</f>
        <v>3.8169332649779929E-6</v>
      </c>
      <c r="I63" s="153">
        <f>I33</f>
        <v>4.0278188028071741E-4</v>
      </c>
      <c r="J63" s="153"/>
      <c r="K63" s="153"/>
      <c r="L63" s="153">
        <f>L33</f>
        <v>3.0093028489516642E-5</v>
      </c>
      <c r="M63" s="153"/>
      <c r="N63" s="153">
        <f t="shared" si="0"/>
        <v>8.0097355979345223E-7</v>
      </c>
      <c r="O63" s="153">
        <f t="shared" si="0"/>
        <v>1.1691592037309831E-5</v>
      </c>
      <c r="P63" s="153">
        <f t="shared" si="0"/>
        <v>0</v>
      </c>
      <c r="Q63" s="153">
        <f t="shared" si="0"/>
        <v>5.2502898459301721E-5</v>
      </c>
      <c r="R63" s="153">
        <f t="shared" si="0"/>
        <v>5.2502898459301721E-5</v>
      </c>
      <c r="S63" s="153"/>
      <c r="T63" s="153"/>
      <c r="U63" s="153"/>
      <c r="V63" s="153"/>
      <c r="W63" s="153">
        <f>W33</f>
        <v>2.0769632603118992E-4</v>
      </c>
      <c r="X63" s="153">
        <f>X33</f>
        <v>8.31536225778014E-6</v>
      </c>
    </row>
    <row r="64" spans="1:28" x14ac:dyDescent="0.2">
      <c r="A64" s="23" t="s">
        <v>195</v>
      </c>
      <c r="B64" s="23" t="s">
        <v>196</v>
      </c>
      <c r="C64" s="18" t="s">
        <v>197</v>
      </c>
      <c r="D64" s="58" t="s">
        <v>65</v>
      </c>
      <c r="E64" s="58" t="s">
        <v>66</v>
      </c>
      <c r="F64" s="23" t="s">
        <v>42</v>
      </c>
      <c r="G64" s="83">
        <f>SUM(H64:T64)</f>
        <v>9.3942210096583739E-2</v>
      </c>
      <c r="H64" s="152"/>
      <c r="I64" s="152"/>
      <c r="J64" s="152"/>
      <c r="K64" s="152"/>
      <c r="L64" s="152"/>
      <c r="M64" s="152"/>
      <c r="N64" s="152"/>
      <c r="O64" s="152"/>
      <c r="P64" s="152"/>
      <c r="Q64" s="152"/>
      <c r="R64" s="152"/>
      <c r="S64" s="152">
        <f>S34</f>
        <v>8.3607851889208704E-2</v>
      </c>
      <c r="T64" s="153">
        <f>T34</f>
        <v>1.0334358207375034E-2</v>
      </c>
      <c r="U64" s="153">
        <f>U34</f>
        <v>1.0334358207375034E-2</v>
      </c>
      <c r="V64" s="152"/>
      <c r="W64" s="152"/>
      <c r="X64" s="152"/>
      <c r="Z64" s="84"/>
      <c r="AA64" s="84"/>
    </row>
    <row r="65" spans="1:27" ht="15" customHeight="1" thickBot="1" x14ac:dyDescent="0.25">
      <c r="A65" s="23" t="s">
        <v>195</v>
      </c>
      <c r="B65" s="23" t="s">
        <v>196</v>
      </c>
      <c r="C65" s="18" t="s">
        <v>197</v>
      </c>
      <c r="D65" s="58" t="s">
        <v>65</v>
      </c>
      <c r="E65" s="58" t="s">
        <v>66</v>
      </c>
      <c r="F65" s="87" t="s">
        <v>43</v>
      </c>
      <c r="G65" s="83">
        <f>SUM(H65:T65)+W65+X65</f>
        <v>2.4473502510269115E-3</v>
      </c>
      <c r="H65" s="153">
        <f t="shared" ref="H65:R65" si="1">H35</f>
        <v>3.6537404006686123E-5</v>
      </c>
      <c r="I65" s="153">
        <f t="shared" si="1"/>
        <v>4.6637901927240964E-6</v>
      </c>
      <c r="J65" s="153">
        <f t="shared" si="1"/>
        <v>1.4960642711505906E-3</v>
      </c>
      <c r="K65" s="153">
        <f t="shared" si="1"/>
        <v>1.4960642711505905E-4</v>
      </c>
      <c r="L65" s="153">
        <f t="shared" si="1"/>
        <v>1.8254468664470391E-6</v>
      </c>
      <c r="M65" s="153">
        <f t="shared" si="1"/>
        <v>0</v>
      </c>
      <c r="N65" s="153">
        <f t="shared" si="1"/>
        <v>1.1608279950978337E-8</v>
      </c>
      <c r="O65" s="153">
        <f t="shared" si="1"/>
        <v>8.0563863552055514E-7</v>
      </c>
      <c r="P65" s="153">
        <f t="shared" si="1"/>
        <v>0</v>
      </c>
      <c r="Q65" s="153">
        <f t="shared" si="1"/>
        <v>3.3229362679746333E-6</v>
      </c>
      <c r="R65" s="153">
        <f t="shared" si="1"/>
        <v>3.3229362679746333E-6</v>
      </c>
      <c r="S65" s="153"/>
      <c r="T65" s="153">
        <f>T35</f>
        <v>7.4394819934868234E-4</v>
      </c>
      <c r="U65" s="153">
        <f>U35</f>
        <v>5.2018431414091709E-4</v>
      </c>
      <c r="V65" s="153">
        <f>V35</f>
        <v>2.2376388520776525E-4</v>
      </c>
      <c r="W65" s="153">
        <f>W35</f>
        <v>7.0800456142370774E-6</v>
      </c>
      <c r="X65" s="153">
        <f>X35</f>
        <v>1.6154728106410652E-7</v>
      </c>
    </row>
    <row r="66" spans="1:27" ht="15" customHeight="1" thickTop="1" x14ac:dyDescent="0.2">
      <c r="A66" s="89" t="s">
        <v>195</v>
      </c>
      <c r="B66" s="89" t="s">
        <v>196</v>
      </c>
      <c r="C66" s="90" t="s">
        <v>197</v>
      </c>
      <c r="D66" s="91" t="s">
        <v>65</v>
      </c>
      <c r="E66" s="91" t="s">
        <v>66</v>
      </c>
      <c r="F66" s="92" t="s">
        <v>44</v>
      </c>
      <c r="G66" s="104">
        <f>SUM(H66:X66)</f>
        <v>3.79218571013012</v>
      </c>
      <c r="H66" s="105">
        <f>SUMPRODUCT(H62:H65,'Parameters, general'!$B$24:$B$27)</f>
        <v>0.10437665162302343</v>
      </c>
      <c r="I66" s="94">
        <f>SUMPRODUCT(I62:I65,'Parameters, general'!$B$24:$B$27)</f>
        <v>0.12775096494002505</v>
      </c>
      <c r="J66" s="94">
        <f>SUMPRODUCT(J62:J65,'Parameters, general'!$B$24:$B$27)</f>
        <v>0.40842554602411124</v>
      </c>
      <c r="K66" s="94">
        <f>SUMPRODUCT(K62:K65,'Parameters, general'!$B$24:$B$27)</f>
        <v>4.0842554602411117E-2</v>
      </c>
      <c r="L66" s="94">
        <f>SUMPRODUCT(L62:L65,'Parameters, general'!$B$24:$B$27)</f>
        <v>6.9330377136007662E-2</v>
      </c>
      <c r="M66" s="94">
        <f>SUMPRODUCT(M62:M65,'Parameters, general'!$B$24:$B$27)</f>
        <v>0</v>
      </c>
      <c r="N66" s="94">
        <f>SUMPRODUCT(N62:N65,'Parameters, general'!$B$24:$B$27)</f>
        <v>2.9734575637208104E-4</v>
      </c>
      <c r="O66" s="94">
        <f>SUMPRODUCT(O62:O65,'Parameters, general'!$B$24:$B$27)</f>
        <v>2.2933455175760405E-2</v>
      </c>
      <c r="P66" s="94">
        <f>SUMPRODUCT(P62:P65,'Parameters, general'!$B$24:$B$27)</f>
        <v>1.0602521703869749E-2</v>
      </c>
      <c r="Q66" s="94">
        <f>SUMPRODUCT(Q62:Q65,'Parameters, general'!$B$24:$B$27)</f>
        <v>3.1215154528032835E-2</v>
      </c>
      <c r="R66" s="94">
        <f>SUMPRODUCT(R62:R65,'Parameters, general'!$B$24:$B$27)</f>
        <v>3.1215154528032835E-2</v>
      </c>
      <c r="S66" s="94">
        <f>SUMPRODUCT(S62:S65,'Parameters, general'!$B$24:$B$27)</f>
        <v>2.2574120010086349</v>
      </c>
      <c r="T66" s="94">
        <f>SUMPRODUCT(T62:T65,'Parameters, general'!$B$24:$B$27)</f>
        <v>0.4821255300213162</v>
      </c>
      <c r="U66" s="94"/>
      <c r="V66" s="94"/>
      <c r="W66" s="94">
        <f>SUMPRODUCT(W62:W65,'Parameters, general'!$B$24:$B$27)</f>
        <v>0.20084697103363142</v>
      </c>
      <c r="X66" s="94">
        <f>SUMPRODUCT(X62:X65,'Parameters, general'!$B$24:$B$27)</f>
        <v>4.811482048890996E-3</v>
      </c>
      <c r="Z66" s="95">
        <f>SUM(H66:R66)</f>
        <v>0.84698972601764633</v>
      </c>
      <c r="AA66" s="106">
        <f>'CO2 per kg feed'!F185+'CH4 per kg feed'!F185*CF_GWP_CH4_fossil+'N2O per kg feed'!F185*CF_GWP_N2O</f>
        <v>0</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0000"/>
  </sheetPr>
  <dimension ref="A2:V19"/>
  <sheetViews>
    <sheetView zoomScale="62" zoomScaleNormal="83" workbookViewId="0">
      <selection activeCell="A7" sqref="A7:B7"/>
    </sheetView>
  </sheetViews>
  <sheetFormatPr baseColWidth="10" defaultColWidth="8.6640625" defaultRowHeight="15" x14ac:dyDescent="0.2"/>
  <cols>
    <col min="1" max="1" width="9.1640625" customWidth="1"/>
    <col min="2" max="2" width="17.5" customWidth="1"/>
    <col min="3" max="3" width="8.83203125" customWidth="1"/>
    <col min="4" max="4" width="12.6640625" customWidth="1"/>
    <col min="5" max="5" width="8.5" customWidth="1"/>
    <col min="6" max="6" width="10.5" customWidth="1"/>
    <col min="8" max="10" width="8.83203125" customWidth="1"/>
    <col min="12" max="12" width="14.6640625" customWidth="1"/>
    <col min="13" max="13" width="8.83203125" customWidth="1"/>
    <col min="14" max="15" width="14.6640625" customWidth="1"/>
    <col min="16" max="16" width="15.33203125" customWidth="1"/>
    <col min="17" max="17" width="9.1640625" customWidth="1"/>
    <col min="18" max="18" width="15.6640625" customWidth="1"/>
    <col min="19" max="19" width="8.5" customWidth="1"/>
    <col min="20" max="20" width="15.6640625" customWidth="1"/>
    <col min="21" max="21" width="18.5" customWidth="1"/>
  </cols>
  <sheetData>
    <row r="2" spans="1:21" ht="21" customHeight="1" x14ac:dyDescent="0.25">
      <c r="A2" s="2" t="s">
        <v>199</v>
      </c>
      <c r="M2" s="24"/>
      <c r="T2" t="s">
        <v>200</v>
      </c>
    </row>
    <row r="3" spans="1:21" x14ac:dyDescent="0.2">
      <c r="L3" s="25"/>
      <c r="P3" s="25"/>
      <c r="R3" s="25"/>
      <c r="S3" s="26"/>
      <c r="T3" t="s">
        <v>201</v>
      </c>
      <c r="U3" t="s">
        <v>201</v>
      </c>
    </row>
    <row r="4" spans="1:21" x14ac:dyDescent="0.2">
      <c r="A4" s="27"/>
      <c r="B4" s="28"/>
      <c r="C4" s="28"/>
      <c r="D4" s="28"/>
      <c r="E4" s="28"/>
      <c r="F4" s="28"/>
      <c r="G4" s="28"/>
      <c r="H4" s="28"/>
      <c r="I4" s="28"/>
      <c r="J4" s="28"/>
      <c r="K4" s="28"/>
      <c r="L4" s="28"/>
      <c r="M4" s="28"/>
      <c r="N4" s="29"/>
      <c r="O4" s="28"/>
      <c r="P4" s="30"/>
      <c r="Q4" s="28"/>
      <c r="R4" s="30"/>
      <c r="S4" s="31"/>
      <c r="T4" s="31"/>
      <c r="U4" s="31"/>
    </row>
    <row r="5" spans="1:21" x14ac:dyDescent="0.2">
      <c r="A5" s="32" t="s">
        <v>5</v>
      </c>
      <c r="B5" s="33"/>
      <c r="C5" s="33"/>
      <c r="D5" s="34"/>
      <c r="E5" s="34"/>
      <c r="F5" s="35" t="s">
        <v>140</v>
      </c>
      <c r="G5" s="34"/>
      <c r="H5" s="34"/>
      <c r="I5" s="34"/>
      <c r="J5" s="34"/>
      <c r="K5" s="34"/>
      <c r="L5" s="36" t="s">
        <v>141</v>
      </c>
      <c r="M5" s="36" t="s">
        <v>132</v>
      </c>
      <c r="N5" s="36" t="s">
        <v>142</v>
      </c>
      <c r="O5" s="36" t="s">
        <v>143</v>
      </c>
      <c r="P5" s="37" t="s">
        <v>144</v>
      </c>
      <c r="Q5" s="37" t="s">
        <v>145</v>
      </c>
      <c r="R5" s="37" t="s">
        <v>146</v>
      </c>
      <c r="S5" s="37" t="s">
        <v>147</v>
      </c>
      <c r="T5" s="38" t="s">
        <v>181</v>
      </c>
      <c r="U5" s="38" t="s">
        <v>182</v>
      </c>
    </row>
    <row r="6" spans="1:21" ht="72" customHeight="1" x14ac:dyDescent="0.2">
      <c r="A6" s="39" t="s">
        <v>13</v>
      </c>
      <c r="B6" s="40" t="s">
        <v>14</v>
      </c>
      <c r="C6" s="40" t="s">
        <v>15</v>
      </c>
      <c r="D6" s="41" t="s">
        <v>16</v>
      </c>
      <c r="E6" s="42" t="s">
        <v>17</v>
      </c>
      <c r="F6" s="43" t="s">
        <v>150</v>
      </c>
      <c r="G6" s="44" t="s">
        <v>151</v>
      </c>
      <c r="H6" s="43" t="s">
        <v>152</v>
      </c>
      <c r="I6" s="43" t="s">
        <v>153</v>
      </c>
      <c r="J6" s="43" t="s">
        <v>154</v>
      </c>
      <c r="K6" s="44" t="s">
        <v>155</v>
      </c>
      <c r="L6" s="45" t="s">
        <v>156</v>
      </c>
      <c r="M6" s="45" t="s">
        <v>157</v>
      </c>
      <c r="N6" s="45" t="s">
        <v>158</v>
      </c>
      <c r="O6" s="46" t="s">
        <v>159</v>
      </c>
      <c r="P6" s="47" t="s">
        <v>160</v>
      </c>
      <c r="Q6" s="48" t="s">
        <v>161</v>
      </c>
      <c r="R6" s="48" t="s">
        <v>162</v>
      </c>
      <c r="S6" s="48" t="s">
        <v>163</v>
      </c>
      <c r="T6" s="49" t="s">
        <v>164</v>
      </c>
      <c r="U6" s="49" t="s">
        <v>165</v>
      </c>
    </row>
    <row r="7" spans="1:21" x14ac:dyDescent="0.2">
      <c r="A7" s="51"/>
      <c r="B7" s="23" t="s">
        <v>202</v>
      </c>
      <c r="C7" s="18" t="s">
        <v>168</v>
      </c>
      <c r="D7" t="s">
        <v>88</v>
      </c>
      <c r="E7" t="s">
        <v>39</v>
      </c>
      <c r="F7" s="15"/>
      <c r="G7" s="15"/>
      <c r="H7" s="52"/>
      <c r="I7" s="53"/>
      <c r="J7" s="53"/>
      <c r="L7" s="54">
        <f>(Production!$B$5*'Parameters, country spec'!$B$53*'EFP per kg feed'!F20+Production!$B$6*'Parameters, country spec'!$B$54*'EFP per kg feed'!F21)</f>
        <v>11094.682076247936</v>
      </c>
      <c r="M7" s="55">
        <f>(Production!$B$5*'Parameters, country spec'!$B$53*'EFP per kg feed'!G20+Production!$B$6*'Parameters, country spec'!$B$54*'EFP per kg feed'!G21-Excreted_N_after_losses_DK*Manure_repl_factor_DK)</f>
        <v>147.42344927241027</v>
      </c>
      <c r="N7" s="55">
        <f>(Production!$B$5*'Parameters, country spec'!$B$53*'EFP per kg feed'!H20+Production!$B$6*'Parameters, country spec'!$B$54*'EFP per kg feed'!H21)</f>
        <v>12.103219034381896</v>
      </c>
      <c r="O7" s="55">
        <f>(Production!$B$5*'Parameters, country spec'!$B$53*'EFP per kg feed'!I20+Production!$B$6*'Parameters, country spec'!$B$54*'EFP per kg feed'!I21)+Production!B5*(Water_drinking_dairy_cow_DK+Water_service_dairy_cow_DK)*365/1000+Production!B6*(Water_drinking_heifer_DK+Water_service_heifer_DK)*365/1000</f>
        <v>88.808335028866026</v>
      </c>
      <c r="P7" s="55">
        <f>(Production!$B$5*'Parameters, country spec'!$B$53*'EFP per kg feed'!J20+Production!$B$6*'Parameters, country spec'!$B$54*'EFP per kg feed'!J21)</f>
        <v>776.35991994630524</v>
      </c>
      <c r="Q7" s="56">
        <f>(Production!$B$5*'Parameters, country spec'!$B$53*'EFP per kg feed'!K20+Production!$B$6*'Parameters, country spec'!$B$54*'EFP per kg feed'!K21)</f>
        <v>1.2050868232947607E-7</v>
      </c>
      <c r="R7" s="56">
        <f>(Production!$B$5*'Parameters, country spec'!$B$53*'EFP per kg feed'!L20+Production!$B$6*'Parameters, country spec'!$B$54*'EFP per kg feed'!L21)</f>
        <v>5.5765546082858055</v>
      </c>
      <c r="S7" s="54"/>
      <c r="T7" s="522">
        <v>8.6441663910085988E-3</v>
      </c>
      <c r="U7" s="15">
        <v>0.84568588385165799</v>
      </c>
    </row>
    <row r="8" spans="1:21" x14ac:dyDescent="0.2">
      <c r="A8" s="51"/>
      <c r="B8" s="23" t="s">
        <v>202</v>
      </c>
      <c r="C8" s="18" t="s">
        <v>168</v>
      </c>
      <c r="D8" t="s">
        <v>45</v>
      </c>
      <c r="E8" t="s">
        <v>46</v>
      </c>
      <c r="F8" s="15"/>
      <c r="G8" s="15"/>
      <c r="H8" s="52"/>
      <c r="I8" s="53"/>
      <c r="J8" s="53"/>
      <c r="L8" s="54">
        <f>(Production!$C$5*'Parameters, country spec'!$C$53*'EFP per kg feed'!F36+Production!$C$6*'Parameters, country spec'!$C$54*'EFP per kg feed'!F37)</f>
        <v>9238.17441450148</v>
      </c>
      <c r="M8" s="55">
        <f>(Production!$C$5*'Parameters, country spec'!$C$53*'EFP per kg feed'!G36+Production!$C$6*'Parameters, country spec'!$C$54*'EFP per kg feed'!G37-Excreted_N_after_losses_FR*Manure_repl_factor_FR)</f>
        <v>131.79145445807927</v>
      </c>
      <c r="N8" s="55">
        <f>(Production!$C$5*'Parameters, country spec'!$C$53*'EFP per kg feed'!H36+Production!$C$6*'Parameters, country spec'!$C$54*'EFP per kg feed'!H37)</f>
        <v>10.836267579153786</v>
      </c>
      <c r="O8" s="55">
        <f>(Production!$C$5*'Parameters, country spec'!$C$53*'EFP per kg feed'!I36+Production!$C$6*'Parameters, country spec'!$C$54*'EFP per kg feed'!I37)+Production!C5*(Water_drinking_dairy_cow_FR+Water_service_dairy_cow_FR)*365/1000+Production!C6*(Water_drinking_heifer_FR+Water_service_heifer_FR)*365/1000</f>
        <v>98.888196024265142</v>
      </c>
      <c r="P8" s="55">
        <f>(Production!$C$5*'Parameters, country spec'!$C$53*'EFP per kg feed'!J36+Production!$C$6*'Parameters, country spec'!$C$54*'EFP per kg feed'!J37)</f>
        <v>908.98945041286822</v>
      </c>
      <c r="Q8" s="56">
        <f>(Production!$C$5*'Parameters, country spec'!$C$53*'EFP per kg feed'!K36+Production!$C$6*'Parameters, country spec'!$C$54*'EFP per kg feed'!K37)</f>
        <v>1.9505520722818139E-7</v>
      </c>
      <c r="R8" s="56">
        <f>(Production!$C$5*'Parameters, country spec'!$C$53*'EFP per kg feed'!L36+Production!$C$6*'Parameters, country spec'!$C$54*'EFP per kg feed'!L37)</f>
        <v>5.7719182852900159</v>
      </c>
      <c r="S8" s="57"/>
      <c r="T8" s="522">
        <v>8.5084486552034731E-3</v>
      </c>
      <c r="U8" s="15">
        <v>1.23673372152062</v>
      </c>
    </row>
    <row r="9" spans="1:21" x14ac:dyDescent="0.2">
      <c r="A9" s="51"/>
      <c r="B9" s="23" t="s">
        <v>202</v>
      </c>
      <c r="C9" s="18" t="s">
        <v>168</v>
      </c>
      <c r="D9" t="s">
        <v>47</v>
      </c>
      <c r="E9" t="s">
        <v>48</v>
      </c>
      <c r="F9" s="15"/>
      <c r="G9" s="15"/>
      <c r="H9" s="52"/>
      <c r="I9" s="53"/>
      <c r="J9" s="53"/>
      <c r="L9" s="54">
        <f>(Production!$D$5*'Parameters, country spec'!$D$53*'EFP per kg feed'!F52+Production!$D$6*'Parameters, country spec'!$D$54*'EFP per kg feed'!F53)</f>
        <v>6217.9502425653636</v>
      </c>
      <c r="M9" s="55">
        <f>(Production!$D$5*'Parameters, country spec'!$D$53*'EFP per kg feed'!G52+Production!$D$6*'Parameters, country spec'!$D$54*'EFP per kg feed'!G53-Excreted_N_after_losses_DE*Manure_repl_factor_DE)</f>
        <v>111.84719461616082</v>
      </c>
      <c r="N9" s="55">
        <f>(Production!$D$5*'Parameters, country spec'!$D$53*'EFP per kg feed'!H52+Production!$D$6*'Parameters, country spec'!$D$54*'EFP per kg feed'!H53)</f>
        <v>5.6894406233733195</v>
      </c>
      <c r="O9" s="55">
        <f>(Production!$D$5*'Parameters, country spec'!$D$53*'EFP per kg feed'!I52+Production!$D$6*'Parameters, country spec'!$D$54*'EFP per kg feed'!I53)+Production!D5*(Water_drinking_dairy_cow_DE+Water_service_dairy_cow_DE)*365/1000+Production!D6*(Water_drinking_heifer_DE+Water_service_heifer_DE)*365/1000</f>
        <v>55.068224256119294</v>
      </c>
      <c r="P9" s="55">
        <f>(Production!$D$5*'Parameters, country spec'!$D$53*'EFP per kg feed'!J52+Production!$D$6*'Parameters, country spec'!$D$54*'EFP per kg feed'!J53)</f>
        <v>391.82339311721711</v>
      </c>
      <c r="Q9" s="56">
        <f>(Production!$D$5*'Parameters, country spec'!$D$53*'EFP per kg feed'!K52+Production!$D$6*'Parameters, country spec'!$D$54*'EFP per kg feed'!K53)</f>
        <v>1.7402353296144758E-7</v>
      </c>
      <c r="R9" s="56">
        <f>(Production!$D$5*'Parameters, country spec'!$D$53*'EFP per kg feed'!L52+Production!$D$6*'Parameters, country spec'!$D$54*'EFP per kg feed'!L53)</f>
        <v>3.2449822749355266</v>
      </c>
      <c r="S9" s="57"/>
      <c r="T9" s="522">
        <v>9.9548946515021237E-3</v>
      </c>
      <c r="U9" s="15">
        <v>2.07203961766941</v>
      </c>
    </row>
    <row r="10" spans="1:21" x14ac:dyDescent="0.2">
      <c r="A10" s="51"/>
      <c r="B10" s="23" t="s">
        <v>202</v>
      </c>
      <c r="C10" s="18" t="s">
        <v>168</v>
      </c>
      <c r="D10" t="s">
        <v>49</v>
      </c>
      <c r="E10" t="s">
        <v>50</v>
      </c>
      <c r="F10" s="15"/>
      <c r="G10" s="15"/>
      <c r="H10" s="52"/>
      <c r="I10" s="53"/>
      <c r="J10" s="53"/>
      <c r="L10" s="54">
        <f>(Production!$E$5*'Parameters, country spec'!$E$53*'EFP per kg feed'!F68+Production!$E$6*'Parameters, country spec'!$E$54*'EFP per kg feed'!F69)</f>
        <v>15504.538115033934</v>
      </c>
      <c r="M10" s="55">
        <f>(Production!$E$5*'Parameters, country spec'!$E$53*'EFP per kg feed'!G68+Production!$E$6*'Parameters, country spec'!$E$54*'EFP per kg feed'!G69-Excreted_N_after_losses_GR*Manure_repl_factor_GR)</f>
        <v>219.73097548905571</v>
      </c>
      <c r="N10" s="55">
        <f>(Production!$E$5*'Parameters, country spec'!$E$53*'EFP per kg feed'!H68+Production!$E$6*'Parameters, country spec'!$E$54*'EFP per kg feed'!H69)</f>
        <v>22.196755336859098</v>
      </c>
      <c r="O10" s="55">
        <f>(Production!$E$5*'Parameters, country spec'!$E$53*'EFP per kg feed'!I68+Production!$E$6*'Parameters, country spec'!$E$54*'EFP per kg feed'!I69)+Production!E5*(Water_drinking_dairy_cow_GR+Water_service_dairy_cow_GR)*365/1000+Production!E6*(Water_drinking_heifer_GR+Water_service_heifer_GR)*365/1000</f>
        <v>586.55399710082884</v>
      </c>
      <c r="P10" s="55">
        <f>(Production!$E$5*'Parameters, country spec'!$E$53*'EFP per kg feed'!J68+Production!$E$6*'Parameters, country spec'!$E$54*'EFP per kg feed'!J69)</f>
        <v>743.81009082606056</v>
      </c>
      <c r="Q10" s="56">
        <f>(Production!$E$5*'Parameters, country spec'!$E$53*'EFP per kg feed'!K68+Production!$E$6*'Parameters, country spec'!$E$54*'EFP per kg feed'!K69)</f>
        <v>9.5243257419956285E-7</v>
      </c>
      <c r="R10" s="56">
        <f>(Production!$E$5*'Parameters, country spec'!$E$53*'EFP per kg feed'!L68+Production!$E$6*'Parameters, country spec'!$E$54*'EFP per kg feed'!L69)</f>
        <v>16.126413387960298</v>
      </c>
      <c r="S10" s="57"/>
      <c r="T10" s="522">
        <v>1.294993996553896E-2</v>
      </c>
      <c r="U10" s="15">
        <v>4.04286143434026</v>
      </c>
    </row>
    <row r="11" spans="1:21" x14ac:dyDescent="0.2">
      <c r="A11" s="51"/>
      <c r="B11" s="23" t="s">
        <v>202</v>
      </c>
      <c r="C11" s="18" t="s">
        <v>168</v>
      </c>
      <c r="D11" t="s">
        <v>86</v>
      </c>
      <c r="E11" t="s">
        <v>52</v>
      </c>
      <c r="F11" s="15"/>
      <c r="G11" s="15"/>
      <c r="H11" s="52"/>
      <c r="I11" s="53"/>
      <c r="J11" s="53"/>
      <c r="L11" s="54">
        <f>(Production!$F$5*'Parameters, country spec'!$F$53*'EFP per kg feed'!F84+Production!$F$6*'Parameters, country spec'!$F$54*'EFP per kg feed'!F85)</f>
        <v>14149.202961215065</v>
      </c>
      <c r="M11" s="55">
        <f>(Production!$F$5*'Parameters, country spec'!$F$53*'EFP per kg feed'!G84+Production!$F$6*'Parameters, country spec'!$F$54*'EFP per kg feed'!G85-Excreted_N_after_losses_HU*Manure_repl_factor_HU)</f>
        <v>192.02998975567448</v>
      </c>
      <c r="N11" s="55">
        <f>(Production!$F$5*'Parameters, country spec'!$F$53*'EFP per kg feed'!H84+Production!$F$6*'Parameters, country spec'!$F$54*'EFP per kg feed'!H85)</f>
        <v>20.493079593100177</v>
      </c>
      <c r="O11" s="55">
        <f>(Production!$F$5*'Parameters, country spec'!$F$53*'EFP per kg feed'!I84+Production!$F$6*'Parameters, country spec'!$F$54*'EFP per kg feed'!I85)+Production!F5*(Water_drinking_dairy_cow_HU+Water_service_dairy_cow_HU)*365/1000+Production!F6*(Water_drinking_heifer_HU+Water_service_heifer_HU)*365/1000</f>
        <v>114.19846800009537</v>
      </c>
      <c r="P11" s="55">
        <f>(Production!$F$5*'Parameters, country spec'!$F$53*'EFP per kg feed'!J84+Production!$F$6*'Parameters, country spec'!$F$54*'EFP per kg feed'!J85)</f>
        <v>1003.9341976029892</v>
      </c>
      <c r="Q11" s="56">
        <f>(Production!$F$5*'Parameters, country spec'!$F$53*'EFP per kg feed'!K84+Production!$F$6*'Parameters, country spec'!$F$54*'EFP per kg feed'!K85)</f>
        <v>3.0122072314943601E-7</v>
      </c>
      <c r="R11" s="56">
        <f>(Production!$F$5*'Parameters, country spec'!$F$53*'EFP per kg feed'!L84+Production!$F$6*'Parameters, country spec'!$F$54*'EFP per kg feed'!L85)</f>
        <v>6.990324206083586</v>
      </c>
      <c r="S11" s="57"/>
      <c r="T11" s="522">
        <v>1.3237015635912589E-2</v>
      </c>
      <c r="U11" s="15">
        <v>3.1510072514778602</v>
      </c>
    </row>
    <row r="12" spans="1:21" x14ac:dyDescent="0.2">
      <c r="A12" s="51"/>
      <c r="B12" s="23" t="s">
        <v>202</v>
      </c>
      <c r="C12" s="18" t="s">
        <v>168</v>
      </c>
      <c r="D12" t="s">
        <v>89</v>
      </c>
      <c r="E12" t="s">
        <v>54</v>
      </c>
      <c r="F12" s="15"/>
      <c r="G12" s="15"/>
      <c r="H12" s="52"/>
      <c r="I12" s="53"/>
      <c r="J12" s="53"/>
      <c r="L12" s="54">
        <f>(Production!$G$5*'Parameters, country spec'!$G$53*'EFP per kg feed'!F100+Production!$G$6*'Parameters, country spec'!$G$54*'EFP per kg feed'!F101)</f>
        <v>1591.3365145551793</v>
      </c>
      <c r="M12" s="55">
        <f>(Production!$G$5*'Parameters, country spec'!$G$53*'EFP per kg feed'!G100+Production!$G$6*'Parameters, country spec'!$G$54*'EFP per kg feed'!G101-Excreted_N_after_losses_IE*Manure_repl_factor_IE)</f>
        <v>113.24278335673617</v>
      </c>
      <c r="N12" s="55">
        <f>(Production!$G$5*'Parameters, country spec'!$G$53*'EFP per kg feed'!H100+Production!$G$6*'Parameters, country spec'!$G$54*'EFP per kg feed'!H101)</f>
        <v>3.7003898714652754</v>
      </c>
      <c r="O12" s="55">
        <f>(Production!$G$5*'Parameters, country spec'!$G$53*'EFP per kg feed'!I100+Production!$G$6*'Parameters, country spec'!$G$54*'EFP per kg feed'!I101)+Production!G5*(Water_drinking_dairy_cow_IE+Water_service_dairy_cow_IE)*365/1000+Production!G6*(Water_drinking_heifer_IE+Water_service_heifer_IE)*365/1000</f>
        <v>58.082054821104272</v>
      </c>
      <c r="P12" s="55">
        <f>(Production!$G$5*'Parameters, country spec'!$G$53*'EFP per kg feed'!J100+Production!$G$6*'Parameters, country spec'!$G$54*'EFP per kg feed'!J101)</f>
        <v>527.2312899835365</v>
      </c>
      <c r="Q12" s="56">
        <f>(Production!$G$5*'Parameters, country spec'!$G$53*'EFP per kg feed'!K100+Production!$G$6*'Parameters, country spec'!$G$54*'EFP per kg feed'!K101)</f>
        <v>3.9815756650136425E-8</v>
      </c>
      <c r="R12" s="56">
        <f>(Production!$G$5*'Parameters, country spec'!$G$53*'EFP per kg feed'!L100+Production!$G$6*'Parameters, country spec'!$G$54*'EFP per kg feed'!L101)</f>
        <v>3.5914809289682346</v>
      </c>
      <c r="S12" s="57"/>
      <c r="T12" s="522">
        <v>8.3247267782708932E-3</v>
      </c>
      <c r="U12" s="15">
        <v>1.37175113828921</v>
      </c>
    </row>
    <row r="13" spans="1:21" x14ac:dyDescent="0.2">
      <c r="A13" s="51"/>
      <c r="B13" s="23" t="s">
        <v>202</v>
      </c>
      <c r="C13" s="18" t="s">
        <v>168</v>
      </c>
      <c r="D13" t="s">
        <v>55</v>
      </c>
      <c r="E13" t="s">
        <v>56</v>
      </c>
      <c r="F13" s="15"/>
      <c r="G13" s="15"/>
      <c r="H13" s="52"/>
      <c r="I13" s="53"/>
      <c r="J13" s="53"/>
      <c r="L13" s="54">
        <f>(Production!$H$5*'Parameters, country spec'!$H$53*'EFP per kg feed'!F116+Production!$H$6*'Parameters, country spec'!$H$54*'EFP per kg feed'!F117)</f>
        <v>8905.1038507198227</v>
      </c>
      <c r="M13" s="55">
        <f>(Production!$H$5*'Parameters, country spec'!$H$53*'EFP per kg feed'!G116+Production!$H$6*'Parameters, country spec'!$H$54*'EFP per kg feed'!G117-Excreted_N_after_losses_IT*Manure_repl_factor_IT)</f>
        <v>154.89282620486006</v>
      </c>
      <c r="N13" s="55">
        <f>(Production!$H$5*'Parameters, country spec'!$H$53*'EFP per kg feed'!H116+Production!$H$6*'Parameters, country spec'!$H$54*'EFP per kg feed'!H117)</f>
        <v>9.7283321774741971</v>
      </c>
      <c r="O13" s="55">
        <f>(Production!$H$5*'Parameters, country spec'!$H$53*'EFP per kg feed'!I116+Production!$H$6*'Parameters, country spec'!$H$54*'EFP per kg feed'!I117)+Production!H5*(Water_drinking_dairy_cow_IT+Water_service_dairy_cow_IT)*365/1000+Production!H6*(Water_drinking_heifer_IT+Water_service_heifer_IT)*365/1000</f>
        <v>85.841020532537755</v>
      </c>
      <c r="P13" s="55">
        <f>(Production!$H$5*'Parameters, country spec'!$H$53*'EFP per kg feed'!J116+Production!$H$6*'Parameters, country spec'!$H$54*'EFP per kg feed'!J117)</f>
        <v>518.5148031130027</v>
      </c>
      <c r="Q13" s="56">
        <f>(Production!$H$5*'Parameters, country spec'!$H$53*'EFP per kg feed'!K116+Production!$H$6*'Parameters, country spec'!$H$54*'EFP per kg feed'!K117)</f>
        <v>6.7130374301014296E-7</v>
      </c>
      <c r="R13" s="56">
        <f>(Production!$H$5*'Parameters, country spec'!$H$53*'EFP per kg feed'!L116+Production!$H$6*'Parameters, country spec'!$H$54*'EFP per kg feed'!L117)</f>
        <v>7.1115362729543312</v>
      </c>
      <c r="S13" s="57"/>
      <c r="T13" s="522">
        <v>1.1292589145659769E-2</v>
      </c>
      <c r="U13" s="15">
        <v>5.0974885240683099</v>
      </c>
    </row>
    <row r="14" spans="1:21" x14ac:dyDescent="0.2">
      <c r="A14" s="51"/>
      <c r="B14" s="23" t="s">
        <v>202</v>
      </c>
      <c r="C14" s="18" t="s">
        <v>168</v>
      </c>
      <c r="D14" t="s">
        <v>87</v>
      </c>
      <c r="E14" t="s">
        <v>58</v>
      </c>
      <c r="F14" s="15"/>
      <c r="G14" s="15"/>
      <c r="H14" s="52"/>
      <c r="I14" s="53"/>
      <c r="J14" s="53"/>
      <c r="L14" s="54">
        <f>(Production!$I$5*'Parameters, country spec'!$I$53*'EFP per kg feed'!F132+Production!$I$6*'Parameters, country spec'!$I$54*'EFP per kg feed'!F133)</f>
        <v>8246.2464708467014</v>
      </c>
      <c r="M14" s="55">
        <f>(Production!$I$5*'Parameters, country spec'!$I$53*'EFP per kg feed'!G132+Production!$I$6*'Parameters, country spec'!$I$54*'EFP per kg feed'!G133-Excreted_N_after_losses_NL*Manure_repl_factor_NL)</f>
        <v>237.50065601016252</v>
      </c>
      <c r="N14" s="55">
        <f>(Production!$I$5*'Parameters, country spec'!$I$53*'EFP per kg feed'!H132+Production!$I$6*'Parameters, country spec'!$I$54*'EFP per kg feed'!H133)</f>
        <v>9.1176492368486954</v>
      </c>
      <c r="O14" s="55">
        <f>(Production!$I$5*'Parameters, country spec'!$I$53*'EFP per kg feed'!I132+Production!$I$6*'Parameters, country spec'!$I$54*'EFP per kg feed'!I133)+Production!I5*(Water_drinking_dairy_cow_NL+Water_service_dairy_cow_NL)*365/1000+Production!I6*(Water_drinking_heifer_NL+Water_service_heifer_NL)*365/1000</f>
        <v>62.307167711942682</v>
      </c>
      <c r="P14" s="55">
        <f>(Production!$I$5*'Parameters, country spec'!$I$53*'EFP per kg feed'!J132+Production!$I$6*'Parameters, country spec'!$I$54*'EFP per kg feed'!J133)</f>
        <v>756.07474272601189</v>
      </c>
      <c r="Q14" s="56">
        <f>(Production!$I$5*'Parameters, country spec'!$I$53*'EFP per kg feed'!K132+Production!$I$6*'Parameters, country spec'!$I$54*'EFP per kg feed'!K133)</f>
        <v>2.5681760044510345E-7</v>
      </c>
      <c r="R14" s="56">
        <f>(Production!$I$5*'Parameters, country spec'!$I$53*'EFP per kg feed'!L132+Production!$I$6*'Parameters, country spec'!$I$54*'EFP per kg feed'!L133)</f>
        <v>9.1594782408197126</v>
      </c>
      <c r="S14" s="57"/>
      <c r="T14" s="522">
        <v>8.7875646745988502E-3</v>
      </c>
      <c r="U14" s="15">
        <v>1.0455953494291099</v>
      </c>
    </row>
    <row r="15" spans="1:21" x14ac:dyDescent="0.2">
      <c r="A15" s="51"/>
      <c r="B15" s="23" t="s">
        <v>202</v>
      </c>
      <c r="C15" s="18" t="s">
        <v>168</v>
      </c>
      <c r="D15" t="s">
        <v>59</v>
      </c>
      <c r="E15" t="s">
        <v>60</v>
      </c>
      <c r="F15" s="15"/>
      <c r="G15" s="15"/>
      <c r="H15" s="52"/>
      <c r="I15" s="53"/>
      <c r="J15" s="53"/>
      <c r="L15" s="54">
        <f>(Production!$J$5*'Parameters, country spec'!$J$53*'EFP per kg feed'!F148+Production!$J$6*'Parameters, country spec'!$J$54*'EFP per kg feed'!F149)</f>
        <v>9136.8865025115356</v>
      </c>
      <c r="M15" s="55">
        <f>(Production!$J$5*'Parameters, country spec'!$J$53*'EFP per kg feed'!G148+Production!$J$6*'Parameters, country spec'!$J$54*'EFP per kg feed'!G149-Excreted_N_after_losses_PL*Manure_repl_factor_PL)</f>
        <v>151.74355511795889</v>
      </c>
      <c r="N15" s="55">
        <f>(Production!$J$5*'Parameters, country spec'!$J$53*'EFP per kg feed'!H148+Production!$J$6*'Parameters, country spec'!$J$54*'EFP per kg feed'!H149)</f>
        <v>14.434278965365602</v>
      </c>
      <c r="O15" s="55">
        <f>(Production!$J$5*'Parameters, country spec'!$J$53*'EFP per kg feed'!I148+Production!$J$6*'Parameters, country spec'!$J$54*'EFP per kg feed'!I149)+Production!J5*(Water_drinking_dairy_cow_PL+Water_service_dairy_cow_PL)*365/1000+Production!J6*(Water_drinking_heifer_PL+Water_service_heifer_PL)*365/1000</f>
        <v>54.411138235801666</v>
      </c>
      <c r="P15" s="55">
        <f>(Production!$J$5*'Parameters, country spec'!$J$53*'EFP per kg feed'!J148+Production!$J$6*'Parameters, country spec'!$J$54*'EFP per kg feed'!J149)</f>
        <v>702.78196467489693</v>
      </c>
      <c r="Q15" s="56">
        <f>(Production!$J$5*'Parameters, country spec'!$J$53*'EFP per kg feed'!K148+Production!$J$6*'Parameters, country spec'!$J$54*'EFP per kg feed'!K149)</f>
        <v>1.4446834659597686E-7</v>
      </c>
      <c r="R15" s="56">
        <f>(Production!$J$5*'Parameters, country spec'!$J$53*'EFP per kg feed'!L148+Production!$J$6*'Parameters, country spec'!$J$54*'EFP per kg feed'!L149)</f>
        <v>6.2349009725966154</v>
      </c>
      <c r="S15" s="57"/>
      <c r="T15" s="522">
        <v>1.060935897257094E-2</v>
      </c>
      <c r="U15" s="15">
        <v>6.5499499535085404</v>
      </c>
    </row>
    <row r="16" spans="1:21" x14ac:dyDescent="0.2">
      <c r="A16" s="51"/>
      <c r="B16" s="23" t="s">
        <v>202</v>
      </c>
      <c r="C16" s="18" t="s">
        <v>168</v>
      </c>
      <c r="D16" t="s">
        <v>61</v>
      </c>
      <c r="E16" t="s">
        <v>62</v>
      </c>
      <c r="F16" s="15"/>
      <c r="G16" s="15"/>
      <c r="H16" s="52"/>
      <c r="I16" s="53"/>
      <c r="J16" s="53"/>
      <c r="L16" s="54">
        <f>(Production!$K$5*'Parameters, country spec'!$K$53*'EFP per kg feed'!F20+Production!$K$6*'Parameters, country spec'!$K$54*'EFP per kg feed'!F165)</f>
        <v>12377.115315755231</v>
      </c>
      <c r="M16" s="55">
        <f>(Production!$K$5*'Parameters, country spec'!$K$53*'EFP per kg feed'!G164+Production!$K$6*'Parameters, country spec'!$K$54*'EFP per kg feed'!G165-Excreted_N_after_losses_ES*Manure_repl_factor_ES)</f>
        <v>232.74559766615235</v>
      </c>
      <c r="N16" s="55">
        <f>(Production!$K$5*'Parameters, country spec'!$K$53*'EFP per kg feed'!H164+Production!$K$6*'Parameters, country spec'!$K$54*'EFP per kg feed'!H165)</f>
        <v>20.90738781008918</v>
      </c>
      <c r="O16" s="55">
        <f>(Production!$K$5*'Parameters, country spec'!$K$53*'EFP per kg feed'!I164+Production!$K$6*'Parameters, country spec'!$K$54*'EFP per kg feed'!I165)+Production!K5*(Water_drinking_dairy_cow_ES+Water_service_dairy_cow_ES)*365/1000+Production!K6*(Water_drinking_heifer_ES+Water_service_heifer_ES)*365/1000</f>
        <v>564.31628166632368</v>
      </c>
      <c r="P16" s="55">
        <f>(Production!$K$5*'Parameters, country spec'!$K$53*'EFP per kg feed'!J164+Production!$K$6*'Parameters, country spec'!$K$54*'EFP per kg feed'!J165)</f>
        <v>948.4530210843152</v>
      </c>
      <c r="Q16" s="56">
        <f>(Production!$K$5*'Parameters, country spec'!$K$53*'EFP per kg feed'!K20+Production!$K$6*'Parameters, country spec'!$K$54*'EFP per kg feed'!K165)</f>
        <v>3.5875907407755687E-7</v>
      </c>
      <c r="R16" s="56">
        <f>(Production!$K$5*'Parameters, country spec'!$K$53*'EFP per kg feed'!L20+Production!$K$6*'Parameters, country spec'!$K$54*'EFP per kg feed'!L165)</f>
        <v>7.240547013693611</v>
      </c>
      <c r="S16" s="57"/>
      <c r="T16" s="522">
        <v>1.2485241516814681E-2</v>
      </c>
      <c r="U16" s="15">
        <v>3.3877564011717798</v>
      </c>
    </row>
    <row r="17" spans="1:22" x14ac:dyDescent="0.2">
      <c r="A17" s="51"/>
      <c r="B17" s="23" t="s">
        <v>202</v>
      </c>
      <c r="C17" s="18" t="s">
        <v>168</v>
      </c>
      <c r="D17" s="58" t="s">
        <v>63</v>
      </c>
      <c r="E17" s="58" t="s">
        <v>64</v>
      </c>
      <c r="F17" s="57"/>
      <c r="G17" s="15"/>
      <c r="H17" s="52"/>
      <c r="I17" s="53"/>
      <c r="J17" s="53"/>
      <c r="K17" s="58"/>
      <c r="L17" s="54">
        <f>(Production!$L$5*'Parameters, country spec'!$L$53*'EFP per kg feed'!F180+Production!$L$6*'Parameters, country spec'!$L$54*'EFP per kg feed'!F181)</f>
        <v>19481.871672029392</v>
      </c>
      <c r="M17" s="55">
        <f>(Production!$L$5*'Parameters, country spec'!$L$53*'EFP per kg feed'!G180+Production!$L$6*'Parameters, country spec'!$L$54*'EFP per kg feed'!G181-Excreted_N_after_losses_SE*Manure_repl_factor_SE)</f>
        <v>193.88744289521119</v>
      </c>
      <c r="N17" s="55">
        <f>(Production!$L$5*'Parameters, country spec'!$L$53*'EFP per kg feed'!H180+Production!$L$6*'Parameters, country spec'!$L$54*'EFP per kg feed'!H181)</f>
        <v>9.7339623348888136</v>
      </c>
      <c r="O17" s="55">
        <f>(Production!$L$5*'Parameters, country spec'!$L$53*'EFP per kg feed'!I180+Production!$L$6*'Parameters, country spec'!$L$54*'EFP per kg feed'!I181)+Production!L5*(Water_drinking_dairy_cow_SE+Water_service_dairy_cow_SE)*365/1000+Production!L6*(Water_drinking_heifer_SE+Water_service_heifer_SE)*365/1000</f>
        <v>61.208416534119628</v>
      </c>
      <c r="P17" s="55">
        <f>(Production!$L$5*'Parameters, country spec'!$L$53*'EFP per kg feed'!J180+Production!$L$6*'Parameters, country spec'!$L$54*'EFP per kg feed'!J181)</f>
        <v>479.50088956809407</v>
      </c>
      <c r="Q17" s="56">
        <f>(Production!$L$5*'Parameters, country spec'!$L$53*'EFP per kg feed'!K180+Production!$L$6*'Parameters, country spec'!$L$54*'EFP per kg feed'!K181)</f>
        <v>1.2200025521042612E-7</v>
      </c>
      <c r="R17" s="56">
        <f>(Production!$L$5*'Parameters, country spec'!$L$53*'EFP per kg feed'!L180+Production!$L$6*'Parameters, country spec'!$L$54*'EFP per kg feed'!L181)</f>
        <v>5.674772630073937</v>
      </c>
      <c r="S17" s="57"/>
      <c r="T17" s="522">
        <v>8.2043694315663308E-3</v>
      </c>
      <c r="U17" s="54">
        <v>0.40979530273692399</v>
      </c>
    </row>
    <row r="18" spans="1:22" x14ac:dyDescent="0.2">
      <c r="A18" s="523"/>
      <c r="B18" s="524" t="s">
        <v>202</v>
      </c>
      <c r="C18" s="525" t="s">
        <v>168</v>
      </c>
      <c r="D18" s="526" t="s">
        <v>65</v>
      </c>
      <c r="E18" s="526" t="s">
        <v>66</v>
      </c>
      <c r="F18" s="527"/>
      <c r="G18" s="528"/>
      <c r="H18" s="529"/>
      <c r="I18" s="530"/>
      <c r="J18" s="530"/>
      <c r="K18" s="526"/>
      <c r="L18" s="531">
        <f t="shared" ref="L18:R18" si="0">L12</f>
        <v>1591.3365145551793</v>
      </c>
      <c r="M18" s="531">
        <f t="shared" si="0"/>
        <v>113.24278335673617</v>
      </c>
      <c r="N18" s="531">
        <f t="shared" si="0"/>
        <v>3.7003898714652754</v>
      </c>
      <c r="O18" s="531">
        <f t="shared" si="0"/>
        <v>58.082054821104272</v>
      </c>
      <c r="P18" s="531">
        <f t="shared" si="0"/>
        <v>527.2312899835365</v>
      </c>
      <c r="Q18" s="531">
        <f t="shared" si="0"/>
        <v>3.9815756650136425E-8</v>
      </c>
      <c r="R18" s="531">
        <f t="shared" si="0"/>
        <v>3.5914809289682346</v>
      </c>
      <c r="S18" s="531"/>
      <c r="T18" s="531">
        <f>T12</f>
        <v>8.3247267782708932E-3</v>
      </c>
      <c r="U18" s="531">
        <f>U12</f>
        <v>1.37175113828921</v>
      </c>
      <c r="V18" t="s">
        <v>203</v>
      </c>
    </row>
    <row r="19" spans="1:22" x14ac:dyDescent="0.2">
      <c r="F19" s="15"/>
      <c r="J19" s="53"/>
      <c r="M19" s="60"/>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00"/>
  </sheetPr>
  <dimension ref="A1:AA61"/>
  <sheetViews>
    <sheetView zoomScale="46" zoomScaleNormal="100" workbookViewId="0">
      <selection activeCell="B10" sqref="B10"/>
    </sheetView>
  </sheetViews>
  <sheetFormatPr baseColWidth="10" defaultColWidth="8.6640625" defaultRowHeight="15" x14ac:dyDescent="0.2"/>
  <cols>
    <col min="1" max="1" width="8.33203125" customWidth="1"/>
    <col min="2" max="2" width="22.5" customWidth="1"/>
    <col min="3" max="3" width="27.33203125" customWidth="1"/>
    <col min="4" max="4" width="10.33203125" customWidth="1"/>
    <col min="6" max="6" width="7.6640625" customWidth="1"/>
    <col min="7" max="7" width="12.1640625" customWidth="1"/>
    <col min="8" max="8" width="14.6640625" customWidth="1"/>
    <col min="9" max="9" width="9" bestFit="1" customWidth="1"/>
    <col min="10" max="10" width="9.5" bestFit="1" customWidth="1"/>
    <col min="11" max="11" width="8.6640625" bestFit="1" customWidth="1"/>
    <col min="12" max="12" width="9" bestFit="1" customWidth="1"/>
    <col min="13" max="13" width="8.6640625" bestFit="1" customWidth="1"/>
    <col min="14" max="15" width="9" bestFit="1" customWidth="1"/>
    <col min="16" max="18" width="9.5" bestFit="1" customWidth="1"/>
    <col min="19" max="20" width="8.6640625" bestFit="1" customWidth="1"/>
    <col min="21" max="21" width="14.6640625" customWidth="1"/>
    <col min="22" max="22" width="8.6640625" bestFit="1" customWidth="1"/>
    <col min="23" max="23" width="14.6640625" customWidth="1"/>
    <col min="24" max="24" width="8.6640625" bestFit="1" customWidth="1"/>
    <col min="26" max="26" width="16" customWidth="1"/>
    <col min="27" max="27" width="19.33203125" customWidth="1"/>
  </cols>
  <sheetData>
    <row r="1" spans="1:27" x14ac:dyDescent="0.2">
      <c r="H1" s="24"/>
      <c r="K1" s="24" t="s">
        <v>1</v>
      </c>
      <c r="N1" s="25"/>
    </row>
    <row r="2" spans="1:27" ht="21" customHeight="1" x14ac:dyDescent="0.25">
      <c r="A2" s="2" t="s">
        <v>204</v>
      </c>
      <c r="H2" s="24"/>
      <c r="M2" s="25"/>
      <c r="N2" s="25"/>
      <c r="S2" s="15"/>
      <c r="T2" s="13"/>
    </row>
    <row r="3" spans="1:27" x14ac:dyDescent="0.2">
      <c r="J3" s="25"/>
      <c r="L3" s="26"/>
      <c r="M3" s="26"/>
      <c r="N3" s="26"/>
      <c r="O3" s="26"/>
      <c r="P3" s="26"/>
      <c r="Q3" s="26"/>
      <c r="R3" s="26"/>
      <c r="S3" s="26"/>
      <c r="T3" s="26"/>
    </row>
    <row r="4" spans="1:27" x14ac:dyDescent="0.2">
      <c r="A4" s="61"/>
      <c r="B4" s="62"/>
      <c r="C4" s="62"/>
      <c r="D4" s="62"/>
      <c r="E4" s="62"/>
      <c r="F4" s="62"/>
      <c r="G4" s="62"/>
      <c r="H4" s="63"/>
      <c r="I4" s="63"/>
      <c r="J4" s="64"/>
      <c r="K4" s="64"/>
      <c r="L4" s="64"/>
      <c r="M4" s="64"/>
      <c r="N4" s="64"/>
      <c r="O4" s="64"/>
      <c r="P4" s="64"/>
      <c r="Q4" s="64"/>
      <c r="R4" s="64"/>
      <c r="S4" s="63" t="s">
        <v>2</v>
      </c>
      <c r="T4" s="63"/>
      <c r="U4" s="65"/>
      <c r="V4" s="65"/>
      <c r="W4" s="64" t="s">
        <v>3</v>
      </c>
      <c r="X4" s="64" t="s">
        <v>4</v>
      </c>
      <c r="Z4" s="63" t="s">
        <v>170</v>
      </c>
      <c r="AA4" s="63"/>
    </row>
    <row r="5" spans="1:27" x14ac:dyDescent="0.2">
      <c r="A5" s="32" t="s">
        <v>5</v>
      </c>
      <c r="B5" s="33"/>
      <c r="C5" s="33"/>
      <c r="D5" s="34"/>
      <c r="E5" s="34"/>
      <c r="F5" s="66"/>
      <c r="G5" s="67" t="s">
        <v>6</v>
      </c>
      <c r="H5" s="67" t="s">
        <v>7</v>
      </c>
      <c r="I5" s="68"/>
      <c r="J5" s="67" t="s">
        <v>8</v>
      </c>
      <c r="K5" s="69"/>
      <c r="L5" s="38" t="s">
        <v>9</v>
      </c>
      <c r="M5" s="69"/>
      <c r="N5" s="69"/>
      <c r="O5" s="69"/>
      <c r="P5" s="38" t="s">
        <v>10</v>
      </c>
      <c r="Q5" s="38" t="s">
        <v>11</v>
      </c>
      <c r="R5" s="38" t="s">
        <v>12</v>
      </c>
      <c r="S5" s="70"/>
      <c r="T5" s="70"/>
      <c r="U5" s="71"/>
      <c r="V5" s="71"/>
      <c r="W5" s="72"/>
      <c r="X5" s="72"/>
      <c r="Z5" s="67"/>
      <c r="AA5" s="67" t="s">
        <v>171</v>
      </c>
    </row>
    <row r="6" spans="1:27" ht="72" customHeight="1" x14ac:dyDescent="0.2">
      <c r="A6" s="39" t="s">
        <v>13</v>
      </c>
      <c r="B6" s="40" t="s">
        <v>14</v>
      </c>
      <c r="C6" s="40" t="s">
        <v>15</v>
      </c>
      <c r="D6" s="41" t="s">
        <v>16</v>
      </c>
      <c r="E6" s="42" t="s">
        <v>17</v>
      </c>
      <c r="F6" s="41" t="s">
        <v>18</v>
      </c>
      <c r="G6" s="42" t="s">
        <v>19</v>
      </c>
      <c r="H6" s="49" t="s">
        <v>20</v>
      </c>
      <c r="I6" s="49" t="s">
        <v>21</v>
      </c>
      <c r="J6" s="49" t="s">
        <v>22</v>
      </c>
      <c r="K6" s="49" t="s">
        <v>23</v>
      </c>
      <c r="L6" s="49" t="s">
        <v>24</v>
      </c>
      <c r="M6" s="49" t="s">
        <v>25</v>
      </c>
      <c r="N6" s="49" t="s">
        <v>26</v>
      </c>
      <c r="O6" s="49" t="s">
        <v>27</v>
      </c>
      <c r="P6" s="49" t="s">
        <v>28</v>
      </c>
      <c r="Q6" s="49" t="s">
        <v>11</v>
      </c>
      <c r="R6" s="49" t="s">
        <v>29</v>
      </c>
      <c r="S6" s="42" t="s">
        <v>30</v>
      </c>
      <c r="T6" s="42" t="s">
        <v>31</v>
      </c>
      <c r="U6" s="73" t="s">
        <v>32</v>
      </c>
      <c r="V6" s="73" t="s">
        <v>33</v>
      </c>
      <c r="W6" s="49" t="s">
        <v>34</v>
      </c>
      <c r="X6" s="49" t="s">
        <v>35</v>
      </c>
      <c r="Z6" s="42" t="s">
        <v>172</v>
      </c>
      <c r="AA6" s="42" t="s">
        <v>173</v>
      </c>
    </row>
    <row r="7" spans="1:27" x14ac:dyDescent="0.2">
      <c r="A7" s="540"/>
      <c r="B7" s="74" t="s">
        <v>202</v>
      </c>
      <c r="C7" s="75" t="s">
        <v>205</v>
      </c>
      <c r="D7" s="76" t="s">
        <v>38</v>
      </c>
      <c r="E7" s="76" t="s">
        <v>39</v>
      </c>
      <c r="F7" s="77" t="s">
        <v>40</v>
      </c>
      <c r="G7" s="78">
        <f>SUM(H7:X7)</f>
        <v>1710.7211114474019</v>
      </c>
      <c r="H7" s="78">
        <f>(Production!$B$5*'Parameters, country spec'!$B$53*'CO2 per kg feed'!G20+Production!$B$6*'Parameters, country spec'!$B$54*'CO2 per kg feed'!G21)</f>
        <v>398.03095659524791</v>
      </c>
      <c r="I7" s="78">
        <f>(Production!$B$5*'Parameters, country spec'!$B$53*'CO2 per kg feed'!H20+Production!$B$6*'Parameters, country spec'!$B$54*'CO2 per kg feed'!H21)</f>
        <v>225.61564384854313</v>
      </c>
      <c r="J7" s="78"/>
      <c r="K7" s="78"/>
      <c r="L7" s="78">
        <f>(Production!$B$5*'Parameters, country spec'!$B$53*'CO2 per kg feed'!K20+Production!$B$6*'Parameters, country spec'!$B$54*'CO2 per kg feed'!K21)</f>
        <v>175.00177190543107</v>
      </c>
      <c r="M7" s="78"/>
      <c r="N7" s="78">
        <f>(Production!$B$5*'Parameters, country spec'!$B$53*'CO2 per kg feed'!M20+Production!$B$6*'Parameters, country spec'!$B$54*'CO2 per kg feed'!M21)</f>
        <v>0.36061269171445343</v>
      </c>
      <c r="O7" s="78">
        <f>(Production!$B$5*'Parameters, country spec'!$B$53*'CO2 per kg feed'!N20+Production!$B$6*'Parameters, country spec'!$B$54*'CO2 per kg feed'!N21)</f>
        <v>117.29771663299454</v>
      </c>
      <c r="P7" s="78">
        <f>(Production!$B$5*'Parameters, country spec'!$B$53*'CO2 per kg feed'!O20+Production!$B$6*'Parameters, country spec'!$B$54*'CO2 per kg feed'!O21)</f>
        <v>156.05489906985775</v>
      </c>
      <c r="Q7" s="78">
        <f>(Production!$B$5*'Parameters, country spec'!$B$53*'CO2 per kg feed'!P20+Production!$B$6*'Parameters, country spec'!$B$54*'CO2 per kg feed'!P21)</f>
        <v>314.24344265207446</v>
      </c>
      <c r="R7" s="78">
        <f>(Production!$B$5*'Parameters, country spec'!$B$53*'CO2 per kg feed'!P20+Production!$B$6*'Parameters, country spec'!$B$54*'CO2 per kg feed'!P21)</f>
        <v>314.24344265207446</v>
      </c>
      <c r="S7" s="79"/>
      <c r="T7" s="80"/>
      <c r="U7" s="81"/>
      <c r="V7" s="81"/>
      <c r="W7" s="79"/>
      <c r="X7" s="82">
        <f>Production!$B$15*(Energy_slaughter_el_DK*EF_el_CO2_DK+Energy_slaughter_heat_DK*EF_gas_CO2)</f>
        <v>9.8726253994640345</v>
      </c>
      <c r="Z7" s="83"/>
      <c r="AA7" s="83"/>
    </row>
    <row r="8" spans="1:27" x14ac:dyDescent="0.2">
      <c r="A8" s="23"/>
      <c r="B8" s="23" t="s">
        <v>202</v>
      </c>
      <c r="C8" s="18" t="s">
        <v>205</v>
      </c>
      <c r="D8" s="58" t="s">
        <v>38</v>
      </c>
      <c r="E8" s="58" t="s">
        <v>39</v>
      </c>
      <c r="F8" s="23" t="s">
        <v>41</v>
      </c>
      <c r="G8" s="83">
        <f>SUM(H8:X8)</f>
        <v>9.9594108963572463</v>
      </c>
      <c r="H8" s="56">
        <f>(Production!$B$5*'Parameters, country spec'!$B$53*'CH4 per kg feed'!G20+Production!$B$6*'Parameters, country spec'!$B$54*'CH4 per kg feed'!G21)</f>
        <v>0.43905303651091387</v>
      </c>
      <c r="I8" s="56">
        <f>(Production!$B$5*'Parameters, country spec'!$B$53*'CH4 per kg feed'!H20+Production!$B$6*'Parameters, country spec'!$B$54*'CH4 per kg feed'!H21)</f>
        <v>0.79383282094857777</v>
      </c>
      <c r="J8" s="56"/>
      <c r="K8" s="56"/>
      <c r="L8" s="56">
        <f>(Production!$B$5*'Parameters, country spec'!$B$53*'CH4 per kg feed'!K20+Production!$B$6*'Parameters, country spec'!$B$54*'CH4 per kg feed'!K21)</f>
        <v>7.7519883945991172E-2</v>
      </c>
      <c r="M8" s="56"/>
      <c r="N8" s="56">
        <f>(Production!$B$5*'Parameters, country spec'!$B$53*'CH4 per kg feed'!M20+Production!$B$6*'Parameters, country spec'!$B$54*'CH4 per kg feed'!M21)</f>
        <v>1.2060555319851386E-3</v>
      </c>
      <c r="O8" s="56">
        <f>(Production!$B$5*'Parameters, country spec'!$B$53*'CH4 per kg feed'!N20+Production!$B$6*'Parameters, country spec'!$B$54*'CH4 per kg feed'!N21)</f>
        <v>7.0580934498410228E-2</v>
      </c>
      <c r="P8" s="56">
        <f>(Production!$B$5*'Parameters, country spec'!$B$53*'CH4 per kg feed'!O20+Production!$B$6*'Parameters, country spec'!$B$54*'CH4 per kg feed'!O21)</f>
        <v>0</v>
      </c>
      <c r="Q8" s="56">
        <f>(Production!$B$5*'Parameters, country spec'!$B$53*'CH4 per kg feed'!P20+Production!$B$6*'Parameters, country spec'!$B$54*'CH4 per kg feed'!P21)</f>
        <v>4.0840929362549794</v>
      </c>
      <c r="R8" s="56">
        <f>(Production!$B$5*'Parameters, country spec'!$B$53*'CH4 per kg feed'!P20+Production!$B$6*'Parameters, country spec'!$B$54*'CH4 per kg feed'!P21)</f>
        <v>4.0840929362549794</v>
      </c>
      <c r="W8" s="13">
        <f>Production!$B$9*'Parameters, country spec'!$B$62*EF_el_CH4_DK</f>
        <v>0.38824659734415257</v>
      </c>
      <c r="X8" s="53">
        <f>Production!$B$15*(Energy_slaughter_el_DK*EF_el_CH4_DK+Energy_slaughter_heat_DK*EF_gas_CH4)</f>
        <v>2.0785695067255049E-2</v>
      </c>
      <c r="Z8" s="84"/>
      <c r="AA8" s="84"/>
    </row>
    <row r="9" spans="1:27" x14ac:dyDescent="0.2">
      <c r="A9" s="23"/>
      <c r="B9" s="23" t="s">
        <v>202</v>
      </c>
      <c r="C9" s="18" t="s">
        <v>205</v>
      </c>
      <c r="D9" s="58" t="s">
        <v>38</v>
      </c>
      <c r="E9" s="58" t="s">
        <v>39</v>
      </c>
      <c r="F9" s="23" t="s">
        <v>42</v>
      </c>
      <c r="G9" s="83">
        <f>SUM(H9:T9)</f>
        <v>274.3996334144432</v>
      </c>
      <c r="H9" s="56"/>
      <c r="I9" s="56"/>
      <c r="J9" s="85"/>
      <c r="K9" s="56"/>
      <c r="L9" s="56"/>
      <c r="M9" s="56"/>
      <c r="N9" s="56"/>
      <c r="O9" s="56"/>
      <c r="P9" s="56"/>
      <c r="Q9" s="56"/>
      <c r="R9" s="56"/>
      <c r="S9" s="13">
        <f>(Production!$B$5*EF_ent_ferm_DK+Production!$B$6*EF_ent_ferm_heif_DK)</f>
        <v>206.65153502637</v>
      </c>
      <c r="T9" s="53">
        <f>SUM(U9:V9)</f>
        <v>67.748098388073174</v>
      </c>
      <c r="U9" s="86">
        <f>Manure!$C$34</f>
        <v>67.748098388073174</v>
      </c>
      <c r="W9" s="13"/>
      <c r="X9" s="53"/>
      <c r="Z9" s="84"/>
      <c r="AA9" s="84"/>
    </row>
    <row r="10" spans="1:27" x14ac:dyDescent="0.2">
      <c r="A10" s="23"/>
      <c r="B10" s="23" t="s">
        <v>202</v>
      </c>
      <c r="C10" s="18" t="s">
        <v>205</v>
      </c>
      <c r="D10" s="58" t="s">
        <v>38</v>
      </c>
      <c r="E10" s="58" t="s">
        <v>39</v>
      </c>
      <c r="F10" s="87" t="s">
        <v>43</v>
      </c>
      <c r="G10" s="83">
        <f>SUM(H10:T10)+W10+X10</f>
        <v>8.8904444385318708</v>
      </c>
      <c r="H10" s="56">
        <f>(Production!$B$5*'Parameters, country spec'!$B$53*'N2O per kg feed'!G20+Production!$B$6*'Parameters, country spec'!$B$54*'N2O per kg feed'!G21)</f>
        <v>0.58284767606365173</v>
      </c>
      <c r="I10" s="56">
        <f>(Production!$B$5*'Parameters, country spec'!$B$53*'N2O per kg feed'!H20+Production!$B$6*'Parameters, country spec'!$B$54*'N2O per kg feed'!H21)</f>
        <v>9.1917484530887952E-3</v>
      </c>
      <c r="J10" s="56">
        <f>(Production!$B$5*'Parameters, country spec'!$B$53*'N2O per kg feed'!I20+Production!$B$6*'Parameters, country spec'!$B$54*'N2O per kg feed'!I21+Manure!C153)</f>
        <v>4.2502763477055305</v>
      </c>
      <c r="K10" s="84">
        <f>J10*EF_indirect_N2O_DK</f>
        <v>0.42502763477055305</v>
      </c>
      <c r="L10" s="56">
        <f>(Production!$B$5*'Parameters, country spec'!$B$53*'N2O per kg feed'!K20+Production!$B$6*'Parameters, country spec'!$B$54*'N2O per kg feed'!K21)</f>
        <v>4.7023658415052613E-3</v>
      </c>
      <c r="M10" s="56"/>
      <c r="N10" s="56">
        <f>(Production!$B$5*'Parameters, country spec'!$B$53*'N2O per kg feed'!M20+Production!$B$6*'Parameters, country spec'!$B$54*'N2O per kg feed'!M21)</f>
        <v>1.4842791181999789E-5</v>
      </c>
      <c r="O10" s="56">
        <f>(Production!$B$5*'Parameters, country spec'!$B$53*'N2O per kg feed'!N20+Production!$B$6*'Parameters, country spec'!$B$54*'N2O per kg feed'!N21)</f>
        <v>4.2874590607690378E-3</v>
      </c>
      <c r="P10" s="56">
        <f>(Production!$B$5*'Parameters, country spec'!$B$53*'N2O per kg feed'!O20+Production!$B$6*'Parameters, country spec'!$B$54*'N2O per kg feed'!O21)</f>
        <v>0</v>
      </c>
      <c r="Q10" s="56">
        <f>(Production!$B$5*'Parameters, country spec'!$B$53*'N2O per kg feed'!P20+Production!$B$6*'Parameters, country spec'!$B$54*'N2O per kg feed'!P21)</f>
        <v>0.39246427632525716</v>
      </c>
      <c r="R10" s="56">
        <f>(Production!$B$5*'Parameters, country spec'!$B$53*'N2O per kg feed'!P20+Production!$B$6*'Parameters, country spec'!$B$54*'N2O per kg feed'!P21)</f>
        <v>0.39246427632525716</v>
      </c>
      <c r="S10" s="13"/>
      <c r="T10" s="53">
        <f>SUM(U10:V10)</f>
        <v>2.8142216819005048</v>
      </c>
      <c r="U10" s="88">
        <f>Manure!$C$92*44/28</f>
        <v>1.6582398044873063</v>
      </c>
      <c r="V10" s="88">
        <f>Manure!$C$159*17/14*Manure!$B$122</f>
        <v>1.1559818774131985</v>
      </c>
      <c r="W10" s="13">
        <f>Production!$B$9*'Parameters, country spec'!$B$62*EF_el_N2O_DK</f>
        <v>1.4482045081154783E-2</v>
      </c>
      <c r="X10" s="53">
        <f>Production!$B$15*(Energy_slaughter_el_DK*EF_el_N2O_DK+Energy_slaughter_heat_DK*EF_gas_N2O)</f>
        <v>4.6408421341817644E-4</v>
      </c>
      <c r="Z10" s="84"/>
      <c r="AA10" s="84"/>
    </row>
    <row r="11" spans="1:27" x14ac:dyDescent="0.2">
      <c r="A11" s="89"/>
      <c r="B11" s="89" t="s">
        <v>202</v>
      </c>
      <c r="C11" s="90" t="s">
        <v>205</v>
      </c>
      <c r="D11" s="91" t="s">
        <v>38</v>
      </c>
      <c r="E11" s="91" t="s">
        <v>39</v>
      </c>
      <c r="F11" s="92" t="s">
        <v>44</v>
      </c>
      <c r="G11" s="93">
        <f>SUM(H11:X11)</f>
        <v>11843.392990068012</v>
      </c>
      <c r="H11" s="94">
        <f>SUMPRODUCT(H7:H10,'Parameters, general'!$B$24:$B$27)</f>
        <v>570.23215264865007</v>
      </c>
      <c r="I11" s="94">
        <f>SUMPRODUCT(I7:I10,'Parameters, general'!$B$24:$B$27)</f>
        <v>251.78120924050398</v>
      </c>
      <c r="J11" s="94">
        <f>SUMPRODUCT(J7:J10,'Parameters, general'!$B$24:$B$27)</f>
        <v>1160.3254429236099</v>
      </c>
      <c r="K11" s="94">
        <f>SUMPRODUCT(K7:K10,'Parameters, general'!$B$24:$B$27)</f>
        <v>116.03254429236098</v>
      </c>
      <c r="L11" s="94">
        <f>SUMPRODUCT(L7:L10,'Parameters, general'!$B$24:$B$27)</f>
        <v>178.59561032175253</v>
      </c>
      <c r="M11" s="94">
        <f>SUMPRODUCT(M7:M10,'Parameters, general'!$B$24:$B$27)</f>
        <v>0</v>
      </c>
      <c r="N11" s="94">
        <f>SUMPRODUCT(N7:N10,'Parameters, general'!$B$24:$B$27)</f>
        <v>0.40060522856029646</v>
      </c>
      <c r="O11" s="94">
        <f>SUMPRODUCT(O7:O10,'Parameters, general'!$B$24:$B$27)</f>
        <v>120.57150480463712</v>
      </c>
      <c r="P11" s="94">
        <f>SUMPRODUCT(P7:P10,'Parameters, general'!$B$24:$B$27)</f>
        <v>156.05489906985775</v>
      </c>
      <c r="Q11" s="94">
        <f>SUMPRODUCT(Q7:Q10,'Parameters, general'!$B$24:$B$27)</f>
        <v>543.09215958926802</v>
      </c>
      <c r="R11" s="94">
        <f>SUMPRODUCT(R7:R10,'Parameters, general'!$B$24:$B$27)</f>
        <v>543.09215958926802</v>
      </c>
      <c r="S11" s="94">
        <f>SUMPRODUCT(S7:S10,'Parameters, general'!$B$24:$B$27)</f>
        <v>5579.5914457119898</v>
      </c>
      <c r="T11" s="94">
        <f>SUMPRODUCT(T7:T10,'Parameters, general'!$B$24:$B$27)</f>
        <v>2597.4811756368135</v>
      </c>
      <c r="U11" s="94"/>
      <c r="V11" s="94"/>
      <c r="W11" s="94">
        <f>SUMPRODUCT(W7:W10,'Parameters, general'!$B$24:$B$27)</f>
        <v>15.523346908011002</v>
      </c>
      <c r="X11" s="94">
        <f>SUMPRODUCT(X7:X10,'Parameters, general'!$B$24:$B$27)</f>
        <v>10.618734102731398</v>
      </c>
      <c r="Z11" s="95">
        <f>SUM(H11:R11)</f>
        <v>3640.1782877084688</v>
      </c>
      <c r="AA11" s="96">
        <f>'CO2 per kg feed'!F20+'CH4 per kg feed'!F20*CF_GWP_CH4_fossil+'N2O per kg feed'!F20*CF_GWP_N2O</f>
        <v>0.32935234928678231</v>
      </c>
    </row>
    <row r="12" spans="1:27" x14ac:dyDescent="0.2">
      <c r="A12" s="74"/>
      <c r="B12" s="74" t="s">
        <v>202</v>
      </c>
      <c r="C12" s="75" t="s">
        <v>205</v>
      </c>
      <c r="D12" s="58" t="s">
        <v>45</v>
      </c>
      <c r="E12" s="58" t="s">
        <v>46</v>
      </c>
      <c r="F12" s="97" t="s">
        <v>40</v>
      </c>
      <c r="G12" s="78">
        <f>SUM(H12:X12)</f>
        <v>1731.3420361077542</v>
      </c>
      <c r="H12" s="78">
        <f>(Production!$C$5*'Parameters, country spec'!$C$53*'CO2 per kg feed'!G36+Production!$C$6*'Parameters, country spec'!$C$54*'CO2 per kg feed'!G37)</f>
        <v>271.33110962227852</v>
      </c>
      <c r="I12" s="78">
        <f>(Production!$C$5*'Parameters, country spec'!$C$53*'CO2 per kg feed'!H36+Production!$C$6*'Parameters, country spec'!$C$54*'CO2 per kg feed'!H37)</f>
        <v>224.43283553899644</v>
      </c>
      <c r="J12" s="78"/>
      <c r="K12" s="78"/>
      <c r="L12" s="78">
        <f>(Production!$C$5*'Parameters, country spec'!$C$53*'CO2 per kg feed'!K36+Production!$C$6*'Parameters, country spec'!$C$54*'CO2 per kg feed'!K37)</f>
        <v>163.19982371563677</v>
      </c>
      <c r="M12" s="78"/>
      <c r="N12" s="78">
        <f>(Production!$C$5*'Parameters, country spec'!$C$53*'CO2 per kg feed'!M36+Production!$C$6*'Parameters, country spec'!$C$54*'CO2 per kg feed'!M37)</f>
        <v>3.2960812594294255</v>
      </c>
      <c r="O12" s="78">
        <f>(Production!$C$5*'Parameters, country spec'!$C$53*'CO2 per kg feed'!N36+Production!$C$6*'Parameters, country spec'!$C$54*'CO2 per kg feed'!N37)</f>
        <v>89.951420654484025</v>
      </c>
      <c r="P12" s="78">
        <f>(Production!$C$5*'Parameters, country spec'!$C$53*'CO2 per kg feed'!O36+Production!$C$6*'Parameters, country spec'!$C$54*'CO2 per kg feed'!O37)</f>
        <v>142.05410001073608</v>
      </c>
      <c r="Q12" s="78">
        <f>(Production!$C$5*'Parameters, country spec'!$C$53*'CO2 per kg feed'!P36+Production!$C$6*'Parameters, country spec'!$C$54*'CO2 per kg feed'!P37)</f>
        <v>337.56867007494083</v>
      </c>
      <c r="R12" s="78">
        <f>(Production!$C$5*'Parameters, country spec'!$C$53*'CO2 per kg feed'!P36+Production!$C$6*'Parameters, country spec'!$C$54*'CO2 per kg feed'!P37)</f>
        <v>337.56867007494083</v>
      </c>
      <c r="S12" s="79"/>
      <c r="T12" s="80"/>
      <c r="U12" s="81"/>
      <c r="V12" s="81"/>
      <c r="W12" s="79">
        <f>Production!C9*'Parameters, country spec'!C62*EF_el_CO2_FR</f>
        <v>157.87429102326919</v>
      </c>
      <c r="X12" s="98">
        <f>Production!C15*(Energy_slaughter_el_FR*EF_el_CO2_FR+Energy_slaughter_heat_FR*EF_gas_CO2)</f>
        <v>4.0650341330420021</v>
      </c>
      <c r="Z12" s="83"/>
      <c r="AA12" s="83"/>
    </row>
    <row r="13" spans="1:27" x14ac:dyDescent="0.2">
      <c r="A13" s="23"/>
      <c r="B13" s="23" t="s">
        <v>202</v>
      </c>
      <c r="C13" s="18" t="s">
        <v>205</v>
      </c>
      <c r="D13" s="58" t="s">
        <v>45</v>
      </c>
      <c r="E13" s="58" t="s">
        <v>46</v>
      </c>
      <c r="F13" s="23" t="s">
        <v>41</v>
      </c>
      <c r="G13" s="83">
        <f>SUM(H13:X13)</f>
        <v>8.9041100931428101</v>
      </c>
      <c r="H13" s="56">
        <f>(Production!$C$5*'Parameters, country spec'!$C$53*'CH4 per kg feed'!G36+Production!$C$6*'Parameters, country spec'!$C$54*'CH4 per kg feed'!G37)</f>
        <v>0.15170352836908804</v>
      </c>
      <c r="I13" s="99">
        <f>(Production!$C$5*'Parameters, country spec'!$C$53*'CH4 per kg feed'!H36+Production!$C$6*'Parameters, country spec'!$C$54*'CH4 per kg feed'!H37)</f>
        <v>0.78967108800758012</v>
      </c>
      <c r="J13" s="99"/>
      <c r="K13" s="99"/>
      <c r="L13" s="99">
        <f>(Production!$C$5*'Parameters, country spec'!$C$53*'CH4 per kg feed'!K36+Production!$C$6*'Parameters, country spec'!$C$54*'CH4 per kg feed'!K37)</f>
        <v>7.2292018856123061E-2</v>
      </c>
      <c r="M13" s="99"/>
      <c r="N13" s="99">
        <f>(Production!$C$5*'Parameters, country spec'!$C$53*'CH4 per kg feed'!M36+Production!$C$6*'Parameters, country spec'!$C$54*'CH4 per kg feed'!M37)</f>
        <v>1.03595561400943E-2</v>
      </c>
      <c r="O13" s="99">
        <f>(Production!$C$5*'Parameters, country spec'!$C$53*'CH4 per kg feed'!N36+Production!$C$6*'Parameters, country spec'!$C$54*'CH4 per kg feed'!N37)</f>
        <v>5.0972843166519066E-2</v>
      </c>
      <c r="P13" s="99">
        <f>(Production!$C$5*'Parameters, country spec'!$C$53*'CH4 per kg feed'!O36+Production!$C$6*'Parameters, country spec'!$C$54*'CH4 per kg feed'!O37)</f>
        <v>0</v>
      </c>
      <c r="Q13" s="99">
        <f>(Production!$C$5*'Parameters, country spec'!$C$53*'CH4 per kg feed'!P36+Production!$C$6*'Parameters, country spec'!$C$54*'CH4 per kg feed'!P37)</f>
        <v>3.66190846402134</v>
      </c>
      <c r="R13" s="99">
        <f>(Production!$C$5*'Parameters, country spec'!$C$53*'CH4 per kg feed'!P36+Production!$C$6*'Parameters, country spec'!$C$54*'CH4 per kg feed'!P37)</f>
        <v>3.66190846402134</v>
      </c>
      <c r="W13" s="13">
        <f>Production!C9*'Parameters, country spec'!C62*EF_el_CH4_FR</f>
        <v>0.48945897608134675</v>
      </c>
      <c r="X13" s="15">
        <f>Production!C15*(Energy_slaughter_el_FR*EF_el_CH4_FR+Energy_slaughter_heat_FR*EF_gas_CH4)</f>
        <v>1.5835154479379734E-2</v>
      </c>
      <c r="Z13" s="84"/>
      <c r="AA13" s="84"/>
    </row>
    <row r="14" spans="1:27" x14ac:dyDescent="0.2">
      <c r="A14" s="23"/>
      <c r="B14" s="23" t="s">
        <v>202</v>
      </c>
      <c r="C14" s="18" t="s">
        <v>205</v>
      </c>
      <c r="D14" s="58" t="s">
        <v>45</v>
      </c>
      <c r="E14" s="58" t="s">
        <v>46</v>
      </c>
      <c r="F14" s="23" t="s">
        <v>42</v>
      </c>
      <c r="G14" s="83">
        <f>SUM(H14:T14)</f>
        <v>199.69634898178288</v>
      </c>
      <c r="H14" s="56"/>
      <c r="I14" s="99"/>
      <c r="J14" s="99"/>
      <c r="K14" s="99"/>
      <c r="L14" s="99"/>
      <c r="M14" s="99"/>
      <c r="N14" s="99"/>
      <c r="O14" s="99"/>
      <c r="P14" s="99"/>
      <c r="Q14" s="99"/>
      <c r="R14" s="99"/>
      <c r="S14" s="13">
        <f>(Production!$C$5*EF_ent_ferm_FR+Production!$C$6*EF_ent_ferm_heif_FR)</f>
        <v>179.41979417989398</v>
      </c>
      <c r="T14" s="53">
        <f>SUM(U14:V14)</f>
        <v>20.276554801888899</v>
      </c>
      <c r="U14" s="86">
        <f>Manure!$E$34</f>
        <v>20.276554801888899</v>
      </c>
      <c r="W14" s="13"/>
      <c r="X14" s="15"/>
      <c r="Z14" s="84"/>
      <c r="AA14" s="84"/>
    </row>
    <row r="15" spans="1:27" x14ac:dyDescent="0.2">
      <c r="A15" s="23"/>
      <c r="B15" s="23" t="s">
        <v>202</v>
      </c>
      <c r="C15" s="18" t="s">
        <v>205</v>
      </c>
      <c r="D15" s="58" t="s">
        <v>45</v>
      </c>
      <c r="E15" s="58" t="s">
        <v>46</v>
      </c>
      <c r="F15" s="87" t="s">
        <v>43</v>
      </c>
      <c r="G15" s="83">
        <f>SUM(H15:T15)+W15+X15</f>
        <v>6.5961014134252558</v>
      </c>
      <c r="H15" s="56">
        <f>(Production!$C$5*'Parameters, country spec'!$C$53*'N2O per kg feed'!G36+Production!$C$6*'Parameters, country spec'!$C$54*'N2O per kg feed'!G37)</f>
        <v>0.23160816943308027</v>
      </c>
      <c r="I15" s="84">
        <f>(Production!$C$5*'Parameters, country spec'!$C$53*'N2O per kg feed'!H36+Production!$C$6*'Parameters, country spec'!$C$54*'N2O per kg feed'!H37)</f>
        <v>9.1435599664035604E-3</v>
      </c>
      <c r="J15" s="84">
        <f>(Production!$C$5*'Parameters, country spec'!$C$53*'N2O per kg feed'!I36+Production!$C$6*'Parameters, country spec'!$C$54*'N2O per kg feed'!I37+Manure!E153)</f>
        <v>3.4074640244584513</v>
      </c>
      <c r="K15" s="84">
        <f>J15*EF_indirect_N2O_FR</f>
        <v>0.34074640244584514</v>
      </c>
      <c r="L15" s="84">
        <f>(Production!$C$5*'Parameters, country spec'!$C$53*'N2O per kg feed'!K36+Production!$C$6*'Parameters, country spec'!$C$54*'N2O per kg feed'!K37)</f>
        <v>4.3852428922536765E-3</v>
      </c>
      <c r="M15" s="84"/>
      <c r="N15" s="84">
        <f>(Production!$C$5*'Parameters, country spec'!$C$53*'N2O per kg feed'!M36+Production!$C$6*'Parameters, country spec'!$C$54*'N2O per kg feed'!M37)</f>
        <v>1.387750058971702E-4</v>
      </c>
      <c r="O15" s="84">
        <f>(Production!$C$5*'Parameters, country spec'!$C$53*'N2O per kg feed'!N36+Production!$C$6*'Parameters, country spec'!$C$54*'N2O per kg feed'!N37)</f>
        <v>3.3650139512345196E-3</v>
      </c>
      <c r="P15" s="84">
        <f>(Production!$C$5*'Parameters, country spec'!$C$53*'N2O per kg feed'!O36+Production!$C$6*'Parameters, country spec'!$C$54*'N2O per kg feed'!O37)</f>
        <v>0</v>
      </c>
      <c r="Q15" s="84">
        <f>(Production!$C$5*'Parameters, country spec'!$C$53*'N2O per kg feed'!P36+Production!$C$6*'Parameters, country spec'!$C$54*'N2O per kg feed'!P37)</f>
        <v>0.33441408823004154</v>
      </c>
      <c r="R15" s="84">
        <f>(Production!$C$5*'Parameters, country spec'!$C$53*'N2O per kg feed'!P36+Production!$C$6*'Parameters, country spec'!$C$54*'N2O per kg feed'!P37)</f>
        <v>0.33441408823004154</v>
      </c>
      <c r="S15" s="13"/>
      <c r="T15" s="53">
        <f>SUM(U15:V15)</f>
        <v>1.9153850594764827</v>
      </c>
      <c r="U15" s="88">
        <f>Manure!$E$92*44/28</f>
        <v>1.3304303239235329</v>
      </c>
      <c r="V15" s="88">
        <f>Manure!$E$159*17/14*Manure!$D$122</f>
        <v>0.58495473555294986</v>
      </c>
      <c r="W15" s="13">
        <f>Production!C9*'Parameters, country spec'!C62*EF_el_N2O_FR</f>
        <v>1.479632698949398E-2</v>
      </c>
      <c r="X15" s="15">
        <f>Production!C15*(Energy_slaughter_el_FR*EF_el_N2O_FR+Energy_slaughter_heat_FR*EF_gas_N2O)</f>
        <v>2.4066234603042618E-4</v>
      </c>
      <c r="Z15" s="84"/>
      <c r="AA15" s="84"/>
    </row>
    <row r="16" spans="1:27" x14ac:dyDescent="0.2">
      <c r="A16" s="89"/>
      <c r="B16" s="89" t="s">
        <v>202</v>
      </c>
      <c r="C16" s="90" t="s">
        <v>205</v>
      </c>
      <c r="D16" s="100" t="s">
        <v>45</v>
      </c>
      <c r="E16" s="100" t="s">
        <v>46</v>
      </c>
      <c r="F16" s="101" t="s">
        <v>44</v>
      </c>
      <c r="G16" s="102">
        <f>SUM(H16:X16)</f>
        <v>9189.2216252566432</v>
      </c>
      <c r="H16" s="94">
        <f>SUMPRODUCT(H12:H15,'Parameters, general'!$B$24:$B$27)</f>
        <v>339.08090502290821</v>
      </c>
      <c r="I16" s="94">
        <f>SUMPRODUCT(I12:I15,'Parameters, general'!$B$24:$B$27)</f>
        <v>250.46122583245051</v>
      </c>
      <c r="J16" s="94">
        <f>SUMPRODUCT(J12:J15,'Parameters, general'!$B$24:$B$27)</f>
        <v>930.23767867715719</v>
      </c>
      <c r="K16" s="94">
        <f>SUMPRODUCT(K12:K15,'Parameters, general'!$B$24:$B$27)</f>
        <v>93.023767867715719</v>
      </c>
      <c r="L16" s="94">
        <f>SUMPRODUCT(L12:L15,'Parameters, general'!$B$24:$B$27)</f>
        <v>166.55129718713448</v>
      </c>
      <c r="M16" s="94">
        <f>SUMPRODUCT(M12:M15,'Parameters, general'!$B$24:$B$27)</f>
        <v>0</v>
      </c>
      <c r="N16" s="94">
        <f>SUMPRODUCT(N12:N15,'Parameters, general'!$B$24:$B$27)</f>
        <v>3.6426816090141632</v>
      </c>
      <c r="O16" s="94">
        <f>SUMPRODUCT(O12:O15,'Parameters, general'!$B$24:$B$27)</f>
        <v>92.389060189533311</v>
      </c>
      <c r="P16" s="94">
        <f>SUMPRODUCT(P12:P15,'Parameters, general'!$B$24:$B$27)</f>
        <v>142.05410001073608</v>
      </c>
      <c r="Q16" s="94">
        <f>SUMPRODUCT(Q12:Q15,'Parameters, general'!$B$24:$B$27)</f>
        <v>537.98858838957813</v>
      </c>
      <c r="R16" s="94">
        <f>SUMPRODUCT(R12:R15,'Parameters, general'!$B$24:$B$27)</f>
        <v>537.98858838957813</v>
      </c>
      <c r="S16" s="94">
        <f>SUMPRODUCT(S12:S15,'Parameters, general'!$B$24:$B$27)</f>
        <v>4844.3344428571372</v>
      </c>
      <c r="T16" s="94">
        <f>SUMPRODUCT(T12:T15,'Parameters, general'!$B$24:$B$27)</f>
        <v>1070.3671008880801</v>
      </c>
      <c r="U16" s="94"/>
      <c r="V16" s="94"/>
      <c r="W16" s="94">
        <f>SUMPRODUCT(W12:W15,'Parameters, general'!$B$24:$B$27)</f>
        <v>176.4995657786252</v>
      </c>
      <c r="X16" s="94">
        <f>SUMPRODUCT(X12:X15,'Parameters, general'!$B$24:$B$27)</f>
        <v>4.6026225569938246</v>
      </c>
      <c r="Z16" s="95">
        <f>SUM(H16:R16)</f>
        <v>3093.4178931758056</v>
      </c>
      <c r="AA16" s="96">
        <f>'CO2 per kg feed'!F36+'CH4 per kg feed'!F36*CF_GWP_CH4_fossil+'N2O per kg feed'!F36*CF_GWP_N2O</f>
        <v>0.26766924244036094</v>
      </c>
    </row>
    <row r="17" spans="1:27" x14ac:dyDescent="0.2">
      <c r="A17" s="74"/>
      <c r="B17" s="74" t="s">
        <v>202</v>
      </c>
      <c r="C17" s="75" t="s">
        <v>205</v>
      </c>
      <c r="D17" s="76" t="s">
        <v>47</v>
      </c>
      <c r="E17" s="76" t="s">
        <v>48</v>
      </c>
      <c r="F17" s="77" t="s">
        <v>40</v>
      </c>
      <c r="G17" s="78">
        <f>SUM(H17:X17)</f>
        <v>2753.0944253946691</v>
      </c>
      <c r="H17" s="78">
        <f>(Production!$D$5*'Parameters, country spec'!$D$53*'CO2 per kg feed'!G52+Production!$D$6*'Parameters, country spec'!$D$54*'CO2 per kg feed'!G53)</f>
        <v>223.31108052073012</v>
      </c>
      <c r="I17" s="78">
        <f>(Production!$D$5*'Parameters, country spec'!$D$53*'CO2 per kg feed'!H52+Production!$D$6*'Parameters, country spec'!$D$54*'CO2 per kg feed'!H53)</f>
        <v>243.41159741115735</v>
      </c>
      <c r="J17" s="78"/>
      <c r="K17" s="78"/>
      <c r="L17" s="78">
        <f>(Production!$D$5*'Parameters, country spec'!$D$53*'CO2 per kg feed'!K52+Production!$D$6*'Parameters, country spec'!$D$54*'CO2 per kg feed'!K53)</f>
        <v>153.49249098424426</v>
      </c>
      <c r="M17" s="78"/>
      <c r="N17" s="78">
        <f>(Production!$D$5*'Parameters, country spec'!$D$53*'CO2 per kg feed'!M52+Production!$D$6*'Parameters, country spec'!$D$54*'CO2 per kg feed'!M53)</f>
        <v>0.32500268779587399</v>
      </c>
      <c r="O17" s="78">
        <f>(Production!$D$5*'Parameters, country spec'!$D$53*'CO2 per kg feed'!N52+Production!$D$6*'Parameters, country spec'!$D$54*'CO2 per kg feed'!N53)</f>
        <v>46.683496014367364</v>
      </c>
      <c r="P17" s="78">
        <f>(Production!$D$5*'Parameters, country spec'!$D$53*'CO2 per kg feed'!O52+Production!$D$6*'Parameters, country spec'!$D$54*'CO2 per kg feed'!O53)</f>
        <v>198.14482423449985</v>
      </c>
      <c r="Q17" s="78">
        <f>(Production!$D$5*'Parameters, country spec'!$D$53*'CO2 per kg feed'!P52+Production!$D$6*'Parameters, country spec'!$D$54*'CO2 per kg feed'!P53)</f>
        <v>451.24612341660605</v>
      </c>
      <c r="R17" s="78">
        <f>(Production!$D$5*'Parameters, country spec'!$D$53*'CO2 per kg feed'!P52+Production!$D$6*'Parameters, country spec'!$D$54*'CO2 per kg feed'!P53)</f>
        <v>451.24612341660605</v>
      </c>
      <c r="S17" s="79"/>
      <c r="T17" s="80"/>
      <c r="U17" s="81"/>
      <c r="V17" s="81"/>
      <c r="W17" s="79">
        <f>Production!$D$9*'Parameters, country spec'!$D$62*EF_el_CO2_DE</f>
        <v>974.70453959538395</v>
      </c>
      <c r="X17" s="82">
        <f>Production!$D$15*(Energy_slaughter_el_DE*EF_el_CO2_DE+Energy_slaughter_heat_DE*EF_gas_CO2)</f>
        <v>10.529147113278249</v>
      </c>
      <c r="Z17" s="83"/>
      <c r="AA17" s="83"/>
    </row>
    <row r="18" spans="1:27" x14ac:dyDescent="0.2">
      <c r="A18" s="23"/>
      <c r="B18" s="23" t="s">
        <v>202</v>
      </c>
      <c r="C18" s="18" t="s">
        <v>205</v>
      </c>
      <c r="D18" s="58" t="s">
        <v>47</v>
      </c>
      <c r="E18" s="58" t="s">
        <v>48</v>
      </c>
      <c r="F18" s="23" t="s">
        <v>41</v>
      </c>
      <c r="G18" s="83">
        <f>SUM(H18:X18)</f>
        <v>10.956836200104753</v>
      </c>
      <c r="H18" s="56">
        <f>(Production!$D$5*'Parameters, country spec'!$D$53*'CH4 per kg feed'!G52+Production!$D$6*'Parameters, country spec'!$D$54*'CH4 per kg feed'!G53)</f>
        <v>0.20644055464146632</v>
      </c>
      <c r="I18" s="56">
        <f>(Production!$D$5*'Parameters, country spec'!$D$53*'CH4 per kg feed'!H52+Production!$D$6*'Parameters, country spec'!$D$54*'CH4 per kg feed'!H53)</f>
        <v>0.85644821311333141</v>
      </c>
      <c r="J18" s="56"/>
      <c r="K18" s="56"/>
      <c r="L18" s="56">
        <f>(Production!$D$5*'Parameters, country spec'!$D$53*'CH4 per kg feed'!K52+Production!$D$6*'Parameters, country spec'!$D$54*'CH4 per kg feed'!K53)</f>
        <v>6.7991997784511815E-2</v>
      </c>
      <c r="M18" s="56"/>
      <c r="N18" s="56">
        <f>(Production!$D$5*'Parameters, country spec'!$D$53*'CH4 per kg feed'!M52+Production!$D$6*'Parameters, country spec'!$D$54*'CH4 per kg feed'!M53)</f>
        <v>1.0694928188162594E-3</v>
      </c>
      <c r="O18" s="56">
        <f>(Production!$D$5*'Parameters, country spec'!$D$53*'CH4 per kg feed'!N52+Production!$D$6*'Parameters, country spec'!$D$54*'CH4 per kg feed'!N53)</f>
        <v>3.1341334325986736E-2</v>
      </c>
      <c r="P18" s="56">
        <f>(Production!$D$5*'Parameters, country spec'!$D$53*'CH4 per kg feed'!O52+Production!$D$6*'Parameters, country spec'!$D$54*'CH4 per kg feed'!O53)</f>
        <v>0</v>
      </c>
      <c r="Q18" s="56">
        <f>(Production!$D$5*'Parameters, country spec'!$D$53*'CH4 per kg feed'!P52+Production!$D$6*'Parameters, country spec'!$D$54*'CH4 per kg feed'!P53)</f>
        <v>3.9517909397344302</v>
      </c>
      <c r="R18" s="56">
        <f>(Production!$D$5*'Parameters, country spec'!$D$53*'CH4 per kg feed'!P52+Production!$D$6*'Parameters, country spec'!$D$54*'CH4 per kg feed'!P53)</f>
        <v>3.9517909397344302</v>
      </c>
      <c r="W18" s="13">
        <f>Production!$D$9*'Parameters, country spec'!$D$62*EF_el_CH4_DE</f>
        <v>1.8645026816872061</v>
      </c>
      <c r="X18" s="53">
        <f>Production!$D$15*(Energy_slaughter_el_DE*EF_el_CH4_DE+Energy_slaughter_heat_DE*EF_gas_CH4)</f>
        <v>2.5460046264574848E-2</v>
      </c>
      <c r="Z18" s="84"/>
      <c r="AA18" s="84"/>
    </row>
    <row r="19" spans="1:27" x14ac:dyDescent="0.2">
      <c r="A19" s="23"/>
      <c r="B19" s="23" t="s">
        <v>202</v>
      </c>
      <c r="C19" s="18" t="s">
        <v>205</v>
      </c>
      <c r="D19" s="58" t="s">
        <v>47</v>
      </c>
      <c r="E19" s="58" t="s">
        <v>48</v>
      </c>
      <c r="F19" s="23" t="s">
        <v>42</v>
      </c>
      <c r="G19" s="83">
        <f>SUM(H19:T19)</f>
        <v>221.68044657277673</v>
      </c>
      <c r="H19" s="56"/>
      <c r="I19" s="56"/>
      <c r="J19" s="85"/>
      <c r="K19" s="56"/>
      <c r="L19" s="56"/>
      <c r="M19" s="56"/>
      <c r="N19" s="56"/>
      <c r="O19" s="56"/>
      <c r="P19" s="56"/>
      <c r="Q19" s="56"/>
      <c r="R19" s="56"/>
      <c r="S19" s="13">
        <f>(Production!$D$5*EF_ent_ferm_DE+Production!$D$6*EF_ent_ferm_heif_DE)</f>
        <v>187.350998408929</v>
      </c>
      <c r="T19" s="53">
        <f>SUM(U19:V19)</f>
        <v>34.329448163847722</v>
      </c>
      <c r="U19" s="86">
        <f>Manure!$G$34</f>
        <v>34.329448163847722</v>
      </c>
      <c r="W19" s="13"/>
      <c r="X19" s="53"/>
      <c r="Z19" s="84"/>
      <c r="AA19" s="84"/>
    </row>
    <row r="20" spans="1:27" x14ac:dyDescent="0.2">
      <c r="A20" s="23"/>
      <c r="B20" s="23" t="s">
        <v>202</v>
      </c>
      <c r="C20" s="18" t="s">
        <v>205</v>
      </c>
      <c r="D20" s="58" t="s">
        <v>47</v>
      </c>
      <c r="E20" s="58" t="s">
        <v>48</v>
      </c>
      <c r="F20" s="87" t="s">
        <v>43</v>
      </c>
      <c r="G20" s="83">
        <f>SUM(H20:T20)+W20+X20</f>
        <v>6.2451428027316016</v>
      </c>
      <c r="H20" s="56">
        <f>(Production!$D$5*'Parameters, country spec'!$D$53*'N2O per kg feed'!G52+Production!$D$6*'Parameters, country spec'!$D$54*'N2O per kg feed'!G53)</f>
        <v>0.27605158849173972</v>
      </c>
      <c r="I20" s="56">
        <f>(Production!$D$5*'Parameters, country spec'!$D$53*'N2O per kg feed'!H52+Production!$D$6*'Parameters, country spec'!$D$54*'N2O per kg feed'!H53)</f>
        <v>9.916768783417523E-3</v>
      </c>
      <c r="J20" s="56">
        <f>(Production!$D$5*'Parameters, country spec'!$D$53*'N2O per kg feed'!I52+Production!$D$6*'Parameters, country spec'!$D$54*'N2O per kg feed'!I53+Manure!G153)</f>
        <v>2.6888095836208592</v>
      </c>
      <c r="K20" s="84">
        <f>J20*EF_indirect_N2O_DE</f>
        <v>0.26888095836208592</v>
      </c>
      <c r="L20" s="56">
        <f>(Production!$D$5*'Parameters, country spec'!$D$53*'N2O per kg feed'!K52+Production!$D$6*'Parameters, country spec'!$D$54*'N2O per kg feed'!K53)</f>
        <v>4.1244030770265869E-3</v>
      </c>
      <c r="M20" s="56"/>
      <c r="N20" s="56">
        <f>(Production!$D$5*'Parameters, country spec'!$D$53*'N2O per kg feed'!M52+Production!$D$6*'Parameters, country spec'!$D$54*'N2O per kg feed'!M53)</f>
        <v>1.3458848170160254E-5</v>
      </c>
      <c r="O20" s="56">
        <f>(Production!$D$5*'Parameters, country spec'!$D$53*'N2O per kg feed'!N52+Production!$D$6*'Parameters, country spec'!$D$54*'N2O per kg feed'!N53)</f>
        <v>1.6716277642901095E-3</v>
      </c>
      <c r="P20" s="56">
        <f>(Production!$D$5*'Parameters, country spec'!$D$53*'N2O per kg feed'!O52+Production!$D$6*'Parameters, country spec'!$D$54*'N2O per kg feed'!O53)</f>
        <v>0</v>
      </c>
      <c r="Q20" s="56">
        <f>(Production!$D$5*'Parameters, country spec'!$D$53*'N2O per kg feed'!P52+Production!$D$6*'Parameters, country spec'!$D$54*'N2O per kg feed'!P53)</f>
        <v>0.35518445962465373</v>
      </c>
      <c r="R20" s="56">
        <f>(Production!$D$5*'Parameters, country spec'!$D$53*'N2O per kg feed'!P52+Production!$D$6*'Parameters, country spec'!$D$54*'N2O per kg feed'!P53)</f>
        <v>0.35518445962465373</v>
      </c>
      <c r="S20" s="13"/>
      <c r="T20" s="53">
        <f>SUM(U20:V20)</f>
        <v>2.2412052762825292</v>
      </c>
      <c r="U20" s="88">
        <f>Manure!$G$92*44/28</f>
        <v>1.3396405658358717</v>
      </c>
      <c r="V20" s="88">
        <f>Manure!$G$159*17/14*Manure!$F$122</f>
        <v>0.90156471044665776</v>
      </c>
      <c r="W20" s="13">
        <f>Production!$D$9*'Parameters, country spec'!$D$62*EF_el_N2O_DE</f>
        <v>4.3654247146470974E-2</v>
      </c>
      <c r="X20" s="53">
        <f>Production!$D$15*(Energy_slaughter_el_DE*EF_el_N2O_DE+Energy_slaughter_heat_DE*EF_gas_N2O)</f>
        <v>4.4597110570448046E-4</v>
      </c>
      <c r="Z20" s="84"/>
      <c r="AA20" s="84"/>
    </row>
    <row r="21" spans="1:27" x14ac:dyDescent="0.2">
      <c r="A21" s="89"/>
      <c r="B21" s="89" t="s">
        <v>202</v>
      </c>
      <c r="C21" s="90" t="s">
        <v>205</v>
      </c>
      <c r="D21" s="91" t="s">
        <v>47</v>
      </c>
      <c r="E21" s="91" t="s">
        <v>48</v>
      </c>
      <c r="F21" s="92" t="s">
        <v>44</v>
      </c>
      <c r="G21" s="102">
        <f>SUM(H21:X21)</f>
        <v>10769.904186768488</v>
      </c>
      <c r="H21" s="94">
        <f>SUMPRODUCT(H17:H20,'Parameters, general'!$B$24:$B$27)</f>
        <v>304.82509270729076</v>
      </c>
      <c r="I21" s="94">
        <f>SUMPRODUCT(I17:I20,'Parameters, general'!$B$24:$B$27)</f>
        <v>271.64103203980761</v>
      </c>
      <c r="J21" s="94">
        <f>SUMPRODUCT(J17:J20,'Parameters, general'!$B$24:$B$27)</f>
        <v>734.04501632849451</v>
      </c>
      <c r="K21" s="94">
        <f>SUMPRODUCT(K17:K20,'Parameters, general'!$B$24:$B$27)</f>
        <v>73.40450163284946</v>
      </c>
      <c r="L21" s="94">
        <f>SUMPRODUCT(L17:L20,'Parameters, general'!$B$24:$B$27)</f>
        <v>156.64461455825096</v>
      </c>
      <c r="M21" s="94">
        <f>SUMPRODUCT(M17:M20,'Parameters, general'!$B$24:$B$27)</f>
        <v>0</v>
      </c>
      <c r="N21" s="94">
        <f>SUMPRODUCT(N17:N20,'Parameters, general'!$B$24:$B$27)</f>
        <v>0.36054783934705226</v>
      </c>
      <c r="O21" s="94">
        <f>SUMPRODUCT(O17:O20,'Parameters, general'!$B$24:$B$27)</f>
        <v>48.07382215693297</v>
      </c>
      <c r="P21" s="94">
        <f>SUMPRODUCT(P17:P20,'Parameters, general'!$B$24:$B$27)</f>
        <v>198.14482423449985</v>
      </c>
      <c r="Q21" s="94">
        <f>SUMPRODUCT(Q17:Q20,'Parameters, general'!$B$24:$B$27)</f>
        <v>665.97485089822248</v>
      </c>
      <c r="R21" s="94">
        <f>SUMPRODUCT(R17:R20,'Parameters, general'!$B$24:$B$27)</f>
        <v>665.97485089822248</v>
      </c>
      <c r="S21" s="94">
        <f>SUMPRODUCT(S17:S20,'Parameters, general'!$B$24:$B$27)</f>
        <v>5058.4769570410826</v>
      </c>
      <c r="T21" s="94">
        <f>SUMPRODUCT(T17:T20,'Parameters, general'!$B$24:$B$27)</f>
        <v>1538.744140849019</v>
      </c>
      <c r="U21" s="94"/>
      <c r="V21" s="94"/>
      <c r="W21" s="94">
        <f>SUMPRODUCT(W17:W20,'Parameters, general'!$B$24:$B$27)</f>
        <v>1042.1843289806493</v>
      </c>
      <c r="X21" s="94">
        <f>SUMPRODUCT(X17:X20,'Parameters, general'!$B$24:$B$27)</f>
        <v>11.409606603819903</v>
      </c>
      <c r="Z21" s="95">
        <f>SUM(H21:R21)</f>
        <v>3119.0891532939177</v>
      </c>
      <c r="AA21" s="96">
        <f>'CO2 per kg feed'!F52+'CH4 per kg feed'!F52*CF_GWP_CH4_fossil+'N2O per kg feed'!F52*CF_GWP_N2O</f>
        <v>0.25510783728508007</v>
      </c>
    </row>
    <row r="22" spans="1:27" x14ac:dyDescent="0.2">
      <c r="A22" s="74"/>
      <c r="B22" s="74" t="s">
        <v>202</v>
      </c>
      <c r="C22" s="75" t="s">
        <v>205</v>
      </c>
      <c r="D22" s="58" t="s">
        <v>49</v>
      </c>
      <c r="E22" s="58" t="s">
        <v>50</v>
      </c>
      <c r="F22" s="97" t="s">
        <v>40</v>
      </c>
      <c r="G22" s="78">
        <f>SUM(H22:X22)</f>
        <v>4095.7465687986423</v>
      </c>
      <c r="H22" s="78">
        <f>(Production!$E$5*'Parameters, country spec'!$E$53*'CO2 per kg feed'!G68+Production!$E$6*'Parameters, country spec'!$E$54*'CO2 per kg feed'!G69)</f>
        <v>545.5109096763357</v>
      </c>
      <c r="I22" s="78">
        <f>(Production!$E$5*'Parameters, country spec'!$E$53*'CO2 per kg feed'!H68+Production!$E$6*'Parameters, country spec'!$E$54*'CO2 per kg feed'!H69)</f>
        <v>228.60231684443801</v>
      </c>
      <c r="J22" s="78"/>
      <c r="K22" s="78"/>
      <c r="L22" s="78">
        <f>(Production!$E$5*'Parameters, country spec'!$E$53*'CO2 per kg feed'!K68+Production!$E$6*'Parameters, country spec'!$E$54*'CO2 per kg feed'!K69)</f>
        <v>301.73519438182302</v>
      </c>
      <c r="M22" s="78"/>
      <c r="N22" s="78">
        <f>(Production!$E$5*'Parameters, country spec'!$E$53*'CO2 per kg feed'!M68+Production!$E$6*'Parameters, country spec'!$E$54*'CO2 per kg feed'!M69)</f>
        <v>37.88442809322791</v>
      </c>
      <c r="O22" s="78">
        <f>(Production!$E$5*'Parameters, country spec'!$E$53*'CO2 per kg feed'!N68+Production!$E$6*'Parameters, country spec'!$E$54*'CO2 per kg feed'!N69)</f>
        <v>185.56591746446449</v>
      </c>
      <c r="P22" s="78">
        <f>(Production!$E$5*'Parameters, country spec'!$E$53*'CO2 per kg feed'!O68+Production!$E$6*'Parameters, country spec'!$E$54*'CO2 per kg feed'!O69)</f>
        <v>244.20416385747251</v>
      </c>
      <c r="Q22" s="78">
        <f>(Production!$E$5*'Parameters, country spec'!$E$53*'CO2 per kg feed'!P68+Production!$E$6*'Parameters, country spec'!$E$54*'CO2 per kg feed'!P69)</f>
        <v>505.7158905223904</v>
      </c>
      <c r="R22" s="78">
        <f>(Production!$E$5*'Parameters, country spec'!$E$53*'CO2 per kg feed'!P68+Production!$E$6*'Parameters, country spec'!$E$54*'CO2 per kg feed'!P69)</f>
        <v>505.7158905223904</v>
      </c>
      <c r="S22" s="79"/>
      <c r="T22" s="80"/>
      <c r="U22" s="81"/>
      <c r="V22" s="81"/>
      <c r="W22" s="79">
        <f>Production!$E$9*'Parameters, country spec'!$E$62*EF_el_CO2_GR</f>
        <v>1526.7108885014557</v>
      </c>
      <c r="X22" s="82">
        <f>Production!$E$15*(Energy_slaughter_el_GR*EF_el_CO2_GR+Energy_slaughter_heat_GR*EF_gas_CO2)</f>
        <v>14.100968934643999</v>
      </c>
      <c r="Z22" s="83"/>
      <c r="AA22" s="83"/>
    </row>
    <row r="23" spans="1:27" x14ac:dyDescent="0.2">
      <c r="A23" s="23"/>
      <c r="B23" s="23" t="s">
        <v>202</v>
      </c>
      <c r="C23" s="18" t="s">
        <v>205</v>
      </c>
      <c r="D23" s="58" t="s">
        <v>49</v>
      </c>
      <c r="E23" s="58" t="s">
        <v>50</v>
      </c>
      <c r="F23" s="23" t="s">
        <v>41</v>
      </c>
      <c r="G23" s="83">
        <f>SUM(H23:X23)</f>
        <v>10.140591501390432</v>
      </c>
      <c r="H23" s="56">
        <f>(Production!$E$5*'Parameters, country spec'!$E$53*'CH4 per kg feed'!G68+Production!$E$6*'Parameters, country spec'!$E$54*'CH4 per kg feed'!G69)</f>
        <v>1.145878804028771E-2</v>
      </c>
      <c r="I23" s="56">
        <f>(Production!$E$5*'Parameters, country spec'!$E$53*'CH4 per kg feed'!H68+Production!$E$6*'Parameters, country spec'!$E$54*'CH4 per kg feed'!H69)</f>
        <v>0.80434148519339332</v>
      </c>
      <c r="J23" s="56"/>
      <c r="K23" s="56"/>
      <c r="L23" s="56">
        <f>(Production!$E$5*'Parameters, country spec'!$E$53*'CH4 per kg feed'!K68+Production!$E$6*'Parameters, country spec'!$E$54*'CH4 per kg feed'!K69)</f>
        <v>0.13365851668941933</v>
      </c>
      <c r="M23" s="56"/>
      <c r="N23" s="56">
        <f>(Production!$E$5*'Parameters, country spec'!$E$53*'CH4 per kg feed'!M68+Production!$E$6*'Parameters, country spec'!$E$54*'CH4 per kg feed'!M69)</f>
        <v>0.11536110606341843</v>
      </c>
      <c r="O23" s="56">
        <f>(Production!$E$5*'Parameters, country spec'!$E$53*'CH4 per kg feed'!N68+Production!$E$6*'Parameters, country spec'!$E$54*'CH4 per kg feed'!N69)</f>
        <v>0.15224758232882035</v>
      </c>
      <c r="P23" s="56">
        <f>(Production!$E$5*'Parameters, country spec'!$E$53*'CH4 per kg feed'!O68+Production!$E$6*'Parameters, country spec'!$E$54*'CH4 per kg feed'!O69)</f>
        <v>0</v>
      </c>
      <c r="Q23" s="56">
        <f>(Production!$E$5*'Parameters, country spec'!$E$53*'CH4 per kg feed'!P68+Production!$E$6*'Parameters, country spec'!$E$54*'CH4 per kg feed'!P69)</f>
        <v>2.9297484778872604</v>
      </c>
      <c r="R23" s="56">
        <f>(Production!$E$5*'Parameters, country spec'!$E$53*'CH4 per kg feed'!P68+Production!$E$6*'Parameters, country spec'!$E$54*'CH4 per kg feed'!P69)</f>
        <v>2.9297484778872604</v>
      </c>
      <c r="W23" s="13">
        <f>Production!$E$9*'Parameters, country spec'!$E$62*EF_el_CH4_GR</f>
        <v>3.0307351293750999</v>
      </c>
      <c r="X23" s="53">
        <f>Production!$E$15*(Energy_slaughter_el_GR*EF_el_CH4_GR+Energy_slaughter_heat_GR*EF_gas_CH4)</f>
        <v>3.3291937925472748E-2</v>
      </c>
      <c r="Z23" s="84"/>
      <c r="AA23" s="84"/>
    </row>
    <row r="24" spans="1:27" x14ac:dyDescent="0.2">
      <c r="A24" s="23"/>
      <c r="B24" s="23" t="s">
        <v>202</v>
      </c>
      <c r="C24" s="18" t="s">
        <v>205</v>
      </c>
      <c r="D24" s="58" t="s">
        <v>49</v>
      </c>
      <c r="E24" s="58" t="s">
        <v>50</v>
      </c>
      <c r="F24" s="23" t="s">
        <v>42</v>
      </c>
      <c r="G24" s="83">
        <f>SUM(H24:T24)</f>
        <v>184.33802202593998</v>
      </c>
      <c r="H24" s="56"/>
      <c r="I24" s="56"/>
      <c r="J24" s="85"/>
      <c r="K24" s="56"/>
      <c r="L24" s="56"/>
      <c r="M24" s="56"/>
      <c r="N24" s="56"/>
      <c r="O24" s="56"/>
      <c r="P24" s="56"/>
      <c r="Q24" s="56"/>
      <c r="R24" s="56"/>
      <c r="S24" s="13">
        <f>(Production!$E$5*EF_ent_ferm_GR+Production!$E$6*EF_ent_ferm_heif_GR)</f>
        <v>168.48532162973999</v>
      </c>
      <c r="T24" s="53">
        <f>SUM(U24:V24)</f>
        <v>15.852700396200001</v>
      </c>
      <c r="U24" s="86">
        <f>Manure!$I$34</f>
        <v>15.852700396200001</v>
      </c>
      <c r="W24" s="13"/>
      <c r="X24" s="53"/>
      <c r="Z24" s="84"/>
      <c r="AA24" s="84"/>
    </row>
    <row r="25" spans="1:27" x14ac:dyDescent="0.2">
      <c r="A25" s="23"/>
      <c r="B25" s="23" t="s">
        <v>202</v>
      </c>
      <c r="C25" s="18" t="s">
        <v>205</v>
      </c>
      <c r="D25" s="58" t="s">
        <v>49</v>
      </c>
      <c r="E25" s="58" t="s">
        <v>50</v>
      </c>
      <c r="F25" s="87" t="s">
        <v>43</v>
      </c>
      <c r="G25" s="83">
        <f>SUM(H25:T25)+W25+X25</f>
        <v>8.5589118783707185</v>
      </c>
      <c r="H25" s="56">
        <f>(Production!$E$5*'Parameters, country spec'!$E$53*'N2O per kg feed'!G68+Production!$E$6*'Parameters, country spec'!$E$54*'N2O per kg feed'!G69)</f>
        <v>6.2996912237511013E-2</v>
      </c>
      <c r="I25" s="56">
        <f>(Production!$E$5*'Parameters, country spec'!$E$53*'N2O per kg feed'!H68+Production!$E$6*'Parameters, country spec'!$E$54*'N2O per kg feed'!H69)</f>
        <v>9.313427723291922E-3</v>
      </c>
      <c r="J25" s="56">
        <f>(Production!$E$5*'Parameters, country spec'!$E$53*'N2O per kg feed'!I68+Production!$E$6*'Parameters, country spec'!$E$54*'N2O per kg feed'!I69+Manure!I153)</f>
        <v>4.5359403177221829</v>
      </c>
      <c r="K25" s="84">
        <f>J25*EF_indirect_N2O_GR</f>
        <v>0.4535940317722183</v>
      </c>
      <c r="L25" s="56">
        <f>(Production!$E$5*'Parameters, country spec'!$E$53*'N2O per kg feed'!K68+Production!$E$6*'Parameters, country spec'!$E$54*'N2O per kg feed'!K69)</f>
        <v>8.1077423147908213E-3</v>
      </c>
      <c r="M25" s="56"/>
      <c r="N25" s="56">
        <f>(Production!$E$5*'Parameters, country spec'!$E$53*'N2O per kg feed'!M68+Production!$E$6*'Parameters, country spec'!$E$54*'N2O per kg feed'!M69)</f>
        <v>1.6124129905489679E-3</v>
      </c>
      <c r="O25" s="56">
        <f>(Production!$E$5*'Parameters, country spec'!$E$53*'N2O per kg feed'!N68+Production!$E$6*'Parameters, country spec'!$E$54*'N2O per kg feed'!N69)</f>
        <v>6.5524163026466232E-3</v>
      </c>
      <c r="P25" s="56">
        <f>(Production!$E$5*'Parameters, country spec'!$E$53*'N2O per kg feed'!O68+Production!$E$6*'Parameters, country spec'!$E$54*'N2O per kg feed'!O69)</f>
        <v>0</v>
      </c>
      <c r="Q25" s="56">
        <f>(Production!$E$5*'Parameters, country spec'!$E$53*'N2O per kg feed'!P68+Production!$E$6*'Parameters, country spec'!$E$54*'N2O per kg feed'!P69)</f>
        <v>0.22975211951598026</v>
      </c>
      <c r="R25" s="56">
        <f>(Production!$E$5*'Parameters, country spec'!$E$53*'N2O per kg feed'!P68+Production!$E$6*'Parameters, country spec'!$E$54*'N2O per kg feed'!P69)</f>
        <v>0.22975211951598026</v>
      </c>
      <c r="S25" s="13"/>
      <c r="T25" s="53">
        <f>SUM(U25:V25)</f>
        <v>2.9682716095346438</v>
      </c>
      <c r="U25" s="88">
        <f>Manure!$I$92*44/28</f>
        <v>2.2313311874955137</v>
      </c>
      <c r="V25" s="88">
        <f>Manure!$I$159*17/14*Manure!$H$122</f>
        <v>0.73694042203912991</v>
      </c>
      <c r="W25" s="13">
        <f>Production!$E$9*'Parameters, country spec'!$E$62*EF_el_N2O_GR</f>
        <v>5.2538029518869107E-2</v>
      </c>
      <c r="X25" s="53">
        <f>Production!$E$15*(Energy_slaughter_el_GR*EF_el_N2O_GR+Energy_slaughter_heat_GR*EF_gas_N2O)</f>
        <v>4.8073922205399221E-4</v>
      </c>
      <c r="Z25" s="84"/>
      <c r="AA25" s="84"/>
    </row>
    <row r="26" spans="1:27" x14ac:dyDescent="0.2">
      <c r="A26" s="89"/>
      <c r="B26" s="89" t="s">
        <v>202</v>
      </c>
      <c r="C26" s="90" t="s">
        <v>205</v>
      </c>
      <c r="D26" s="100" t="s">
        <v>49</v>
      </c>
      <c r="E26" s="100" t="s">
        <v>50</v>
      </c>
      <c r="F26" s="92" t="s">
        <v>44</v>
      </c>
      <c r="G26" s="102">
        <f>SUM(H26:X26)</f>
        <v>11711.645733035662</v>
      </c>
      <c r="H26" s="94">
        <f>SUMPRODUCT(H22:H25,'Parameters, general'!$B$24:$B$27)</f>
        <v>563.0505386007768</v>
      </c>
      <c r="I26" s="94">
        <f>SUMPRODUCT(I22:I25,'Parameters, general'!$B$24:$B$27)</f>
        <v>255.11425887165984</v>
      </c>
      <c r="J26" s="94">
        <f>SUMPRODUCT(J22:J25,'Parameters, general'!$B$24:$B$27)</f>
        <v>1238.3117067381559</v>
      </c>
      <c r="K26" s="94">
        <f>SUMPRODUCT(K22:K25,'Parameters, general'!$B$24:$B$27)</f>
        <v>123.83117067381559</v>
      </c>
      <c r="L26" s="94">
        <f>SUMPRODUCT(L22:L25,'Parameters, general'!$B$24:$B$27)</f>
        <v>307.93163183110562</v>
      </c>
      <c r="M26" s="94">
        <f>SUMPRODUCT(M22:M25,'Parameters, general'!$B$24:$B$27)</f>
        <v>0</v>
      </c>
      <c r="N26" s="94">
        <f>SUMPRODUCT(N22:N25,'Parameters, general'!$B$24:$B$27)</f>
        <v>41.762377800337653</v>
      </c>
      <c r="O26" s="94">
        <f>SUMPRODUCT(O22:O25,'Parameters, general'!$B$24:$B$27)</f>
        <v>191.89170506848589</v>
      </c>
      <c r="P26" s="94">
        <f>SUMPRODUCT(P22:P25,'Parameters, general'!$B$24:$B$27)</f>
        <v>244.20416385747251</v>
      </c>
      <c r="Q26" s="94">
        <f>SUMPRODUCT(Q22:Q25,'Parameters, general'!$B$24:$B$27)</f>
        <v>655.74472379129327</v>
      </c>
      <c r="R26" s="94">
        <f>SUMPRODUCT(R22:R25,'Parameters, general'!$B$24:$B$27)</f>
        <v>655.74472379129327</v>
      </c>
      <c r="S26" s="94">
        <f>SUMPRODUCT(S22:S25,'Parameters, general'!$B$24:$B$27)</f>
        <v>4549.1036840029792</v>
      </c>
      <c r="T26" s="94">
        <f>SUMPRODUCT(T22:T25,'Parameters, general'!$B$24:$B$27)</f>
        <v>1238.3610601003577</v>
      </c>
      <c r="U26" s="94"/>
      <c r="V26" s="94"/>
      <c r="W26" s="94">
        <f>SUMPRODUCT(W22:W25,'Parameters, general'!$B$24:$B$27)</f>
        <v>1631.3696774154848</v>
      </c>
      <c r="X26" s="94">
        <f>SUMPRODUCT(X22:X25,'Parameters, general'!$B$24:$B$27)</f>
        <v>15.224310492443827</v>
      </c>
      <c r="Z26" s="95">
        <f>SUM(H26:R26)</f>
        <v>4277.5870010243962</v>
      </c>
      <c r="AA26" s="96">
        <f>'CO2 per kg feed'!F68+'CH4 per kg feed'!F68*CF_GWP_CH4_fossil+'N2O per kg feed'!F68*CF_GWP_N2O</f>
        <v>0.41434258645591121</v>
      </c>
    </row>
    <row r="27" spans="1:27" x14ac:dyDescent="0.2">
      <c r="A27" s="74"/>
      <c r="B27" s="74" t="s">
        <v>202</v>
      </c>
      <c r="C27" s="75" t="s">
        <v>205</v>
      </c>
      <c r="D27" s="76" t="s">
        <v>51</v>
      </c>
      <c r="E27" s="76" t="s">
        <v>52</v>
      </c>
      <c r="F27" s="77" t="s">
        <v>40</v>
      </c>
      <c r="G27" s="78">
        <f>SUM(H27:X27)</f>
        <v>3869.033257572597</v>
      </c>
      <c r="H27" s="78">
        <f>(Production!$F$5*'Parameters, country spec'!$F$53*'CO2 per kg feed'!G84+Production!$F$6*'Parameters, country spec'!$F$54*'CO2 per kg feed'!G85)</f>
        <v>306.85991148068348</v>
      </c>
      <c r="I27" s="78">
        <f>(Production!$F$5*'Parameters, country spec'!$F$53*'CO2 per kg feed'!H84+Production!$F$6*'Parameters, country spec'!$F$54*'CO2 per kg feed'!H85)</f>
        <v>203.34578889610287</v>
      </c>
      <c r="J27" s="78"/>
      <c r="K27" s="78"/>
      <c r="L27" s="78">
        <f>(Production!$F$5*'Parameters, country spec'!$F$53*'CO2 per kg feed'!K84+Production!$F$6*'Parameters, country spec'!$F$54*'CO2 per kg feed'!K85)</f>
        <v>238.02454958317884</v>
      </c>
      <c r="M27" s="78"/>
      <c r="N27" s="78">
        <f>(Production!$F$5*'Parameters, country spec'!$F$53*'CO2 per kg feed'!M84+Production!$F$6*'Parameters, country spec'!$F$54*'CO2 per kg feed'!M85)</f>
        <v>1.0015035430453016</v>
      </c>
      <c r="O27" s="78">
        <f>(Production!$F$5*'Parameters, country spec'!$F$53*'CO2 per kg feed'!N84+Production!$F$6*'Parameters, country spec'!$F$54*'CO2 per kg feed'!N85)</f>
        <v>147.03918085173746</v>
      </c>
      <c r="P27" s="78">
        <f>(Production!$F$5*'Parameters, country spec'!$F$53*'CO2 per kg feed'!O84+Production!$F$6*'Parameters, country spec'!$F$54*'CO2 per kg feed'!O85)</f>
        <v>328.46869589117819</v>
      </c>
      <c r="Q27" s="78">
        <f>(Production!$F$5*'Parameters, country spec'!$F$53*'CO2 per kg feed'!P84+Production!$F$6*'Parameters, country spec'!$F$54*'CO2 per kg feed'!P85)</f>
        <v>916.30813332870036</v>
      </c>
      <c r="R27" s="78">
        <f>(Production!$F$5*'Parameters, country spec'!$F$53*'CO2 per kg feed'!P84+Production!$F$6*'Parameters, country spec'!$F$54*'CO2 per kg feed'!P85)</f>
        <v>916.30813332870036</v>
      </c>
      <c r="S27" s="79"/>
      <c r="T27" s="80"/>
      <c r="U27" s="81"/>
      <c r="V27" s="81"/>
      <c r="W27" s="79">
        <f>Production!$F$9*'Parameters, country spec'!$F$62*EF_el_CO2_HU</f>
        <v>801.11587539780385</v>
      </c>
      <c r="X27" s="82">
        <f>Production!$F$15*(Energy_slaughter_el_HU*EF_el_CO2_HU+Energy_slaughter_heat_HU*EF_gas_CO2)</f>
        <v>10.561485271466154</v>
      </c>
      <c r="Z27" s="83"/>
      <c r="AA27" s="83"/>
    </row>
    <row r="28" spans="1:27" x14ac:dyDescent="0.2">
      <c r="A28" s="23"/>
      <c r="B28" s="23" t="s">
        <v>202</v>
      </c>
      <c r="C28" s="18" t="s">
        <v>205</v>
      </c>
      <c r="D28" s="58" t="s">
        <v>51</v>
      </c>
      <c r="E28" s="58" t="s">
        <v>52</v>
      </c>
      <c r="F28" s="23" t="s">
        <v>41</v>
      </c>
      <c r="G28" s="83">
        <f>SUM(H28:X28)</f>
        <v>11.748946168600622</v>
      </c>
      <c r="H28" s="56">
        <f>(Production!$F$5*'Parameters, country spec'!$F$53*'CH4 per kg feed'!G84+Production!$F$6*'Parameters, country spec'!$F$54*'CH4 per kg feed'!G85)</f>
        <v>1.6223157418863272E-2</v>
      </c>
      <c r="I28" s="56">
        <f>(Production!$F$5*'Parameters, country spec'!$F$53*'CH4 per kg feed'!H84+Production!$F$6*'Parameters, country spec'!$F$54*'CH4 per kg feed'!H85)</f>
        <v>0.71547592389369508</v>
      </c>
      <c r="J28" s="56"/>
      <c r="K28" s="56"/>
      <c r="L28" s="56">
        <f>(Production!$F$5*'Parameters, country spec'!$F$53*'CH4 per kg feed'!K84+Production!$F$6*'Parameters, country spec'!$F$54*'CH4 per kg feed'!K85)</f>
        <v>0.10543684934776484</v>
      </c>
      <c r="M28" s="56"/>
      <c r="N28" s="56">
        <f>(Production!$F$5*'Parameters, country spec'!$F$53*'CH4 per kg feed'!M84+Production!$F$6*'Parameters, country spec'!$F$54*'CH4 per kg feed'!M85)</f>
        <v>3.0330014778655228E-3</v>
      </c>
      <c r="O28" s="56">
        <f>(Production!$F$5*'Parameters, country spec'!$F$53*'CH4 per kg feed'!N84+Production!$F$6*'Parameters, country spec'!$F$54*'CH4 per kg feed'!N85)</f>
        <v>0.11980605752879929</v>
      </c>
      <c r="P28" s="56">
        <f>(Production!$F$5*'Parameters, country spec'!$F$53*'CH4 per kg feed'!O84+Production!$F$6*'Parameters, country spec'!$F$54*'CH4 per kg feed'!O85)</f>
        <v>0</v>
      </c>
      <c r="Q28" s="56">
        <f>(Production!$F$5*'Parameters, country spec'!$F$53*'CH4 per kg feed'!P84+Production!$F$6*'Parameters, country spec'!$F$54*'CH4 per kg feed'!P85)</f>
        <v>4.3676586511130564</v>
      </c>
      <c r="R28" s="56">
        <f>(Production!$F$5*'Parameters, country spec'!$F$53*'CH4 per kg feed'!P84+Production!$F$6*'Parameters, country spec'!$F$54*'CH4 per kg feed'!P85)</f>
        <v>4.3676586511130564</v>
      </c>
      <c r="W28" s="13">
        <f>Production!$F$9*'Parameters, country spec'!$F$62*EF_el_CH4_HU</f>
        <v>2.0227105133373278</v>
      </c>
      <c r="X28" s="53">
        <f>Production!$F$15*(Energy_slaughter_el_HU*EF_el_CH4_HU+Energy_slaughter_heat_HU*EF_gas_CH4)</f>
        <v>3.0943363370193898E-2</v>
      </c>
      <c r="Z28" s="84"/>
      <c r="AA28" s="84"/>
    </row>
    <row r="29" spans="1:27" x14ac:dyDescent="0.2">
      <c r="A29" s="23"/>
      <c r="B29" s="23" t="s">
        <v>202</v>
      </c>
      <c r="C29" s="18" t="s">
        <v>205</v>
      </c>
      <c r="D29" s="58" t="s">
        <v>51</v>
      </c>
      <c r="E29" s="58" t="s">
        <v>52</v>
      </c>
      <c r="F29" s="23" t="s">
        <v>42</v>
      </c>
      <c r="G29" s="83">
        <f>SUM(H29:T29)</f>
        <v>199.17052991176763</v>
      </c>
      <c r="H29" s="56"/>
      <c r="I29" s="56"/>
      <c r="J29" s="85"/>
      <c r="K29" s="56"/>
      <c r="L29" s="56"/>
      <c r="M29" s="56"/>
      <c r="N29" s="56"/>
      <c r="O29" s="56"/>
      <c r="P29" s="56"/>
      <c r="Q29" s="56"/>
      <c r="R29" s="56"/>
      <c r="S29" s="13">
        <f>(Production!$F$5*EF_ent_ferm_HU+Production!$F$6*EF_ent_ferm_heif_HU)</f>
        <v>169.884893330008</v>
      </c>
      <c r="T29" s="53">
        <f>SUM(U29:V29)</f>
        <v>29.285636581759618</v>
      </c>
      <c r="U29" s="86">
        <f>Manure!$K$34</f>
        <v>29.285636581759618</v>
      </c>
      <c r="W29" s="13"/>
      <c r="X29" s="53"/>
      <c r="Z29" s="84"/>
      <c r="AA29" s="84"/>
    </row>
    <row r="30" spans="1:27" x14ac:dyDescent="0.2">
      <c r="A30" s="23"/>
      <c r="B30" s="23" t="s">
        <v>202</v>
      </c>
      <c r="C30" s="18" t="s">
        <v>205</v>
      </c>
      <c r="D30" s="58" t="s">
        <v>51</v>
      </c>
      <c r="E30" s="58" t="s">
        <v>52</v>
      </c>
      <c r="F30" s="87" t="s">
        <v>43</v>
      </c>
      <c r="G30" s="83">
        <f>SUM(H30:T30)+W30+X30</f>
        <v>7.9914949462747789</v>
      </c>
      <c r="H30" s="56">
        <f>(Production!$F$5*'Parameters, country spec'!$F$53*'N2O per kg feed'!G84+Production!$F$6*'Parameters, country spec'!$F$54*'N2O per kg feed'!G85)</f>
        <v>0.13366571560626178</v>
      </c>
      <c r="I30" s="56">
        <f>(Production!$F$5*'Parameters, country spec'!$F$53*'N2O per kg feed'!H84+Production!$F$6*'Parameters, country spec'!$F$54*'N2O per kg feed'!H85)</f>
        <v>8.2844580661375223E-3</v>
      </c>
      <c r="J30" s="56">
        <f>(Production!$F$5*'Parameters, country spec'!$F$53*'N2O per kg feed'!I84+Production!$F$6*'Parameters, country spec'!$F$54*'N2O per kg feed'!I85+Manure!K153)</f>
        <v>3.6556940468987733</v>
      </c>
      <c r="K30" s="84">
        <f>J30*EF_indirect_N2O_HU</f>
        <v>0.36556940468987736</v>
      </c>
      <c r="L30" s="56">
        <f>(Production!$F$5*'Parameters, country spec'!$F$53*'N2O per kg feed'!K84+Production!$F$6*'Parameters, country spec'!$F$54*'N2O per kg feed'!K85)</f>
        <v>6.3958124492845773E-3</v>
      </c>
      <c r="M30" s="56"/>
      <c r="N30" s="56">
        <f>(Production!$F$5*'Parameters, country spec'!$F$53*'N2O per kg feed'!M84+Production!$F$6*'Parameters, country spec'!$F$54*'N2O per kg feed'!M85)</f>
        <v>4.2703330173137529E-5</v>
      </c>
      <c r="O30" s="56">
        <f>(Production!$F$5*'Parameters, country spec'!$F$53*'N2O per kg feed'!N84+Production!$F$6*'Parameters, country spec'!$F$54*'N2O per kg feed'!N85)</f>
        <v>5.236792970063537E-3</v>
      </c>
      <c r="P30" s="56">
        <f>(Production!$F$5*'Parameters, country spec'!$F$53*'N2O per kg feed'!O84+Production!$F$6*'Parameters, country spec'!$F$54*'N2O per kg feed'!O85)</f>
        <v>0</v>
      </c>
      <c r="Q30" s="56">
        <f>(Production!$F$5*'Parameters, country spec'!$F$53*'N2O per kg feed'!P84+Production!$F$6*'Parameters, country spec'!$F$54*'N2O per kg feed'!P85)</f>
        <v>0.27233207591463648</v>
      </c>
      <c r="R30" s="56">
        <f>(Production!$F$5*'Parameters, country spec'!$F$53*'N2O per kg feed'!P84+Production!$F$6*'Parameters, country spec'!$F$54*'N2O per kg feed'!P85)</f>
        <v>0.27233207591463648</v>
      </c>
      <c r="S30" s="13"/>
      <c r="T30" s="53">
        <f>SUM(U30:V30)</f>
        <v>3.2435096735889708</v>
      </c>
      <c r="U30" s="88">
        <f>Manure!$K$92*44/28</f>
        <v>2.3758842416729995</v>
      </c>
      <c r="V30" s="88">
        <f>Manure!$K$159*17/14*Manure!$J$122</f>
        <v>0.86762543191597152</v>
      </c>
      <c r="W30" s="13">
        <f>Production!$F$9*'Parameters, country spec'!$F$62*EF_el_N2O_HU</f>
        <v>2.8068119019567135E-2</v>
      </c>
      <c r="X30" s="53">
        <f>Production!$F$15*(Energy_slaughter_el_HU*EF_el_N2O_HU+Energy_slaughter_heat_HU*EF_gas_N2O)</f>
        <v>3.6406782639651977E-4</v>
      </c>
      <c r="Z30" s="84"/>
      <c r="AA30" s="84"/>
    </row>
    <row r="31" spans="1:27" x14ac:dyDescent="0.2">
      <c r="A31" s="89"/>
      <c r="B31" s="89" t="s">
        <v>202</v>
      </c>
      <c r="C31" s="90" t="s">
        <v>205</v>
      </c>
      <c r="D31" s="91" t="s">
        <v>51</v>
      </c>
      <c r="E31" s="91" t="s">
        <v>52</v>
      </c>
      <c r="F31" s="92" t="s">
        <v>44</v>
      </c>
      <c r="G31" s="102">
        <f>SUM(H31:X31)</f>
        <v>11778.434281347634</v>
      </c>
      <c r="H31" s="94">
        <f>SUMPRODUCT(H27:H30,'Parameters, general'!$B$24:$B$27)</f>
        <v>343.83410193227508</v>
      </c>
      <c r="I31" s="94">
        <f>SUMPRODUCT(I27:I30,'Parameters, general'!$B$24:$B$27)</f>
        <v>226.92862848019053</v>
      </c>
      <c r="J31" s="94">
        <f>SUMPRODUCT(J27:J30,'Parameters, general'!$B$24:$B$27)</f>
        <v>998.00447480336516</v>
      </c>
      <c r="K31" s="94">
        <f>SUMPRODUCT(K27:K30,'Parameters, general'!$B$24:$B$27)</f>
        <v>99.800447480336516</v>
      </c>
      <c r="L31" s="94">
        <f>SUMPRODUCT(L27:L30,'Parameters, general'!$B$24:$B$27)</f>
        <v>242.9126244923969</v>
      </c>
      <c r="M31" s="94">
        <f>SUMPRODUCT(M27:M30,'Parameters, general'!$B$24:$B$27)</f>
        <v>0</v>
      </c>
      <c r="N31" s="94">
        <f>SUMPRODUCT(N27:N30,'Parameters, general'!$B$24:$B$27)</f>
        <v>1.1035449962229607</v>
      </c>
      <c r="O31" s="94">
        <f>SUMPRODUCT(O27:O30,'Parameters, general'!$B$24:$B$27)</f>
        <v>152.03904584692302</v>
      </c>
      <c r="P31" s="94">
        <f>SUMPRODUCT(P27:P30,'Parameters, general'!$B$24:$B$27)</f>
        <v>328.46869589117819</v>
      </c>
      <c r="Q31" s="94">
        <f>SUMPRODUCT(Q27:Q30,'Parameters, general'!$B$24:$B$27)</f>
        <v>1120.8110178565653</v>
      </c>
      <c r="R31" s="94">
        <f>SUMPRODUCT(R27:R30,'Parameters, general'!$B$24:$B$27)</f>
        <v>1120.8110178565653</v>
      </c>
      <c r="S31" s="94">
        <f>SUMPRODUCT(S27:S30,'Parameters, general'!$B$24:$B$27)</f>
        <v>4586.892119910216</v>
      </c>
      <c r="T31" s="94">
        <f>SUMPRODUCT(T27:T30,'Parameters, general'!$B$24:$B$27)</f>
        <v>1676.1903285972987</v>
      </c>
      <c r="U31" s="94"/>
      <c r="V31" s="94"/>
      <c r="W31" s="94">
        <f>SUMPRODUCT(W27:W30,'Parameters, general'!$B$24:$B$27)</f>
        <v>869.05524518759796</v>
      </c>
      <c r="X31" s="94">
        <f>SUMPRODUCT(X27:X30,'Parameters, general'!$B$24:$B$27)</f>
        <v>11.582988016504183</v>
      </c>
      <c r="Z31" s="95">
        <f>SUM(H31:R31)</f>
        <v>4634.7135996360184</v>
      </c>
      <c r="AA31" s="96">
        <f>'CO2 per kg feed'!F84+'CH4 per kg feed'!F84*CF_GWP_CH4_fossil+'N2O per kg feed'!F84*CF_GWP_N2O</f>
        <v>0.41909611704687277</v>
      </c>
    </row>
    <row r="32" spans="1:27" x14ac:dyDescent="0.2">
      <c r="A32" s="74"/>
      <c r="B32" s="74" t="s">
        <v>202</v>
      </c>
      <c r="C32" s="75" t="s">
        <v>205</v>
      </c>
      <c r="D32" s="76" t="s">
        <v>53</v>
      </c>
      <c r="E32" s="76" t="s">
        <v>54</v>
      </c>
      <c r="F32" s="77" t="s">
        <v>40</v>
      </c>
      <c r="G32" s="78">
        <f>SUM(H32:X32)</f>
        <v>1018.3931318956425</v>
      </c>
      <c r="H32" s="78">
        <f>(Production!$G$5*'Parameters, country spec'!$G$53*'CO2 per kg feed'!G100+Production!$G$6*'Parameters, country spec'!$G$54*'CO2 per kg feed'!G101)</f>
        <v>170.05134438130364</v>
      </c>
      <c r="I32" s="78">
        <f>(Production!$G$5*'Parameters, country spec'!$G$53*'CO2 per kg feed'!H100+Production!$G$6*'Parameters, country spec'!$G$54*'CO2 per kg feed'!H101)</f>
        <v>206.45852880732792</v>
      </c>
      <c r="J32" s="78"/>
      <c r="K32" s="78"/>
      <c r="L32" s="78">
        <f>(Production!$G$5*'Parameters, country spec'!$G$53*'CO2 per kg feed'!K100+Production!$G$6*'Parameters, country spec'!$G$54*'CO2 per kg feed'!K101)</f>
        <v>122.52309896851084</v>
      </c>
      <c r="M32" s="78"/>
      <c r="N32" s="78">
        <f>(Production!$G$5*'Parameters, country spec'!$G$53*'CO2 per kg feed'!M100+Production!$G$6*'Parameters, country spec'!$G$54*'CO2 per kg feed'!M101)</f>
        <v>0.4875073140134083</v>
      </c>
      <c r="O32" s="78">
        <f>(Production!$G$5*'Parameters, country spec'!$G$53*'CO2 per kg feed'!N100+Production!$G$6*'Parameters, country spec'!$G$54*'CO2 per kg feed'!N101)</f>
        <v>40.336082148317288</v>
      </c>
      <c r="P32" s="78">
        <f>(Production!$G$5*'Parameters, country spec'!$G$53*'CO2 per kg feed'!O100+Production!$G$6*'Parameters, country spec'!$G$54*'CO2 per kg feed'!O101)</f>
        <v>19.121938391622912</v>
      </c>
      <c r="Q32" s="78">
        <f>(Production!$G$5*'Parameters, country spec'!$G$53*'CO2 per kg feed'!P100+Production!$G$6*'Parameters, country spec'!$G$54*'CO2 per kg feed'!P101)</f>
        <v>51.839521259097012</v>
      </c>
      <c r="R32" s="78">
        <f>(Production!$G$5*'Parameters, country spec'!$G$53*'CO2 per kg feed'!P100+Production!$G$6*'Parameters, country spec'!$G$54*'CO2 per kg feed'!P101)</f>
        <v>51.839521259097012</v>
      </c>
      <c r="S32" s="79"/>
      <c r="T32" s="80"/>
      <c r="U32" s="81"/>
      <c r="V32" s="81"/>
      <c r="W32" s="79">
        <f>Production!$G$9*'Parameters, country spec'!$G$62*EF_el_CO2_IE</f>
        <v>347.58439967520144</v>
      </c>
      <c r="X32" s="82">
        <f>Production!$G$15*(Energy_slaughter_el_IE*EF_el_CO2_IE+Energy_slaughter_heat_IE*EF_gas_CO2)</f>
        <v>8.1511896911510959</v>
      </c>
      <c r="Z32" s="83"/>
      <c r="AA32" s="83"/>
    </row>
    <row r="33" spans="1:27" x14ac:dyDescent="0.2">
      <c r="A33" s="23"/>
      <c r="B33" s="23" t="s">
        <v>202</v>
      </c>
      <c r="C33" s="18" t="s">
        <v>205</v>
      </c>
      <c r="D33" s="58" t="s">
        <v>53</v>
      </c>
      <c r="E33" s="58" t="s">
        <v>54</v>
      </c>
      <c r="F33" s="23" t="s">
        <v>41</v>
      </c>
      <c r="G33" s="83">
        <f>SUM(H33:X33)</f>
        <v>1.3890802165130505</v>
      </c>
      <c r="H33" s="56">
        <f>(Production!$G$5*'Parameters, country spec'!$G$53*'CH4 per kg feed'!G100+Production!$G$6*'Parameters, country spec'!$G$54*'CH4 per kg feed'!G101)</f>
        <v>6.8839437236149336E-3</v>
      </c>
      <c r="I33" s="56">
        <f>(Production!$G$5*'Parameters, country spec'!$G$53*'CH4 per kg feed'!H100+Production!$G$6*'Parameters, country spec'!$G$54*'CH4 per kg feed'!H101)</f>
        <v>0.72642815691467244</v>
      </c>
      <c r="J33" s="56"/>
      <c r="K33" s="56"/>
      <c r="L33" s="56">
        <f>(Production!$G$5*'Parameters, country spec'!$G$53*'CH4 per kg feed'!K100+Production!$G$6*'Parameters, country spec'!$G$54*'CH4 per kg feed'!K101)</f>
        <v>5.4273601400303205E-2</v>
      </c>
      <c r="M33" s="56"/>
      <c r="N33" s="56">
        <f>(Production!$G$5*'Parameters, country spec'!$G$53*'CH4 per kg feed'!M100+Production!$G$6*'Parameters, country spec'!$G$54*'CH4 per kg feed'!M101)</f>
        <v>1.4445777609772901E-3</v>
      </c>
      <c r="O33" s="56">
        <f>(Production!$G$5*'Parameters, country spec'!$G$53*'CH4 per kg feed'!N100+Production!$G$6*'Parameters, country spec'!$G$54*'CH4 per kg feed'!N101)</f>
        <v>2.108610657744088E-2</v>
      </c>
      <c r="P33" s="56">
        <f>(Production!$G$5*'Parameters, country spec'!$G$53*'CH4 per kg feed'!O100+Production!$G$6*'Parameters, country spec'!$G$54*'CH4 per kg feed'!O101)</f>
        <v>0</v>
      </c>
      <c r="Q33" s="56">
        <f>(Production!$G$5*'Parameters, country spec'!$G$53*'CH4 per kg feed'!P100+Production!$G$6*'Parameters, country spec'!$G$54*'CH4 per kg feed'!P101)</f>
        <v>9.4690415899264135E-2</v>
      </c>
      <c r="R33" s="56">
        <f>(Production!$G$5*'Parameters, country spec'!$G$53*'CH4 per kg feed'!P100+Production!$G$6*'Parameters, country spec'!$G$54*'CH4 per kg feed'!P101)</f>
        <v>9.4690415899264135E-2</v>
      </c>
      <c r="W33" s="13">
        <f>Production!$G$9*'Parameters, country spec'!$G$62*EF_el_CH4_IE</f>
        <v>0.37458601467283825</v>
      </c>
      <c r="X33" s="53">
        <f>Production!$G$15*(Energy_slaughter_el_IE*EF_el_CH4_IE+Energy_slaughter_heat_IE*EF_gas_CH4)</f>
        <v>1.499698366467514E-2</v>
      </c>
      <c r="Z33" s="84"/>
      <c r="AA33" s="84"/>
    </row>
    <row r="34" spans="1:27" x14ac:dyDescent="0.2">
      <c r="A34" s="23"/>
      <c r="B34" s="23" t="s">
        <v>202</v>
      </c>
      <c r="C34" s="18" t="s">
        <v>205</v>
      </c>
      <c r="D34" s="58" t="s">
        <v>53</v>
      </c>
      <c r="E34" s="58" t="s">
        <v>54</v>
      </c>
      <c r="F34" s="23" t="s">
        <v>42</v>
      </c>
      <c r="G34" s="83">
        <f>SUM(H34:T34)</f>
        <v>169.42734983358994</v>
      </c>
      <c r="H34" s="56"/>
      <c r="I34" s="56"/>
      <c r="J34" s="85"/>
      <c r="K34" s="56"/>
      <c r="L34" s="56"/>
      <c r="M34" s="56"/>
      <c r="N34" s="56"/>
      <c r="O34" s="56"/>
      <c r="P34" s="56"/>
      <c r="Q34" s="56"/>
      <c r="R34" s="56"/>
      <c r="S34" s="13">
        <f>(Production!$G$5*EF_ent_ferm_IE+Production!$G$6*EF_ent_ferm_heif_IE)</f>
        <v>150.78905165531199</v>
      </c>
      <c r="T34" s="53">
        <f>SUM(U34:V34)</f>
        <v>18.638298178277953</v>
      </c>
      <c r="U34" s="86">
        <f>Manure!$M$34</f>
        <v>18.638298178277953</v>
      </c>
      <c r="W34" s="13"/>
      <c r="X34" s="53"/>
      <c r="Z34" s="84"/>
      <c r="AA34" s="84"/>
    </row>
    <row r="35" spans="1:27" x14ac:dyDescent="0.2">
      <c r="A35" s="23"/>
      <c r="B35" s="23" t="s">
        <v>202</v>
      </c>
      <c r="C35" s="18" t="s">
        <v>205</v>
      </c>
      <c r="D35" s="58" t="s">
        <v>53</v>
      </c>
      <c r="E35" s="58" t="s">
        <v>54</v>
      </c>
      <c r="F35" s="87" t="s">
        <v>43</v>
      </c>
      <c r="G35" s="83">
        <f>SUM(H35:T35)+W35+X35</f>
        <v>4.4138632327231102</v>
      </c>
      <c r="H35" s="56">
        <f>(Production!$G$5*'Parameters, country spec'!$G$53*'N2O per kg feed'!G100+Production!$G$6*'Parameters, country spec'!$G$54*'N2O per kg feed'!G101)</f>
        <v>6.5896209215085724E-2</v>
      </c>
      <c r="I35" s="56">
        <f>(Production!$G$5*'Parameters, country spec'!$G$53*'N2O per kg feed'!H100+Production!$G$6*'Parameters, country spec'!$G$54*'N2O per kg feed'!H101)</f>
        <v>8.4112733958541016E-3</v>
      </c>
      <c r="J35" s="56">
        <f>(Production!$G$5*'Parameters, country spec'!$G$53*'N2O per kg feed'!I100+Production!$G$6*'Parameters, country spec'!$G$54*'N2O per kg feed'!I101+Manure!M153)</f>
        <v>2.6981929037135099</v>
      </c>
      <c r="K35" s="84">
        <f>J35*EF_indirect_N2O_IE</f>
        <v>0.26981929037135099</v>
      </c>
      <c r="L35" s="56">
        <f>(Production!$G$5*'Parameters, country spec'!$G$53*'N2O per kg feed'!K100+Production!$G$6*'Parameters, country spec'!$G$54*'N2O per kg feed'!K101)</f>
        <v>3.2922434390906482E-3</v>
      </c>
      <c r="M35" s="56"/>
      <c r="N35" s="56">
        <f>(Production!$G$5*'Parameters, country spec'!$G$53*'N2O per kg feed'!M100+Production!$G$6*'Parameters, country spec'!$G$54*'N2O per kg feed'!M101)</f>
        <v>2.0935850947072594E-5</v>
      </c>
      <c r="O35" s="56">
        <f>(Production!$G$5*'Parameters, country spec'!$G$53*'N2O per kg feed'!N100+Production!$G$6*'Parameters, country spec'!$G$54*'N2O per kg feed'!N101)</f>
        <v>1.4529913528696188E-3</v>
      </c>
      <c r="P35" s="56">
        <f>(Production!$G$5*'Parameters, country spec'!$G$53*'N2O per kg feed'!O100+Production!$G$6*'Parameters, country spec'!$G$54*'N2O per kg feed'!O101)</f>
        <v>0</v>
      </c>
      <c r="Q35" s="56">
        <f>(Production!$G$5*'Parameters, country spec'!$G$53*'N2O per kg feed'!P100+Production!$G$6*'Parameters, country spec'!$G$54*'N2O per kg feed'!P101)</f>
        <v>5.9930066044862583E-3</v>
      </c>
      <c r="R35" s="56">
        <f>(Production!$G$5*'Parameters, country spec'!$G$53*'N2O per kg feed'!P100+Production!$G$6*'Parameters, country spec'!$G$54*'N2O per kg feed'!P101)</f>
        <v>5.9930066044862583E-3</v>
      </c>
      <c r="S35" s="13"/>
      <c r="T35" s="53">
        <f>SUM(U35:V35)</f>
        <v>1.3417309609762123</v>
      </c>
      <c r="U35" s="88">
        <f>Manure!$M$92*44/28</f>
        <v>0.93816666309306085</v>
      </c>
      <c r="V35" s="88">
        <f>Manure!$M$159*17/14*Manure!$L$122</f>
        <v>0.40356429788315135</v>
      </c>
      <c r="W35" s="13">
        <f>Production!$G$9*'Parameters, country spec'!$G$62*EF_el_N2O_IE</f>
        <v>1.2769056251581014E-2</v>
      </c>
      <c r="X35" s="53">
        <f>Production!$G$15*(Energy_slaughter_el_IE*EF_el_N2O_IE+Energy_slaughter_heat_IE*EF_gas_N2O)</f>
        <v>2.9135494763614259E-4</v>
      </c>
      <c r="Z35" s="84"/>
      <c r="AA35" s="84"/>
    </row>
    <row r="36" spans="1:27" x14ac:dyDescent="0.2">
      <c r="A36" s="89"/>
      <c r="B36" s="89" t="s">
        <v>202</v>
      </c>
      <c r="C36" s="90" t="s">
        <v>205</v>
      </c>
      <c r="D36" s="100" t="s">
        <v>53</v>
      </c>
      <c r="E36" s="100" t="s">
        <v>54</v>
      </c>
      <c r="F36" s="92" t="s">
        <v>44</v>
      </c>
      <c r="G36" s="102">
        <f>SUM(H36:X36)</f>
        <v>6839.3108303880699</v>
      </c>
      <c r="H36" s="94">
        <f>SUMPRODUCT(H32:H35,'Parameters, general'!$B$24:$B$27)</f>
        <v>188.24615101998575</v>
      </c>
      <c r="I36" s="94">
        <f>SUMPRODUCT(I32:I35,'Parameters, general'!$B$24:$B$27)</f>
        <v>230.40236552045332</v>
      </c>
      <c r="J36" s="94">
        <f>SUMPRODUCT(J32:J35,'Parameters, general'!$B$24:$B$27)</f>
        <v>736.60666271378818</v>
      </c>
      <c r="K36" s="94">
        <f>SUMPRODUCT(K32:K35,'Parameters, general'!$B$24:$B$27)</f>
        <v>73.660666271378815</v>
      </c>
      <c r="L36" s="94">
        <f>SUMPRODUCT(L32:L35,'Parameters, general'!$B$24:$B$27)</f>
        <v>125.03923474911163</v>
      </c>
      <c r="M36" s="94">
        <f>SUMPRODUCT(M32:M35,'Parameters, general'!$B$24:$B$27)</f>
        <v>0</v>
      </c>
      <c r="N36" s="94">
        <f>SUMPRODUCT(N32:N35,'Parameters, general'!$B$24:$B$27)</f>
        <v>0.53627121859908244</v>
      </c>
      <c r="O36" s="94">
        <f>SUMPRODUCT(O32:O35,'Parameters, general'!$B$24:$B$27)</f>
        <v>41.361114763658428</v>
      </c>
      <c r="P36" s="94">
        <f>SUMPRODUCT(P32:P35,'Parameters, general'!$B$24:$B$27)</f>
        <v>19.121938391622912</v>
      </c>
      <c r="Q36" s="94">
        <f>SUMPRODUCT(Q32:Q35,'Parameters, general'!$B$24:$B$27)</f>
        <v>56.297386455919835</v>
      </c>
      <c r="R36" s="94">
        <f>SUMPRODUCT(R32:R35,'Parameters, general'!$B$24:$B$27)</f>
        <v>56.297386455919835</v>
      </c>
      <c r="S36" s="94">
        <f>SUMPRODUCT(S32:S35,'Parameters, general'!$B$24:$B$27)</f>
        <v>4071.304394693424</v>
      </c>
      <c r="T36" s="94">
        <f>SUMPRODUCT(T32:T35,'Parameters, general'!$B$24:$B$27)</f>
        <v>869.52660316001061</v>
      </c>
      <c r="U36" s="94"/>
      <c r="V36" s="94"/>
      <c r="W36" s="94">
        <f>SUMPRODUCT(W32:W35,'Parameters, general'!$B$24:$B$27)</f>
        <v>362.2330152691336</v>
      </c>
      <c r="X36" s="94">
        <f>SUMPRODUCT(X32:X35,'Parameters, general'!$B$24:$B$27)</f>
        <v>8.6776397050630827</v>
      </c>
      <c r="Z36" s="95">
        <f>SUM(H36:R36)</f>
        <v>1527.5691775604378</v>
      </c>
      <c r="AA36" s="96">
        <f>'CO2 per kg feed'!F100+'CH4 per kg feed'!F100*CF_GWP_CH4_fossil+'N2O per kg feed'!F100*CF_GWP_N2O</f>
        <v>0.13884603052089586</v>
      </c>
    </row>
    <row r="37" spans="1:27" x14ac:dyDescent="0.2">
      <c r="A37" s="74"/>
      <c r="B37" s="74" t="s">
        <v>202</v>
      </c>
      <c r="C37" s="75" t="s">
        <v>205</v>
      </c>
      <c r="D37" s="76" t="s">
        <v>55</v>
      </c>
      <c r="E37" s="76" t="s">
        <v>56</v>
      </c>
      <c r="F37" s="77" t="s">
        <v>40</v>
      </c>
      <c r="G37" s="78">
        <f>SUM(H37:X37)</f>
        <v>2942.1563258483689</v>
      </c>
      <c r="H37" s="78">
        <f>(Production!$H$5*'Parameters, country spec'!$H$53*'CO2 per kg feed'!G116+Production!$H$6*'Parameters, country spec'!$H$54*'CO2 per kg feed'!G117)</f>
        <v>170.88618651201745</v>
      </c>
      <c r="I37" s="78">
        <f>(Production!$H$5*'Parameters, country spec'!$H$53*'CO2 per kg feed'!H116+Production!$H$6*'Parameters, country spec'!$H$54*'CO2 per kg feed'!H117)</f>
        <v>185.69731796171502</v>
      </c>
      <c r="J37" s="78"/>
      <c r="K37" s="78"/>
      <c r="L37" s="78">
        <f>(Production!$H$5*'Parameters, country spec'!$H$53*'CO2 per kg feed'!K116+Production!$H$6*'Parameters, country spec'!$H$54*'CO2 per kg feed'!K117)</f>
        <v>121.30849320833019</v>
      </c>
      <c r="M37" s="78"/>
      <c r="N37" s="78">
        <f>(Production!$H$5*'Parameters, country spec'!$H$53*'CO2 per kg feed'!M116+Production!$H$6*'Parameters, country spec'!$H$54*'CO2 per kg feed'!M117)</f>
        <v>1.9833111335901148</v>
      </c>
      <c r="O37" s="78">
        <f>(Production!$H$5*'Parameters, country spec'!$H$53*'CO2 per kg feed'!N116+Production!$H$6*'Parameters, country spec'!$H$54*'CO2 per kg feed'!N117)</f>
        <v>44.695656446590718</v>
      </c>
      <c r="P37" s="78">
        <f>(Production!$H$5*'Parameters, country spec'!$H$53*'CO2 per kg feed'!O116+Production!$H$6*'Parameters, country spec'!$H$54*'CO2 per kg feed'!O117)</f>
        <v>306.4031119307005</v>
      </c>
      <c r="Q37" s="78">
        <f>(Production!$H$5*'Parameters, country spec'!$H$53*'CO2 per kg feed'!P116+Production!$H$6*'Parameters, country spec'!$H$54*'CO2 per kg feed'!P117)</f>
        <v>646.11725311691612</v>
      </c>
      <c r="R37" s="78">
        <f>(Production!$H$5*'Parameters, country spec'!$H$53*'CO2 per kg feed'!P116+Production!$H$6*'Parameters, country spec'!$H$54*'CO2 per kg feed'!P117)</f>
        <v>646.11725311691612</v>
      </c>
      <c r="S37" s="79"/>
      <c r="T37" s="80"/>
      <c r="U37" s="81"/>
      <c r="V37" s="81"/>
      <c r="W37" s="79">
        <f>Production!$H$9*'Parameters, country spec'!$H$62*EF_el_CO2_IT</f>
        <v>810.01852302106477</v>
      </c>
      <c r="X37" s="82">
        <f>Production!$H$15*(Energy_slaughter_el_IT*EF_el_CO2_IT+Energy_slaughter_heat_IT*EF_gas_CO2)</f>
        <v>8.9292194005279626</v>
      </c>
      <c r="Z37" s="83"/>
      <c r="AA37" s="83"/>
    </row>
    <row r="38" spans="1:27" x14ac:dyDescent="0.2">
      <c r="A38" s="23"/>
      <c r="B38" s="23" t="s">
        <v>202</v>
      </c>
      <c r="C38" s="18" t="s">
        <v>205</v>
      </c>
      <c r="D38" s="58" t="s">
        <v>55</v>
      </c>
      <c r="E38" s="58" t="s">
        <v>56</v>
      </c>
      <c r="F38" s="23" t="s">
        <v>41</v>
      </c>
      <c r="G38" s="83">
        <f>SUM(H38:X38)</f>
        <v>13.291010408401016</v>
      </c>
      <c r="H38" s="56">
        <f>(Production!$H$5*'Parameters, country spec'!$H$53*'CH4 per kg feed'!G116+Production!$H$6*'Parameters, country spec'!$H$54*'CH4 per kg feed'!G117)</f>
        <v>2.6094511070854771E-2</v>
      </c>
      <c r="I38" s="56">
        <f>(Production!$H$5*'Parameters, country spec'!$H$53*'CH4 per kg feed'!H116+Production!$H$6*'Parameters, country spec'!$H$54*'CH4 per kg feed'!H117)</f>
        <v>0.6533794520875158</v>
      </c>
      <c r="J38" s="56"/>
      <c r="K38" s="56"/>
      <c r="L38" s="56">
        <f>(Production!$H$5*'Parameters, country spec'!$H$53*'CH4 per kg feed'!K116+Production!$H$6*'Parameters, country spec'!$H$54*'CH4 per kg feed'!K117)</f>
        <v>5.3735572004691076E-2</v>
      </c>
      <c r="M38" s="56"/>
      <c r="N38" s="56">
        <f>(Production!$H$5*'Parameters, country spec'!$H$53*'CH4 per kg feed'!M116+Production!$H$6*'Parameters, country spec'!$H$54*'CH4 per kg feed'!M117)</f>
        <v>6.4152284425976532E-3</v>
      </c>
      <c r="O38" s="56">
        <f>(Production!$H$5*'Parameters, country spec'!$H$53*'CH4 per kg feed'!N116+Production!$H$6*'Parameters, country spec'!$H$54*'CH4 per kg feed'!N117)</f>
        <v>3.9030399618637676E-2</v>
      </c>
      <c r="P38" s="56">
        <f>(Production!$H$5*'Parameters, country spec'!$H$53*'CH4 per kg feed'!O116+Production!$H$6*'Parameters, country spec'!$H$54*'CH4 per kg feed'!O117)</f>
        <v>0</v>
      </c>
      <c r="Q38" s="56">
        <f>(Production!$H$5*'Parameters, country spec'!$H$53*'CH4 per kg feed'!P116+Production!$H$6*'Parameters, country spec'!$H$54*'CH4 per kg feed'!P117)</f>
        <v>4.4759303844626119</v>
      </c>
      <c r="R38" s="56">
        <f>(Production!$H$5*'Parameters, country spec'!$H$53*'CH4 per kg feed'!P116+Production!$H$6*'Parameters, country spec'!$H$54*'CH4 per kg feed'!P117)</f>
        <v>4.4759303844626119</v>
      </c>
      <c r="W38" s="13">
        <f>Production!$H$9*'Parameters, country spec'!$H$62*EF_el_CH4_IT</f>
        <v>3.5213333523128596</v>
      </c>
      <c r="X38" s="53">
        <f>Production!$H$15*(Energy_slaughter_el_IT*EF_el_CH4_IT+Energy_slaughter_heat_IT*EF_gas_CH4)</f>
        <v>3.9161123938634676E-2</v>
      </c>
      <c r="Z38" s="84"/>
      <c r="AA38" s="84"/>
    </row>
    <row r="39" spans="1:27" x14ac:dyDescent="0.2">
      <c r="A39" s="23"/>
      <c r="B39" s="23" t="s">
        <v>202</v>
      </c>
      <c r="C39" s="18" t="s">
        <v>205</v>
      </c>
      <c r="D39" s="58" t="s">
        <v>55</v>
      </c>
      <c r="E39" s="58" t="s">
        <v>56</v>
      </c>
      <c r="F39" s="23" t="s">
        <v>42</v>
      </c>
      <c r="G39" s="83">
        <f>SUM(H39:T39)</f>
        <v>213.06168325549004</v>
      </c>
      <c r="H39" s="56"/>
      <c r="I39" s="56"/>
      <c r="J39" s="85"/>
      <c r="K39" s="56"/>
      <c r="L39" s="56"/>
      <c r="M39" s="56"/>
      <c r="N39" s="56"/>
      <c r="O39" s="56"/>
      <c r="P39" s="56"/>
      <c r="Q39" s="56"/>
      <c r="R39" s="56"/>
      <c r="S39" s="13">
        <f>(Production!$H$5*EF_ent_ferm_IT+Production!$H$6*EF_ent_ferm_heif_IT)</f>
        <v>172.09978438229001</v>
      </c>
      <c r="T39" s="53">
        <f>SUM(U39:V39)</f>
        <v>40.96189887320002</v>
      </c>
      <c r="U39" s="86">
        <f>Manure!$O$34</f>
        <v>40.96189887320002</v>
      </c>
      <c r="W39" s="13"/>
      <c r="X39" s="53"/>
      <c r="Z39" s="84"/>
      <c r="AA39" s="84"/>
    </row>
    <row r="40" spans="1:27" x14ac:dyDescent="0.2">
      <c r="A40" s="23"/>
      <c r="B40" s="23" t="s">
        <v>202</v>
      </c>
      <c r="C40" s="18" t="s">
        <v>205</v>
      </c>
      <c r="D40" s="58" t="s">
        <v>55</v>
      </c>
      <c r="E40" s="58" t="s">
        <v>56</v>
      </c>
      <c r="F40" s="87" t="s">
        <v>43</v>
      </c>
      <c r="G40" s="83">
        <f>SUM(H40:T40)+W40+X40</f>
        <v>5.603731064129609</v>
      </c>
      <c r="H40" s="56">
        <f>(Production!$H$5*'Parameters, country spec'!$H$53*'N2O per kg feed'!G116+Production!$H$6*'Parameters, country spec'!$H$54*'N2O per kg feed'!G117)</f>
        <v>3.5589897050184983E-2</v>
      </c>
      <c r="I40" s="56">
        <f>(Production!$H$5*'Parameters, country spec'!$H$53*'N2O per kg feed'!H116+Production!$H$6*'Parameters, country spec'!$H$54*'N2O per kg feed'!H117)</f>
        <v>7.565446287329131E-3</v>
      </c>
      <c r="J40" s="56">
        <f>(Production!$H$5*'Parameters, country spec'!$H$53*'N2O per kg feed'!I116+Production!$H$6*'Parameters, country spec'!$H$54*'N2O per kg feed'!I117+Manure!O153)</f>
        <v>2.2083530821120778</v>
      </c>
      <c r="K40" s="84">
        <f>J40*EF_indirect_N2O_IT</f>
        <v>0.22083530821120778</v>
      </c>
      <c r="L40" s="56">
        <f>(Production!$H$5*'Parameters, country spec'!$H$53*'N2O per kg feed'!K116+Production!$H$6*'Parameters, country spec'!$H$54*'N2O per kg feed'!K117)</f>
        <v>3.2596065087591389E-3</v>
      </c>
      <c r="M40" s="56"/>
      <c r="N40" s="56">
        <f>(Production!$H$5*'Parameters, country spec'!$H$53*'N2O per kg feed'!M116+Production!$H$6*'Parameters, country spec'!$H$54*'N2O per kg feed'!M117)</f>
        <v>8.2652859485682502E-5</v>
      </c>
      <c r="O40" s="56">
        <f>(Production!$H$5*'Parameters, country spec'!$H$53*'N2O per kg feed'!N116+Production!$H$6*'Parameters, country spec'!$H$54*'N2O per kg feed'!N117)</f>
        <v>1.6433604151362498E-3</v>
      </c>
      <c r="P40" s="56">
        <f>(Production!$H$5*'Parameters, country spec'!$H$53*'N2O per kg feed'!O116+Production!$H$6*'Parameters, country spec'!$H$54*'N2O per kg feed'!O117)</f>
        <v>0</v>
      </c>
      <c r="Q40" s="56">
        <f>(Production!$H$5*'Parameters, country spec'!$H$53*'N2O per kg feed'!P116+Production!$H$6*'Parameters, country spec'!$H$54*'N2O per kg feed'!P117)</f>
        <v>0.26315788348758296</v>
      </c>
      <c r="R40" s="56">
        <f>(Production!$H$5*'Parameters, country spec'!$H$53*'N2O per kg feed'!P116+Production!$H$6*'Parameters, country spec'!$H$54*'N2O per kg feed'!P117)</f>
        <v>0.26315788348758296</v>
      </c>
      <c r="S40" s="13"/>
      <c r="T40" s="53">
        <f>SUM(U40:V40)</f>
        <v>2.5644707128084523</v>
      </c>
      <c r="U40" s="88">
        <f>Manure!$O$92*44/28</f>
        <v>1.6880359490974455</v>
      </c>
      <c r="V40" s="88">
        <f>Manure!$O$159*17/14*Manure!$N$122</f>
        <v>0.87643476371100704</v>
      </c>
      <c r="W40" s="13">
        <f>Production!$H$9*'Parameters, country spec'!$H$62*EF_el_N2O_IT</f>
        <v>3.5249574904210226E-2</v>
      </c>
      <c r="X40" s="53">
        <f>Production!$H$15*(Energy_slaughter_el_IT*EF_el_N2O_IT+Energy_slaughter_heat_IT*EF_gas_N2O)</f>
        <v>3.6565599759975627E-4</v>
      </c>
      <c r="Z40" s="84"/>
      <c r="AA40" s="84"/>
    </row>
    <row r="41" spans="1:27" x14ac:dyDescent="0.2">
      <c r="A41" s="89"/>
      <c r="B41" s="89" t="s">
        <v>202</v>
      </c>
      <c r="C41" s="90" t="s">
        <v>205</v>
      </c>
      <c r="D41" s="91" t="s">
        <v>55</v>
      </c>
      <c r="E41" s="91" t="s">
        <v>56</v>
      </c>
      <c r="F41" s="92" t="s">
        <v>44</v>
      </c>
      <c r="G41" s="102">
        <f>SUM(H41:X41)</f>
        <v>10620.712464424332</v>
      </c>
      <c r="H41" s="94">
        <f>SUMPRODUCT(H37:H40,'Parameters, general'!$B$24:$B$27)</f>
        <v>181.37984483662942</v>
      </c>
      <c r="I41" s="94">
        <f>SUMPRODUCT(I37:I40,'Parameters, general'!$B$24:$B$27)</f>
        <v>207.23339247036384</v>
      </c>
      <c r="J41" s="94">
        <f>SUMPRODUCT(J37:J40,'Parameters, general'!$B$24:$B$27)</f>
        <v>602.88039141659726</v>
      </c>
      <c r="K41" s="94">
        <f>SUMPRODUCT(K37:K40,'Parameters, general'!$B$24:$B$27)</f>
        <v>60.288039141659723</v>
      </c>
      <c r="L41" s="94">
        <f>SUMPRODUCT(L37:L40,'Parameters, general'!$B$24:$B$27)</f>
        <v>123.79968583096124</v>
      </c>
      <c r="M41" s="94">
        <f>SUMPRODUCT(M37:M40,'Parameters, general'!$B$24:$B$27)</f>
        <v>0</v>
      </c>
      <c r="N41" s="94">
        <f>SUMPRODUCT(N37:N40,'Parameters, general'!$B$24:$B$27)</f>
        <v>2.1970491718191165</v>
      </c>
      <c r="O41" s="94">
        <f>SUMPRODUCT(O37:O40,'Parameters, general'!$B$24:$B$27)</f>
        <v>46.307399748558318</v>
      </c>
      <c r="P41" s="94">
        <f>SUMPRODUCT(P37:P40,'Parameters, general'!$B$24:$B$27)</f>
        <v>306.4031119307005</v>
      </c>
      <c r="Q41" s="94">
        <f>SUMPRODUCT(Q37:Q40,'Parameters, general'!$B$24:$B$27)</f>
        <v>851.34208076601203</v>
      </c>
      <c r="R41" s="94">
        <f>SUMPRODUCT(R37:R40,'Parameters, general'!$B$24:$B$27)</f>
        <v>851.34208076601203</v>
      </c>
      <c r="S41" s="94">
        <f>SUMPRODUCT(S37:S40,'Parameters, general'!$B$24:$B$27)</f>
        <v>4646.6941783218299</v>
      </c>
      <c r="T41" s="94">
        <f>SUMPRODUCT(T37:T40,'Parameters, general'!$B$24:$B$27)</f>
        <v>1806.071774173108</v>
      </c>
      <c r="U41" s="94"/>
      <c r="V41" s="94"/>
      <c r="W41" s="94">
        <f>SUMPRODUCT(W37:W40,'Parameters, general'!$B$24:$B$27)</f>
        <v>924.57739086883737</v>
      </c>
      <c r="X41" s="94">
        <f>SUMPRODUCT(X37:X40,'Parameters, general'!$B$24:$B$27)</f>
        <v>10.196044981244009</v>
      </c>
      <c r="Z41" s="95">
        <f>SUM(H41:R41)</f>
        <v>3233.1730760793134</v>
      </c>
      <c r="AA41" s="96">
        <f>'CO2 per kg feed'!F116+'CH4 per kg feed'!F116*CF_GWP_CH4_fossil+'N2O per kg feed'!F116*CF_GWP_N2O</f>
        <v>0.29263759769242137</v>
      </c>
    </row>
    <row r="42" spans="1:27" x14ac:dyDescent="0.2">
      <c r="A42" s="74"/>
      <c r="B42" s="74" t="s">
        <v>202</v>
      </c>
      <c r="C42" s="75" t="s">
        <v>205</v>
      </c>
      <c r="D42" t="s">
        <v>57</v>
      </c>
      <c r="E42" s="58" t="s">
        <v>58</v>
      </c>
      <c r="F42" s="77" t="s">
        <v>40</v>
      </c>
      <c r="G42" s="78">
        <f>SUM(H42:X42)</f>
        <v>3466.6691999550103</v>
      </c>
      <c r="H42" s="78">
        <f>(Production!$I$5*'Parameters, country spec'!$I$53*'CO2 per kg feed'!G132+Production!$I$6*'Parameters, country spec'!$I$54*'CO2 per kg feed'!G132)</f>
        <v>537.77030238158341</v>
      </c>
      <c r="I42" s="78">
        <f>(Production!$I$5*'Parameters, country spec'!$I$53*'CO2 per kg feed'!H132+Production!$I$6*'Parameters, country spec'!$I$54*'CO2 per kg feed'!H133)</f>
        <v>240.9028260964478</v>
      </c>
      <c r="J42" s="78"/>
      <c r="K42" s="78"/>
      <c r="L42" s="78">
        <f>(Production!$I$5*'Parameters, country spec'!$I$53*'CO2 per kg feed'!K132+Production!$I$6*'Parameters, country spec'!$I$54*'CO2 per kg feed'!K133)</f>
        <v>210.25739515098729</v>
      </c>
      <c r="M42" s="78"/>
      <c r="N42" s="78">
        <f>(Production!$I$5*'Parameters, country spec'!$I$53*'CO2 per kg feed'!M132+Production!$I$6*'Parameters, country spec'!$I$54*'CO2 per kg feed'!M133)</f>
        <v>0.83816690824030127</v>
      </c>
      <c r="O42" s="78">
        <f>(Production!$I$5*'Parameters, country spec'!$I$53*'CO2 per kg feed'!N132+Production!$I$6*'Parameters, country spec'!$I$54*'CO2 per kg feed'!N133)</f>
        <v>109.34661308254778</v>
      </c>
      <c r="P42" s="78">
        <f>(Production!$I$5*'Parameters, country spec'!$I$53*'CO2 per kg feed'!O132+Production!$I$6*'Parameters, country spec'!$I$54*'CO2 per kg feed'!O133)</f>
        <v>354.37277589422843</v>
      </c>
      <c r="Q42" s="78">
        <f>(Production!$I$5*'Parameters, country spec'!$I$53*'CO2 per kg feed'!P132+Production!$I$6*'Parameters, country spec'!$I$54*'CO2 per kg feed'!P133)</f>
        <v>304.71654414332448</v>
      </c>
      <c r="R42" s="78">
        <f>(Production!$I$5*'Parameters, country spec'!$I$53*'CO2 per kg feed'!P132+Production!$I$6*'Parameters, country spec'!$I$54*'CO2 per kg feed'!P133)</f>
        <v>304.71654414332448</v>
      </c>
      <c r="S42" s="79"/>
      <c r="T42" s="80"/>
      <c r="U42" s="81"/>
      <c r="V42" s="81"/>
      <c r="W42" s="79">
        <f>Production!$I$9*'Parameters, country spec'!$I$62*EF_el_CO2_NL</f>
        <v>1392.8988152703955</v>
      </c>
      <c r="X42" s="82">
        <f>Production!$I$15*(Energy_slaughter_el_NL*EF_el_CO2_NL+Energy_slaughter_heat_NL*EF_gas_CO2)</f>
        <v>10.849216883930662</v>
      </c>
      <c r="Z42" s="83"/>
      <c r="AA42" s="83"/>
    </row>
    <row r="43" spans="1:27" x14ac:dyDescent="0.2">
      <c r="A43" s="23"/>
      <c r="B43" s="23" t="s">
        <v>202</v>
      </c>
      <c r="C43" s="18" t="s">
        <v>205</v>
      </c>
      <c r="D43" t="s">
        <v>57</v>
      </c>
      <c r="E43" s="58" t="s">
        <v>58</v>
      </c>
      <c r="F43" s="23" t="s">
        <v>41</v>
      </c>
      <c r="G43" s="83">
        <f>SUM(H43:X43)</f>
        <v>8.9394058621439552</v>
      </c>
      <c r="H43" s="56">
        <f>(Production!$I$5*'Parameters, country spec'!$I$53*'CH4 per kg feed'!G132+Production!$I$6*'Parameters, country spec'!$I$54*'CH4 per kg feed'!G133)</f>
        <v>0.28026947963129356</v>
      </c>
      <c r="I43" s="56">
        <f>(Production!$I$5*'Parameters, country spec'!$I$53*'CH4 per kg feed'!H132+Production!$I$6*'Parameters, country spec'!$I$54*'CH4 per kg feed'!H133)</f>
        <v>0.84762105478379768</v>
      </c>
      <c r="J43" s="56"/>
      <c r="K43" s="56"/>
      <c r="L43" s="56">
        <f>(Production!$I$5*'Parameters, country spec'!$I$53*'CH4 per kg feed'!K132+Production!$I$6*'Parameters, country spec'!$I$54*'CH4 per kg feed'!K133)</f>
        <v>9.3136936234558848E-2</v>
      </c>
      <c r="M43" s="56"/>
      <c r="N43" s="56">
        <f>(Production!$I$5*'Parameters, country spec'!$I$53*'CH4 per kg feed'!M132+Production!$I$6*'Parameters, country spec'!$I$54*'CH4 per kg feed'!M133)</f>
        <v>2.6854306476875337E-3</v>
      </c>
      <c r="O43" s="56">
        <f>(Production!$I$5*'Parameters, country spec'!$I$53*'CH4 per kg feed'!N132+Production!$I$6*'Parameters, country spec'!$I$54*'CH4 per kg feed'!N133)</f>
        <v>7.7352970752280009E-2</v>
      </c>
      <c r="P43" s="56">
        <f>(Production!$I$5*'Parameters, country spec'!$I$53*'CH4 per kg feed'!O132+Production!$I$6*'Parameters, country spec'!$I$54*'CH4 per kg feed'!O133)</f>
        <v>0</v>
      </c>
      <c r="Q43" s="56">
        <f>(Production!$I$5*'Parameters, country spec'!$I$53*'CH4 per kg feed'!P132+Production!$I$6*'Parameters, country spec'!$I$54*'CH4 per kg feed'!P133)</f>
        <v>2.4270155904559561</v>
      </c>
      <c r="R43" s="56">
        <f>(Production!$I$5*'Parameters, country spec'!$I$53*'CH4 per kg feed'!P132+Production!$I$6*'Parameters, country spec'!$I$54*'CH4 per kg feed'!P133)</f>
        <v>2.4270155904559561</v>
      </c>
      <c r="W43" s="13">
        <f>Production!$I$9*'Parameters, country spec'!$I$62*EF_el_CH4_NL</f>
        <v>2.7577806730894654</v>
      </c>
      <c r="X43" s="53">
        <f>Production!$I$15*(Energy_slaughter_el_NL*EF_el_CH4_NL+Energy_slaughter_heat_NL*EF_gas_CH4)</f>
        <v>2.6528136092959082E-2</v>
      </c>
      <c r="Z43" s="84"/>
      <c r="AA43" s="84"/>
    </row>
    <row r="44" spans="1:27" x14ac:dyDescent="0.2">
      <c r="A44" s="23"/>
      <c r="B44" s="23" t="s">
        <v>202</v>
      </c>
      <c r="C44" s="18" t="s">
        <v>205</v>
      </c>
      <c r="D44" t="s">
        <v>57</v>
      </c>
      <c r="E44" s="58" t="s">
        <v>58</v>
      </c>
      <c r="F44" s="23" t="s">
        <v>42</v>
      </c>
      <c r="G44" s="83">
        <f>SUM(H44:T44)</f>
        <v>222.90354055526461</v>
      </c>
      <c r="H44" s="56"/>
      <c r="I44" s="56"/>
      <c r="J44" s="85"/>
      <c r="K44" s="56"/>
      <c r="L44" s="56"/>
      <c r="M44" s="56"/>
      <c r="N44" s="56"/>
      <c r="O44" s="56"/>
      <c r="P44" s="56"/>
      <c r="Q44" s="56"/>
      <c r="R44" s="56"/>
      <c r="S44" s="13">
        <f>(Production!$I$5*EF_ent_ferm_NL+Production!$I$6*EF_ent_ferm_heif_NL)</f>
        <v>184.74773013299401</v>
      </c>
      <c r="T44" s="53">
        <f>SUM(U44:V44)</f>
        <v>38.155810422270605</v>
      </c>
      <c r="U44" s="86">
        <f>Manure!$Q$34</f>
        <v>38.155810422270605</v>
      </c>
      <c r="W44" s="13"/>
      <c r="X44" s="53"/>
      <c r="Z44" s="84"/>
      <c r="AA44" s="84"/>
    </row>
    <row r="45" spans="1:27" x14ac:dyDescent="0.2">
      <c r="A45" s="23"/>
      <c r="B45" s="23" t="s">
        <v>202</v>
      </c>
      <c r="C45" s="18" t="s">
        <v>205</v>
      </c>
      <c r="D45" t="s">
        <v>57</v>
      </c>
      <c r="E45" s="58" t="s">
        <v>58</v>
      </c>
      <c r="F45" s="87" t="s">
        <v>43</v>
      </c>
      <c r="G45" s="83">
        <f>SUM(H45:T45)+W45+X45</f>
        <v>9.1660591694631268</v>
      </c>
      <c r="H45" s="56">
        <f>(Production!$I$5*'Parameters, country spec'!$I$53*'N2O per kg feed'!G132+Production!$I$6*'Parameters, country spec'!$I$54*'N2O per kg feed'!G133)</f>
        <v>0.47926031031455896</v>
      </c>
      <c r="I45" s="56">
        <f>(Production!$I$5*'Parameters, country spec'!$I$53*'N2O per kg feed'!H132+Production!$I$6*'Parameters, country spec'!$I$54*'N2O per kg feed'!H133)</f>
        <v>9.8145595817071309E-3</v>
      </c>
      <c r="J45" s="56">
        <f>(Production!$I$5*'Parameters, country spec'!$I$53*'N2O per kg feed'!I132+Production!$I$6*'Parameters, country spec'!$I$54*'N2O per kg feed'!I133+Manure!Q153)</f>
        <v>5.4774808161005826</v>
      </c>
      <c r="K45" s="84">
        <f>J45*EF_indirect_N2O_NL</f>
        <v>0.54774808161005828</v>
      </c>
      <c r="L45" s="56">
        <f>(Production!$I$5*'Parameters, country spec'!$I$53*'N2O per kg feed'!K132+Production!$I$6*'Parameters, country spec'!$I$54*'N2O per kg feed'!K133)</f>
        <v>5.6496981837198951E-3</v>
      </c>
      <c r="M45" s="56"/>
      <c r="N45" s="56">
        <f>(Production!$I$5*'Parameters, country spec'!$I$53*'N2O per kg feed'!M132+Production!$I$6*'Parameters, country spec'!$I$54*'N2O per kg feed'!M133)</f>
        <v>3.5050259774621876E-5</v>
      </c>
      <c r="O45" s="56">
        <f>(Production!$I$5*'Parameters, country spec'!$I$53*'N2O per kg feed'!N132+Production!$I$6*'Parameters, country spec'!$I$54*'N2O per kg feed'!N133)</f>
        <v>3.9455640973353259E-3</v>
      </c>
      <c r="P45" s="56">
        <f>(Production!$I$5*'Parameters, country spec'!$I$53*'N2O per kg feed'!O132+Production!$I$6*'Parameters, country spec'!$I$54*'N2O per kg feed'!O133)</f>
        <v>0</v>
      </c>
      <c r="Q45" s="56">
        <f>(Production!$I$5*'Parameters, country spec'!$I$53*'N2O per kg feed'!P132+Production!$I$6*'Parameters, country spec'!$I$54*'N2O per kg feed'!P133)</f>
        <v>0.21898917299820342</v>
      </c>
      <c r="R45" s="56">
        <f>(Production!$I$5*'Parameters, country spec'!$I$53*'N2O per kg feed'!P132+Production!$I$6*'Parameters, country spec'!$I$54*'N2O per kg feed'!P133)</f>
        <v>0.21898917299820342</v>
      </c>
      <c r="S45" s="13"/>
      <c r="T45" s="53">
        <f>SUM(U45:V45)</f>
        <v>2.147805786689565</v>
      </c>
      <c r="U45" s="88">
        <f>Manure!$Q$92*44/28</f>
        <v>1.1721916489047985</v>
      </c>
      <c r="V45" s="88">
        <f>Manure!$Q$159*17/14*Manure!$P$122</f>
        <v>0.97561413778476636</v>
      </c>
      <c r="W45" s="13">
        <f>Production!$I$9*'Parameters, country spec'!$I$62*EF_el_N2O_NL</f>
        <v>5.5921092153898899E-2</v>
      </c>
      <c r="X45" s="53">
        <f>Production!$I$15*(Energy_slaughter_el_NL*EF_el_N2O_NL+Energy_slaughter_heat_NL*EF_gas_N2O)</f>
        <v>4.1986447552058725E-4</v>
      </c>
      <c r="Z45" s="84"/>
      <c r="AA45" s="84"/>
    </row>
    <row r="46" spans="1:27" x14ac:dyDescent="0.2">
      <c r="A46" s="89"/>
      <c r="B46" s="89" t="s">
        <v>202</v>
      </c>
      <c r="C46" s="90" t="s">
        <v>205</v>
      </c>
      <c r="D46" s="103" t="s">
        <v>57</v>
      </c>
      <c r="E46" s="91" t="s">
        <v>58</v>
      </c>
      <c r="F46" s="92" t="s">
        <v>44</v>
      </c>
      <c r="G46" s="102">
        <f>SUM(H46:X46)</f>
        <v>12253.793242902479</v>
      </c>
      <c r="H46" s="94">
        <f>SUMPRODUCT(H42:H45,'Parameters, general'!$B$24:$B$27)</f>
        <v>676.96039759047051</v>
      </c>
      <c r="I46" s="94">
        <f>SUMPRODUCT(I42:I45,'Parameters, general'!$B$24:$B$27)</f>
        <v>268.84130829481103</v>
      </c>
      <c r="J46" s="94">
        <f>SUMPRODUCT(J42:J45,'Parameters, general'!$B$24:$B$27)</f>
        <v>1495.352262795459</v>
      </c>
      <c r="K46" s="94">
        <f>SUMPRODUCT(K42:K45,'Parameters, general'!$B$24:$B$27)</f>
        <v>149.53522627954592</v>
      </c>
      <c r="L46" s="94">
        <f>SUMPRODUCT(L42:L45,'Parameters, general'!$B$24:$B$27)</f>
        <v>214.57524345493269</v>
      </c>
      <c r="M46" s="94">
        <f>SUMPRODUCT(M42:M45,'Parameters, general'!$B$24:$B$27)</f>
        <v>0</v>
      </c>
      <c r="N46" s="94">
        <f>SUMPRODUCT(N42:N45,'Parameters, general'!$B$24:$B$27)</f>
        <v>0.92776146245986146</v>
      </c>
      <c r="O46" s="94">
        <f>SUMPRODUCT(O42:O45,'Parameters, general'!$B$24:$B$27)</f>
        <v>112.72887060953828</v>
      </c>
      <c r="P46" s="94">
        <f>SUMPRODUCT(P42:P45,'Parameters, general'!$B$24:$B$27)</f>
        <v>354.37277589422843</v>
      </c>
      <c r="Q46" s="94">
        <f>SUMPRODUCT(Q42:Q45,'Parameters, general'!$B$24:$B$27)</f>
        <v>436.82565296742149</v>
      </c>
      <c r="R46" s="94">
        <f>SUMPRODUCT(R42:R45,'Parameters, general'!$B$24:$B$27)</f>
        <v>436.82565296742149</v>
      </c>
      <c r="S46" s="94">
        <f>SUMPRODUCT(S42:S45,'Parameters, general'!$B$24:$B$27)</f>
        <v>4988.1887135908382</v>
      </c>
      <c r="T46" s="94">
        <f>SUMPRODUCT(T42:T45,'Parameters, general'!$B$24:$B$27)</f>
        <v>1616.5578611675578</v>
      </c>
      <c r="U46" s="94"/>
      <c r="V46" s="94"/>
      <c r="W46" s="94">
        <f>SUMPRODUCT(W42:W45,'Parameters, general'!$B$24:$B$27)</f>
        <v>1490.347137486476</v>
      </c>
      <c r="X46" s="94">
        <f>SUMPRODUCT(X42:X45,'Parameters, general'!$B$24:$B$27)</f>
        <v>11.754378341317963</v>
      </c>
      <c r="Z46" s="95">
        <f>SUM(H46:R46)</f>
        <v>4146.9451523162879</v>
      </c>
      <c r="AA46" s="96">
        <f>'CO2 per kg feed'!F132+'CH4 per kg feed'!F132*CF_GWP_CH4_fossil+'N2O per kg feed'!F132*CF_GWP_N2O</f>
        <v>0.39773469528811939</v>
      </c>
    </row>
    <row r="47" spans="1:27" x14ac:dyDescent="0.2">
      <c r="A47" s="74"/>
      <c r="B47" s="74" t="s">
        <v>202</v>
      </c>
      <c r="C47" s="75" t="s">
        <v>205</v>
      </c>
      <c r="D47" t="s">
        <v>59</v>
      </c>
      <c r="E47" s="58" t="s">
        <v>60</v>
      </c>
      <c r="F47" s="77" t="s">
        <v>40</v>
      </c>
      <c r="G47" s="78">
        <f>SUM(H47:X47)</f>
        <v>4794.9035793048606</v>
      </c>
      <c r="H47" s="78">
        <f>(Production!$J$5*'Parameters, country spec'!$J$53*'CO2 per kg feed'!G148+Production!$J$6*'Parameters, country spec'!$J$54*'CO2 per kg feed'!G61)</f>
        <v>568.85302309361987</v>
      </c>
      <c r="I47" s="78">
        <f>(Production!$J$5*'Parameters, country spec'!$J$53*'CO2 per kg feed'!H148+Production!$J$6*'Parameters, country spec'!$J$54*'CO2 per kg feed'!H61)</f>
        <v>219.09030309588155</v>
      </c>
      <c r="J47" s="78"/>
      <c r="K47" s="78"/>
      <c r="L47" s="78">
        <f>(Production!$J$5*'Parameters, country spec'!$J$53*'CO2 per kg feed'!K148+Production!$J$6*'Parameters, country spec'!$J$54*'CO2 per kg feed'!K61)</f>
        <v>269.47401971530445</v>
      </c>
      <c r="M47" s="78"/>
      <c r="N47" s="78">
        <f>(Production!$J$5*'Parameters, country spec'!$J$53*'CO2 per kg feed'!M148+Production!$J$6*'Parameters, country spec'!$J$54*'CO2 per kg feed'!M61)</f>
        <v>1.5321944272921557</v>
      </c>
      <c r="O47" s="78">
        <f>(Production!$J$5*'Parameters, country spec'!$J$53*'CO2 per kg feed'!N148+Production!$J$6*'Parameters, country spec'!$J$54*'CO2 per kg feed'!N61)</f>
        <v>200.27927732731064</v>
      </c>
      <c r="P47" s="78">
        <f>(Production!$J$5*'Parameters, country spec'!$J$53*'CO2 per kg feed'!O148+Production!$J$6*'Parameters, country spec'!$J$54*'CO2 per kg feed'!O61)</f>
        <v>222.9119597299636</v>
      </c>
      <c r="Q47" s="78">
        <f>(Production!$J$5*'Parameters, country spec'!$J$53*'CO2 per kg feed'!P148+Production!$J$6*'Parameters, country spec'!$J$54*'CO2 per kg feed'!P61)</f>
        <v>628.4370061505648</v>
      </c>
      <c r="R47" s="78">
        <f>(Production!$J$5*'Parameters, country spec'!$J$53*'CO2 per kg feed'!P148+Production!$J$6*'Parameters, country spec'!$J$54*'CO2 per kg feed'!P61)</f>
        <v>628.4370061505648</v>
      </c>
      <c r="S47" s="79"/>
      <c r="T47" s="80"/>
      <c r="U47" s="81"/>
      <c r="V47" s="81"/>
      <c r="W47" s="79">
        <f>Production!$J$9*'Parameters, country spec'!$J$62*EF_el_CO2_PL</f>
        <v>2035.9867674669993</v>
      </c>
      <c r="X47" s="82">
        <f>Production!$J$15*(Energy_slaughter_el_PL*EF_el_CO2_PL+Energy_slaughter_heat_PL*EF_gas_CO2)</f>
        <v>19.902022147359588</v>
      </c>
      <c r="Z47" s="83"/>
      <c r="AA47" s="83"/>
    </row>
    <row r="48" spans="1:27" x14ac:dyDescent="0.2">
      <c r="A48" s="23"/>
      <c r="B48" s="23" t="s">
        <v>202</v>
      </c>
      <c r="C48" s="18" t="s">
        <v>205</v>
      </c>
      <c r="D48" t="s">
        <v>59</v>
      </c>
      <c r="E48" s="58" t="s">
        <v>60</v>
      </c>
      <c r="F48" s="23" t="s">
        <v>41</v>
      </c>
      <c r="G48" s="83">
        <f>SUM(H48:X48)</f>
        <v>10.404513983106074</v>
      </c>
      <c r="H48" s="56">
        <f>(Production!$J$5*'Parameters, country spec'!$J$53*'CH4 per kg feed'!G148+Production!$J$6*'Parameters, country spec'!$J$54*'CH4 per kg feed'!G61)</f>
        <v>5.357164730583186E-2</v>
      </c>
      <c r="I48" s="56">
        <f>(Production!$J$5*'Parameters, country spec'!$J$53*'CH4 per kg feed'!H148+Production!$J$6*'Parameters, country spec'!$J$54*'CH4 per kg feed'!H61)</f>
        <v>0.77087328867069438</v>
      </c>
      <c r="J48" s="56"/>
      <c r="K48" s="56"/>
      <c r="L48" s="56">
        <f>(Production!$J$5*'Parameters, country spec'!$J$53*'CH4 per kg feed'!K148+Production!$J$6*'Parameters, country spec'!$J$54*'CH4 per kg feed'!K61)</f>
        <v>0.11936790414944282</v>
      </c>
      <c r="M48" s="56"/>
      <c r="N48" s="56">
        <f>(Production!$J$5*'Parameters, country spec'!$J$53*'CH4 per kg feed'!M148+Production!$J$6*'Parameters, country spec'!$J$54*'CH4 per kg feed'!M61)</f>
        <v>4.5896014641611587E-3</v>
      </c>
      <c r="O48" s="56">
        <f>(Production!$J$5*'Parameters, country spec'!$J$53*'CH4 per kg feed'!N148+Production!$J$6*'Parameters, country spec'!$J$54*'CH4 per kg feed'!N61)</f>
        <v>0.17507595208832255</v>
      </c>
      <c r="P48" s="56">
        <f>(Production!$J$5*'Parameters, country spec'!$J$53*'CH4 per kg feed'!O148+Production!$J$6*'Parameters, country spec'!$J$54*'CH4 per kg feed'!O61)</f>
        <v>0</v>
      </c>
      <c r="Q48" s="56">
        <f>(Production!$J$5*'Parameters, country spec'!$J$53*'CH4 per kg feed'!P148+Production!$J$6*'Parameters, country spec'!$J$54*'CH4 per kg feed'!P61)</f>
        <v>2.6573327438868577</v>
      </c>
      <c r="R48" s="56">
        <f>(Production!$J$5*'Parameters, country spec'!$J$53*'CH4 per kg feed'!P148+Production!$J$6*'Parameters, country spec'!$J$54*'CH4 per kg feed'!P61)</f>
        <v>2.6573327438868577</v>
      </c>
      <c r="W48" s="13">
        <f>Production!$J$9*'Parameters, country spec'!$J$62*EF_el_CH4_PL</f>
        <v>3.9227341607143926</v>
      </c>
      <c r="X48" s="53">
        <f>Production!$J$15*(Energy_slaughter_el_PL*EF_el_CH4_PL+Energy_slaughter_heat_PL*EF_gas_CH4)</f>
        <v>4.3635940939513326E-2</v>
      </c>
      <c r="Z48" s="84"/>
      <c r="AA48" s="84"/>
    </row>
    <row r="49" spans="1:27" x14ac:dyDescent="0.2">
      <c r="A49" s="23"/>
      <c r="B49" s="23" t="s">
        <v>202</v>
      </c>
      <c r="C49" s="18" t="s">
        <v>205</v>
      </c>
      <c r="D49" t="s">
        <v>59</v>
      </c>
      <c r="E49" s="58" t="s">
        <v>60</v>
      </c>
      <c r="F49" s="23" t="s">
        <v>42</v>
      </c>
      <c r="G49" s="83">
        <f>SUM(H49:T49)</f>
        <v>177.77697892434068</v>
      </c>
      <c r="H49" s="56"/>
      <c r="I49" s="56"/>
      <c r="J49" s="85"/>
      <c r="K49" s="56"/>
      <c r="L49" s="56"/>
      <c r="M49" s="56"/>
      <c r="N49" s="56"/>
      <c r="O49" s="56"/>
      <c r="P49" s="56"/>
      <c r="Q49" s="56"/>
      <c r="R49" s="56"/>
      <c r="S49" s="13">
        <f>(Production!$J$5*EF_ent_ferm_PL+Production!$J$6*EF_ent_ferm_heif_PL)</f>
        <v>166.11855315461901</v>
      </c>
      <c r="T49" s="53">
        <f>SUM(U49:V49)</f>
        <v>11.658425769721676</v>
      </c>
      <c r="U49" s="86">
        <f>Manure!$S$34</f>
        <v>11.658425769721676</v>
      </c>
      <c r="W49" s="13"/>
      <c r="X49" s="53"/>
      <c r="Z49" s="84"/>
      <c r="AA49" s="84"/>
    </row>
    <row r="50" spans="1:27" x14ac:dyDescent="0.2">
      <c r="A50" s="23"/>
      <c r="B50" s="23" t="s">
        <v>202</v>
      </c>
      <c r="C50" s="18" t="s">
        <v>205</v>
      </c>
      <c r="D50" t="s">
        <v>59</v>
      </c>
      <c r="E50" s="58" t="s">
        <v>60</v>
      </c>
      <c r="F50" s="87" t="s">
        <v>43</v>
      </c>
      <c r="G50" s="83">
        <f>SUM(H50:T50)+W50+X50</f>
        <v>7.4000583437906853</v>
      </c>
      <c r="H50" s="56">
        <f>(Production!$J$5*'Parameters, country spec'!$J$53*'N2O per kg feed'!G148+Production!$J$6*'Parameters, country spec'!$J$54*'N2O per kg feed'!G61)</f>
        <v>0.17602836012488979</v>
      </c>
      <c r="I50" s="56">
        <f>(Production!$J$5*'Parameters, country spec'!$J$53*'N2O per kg feed'!H148+Production!$J$6*'Parameters, country spec'!$J$54*'N2O per kg feed'!H61)</f>
        <v>8.9259012372396203E-3</v>
      </c>
      <c r="J50" s="56">
        <f>(Production!$J$5*'Parameters, country spec'!$J$53*'N2O per kg feed'!I148+Production!$J$6*'Parameters, country spec'!$J$54*'N2O per kg feed'!I149+Manure!S153)</f>
        <v>3.4421405621556964</v>
      </c>
      <c r="K50" s="84">
        <f>J50*EF_indirect_N2O_PL</f>
        <v>0.34421405621556966</v>
      </c>
      <c r="L50" s="56">
        <f>(Production!$J$5*'Parameters, country spec'!$J$53*'N2O per kg feed'!K148+Production!$J$6*'Parameters, country spec'!$J$54*'N2O per kg feed'!K61)</f>
        <v>7.2408719733827853E-3</v>
      </c>
      <c r="M50" s="56"/>
      <c r="N50" s="56">
        <f>(Production!$J$5*'Parameters, country spec'!$J$53*'N2O per kg feed'!M148+Production!$J$6*'Parameters, country spec'!$J$54*'N2O per kg feed'!M61)</f>
        <v>6.5568298265398551E-5</v>
      </c>
      <c r="O50" s="56">
        <f>(Production!$J$5*'Parameters, country spec'!$J$53*'N2O per kg feed'!N148+Production!$J$6*'Parameters, country spec'!$J$54*'N2O per kg feed'!N61)</f>
        <v>6.4925691766312913E-3</v>
      </c>
      <c r="P50" s="56">
        <f>(Production!$J$5*'Parameters, country spec'!$J$53*'N2O per kg feed'!O148+Production!$J$6*'Parameters, country spec'!$J$54*'N2O per kg feed'!O61)</f>
        <v>0</v>
      </c>
      <c r="Q50" s="56">
        <f>(Production!$J$5*'Parameters, country spec'!$J$53*'N2O per kg feed'!P148+Production!$J$6*'Parameters, country spec'!$J$54*'N2O per kg feed'!P61)</f>
        <v>0.17288692835097583</v>
      </c>
      <c r="R50" s="56">
        <f>(Production!$J$5*'Parameters, country spec'!$J$53*'N2O per kg feed'!P148+Production!$J$6*'Parameters, country spec'!$J$54*'N2O per kg feed'!P61)</f>
        <v>0.17288692835097583</v>
      </c>
      <c r="S50" s="13"/>
      <c r="T50" s="53">
        <f>SUM(U50:V50)</f>
        <v>3.0320522478415324</v>
      </c>
      <c r="U50" s="88">
        <f>Manure!$S$92*44/28</f>
        <v>2.2619293707792179</v>
      </c>
      <c r="V50" s="88">
        <f>Manure!$S$159*17/14*Manure!$R$122</f>
        <v>0.77012287706231453</v>
      </c>
      <c r="W50" s="13">
        <f>Production!$J$9*'Parameters, country spec'!$J$62*EF_el_N2O_PL</f>
        <v>3.6736205757766281E-2</v>
      </c>
      <c r="X50" s="53">
        <f>Production!$J$15*(Energy_slaughter_el_PL*EF_el_N2O_PL+Energy_slaughter_heat_PL*EF_gas_N2O)</f>
        <v>3.8814430775920673E-4</v>
      </c>
      <c r="Z50" s="84"/>
      <c r="AA50" s="84"/>
    </row>
    <row r="51" spans="1:27" x14ac:dyDescent="0.2">
      <c r="A51" s="89"/>
      <c r="B51" s="89" t="s">
        <v>202</v>
      </c>
      <c r="C51" s="90" t="s">
        <v>205</v>
      </c>
      <c r="D51" s="103" t="s">
        <v>59</v>
      </c>
      <c r="E51" s="100" t="s">
        <v>60</v>
      </c>
      <c r="F51" s="92" t="s">
        <v>44</v>
      </c>
      <c r="G51" s="102">
        <f>SUM(H51:X51)</f>
        <v>11925.152454813477</v>
      </c>
      <c r="H51" s="94">
        <f>SUMPRODUCT(H47:H50,'Parameters, general'!$B$24:$B$27)</f>
        <v>618.50520049742852</v>
      </c>
      <c r="I51" s="94">
        <f>SUMPRODUCT(I47:I50,'Parameters, general'!$B$24:$B$27)</f>
        <v>244.49909813603466</v>
      </c>
      <c r="J51" s="94">
        <f>SUMPRODUCT(J47:J50,'Parameters, general'!$B$24:$B$27)</f>
        <v>939.70437346850508</v>
      </c>
      <c r="K51" s="94">
        <f>SUMPRODUCT(K47:K50,'Parameters, general'!$B$24:$B$27)</f>
        <v>93.970437346850517</v>
      </c>
      <c r="L51" s="94">
        <f>SUMPRODUCT(L47:L50,'Parameters, general'!$B$24:$B$27)</f>
        <v>275.00794130769134</v>
      </c>
      <c r="M51" s="94">
        <f>SUMPRODUCT(M47:M50,'Parameters, general'!$B$24:$B$27)</f>
        <v>0</v>
      </c>
      <c r="N51" s="94">
        <f>SUMPRODUCT(N47:N50,'Parameters, general'!$B$24:$B$27)</f>
        <v>1.686864696350612</v>
      </c>
      <c r="O51" s="94">
        <f>SUMPRODUCT(O47:O50,'Parameters, general'!$B$24:$B$27)</f>
        <v>207.26901208476301</v>
      </c>
      <c r="P51" s="94">
        <f>SUMPRODUCT(P47:P50,'Parameters, general'!$B$24:$B$27)</f>
        <v>222.9119597299636</v>
      </c>
      <c r="Q51" s="94">
        <f>SUMPRODUCT(Q47:Q50,'Parameters, general'!$B$24:$B$27)</f>
        <v>754.82365335820953</v>
      </c>
      <c r="R51" s="94">
        <f>SUMPRODUCT(R47:R50,'Parameters, general'!$B$24:$B$27)</f>
        <v>754.82365335820953</v>
      </c>
      <c r="S51" s="94">
        <f>SUMPRODUCT(S47:S50,'Parameters, general'!$B$24:$B$27)</f>
        <v>4485.2009351747129</v>
      </c>
      <c r="T51" s="94">
        <f>SUMPRODUCT(T47:T50,'Parameters, general'!$B$24:$B$27)</f>
        <v>1142.5277594432237</v>
      </c>
      <c r="U51" s="94"/>
      <c r="V51" s="94"/>
      <c r="W51" s="94">
        <f>SUMPRODUCT(W47:W50,'Parameters, general'!$B$24:$B$27)</f>
        <v>2162.9132296281582</v>
      </c>
      <c r="X51" s="94">
        <f>SUMPRODUCT(X47:X50,'Parameters, general'!$B$24:$B$27)</f>
        <v>21.30833658337535</v>
      </c>
      <c r="Z51" s="95">
        <f>SUM(H51:R51)</f>
        <v>4113.202193984006</v>
      </c>
      <c r="AA51" s="96">
        <f>'CO2 per kg feed'!F148+'CH4 per kg feed'!F148*CF_GWP_CH4_fossil+'N2O per kg feed'!F148*CF_GWP_N2O</f>
        <v>0.377266920852313</v>
      </c>
    </row>
    <row r="52" spans="1:27" x14ac:dyDescent="0.2">
      <c r="A52" s="74"/>
      <c r="B52" s="74" t="s">
        <v>202</v>
      </c>
      <c r="C52" s="75" t="s">
        <v>205</v>
      </c>
      <c r="D52" t="s">
        <v>61</v>
      </c>
      <c r="E52" s="76" t="s">
        <v>62</v>
      </c>
      <c r="F52" s="77" t="s">
        <v>40</v>
      </c>
      <c r="G52" s="78">
        <f>SUM(H52:X52)</f>
        <v>3089.7264369813383</v>
      </c>
      <c r="H52" s="78">
        <f>(Production!$K$5*'Parameters, country spec'!$K$53*'CO2 per kg feed'!G164+Production!$K$6*'Parameters, country spec'!$K$54*'CO2 per kg feed'!G165)</f>
        <v>440.46558557065697</v>
      </c>
      <c r="I52" s="78">
        <f>(Production!$K$5*'Parameters, country spec'!$K$53*'CO2 per kg feed'!H164+Production!$K$6*'Parameters, country spec'!$K$54*'CO2 per kg feed'!H165)</f>
        <v>249.20547908201212</v>
      </c>
      <c r="J52" s="78"/>
      <c r="K52" s="78"/>
      <c r="L52" s="78">
        <f>(Production!$K$5*'Parameters, country spec'!$K$53*'CO2 per kg feed'!K164+Production!$K$6*'Parameters, country spec'!$K$54*'CO2 per kg feed'!K165)</f>
        <v>314.56808597090514</v>
      </c>
      <c r="M52" s="78"/>
      <c r="N52" s="78">
        <f>(Production!$K$5*'Parameters, country spec'!$K$53*'CO2 per kg feed'!M164+Production!$K$6*'Parameters, country spec'!$K$54*'CO2 per kg feed'!M165)</f>
        <v>39.883249225624027</v>
      </c>
      <c r="O52" s="78">
        <f>(Production!$K$5*'Parameters, country spec'!$K$53*'CO2 per kg feed'!N164+Production!$K$6*'Parameters, country spec'!$K$54*'CO2 per kg feed'!N165)</f>
        <v>184.04594129154478</v>
      </c>
      <c r="P52" s="78">
        <f>(Production!$K$5*'Parameters, country spec'!$K$53*'CO2 per kg feed'!O164+Production!$K$6*'Parameters, country spec'!$K$54*'CO2 per kg feed'!O165)</f>
        <v>339.43025853889685</v>
      </c>
      <c r="Q52" s="78">
        <f>(Production!$K$5*'Parameters, country spec'!$K$53*'CO2 per kg feed'!P164+Production!$K$6*'Parameters, country spec'!$K$54*'CO2 per kg feed'!P165)</f>
        <v>375.70864610605247</v>
      </c>
      <c r="R52" s="78">
        <f>(Production!$K$5*'Parameters, country spec'!$K$53*'CO2 per kg feed'!P164+Production!$K$6*'Parameters, country spec'!$K$54*'CO2 per kg feed'!P165)</f>
        <v>375.70864610605247</v>
      </c>
      <c r="S52" s="79"/>
      <c r="T52" s="80"/>
      <c r="U52" s="81"/>
      <c r="V52" s="81"/>
      <c r="W52" s="79">
        <f>Production!$K$9*'Parameters, country spec'!$K$62*EF_el_CO2_ES</f>
        <v>762.95426460225337</v>
      </c>
      <c r="X52" s="82">
        <f>Production!$K$15*(Energy_slaughter_el_ES*EF_el_CO2_ES+Energy_slaughter_heat_ES*EF_gas_CO2)</f>
        <v>7.7562804873398647</v>
      </c>
      <c r="Z52" s="83"/>
      <c r="AA52" s="83"/>
    </row>
    <row r="53" spans="1:27" x14ac:dyDescent="0.2">
      <c r="A53" s="23"/>
      <c r="B53" s="23" t="s">
        <v>202</v>
      </c>
      <c r="C53" s="18" t="s">
        <v>205</v>
      </c>
      <c r="D53" t="s">
        <v>61</v>
      </c>
      <c r="E53" s="58" t="s">
        <v>62</v>
      </c>
      <c r="F53" s="23" t="s">
        <v>41</v>
      </c>
      <c r="G53" s="83">
        <f>SUM(H53:X53)</f>
        <v>8.5364092132963219</v>
      </c>
      <c r="H53" s="56">
        <f>(Production!$K$5*'Parameters, country spec'!$K$53*'CH4 per kg feed'!G164+Production!$K$6*'Parameters, country spec'!$K$54*'CH4 per kg feed'!G165)</f>
        <v>5.3128776142269921E-2</v>
      </c>
      <c r="I53" s="56">
        <f>(Production!$K$5*'Parameters, country spec'!$K$53*'CH4 per kg feed'!H164+Production!$K$6*'Parameters, country spec'!$K$54*'CH4 per kg feed'!H165)</f>
        <v>0.87683409306633897</v>
      </c>
      <c r="J53" s="56"/>
      <c r="K53" s="56"/>
      <c r="L53" s="56">
        <f>(Production!$K$5*'Parameters, country spec'!$K$53*'CH4 per kg feed'!K164+Production!$K$6*'Parameters, country spec'!$K$54*'CH4 per kg feed'!K165)</f>
        <v>0.13934305494206459</v>
      </c>
      <c r="M53" s="56"/>
      <c r="N53" s="56">
        <f>(Production!$K$5*'Parameters, country spec'!$K$53*'CH4 per kg feed'!M164+Production!$K$6*'Parameters, country spec'!$K$54*'CH4 per kg feed'!M165)</f>
        <v>0.11895819961103513</v>
      </c>
      <c r="O53" s="56">
        <f>(Production!$K$5*'Parameters, country spec'!$K$53*'CH4 per kg feed'!N164+Production!$K$6*'Parameters, country spec'!$K$54*'CH4 per kg feed'!N165)</f>
        <v>0.13887358694095714</v>
      </c>
      <c r="P53" s="56">
        <f>(Production!$K$5*'Parameters, country spec'!$K$53*'CH4 per kg feed'!O164+Production!$K$6*'Parameters, country spec'!$K$54*'CH4 per kg feed'!O165)</f>
        <v>0</v>
      </c>
      <c r="Q53" s="56">
        <f>(Production!$K$5*'Parameters, country spec'!$K$53*'CH4 per kg feed'!P164+Production!$K$6*'Parameters, country spec'!$K$54*'CH4 per kg feed'!P165)</f>
        <v>2.4118193282229083</v>
      </c>
      <c r="R53" s="56">
        <f>(Production!$K$5*'Parameters, country spec'!$K$53*'CH4 per kg feed'!P164+Production!$K$6*'Parameters, country spec'!$K$54*'CH4 per kg feed'!P165)</f>
        <v>2.4118193282229083</v>
      </c>
      <c r="W53" s="13">
        <f>Production!$K$9*'Parameters, country spec'!$K$62*EF_el_CH4_ES</f>
        <v>2.3584086103013564</v>
      </c>
      <c r="X53" s="53">
        <f>Production!$K$15*(Energy_slaughter_el_ES*EF_el_CH4_ES+Energy_slaughter_heat_ES*EF_gas_CH4)</f>
        <v>2.7224235846481485E-2</v>
      </c>
      <c r="Z53" s="84"/>
      <c r="AA53" s="84"/>
    </row>
    <row r="54" spans="1:27" x14ac:dyDescent="0.2">
      <c r="A54" s="23"/>
      <c r="B54" s="23" t="s">
        <v>202</v>
      </c>
      <c r="C54" s="18" t="s">
        <v>205</v>
      </c>
      <c r="D54" t="s">
        <v>61</v>
      </c>
      <c r="E54" s="58" t="s">
        <v>62</v>
      </c>
      <c r="F54" s="23" t="s">
        <v>42</v>
      </c>
      <c r="G54" s="83">
        <f>SUM(H54:T54)</f>
        <v>218.94050124602691</v>
      </c>
      <c r="H54" s="56"/>
      <c r="I54" s="56"/>
      <c r="J54" s="85"/>
      <c r="K54" s="56"/>
      <c r="L54" s="56"/>
      <c r="M54" s="56"/>
      <c r="N54" s="56"/>
      <c r="O54" s="56"/>
      <c r="P54" s="56"/>
      <c r="Q54" s="56"/>
      <c r="R54" s="56"/>
      <c r="S54" s="13">
        <f>(Production!$K$5*EF_ent_ferm_ES+Production!$K$6*EF_ent_ferm_heif_ES)</f>
        <v>186.20961409085498</v>
      </c>
      <c r="T54" s="53">
        <f>SUM(U54:V54)</f>
        <v>32.730887155171921</v>
      </c>
      <c r="U54" s="86">
        <f>Manure!$U$34</f>
        <v>32.730887155171921</v>
      </c>
      <c r="W54" s="13"/>
      <c r="X54" s="53"/>
      <c r="Z54" s="84"/>
      <c r="AA54" s="84"/>
    </row>
    <row r="55" spans="1:27" x14ac:dyDescent="0.2">
      <c r="A55" s="23"/>
      <c r="B55" s="23" t="s">
        <v>202</v>
      </c>
      <c r="C55" s="18" t="s">
        <v>205</v>
      </c>
      <c r="D55" t="s">
        <v>61</v>
      </c>
      <c r="E55" s="58" t="s">
        <v>62</v>
      </c>
      <c r="F55" s="87" t="s">
        <v>43</v>
      </c>
      <c r="G55" s="83">
        <f>SUM(H55:T55)+W55+X55</f>
        <v>7.9033566098147174</v>
      </c>
      <c r="H55" s="56">
        <f>(Production!$K$5*'Parameters, country spec'!$K$53*'N2O per kg feed'!G164+Production!$K$6*'Parameters, country spec'!$K$54*'N2O per kg feed'!G165)</f>
        <v>0.12853814079047959</v>
      </c>
      <c r="I55" s="56">
        <f>(Production!$K$5*'Parameters, country spec'!$K$53*'N2O per kg feed'!H164+Production!$K$6*'Parameters, country spec'!$K$54*'N2O per kg feed'!H165)</f>
        <v>1.0152815814452347E-2</v>
      </c>
      <c r="J55" s="56">
        <f>(Production!$K$5*'Parameters, country spec'!$K$53*'N2O per kg feed'!I164+Production!$K$6*'Parameters, country spec'!$K$54*'N2O per kg feed'!I165+Manure!U153)</f>
        <v>4.397043693188369</v>
      </c>
      <c r="K55" s="84">
        <f>J55*EF_indirect_N2O_ES</f>
        <v>0.43970436931883694</v>
      </c>
      <c r="L55" s="56">
        <f>(Production!$K$5*'Parameters, country spec'!$K$53*'N2O per kg feed'!K164+Production!$K$6*'Parameters, country spec'!$K$54*'N2O per kg feed'!K165)</f>
        <v>8.4525671151297003E-3</v>
      </c>
      <c r="M55" s="56"/>
      <c r="N55" s="56">
        <f>(Production!$K$5*'Parameters, country spec'!$K$53*'N2O per kg feed'!M164+Production!$K$6*'Parameters, country spec'!$K$54*'N2O per kg feed'!M165)</f>
        <v>1.7091390488866124E-3</v>
      </c>
      <c r="O55" s="56">
        <f>(Production!$K$5*'Parameters, country spec'!$K$53*'N2O per kg feed'!N164+Production!$K$6*'Parameters, country spec'!$K$54*'N2O per kg feed'!N165)</f>
        <v>6.7614318906734595E-3</v>
      </c>
      <c r="P55" s="56">
        <f>(Production!$K$5*'Parameters, country spec'!$K$53*'N2O per kg feed'!O164+Production!$K$6*'Parameters, country spec'!$K$54*'N2O per kg feed'!O165)</f>
        <v>0</v>
      </c>
      <c r="Q55" s="56">
        <f>(Production!$K$5*'Parameters, country spec'!$K$53*'N2O per kg feed'!P164+Production!$K$6*'Parameters, country spec'!$K$54*'N2O per kg feed'!P165)</f>
        <v>0.17507165261146329</v>
      </c>
      <c r="R55" s="56">
        <f>(Production!$K$5*'Parameters, country spec'!$K$53*'N2O per kg feed'!P164+Production!$K$6*'Parameters, country spec'!$K$54*'N2O per kg feed'!P165)</f>
        <v>0.17507165261146329</v>
      </c>
      <c r="S55" s="13"/>
      <c r="T55" s="53">
        <f>SUM(U55:V55)</f>
        <v>2.5259892466455183</v>
      </c>
      <c r="U55" s="88">
        <f>Manure!$U$92*44/28</f>
        <v>1.7388229413451857</v>
      </c>
      <c r="V55" s="88">
        <f>Manure!$U$159*17/14*Manure!$T$122</f>
        <v>0.78716630530033271</v>
      </c>
      <c r="W55" s="13">
        <f>Production!$K$9*'Parameters, country spec'!$K$62*EF_el_N2O_ES</f>
        <v>3.4540425386610119E-2</v>
      </c>
      <c r="X55" s="53">
        <f>Production!$K$15*(Energy_slaughter_el_ES*EF_el_N2O_ES+Energy_slaughter_heat_ES*EF_gas_N2O)</f>
        <v>3.2147539283417041E-4</v>
      </c>
      <c r="Z55" s="84"/>
      <c r="AA55" s="84"/>
    </row>
    <row r="56" spans="1:27" x14ac:dyDescent="0.2">
      <c r="A56" s="89"/>
      <c r="B56" s="89" t="s">
        <v>202</v>
      </c>
      <c r="C56" s="90" t="s">
        <v>205</v>
      </c>
      <c r="D56" s="103" t="s">
        <v>61</v>
      </c>
      <c r="E56" s="91" t="s">
        <v>62</v>
      </c>
      <c r="F56" s="92" t="s">
        <v>44</v>
      </c>
      <c r="G56" s="102">
        <f>SUM(H56:X56)</f>
        <v>11413.121319659711</v>
      </c>
      <c r="H56" s="94">
        <f>SUMPRODUCT(H52:H55,'Parameters, general'!$B$24:$B$27)</f>
        <v>477.13973553549755</v>
      </c>
      <c r="I56" s="94">
        <f>SUMPRODUCT(I52:I55,'Parameters, general'!$B$24:$B$27)</f>
        <v>278.1068537727345</v>
      </c>
      <c r="J56" s="94">
        <f>SUMPRODUCT(J52:J55,'Parameters, general'!$B$24:$B$27)</f>
        <v>1200.3929282404247</v>
      </c>
      <c r="K56" s="94">
        <f>SUMPRODUCT(K52:K55,'Parameters, general'!$B$24:$B$27)</f>
        <v>120.03929282404249</v>
      </c>
      <c r="L56" s="94">
        <f>SUMPRODUCT(L52:L55,'Parameters, general'!$B$24:$B$27)</f>
        <v>321.0280598306091</v>
      </c>
      <c r="M56" s="94">
        <f>SUMPRODUCT(M52:M55,'Parameters, general'!$B$24:$B$27)</f>
        <v>0</v>
      </c>
      <c r="N56" s="94">
        <f>SUMPRODUCT(N52:N55,'Parameters, general'!$B$24:$B$27)</f>
        <v>43.894798534378914</v>
      </c>
      <c r="O56" s="94">
        <f>SUMPRODUCT(O52:O55,'Parameters, general'!$B$24:$B$27)</f>
        <v>190.03024508853917</v>
      </c>
      <c r="P56" s="94">
        <f>SUMPRODUCT(P52:P55,'Parameters, general'!$B$24:$B$27)</f>
        <v>339.43025853889685</v>
      </c>
      <c r="Q56" s="94">
        <f>SUMPRODUCT(Q52:Q55,'Parameters, general'!$B$24:$B$27)</f>
        <v>495.37542325002465</v>
      </c>
      <c r="R56" s="94">
        <f>SUMPRODUCT(R52:R55,'Parameters, general'!$B$24:$B$27)</f>
        <v>495.37542325002465</v>
      </c>
      <c r="S56" s="94">
        <f>SUMPRODUCT(S52:S55,'Parameters, general'!$B$24:$B$27)</f>
        <v>5027.6595804530843</v>
      </c>
      <c r="T56" s="94">
        <f>SUMPRODUCT(T52:T55,'Parameters, general'!$B$24:$B$27)</f>
        <v>1573.3290175238683</v>
      </c>
      <c r="U56" s="94"/>
      <c r="V56" s="94"/>
      <c r="W56" s="94">
        <f>SUMPRODUCT(W52:W55,'Parameters, general'!$B$24:$B$27)</f>
        <v>842.66437731977828</v>
      </c>
      <c r="X56" s="94">
        <f>SUMPRODUCT(X52:X55,'Parameters, general'!$B$24:$B$27)</f>
        <v>8.6553254978087413</v>
      </c>
      <c r="Z56" s="95">
        <f>SUM(H56:R56)</f>
        <v>3960.8130188651726</v>
      </c>
      <c r="AA56" s="96">
        <f>'CO2 per kg feed'!F164+'CH4 per kg feed'!F164*CF_GWP_CH4_fossil+'N2O per kg feed'!F164*CF_GWP_N2O</f>
        <v>0.36944906666758809</v>
      </c>
    </row>
    <row r="57" spans="1:27" x14ac:dyDescent="0.2">
      <c r="A57" s="74"/>
      <c r="B57" s="74" t="s">
        <v>202</v>
      </c>
      <c r="C57" s="75" t="s">
        <v>205</v>
      </c>
      <c r="D57" s="58" t="s">
        <v>63</v>
      </c>
      <c r="E57" s="58" t="s">
        <v>64</v>
      </c>
      <c r="F57" s="97" t="s">
        <v>40</v>
      </c>
      <c r="G57" s="78">
        <f>SUM(H57:X57)</f>
        <v>2169.6645755978134</v>
      </c>
      <c r="H57" s="78">
        <f>(Production!$L$5*'Parameters, country spec'!$L$53*'CO2 per kg feed'!G180+Production!$L$6*'Parameters, country spec'!$L$54*'CO2 per kg feed'!G181)</f>
        <v>331.10754557753148</v>
      </c>
      <c r="I57" s="83">
        <f>(Production!$L$5*'Parameters, country spec'!$L$53*'CO2 per kg feed'!H180+Production!$L$6*'Parameters, country spec'!$L$54*'CO2 per kg feed'!H181)</f>
        <v>268.7552990379458</v>
      </c>
      <c r="J57" s="83"/>
      <c r="K57" s="83"/>
      <c r="L57" s="78">
        <f>(Production!$L$5*'Parameters, country spec'!$L$53*'CO2 per kg feed'!K180+Production!$L$6*'Parameters, country spec'!$L$54*'CO2 per kg feed'!K181)</f>
        <v>263.43126962868888</v>
      </c>
      <c r="M57" s="78"/>
      <c r="N57" s="78">
        <f>(Production!$L$5*'Parameters, country spec'!$L$53*'CO2 per kg feed'!M180+Production!$L$6*'Parameters, country spec'!$L$54*'CO2 per kg feed'!M181)</f>
        <v>0.64927843967250998</v>
      </c>
      <c r="O57" s="78">
        <f>(Production!$L$5*'Parameters, country spec'!$L$53*'CO2 per kg feed'!N180+Production!$L$6*'Parameters, country spec'!$L$54*'CO2 per kg feed'!N181)</f>
        <v>93.433528366588121</v>
      </c>
      <c r="P57" s="78">
        <f>(Production!$L$5*'Parameters, country spec'!$L$53*'CO2 per kg feed'!O180+Production!$L$6*'Parameters, country spec'!$L$54*'CO2 per kg feed'!O181)</f>
        <v>243.79297370432144</v>
      </c>
      <c r="Q57" s="78">
        <f>(Production!$L$5*'Parameters, country spec'!$L$53*'CO2 per kg feed'!P180+Production!$L$6*'Parameters, country spec'!$L$54*'CO2 per kg feed'!P181)</f>
        <v>417.06757133301971</v>
      </c>
      <c r="R57" s="78">
        <f>(Production!$L$5*'Parameters, country spec'!$L$53*'CO2 per kg feed'!P180+Production!$L$6*'Parameters, country spec'!$L$54*'CO2 per kg feed'!P181)</f>
        <v>417.06757133301971</v>
      </c>
      <c r="S57" s="79"/>
      <c r="U57" s="81"/>
      <c r="V57" s="81"/>
      <c r="W57" s="79">
        <f>Production!L9*'Parameters, country spec'!L62*EF_el_CO2_SE</f>
        <v>130.42453999255304</v>
      </c>
      <c r="X57" s="82">
        <f>Production!L15*(Energy_slaughter_el_SE*EF_el_CO2_SE+Energy_slaughter_heat_SE*EF_gas_CO2)</f>
        <v>3.9349981844723985</v>
      </c>
    </row>
    <row r="58" spans="1:27" x14ac:dyDescent="0.2">
      <c r="A58" s="23"/>
      <c r="B58" s="23" t="s">
        <v>202</v>
      </c>
      <c r="C58" s="18" t="s">
        <v>205</v>
      </c>
      <c r="D58" s="58" t="s">
        <v>63</v>
      </c>
      <c r="E58" s="58" t="s">
        <v>64</v>
      </c>
      <c r="F58" s="23" t="s">
        <v>41</v>
      </c>
      <c r="G58" s="83">
        <f>SUM(H58:X58)</f>
        <v>12.148492247921119</v>
      </c>
      <c r="H58" s="56">
        <f>(Production!$L$5*'Parameters, country spec'!$L$53*'CH4 per kg feed'!G180+Production!$L$6*'Parameters, country spec'!$L$54*'CH4 per kg feed'!G181)</f>
        <v>0.12838298245147811</v>
      </c>
      <c r="I58" s="99">
        <f>(Production!$L$5*'Parameters, country spec'!$L$53*'CH4 per kg feed'!H180+Production!$L$6*'Parameters, country spec'!$L$54*'CH4 per kg feed'!H181)</f>
        <v>0.94562049661499459</v>
      </c>
      <c r="J58" s="99"/>
      <c r="K58" s="99"/>
      <c r="L58" s="56">
        <f>(Production!$L$5*'Parameters, country spec'!$L$53*'CH4 per kg feed'!K180+Production!$L$6*'Parameters, country spec'!$L$54*'CH4 per kg feed'!K181)</f>
        <v>0.11669116962082206</v>
      </c>
      <c r="M58" s="56"/>
      <c r="N58" s="56">
        <f>(Production!$L$5*'Parameters, country spec'!$L$53*'CH4 per kg feed'!M180+Production!$L$6*'Parameters, country spec'!$L$54*'CH4 per kg feed'!M181)</f>
        <v>1.9900442830243629E-3</v>
      </c>
      <c r="O58" s="56">
        <f>(Production!$L$5*'Parameters, country spec'!$L$53*'CH4 per kg feed'!N180+Production!$L$6*'Parameters, country spec'!$L$54*'CH4 per kg feed'!N181)</f>
        <v>4.7845496100984521E-2</v>
      </c>
      <c r="P58" s="56">
        <f>(Production!$L$5*'Parameters, country spec'!$L$53*'CH4 per kg feed'!O180+Production!$L$6*'Parameters, country spec'!$L$54*'CH4 per kg feed'!O181)</f>
        <v>0</v>
      </c>
      <c r="Q58" s="56">
        <f>(Production!$L$5*'Parameters, country spec'!$L$53*'CH4 per kg feed'!P180+Production!$L$6*'Parameters, country spec'!$L$54*'CH4 per kg feed'!P181)</f>
        <v>5.3755992400339316</v>
      </c>
      <c r="R58" s="56">
        <f>(Production!$L$5*'Parameters, country spec'!$L$53*'CH4 per kg feed'!P180+Production!$L$6*'Parameters, country spec'!$L$54*'CH4 per kg feed'!P181)</f>
        <v>5.3755992400339316</v>
      </c>
      <c r="W58" s="13">
        <f>Production!L9*'Parameters, country spec'!L62*EF_el_CH4_SE</f>
        <v>0.1449167356387483</v>
      </c>
      <c r="X58" s="53">
        <f>Production!L15*(Energy_slaughter_el_SE*EF_el_CH4_SE+Energy_slaughter_heat_SE*EF_gas_CH4)</f>
        <v>1.184684314320429E-2</v>
      </c>
    </row>
    <row r="59" spans="1:27" x14ac:dyDescent="0.2">
      <c r="A59" s="23"/>
      <c r="B59" s="23" t="s">
        <v>202</v>
      </c>
      <c r="C59" s="18" t="s">
        <v>205</v>
      </c>
      <c r="D59" s="58" t="s">
        <v>63</v>
      </c>
      <c r="E59" s="58" t="s">
        <v>64</v>
      </c>
      <c r="F59" s="23" t="s">
        <v>42</v>
      </c>
      <c r="G59" s="83">
        <f>SUM(H59:T59)</f>
        <v>214.38279327563168</v>
      </c>
      <c r="H59" s="56"/>
      <c r="I59" s="99"/>
      <c r="J59" s="99"/>
      <c r="K59" s="99"/>
      <c r="L59" s="56"/>
      <c r="M59" s="56"/>
      <c r="N59" s="56"/>
      <c r="O59" s="56"/>
      <c r="P59" s="56"/>
      <c r="Q59" s="56"/>
      <c r="R59" s="56"/>
      <c r="S59" s="13">
        <f>(Production!L5*EF_ent_ferm_SE+Production!L6*EF_ent_ferm_heif_SE)</f>
        <v>202.461016752831</v>
      </c>
      <c r="T59" s="52">
        <f>SUM(U59:V59)</f>
        <v>11.921776522800684</v>
      </c>
      <c r="U59" s="86">
        <f>Manure!W34</f>
        <v>11.921776522800684</v>
      </c>
      <c r="W59" s="13"/>
      <c r="X59" s="53"/>
      <c r="Z59" s="84"/>
      <c r="AA59" s="84"/>
    </row>
    <row r="60" spans="1:27" x14ac:dyDescent="0.2">
      <c r="A60" s="23"/>
      <c r="B60" s="23" t="s">
        <v>202</v>
      </c>
      <c r="C60" s="18" t="s">
        <v>205</v>
      </c>
      <c r="D60" s="58" t="s">
        <v>63</v>
      </c>
      <c r="E60" s="58" t="s">
        <v>64</v>
      </c>
      <c r="F60" s="87" t="s">
        <v>43</v>
      </c>
      <c r="G60" s="83">
        <f>SUM(H60:T60)+W60+X60</f>
        <v>7.7814321540793134</v>
      </c>
      <c r="H60" s="56">
        <f>(Production!$L$5*'Parameters, country spec'!$L$53*'N2O per kg feed'!G180+Production!$L$6*'Parameters, country spec'!$L$54*'N2O per kg feed'!G181)</f>
        <v>0.28711190473310144</v>
      </c>
      <c r="I60" s="84">
        <f>(Production!$L$5*'Parameters, country spec'!$L$53*'N2O per kg feed'!H180+Production!$L$6*'Parameters, country spec'!$L$54*'N2O per kg feed'!H181)</f>
        <v>1.09492899608052E-2</v>
      </c>
      <c r="J60" s="84">
        <f>(Production!$L$5*'Parameters, country spec'!$L$53*'N2O per kg feed'!I180+Production!$L$6*'Parameters, country spec'!$L$54*'N2O per kg feed'!I181+Manure!W153)</f>
        <v>4.0889648499069118</v>
      </c>
      <c r="K60" s="84">
        <f>J60*EF_indirect_N2O_SE</f>
        <v>0.4088964849906912</v>
      </c>
      <c r="L60" s="56">
        <f>(Production!$L$5*'Parameters, country spec'!$L$53*'N2O per kg feed'!K180+Production!$L$6*'Parameters, country spec'!$L$54*'N2O per kg feed'!K181)</f>
        <v>7.0785009225833176E-3</v>
      </c>
      <c r="M60" s="56"/>
      <c r="N60" s="56">
        <f>(Production!$L$5*'Parameters, country spec'!$L$53*'N2O per kg feed'!M180+Production!$L$6*'Parameters, country spec'!$L$54*'N2O per kg feed'!M181)</f>
        <v>2.7573605187121633E-5</v>
      </c>
      <c r="O60" s="56">
        <f>(Production!$L$5*'Parameters, country spec'!$L$53*'N2O per kg feed'!N180+Production!$L$6*'Parameters, country spec'!$L$54*'N2O per kg feed'!N181)</f>
        <v>3.4998572755907602E-3</v>
      </c>
      <c r="P60" s="56">
        <f>(Production!$L$5*'Parameters, country spec'!$L$53*'N2O per kg feed'!O180+Production!$L$6*'Parameters, country spec'!$L$54*'N2O per kg feed'!O181)</f>
        <v>0</v>
      </c>
      <c r="Q60" s="56">
        <f>(Production!$L$5*'Parameters, country spec'!$L$53*'N2O per kg feed'!P180+Production!$L$6*'Parameters, country spec'!$L$54*'N2O per kg feed'!P181)</f>
        <v>0.51687802113894454</v>
      </c>
      <c r="R60" s="56">
        <f>(Production!$L$5*'Parameters, country spec'!$L$53*'N2O per kg feed'!P180+Production!$L$6*'Parameters, country spec'!$L$54*'N2O per kg feed'!P181)</f>
        <v>0.51687802113894454</v>
      </c>
      <c r="S60" s="13"/>
      <c r="T60" s="53">
        <f>SUM(U60:V60)</f>
        <v>1.9288654647239749</v>
      </c>
      <c r="U60" s="88">
        <f>Manure!W92*44/28</f>
        <v>1.0858827539568761</v>
      </c>
      <c r="V60" s="88">
        <f>Manure!W159*17/14*Manure!V122</f>
        <v>0.84298271076709885</v>
      </c>
      <c r="W60" s="13">
        <f>Production!L9*'Parameters, country spec'!L62*EF_el_N2O_SE</f>
        <v>1.2050622087552056E-2</v>
      </c>
      <c r="X60" s="53">
        <f>Production!L15*(Energy_slaughter_el_SE*EF_el_N2O_SE+Energy_slaughter_heat_SE*EF_gas_N2O)</f>
        <v>2.3156359502543285E-4</v>
      </c>
    </row>
    <row r="61" spans="1:27" x14ac:dyDescent="0.2">
      <c r="A61" s="89"/>
      <c r="B61" s="89" t="s">
        <v>202</v>
      </c>
      <c r="C61" s="90" t="s">
        <v>205</v>
      </c>
      <c r="D61" s="91" t="s">
        <v>63</v>
      </c>
      <c r="E61" s="91" t="s">
        <v>64</v>
      </c>
      <c r="F61" s="92" t="s">
        <v>44</v>
      </c>
      <c r="G61" s="104">
        <f>SUM(H61:X61)</f>
        <v>10444.356041091571</v>
      </c>
      <c r="H61" s="105">
        <f>SUMPRODUCT(H57:H60,'Parameters, general'!$B$24:$B$27)</f>
        <v>413.3149084467222</v>
      </c>
      <c r="I61" s="94">
        <f>SUMPRODUCT(I57:I60,'Parameters, general'!$B$24:$B$27)</f>
        <v>299.92394599637242</v>
      </c>
      <c r="J61" s="94">
        <f>SUMPRODUCT(J57:J60,'Parameters, general'!$B$24:$B$27)</f>
        <v>1116.287404024587</v>
      </c>
      <c r="K61" s="94">
        <f>SUMPRODUCT(K57:K60,'Parameters, general'!$B$24:$B$27)</f>
        <v>111.6287404024587</v>
      </c>
      <c r="L61" s="94">
        <f>SUMPRODUCT(L57:L60,'Parameters, general'!$B$24:$B$27)</f>
        <v>268.84109723525461</v>
      </c>
      <c r="M61" s="94">
        <f>SUMPRODUCT(M57:M60,'Parameters, general'!$B$24:$B$27)</f>
        <v>0</v>
      </c>
      <c r="N61" s="94">
        <f>SUMPRODUCT(N57:N60,'Parameters, general'!$B$24:$B$27)</f>
        <v>0.7161093535227202</v>
      </c>
      <c r="O61" s="94">
        <f>SUMPRODUCT(O57:O60,'Parameters, general'!$B$24:$B$27)</f>
        <v>95.814785186633728</v>
      </c>
      <c r="P61" s="94">
        <f>SUMPRODUCT(P57:P60,'Parameters, general'!$B$24:$B$27)</f>
        <v>243.79297370432144</v>
      </c>
      <c r="Q61" s="94">
        <f>SUMPRODUCT(Q57:Q60,'Parameters, general'!$B$24:$B$27)</f>
        <v>718.36812845696272</v>
      </c>
      <c r="R61" s="94">
        <f>SUMPRODUCT(R57:R60,'Parameters, general'!$B$24:$B$27)</f>
        <v>718.36812845696272</v>
      </c>
      <c r="S61" s="94">
        <f>SUMPRODUCT(S57:S60,'Parameters, general'!$B$24:$B$27)</f>
        <v>5466.4474523264371</v>
      </c>
      <c r="T61" s="94">
        <f>SUMPRODUCT(T57:T60,'Parameters, general'!$B$24:$B$27)</f>
        <v>848.46823798526361</v>
      </c>
      <c r="U61" s="94"/>
      <c r="V61" s="94"/>
      <c r="W61" s="94">
        <f>SUMPRODUCT(W57:W60,'Parameters, general'!$B$24:$B$27)</f>
        <v>138.03287854448945</v>
      </c>
      <c r="X61" s="94">
        <f>SUMPRODUCT(X57:X60,'Parameters, general'!$B$24:$B$27)</f>
        <v>4.3512509715818295</v>
      </c>
      <c r="Z61" s="95">
        <f>SUM(H61:R61)</f>
        <v>3987.0562212637988</v>
      </c>
      <c r="AA61" s="106">
        <f>'CO2 per kg feed'!F180+'CH4 per kg feed'!F180*CF_GWP_CH4_fossil+'N2O per kg feed'!F180*CF_GWP_N2O</f>
        <v>0.31750016262303116</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U23"/>
  <sheetViews>
    <sheetView topLeftCell="A3" zoomScale="92" zoomScaleNormal="92" workbookViewId="0">
      <selection activeCell="E28" sqref="E28"/>
    </sheetView>
  </sheetViews>
  <sheetFormatPr baseColWidth="10" defaultColWidth="8.6640625" defaultRowHeight="15" x14ac:dyDescent="0.2"/>
  <cols>
    <col min="1" max="1" width="59.5" customWidth="1"/>
    <col min="2" max="11" width="10.6640625" customWidth="1"/>
    <col min="12" max="12" width="10.6640625" style="193" customWidth="1"/>
  </cols>
  <sheetData>
    <row r="2" spans="1:21" ht="18" customHeight="1" x14ac:dyDescent="0.25">
      <c r="A2" s="194" t="s">
        <v>206</v>
      </c>
      <c r="B2" t="s">
        <v>39</v>
      </c>
      <c r="C2" t="s">
        <v>46</v>
      </c>
      <c r="D2" t="s">
        <v>48</v>
      </c>
      <c r="E2" t="s">
        <v>50</v>
      </c>
      <c r="F2" t="s">
        <v>52</v>
      </c>
      <c r="G2" t="s">
        <v>54</v>
      </c>
      <c r="H2" t="s">
        <v>56</v>
      </c>
      <c r="I2" t="s">
        <v>58</v>
      </c>
      <c r="J2" t="s">
        <v>60</v>
      </c>
      <c r="K2" t="s">
        <v>62</v>
      </c>
      <c r="L2" s="195" t="s">
        <v>64</v>
      </c>
    </row>
    <row r="3" spans="1:21" ht="18" customHeight="1" x14ac:dyDescent="0.25">
      <c r="A3" s="194"/>
      <c r="B3" s="12" t="s">
        <v>88</v>
      </c>
      <c r="C3" s="12" t="s">
        <v>45</v>
      </c>
      <c r="D3" s="12" t="s">
        <v>47</v>
      </c>
      <c r="E3" s="12" t="s">
        <v>49</v>
      </c>
      <c r="F3" s="12" t="s">
        <v>86</v>
      </c>
      <c r="G3" s="12" t="s">
        <v>89</v>
      </c>
      <c r="H3" s="12" t="s">
        <v>55</v>
      </c>
      <c r="I3" s="12" t="s">
        <v>87</v>
      </c>
      <c r="J3" s="12" t="s">
        <v>59</v>
      </c>
      <c r="K3" s="12" t="s">
        <v>61</v>
      </c>
      <c r="L3" s="14" t="s">
        <v>63</v>
      </c>
      <c r="U3" s="196"/>
    </row>
    <row r="4" spans="1:21" x14ac:dyDescent="0.2">
      <c r="A4" s="197" t="s">
        <v>207</v>
      </c>
      <c r="B4" s="198"/>
      <c r="C4" s="198"/>
      <c r="D4" s="198"/>
      <c r="E4" s="198"/>
      <c r="F4" s="198"/>
      <c r="G4" s="198"/>
      <c r="H4" s="198"/>
      <c r="I4" s="198"/>
      <c r="J4" s="198"/>
      <c r="K4" s="198"/>
      <c r="L4" s="199"/>
      <c r="U4" s="196"/>
    </row>
    <row r="5" spans="1:21" x14ac:dyDescent="0.2">
      <c r="A5" s="22" t="s">
        <v>171</v>
      </c>
      <c r="B5" s="200">
        <v>1</v>
      </c>
      <c r="C5" s="200">
        <v>1</v>
      </c>
      <c r="D5" s="200">
        <v>1</v>
      </c>
      <c r="E5" s="200">
        <v>1</v>
      </c>
      <c r="F5" s="200">
        <v>1</v>
      </c>
      <c r="G5" s="200">
        <v>1</v>
      </c>
      <c r="H5" s="200">
        <v>1</v>
      </c>
      <c r="I5" s="200">
        <v>1</v>
      </c>
      <c r="J5" s="200">
        <v>1</v>
      </c>
      <c r="K5" s="200">
        <v>1</v>
      </c>
      <c r="L5" s="200">
        <v>1</v>
      </c>
      <c r="N5" s="201" t="s">
        <v>208</v>
      </c>
      <c r="U5" s="196"/>
    </row>
    <row r="6" spans="1:21" x14ac:dyDescent="0.2">
      <c r="A6" s="22" t="s">
        <v>209</v>
      </c>
      <c r="B6" s="202">
        <f>B5*'Parameters, country spec'!B6/100*2</f>
        <v>0.84</v>
      </c>
      <c r="C6" s="202">
        <f>C5*'Parameters, country spec'!C6/100*2</f>
        <v>0.72</v>
      </c>
      <c r="D6" s="202">
        <f>D5*'Parameters, country spec'!D6/100*2</f>
        <v>0.72</v>
      </c>
      <c r="E6" s="202">
        <f>E5*'Parameters, country spec'!E6/100*2</f>
        <v>0.72</v>
      </c>
      <c r="F6" s="202">
        <f>F5*'Parameters, country spec'!F6/100*2</f>
        <v>0.72</v>
      </c>
      <c r="G6" s="202">
        <f>G5*'Parameters, country spec'!G6/100*2</f>
        <v>0.72</v>
      </c>
      <c r="H6" s="202">
        <f>H5*'Parameters, country spec'!H6/100*2</f>
        <v>0.72</v>
      </c>
      <c r="I6" s="202">
        <f>I5*'Parameters, country spec'!I6/100*2</f>
        <v>0.72</v>
      </c>
      <c r="J6" s="202">
        <f>J5*'Parameters, country spec'!J6/100*2</f>
        <v>0.72</v>
      </c>
      <c r="K6" s="202">
        <f>K5*'Parameters, country spec'!K6/100*2</f>
        <v>0.72</v>
      </c>
      <c r="L6" s="202">
        <f>L5*'Parameters, country spec'!L6/100*2</f>
        <v>0.72</v>
      </c>
      <c r="N6" s="201" t="s">
        <v>210</v>
      </c>
      <c r="U6" s="196"/>
    </row>
    <row r="7" spans="1:21" x14ac:dyDescent="0.2">
      <c r="A7" s="22" t="s">
        <v>211</v>
      </c>
      <c r="B7" s="202">
        <f>B5*'Parameters, country spec'!B7/100-B6/2</f>
        <v>0.52200000000000002</v>
      </c>
      <c r="C7" s="202">
        <f>C5*'Parameters, country spec'!C7/100-C6/2</f>
        <v>0.58200000000000007</v>
      </c>
      <c r="D7" s="202">
        <f>D5*'Parameters, country spec'!D7/100-D6/2</f>
        <v>0.58200000000000007</v>
      </c>
      <c r="E7" s="202">
        <f>E5*'Parameters, country spec'!E7/100-E6/2</f>
        <v>0.58200000000000007</v>
      </c>
      <c r="F7" s="202">
        <f>F5*'Parameters, country spec'!F7/100-F6/2</f>
        <v>0.58200000000000007</v>
      </c>
      <c r="G7" s="202">
        <f>G5*'Parameters, country spec'!G7/100-G6/2</f>
        <v>0.58200000000000007</v>
      </c>
      <c r="H7" s="202">
        <f>H5*'Parameters, country spec'!H7/100-H6/2</f>
        <v>0.58200000000000007</v>
      </c>
      <c r="I7" s="202">
        <f>I5*'Parameters, country spec'!I7/100-I6/2</f>
        <v>0.58200000000000007</v>
      </c>
      <c r="J7" s="202">
        <f>J5*'Parameters, country spec'!J7/100-J6/2</f>
        <v>0.58200000000000007</v>
      </c>
      <c r="K7" s="202">
        <f>K5*'Parameters, country spec'!K7/100-K6/2</f>
        <v>0.58200000000000007</v>
      </c>
      <c r="L7" s="202">
        <f>L5*'Parameters, country spec'!L7/100-L6/2</f>
        <v>0.58200000000000007</v>
      </c>
      <c r="N7" s="201" t="s">
        <v>212</v>
      </c>
      <c r="U7" s="196"/>
    </row>
    <row r="8" spans="1:21" x14ac:dyDescent="0.2">
      <c r="A8" s="197" t="s">
        <v>213</v>
      </c>
      <c r="B8" s="133"/>
      <c r="C8" s="133"/>
      <c r="D8" s="133"/>
      <c r="E8" s="133"/>
      <c r="F8" s="133"/>
      <c r="G8" s="133"/>
      <c r="H8" s="133"/>
      <c r="I8" s="133"/>
      <c r="J8" s="133"/>
      <c r="K8" s="133"/>
      <c r="L8" s="133"/>
      <c r="N8" s="201"/>
      <c r="U8" s="196"/>
    </row>
    <row r="9" spans="1:21" x14ac:dyDescent="0.2">
      <c r="A9" s="22" t="s">
        <v>171</v>
      </c>
      <c r="B9" s="195">
        <f>B5*'Parameters, country spec'!B5</f>
        <v>10238.996028924899</v>
      </c>
      <c r="C9" s="195">
        <f>C5*'Parameters, country spec'!C5</f>
        <v>7586.3698445524396</v>
      </c>
      <c r="D9" s="195">
        <f>D5*'Parameters, country spec'!D5</f>
        <v>8802.8665323169407</v>
      </c>
      <c r="E9" s="195">
        <f>E5*'Parameters, country spec'!E5</f>
        <v>7952.0791865144101</v>
      </c>
      <c r="F9" s="195">
        <f>F5*'Parameters, country spec'!F5</f>
        <v>7671.26647752186</v>
      </c>
      <c r="G9" s="195">
        <f>G5*'Parameters, country spec'!G5</f>
        <v>5913.2300120909204</v>
      </c>
      <c r="H9" s="195">
        <f>H5*'Parameters, country spec'!H5</f>
        <v>7143.46771997836</v>
      </c>
      <c r="I9" s="195">
        <f>I5*'Parameters, country spec'!I5</f>
        <v>9304.0125244565406</v>
      </c>
      <c r="J9" s="195">
        <f>J5*'Parameters, country spec'!J5</f>
        <v>7366.6798264372201</v>
      </c>
      <c r="K9" s="195">
        <f>K5*'Parameters, country spec'!K5</f>
        <v>9485.4077911873901</v>
      </c>
      <c r="L9" s="195">
        <f>L5*'Parameters, country spec'!L5</f>
        <v>9425.7839237199805</v>
      </c>
      <c r="N9" s="201" t="s">
        <v>214</v>
      </c>
      <c r="U9" s="196"/>
    </row>
    <row r="10" spans="1:21" x14ac:dyDescent="0.2">
      <c r="A10" s="197" t="s">
        <v>215</v>
      </c>
      <c r="B10" s="133"/>
      <c r="C10" s="133"/>
      <c r="D10" s="133"/>
      <c r="E10" s="133"/>
      <c r="F10" s="133"/>
      <c r="G10" s="133"/>
      <c r="H10" s="133"/>
      <c r="I10" s="133"/>
      <c r="J10" s="133"/>
      <c r="K10" s="133"/>
      <c r="L10" s="133"/>
      <c r="N10" s="201"/>
      <c r="U10" s="196"/>
    </row>
    <row r="11" spans="1:21" x14ac:dyDescent="0.2">
      <c r="A11" s="22" t="s">
        <v>171</v>
      </c>
      <c r="B11" s="202">
        <f>B6*(100-'Parameters, country spec'!B13)/100/2</f>
        <v>0.39228000000000002</v>
      </c>
      <c r="C11" s="202">
        <f>C6*(100-'Parameters, country spec'!C13)/100/2</f>
        <v>0.33624000000000004</v>
      </c>
      <c r="D11" s="202">
        <f>D6*(100-'Parameters, country spec'!D13)/100/2</f>
        <v>0.33624000000000004</v>
      </c>
      <c r="E11" s="202">
        <f>E6*(100-'Parameters, country spec'!E13)/100/2</f>
        <v>0.33624000000000004</v>
      </c>
      <c r="F11" s="202">
        <f>F6*(100-'Parameters, country spec'!F13)/100/2</f>
        <v>0.33624000000000004</v>
      </c>
      <c r="G11" s="202">
        <f>G6*(100-'Parameters, country spec'!G13)/100/2</f>
        <v>0.33624000000000004</v>
      </c>
      <c r="H11" s="202">
        <f>H6*(100-'Parameters, country spec'!H13)/100/2</f>
        <v>0.33624000000000004</v>
      </c>
      <c r="I11" s="202">
        <f>I6*(100-'Parameters, country spec'!I13)/100/2</f>
        <v>0.33624000000000004</v>
      </c>
      <c r="J11" s="202">
        <f>J6*(100-'Parameters, country spec'!J13)/100/2</f>
        <v>0.33624000000000004</v>
      </c>
      <c r="K11" s="202">
        <f>K6*(100-'Parameters, country spec'!K13)/100/2</f>
        <v>0.33624000000000004</v>
      </c>
      <c r="L11" s="202">
        <f>L6*(100-'Parameters, country spec'!L13)/100/2</f>
        <v>0.33624000000000004</v>
      </c>
      <c r="M11" s="18"/>
      <c r="N11" s="203" t="s">
        <v>216</v>
      </c>
      <c r="U11" s="196"/>
    </row>
    <row r="12" spans="1:21" x14ac:dyDescent="0.2">
      <c r="A12" s="197" t="s">
        <v>217</v>
      </c>
      <c r="B12" s="204"/>
      <c r="C12" s="204"/>
      <c r="D12" s="204"/>
      <c r="E12" s="204"/>
      <c r="F12" s="204"/>
      <c r="G12" s="204"/>
      <c r="H12" s="204"/>
      <c r="I12" s="204"/>
      <c r="J12" s="204"/>
      <c r="K12" s="204"/>
      <c r="L12" s="204"/>
      <c r="N12" s="201"/>
    </row>
    <row r="13" spans="1:21" x14ac:dyDescent="0.2">
      <c r="A13" s="22" t="s">
        <v>37</v>
      </c>
      <c r="B13" s="202">
        <f>B7*(100-'Parameters, country spec'!B14)/100</f>
        <v>0.50216400000000005</v>
      </c>
      <c r="C13" s="202">
        <f>C7*(100-'Parameters, country spec'!C14)/100</f>
        <v>0.55988400000000005</v>
      </c>
      <c r="D13" s="202">
        <f>D7*(100-'Parameters, country spec'!D14)/100</f>
        <v>0.55988400000000005</v>
      </c>
      <c r="E13" s="202">
        <f>E7*(100-'Parameters, country spec'!E14)/100</f>
        <v>0.55988400000000005</v>
      </c>
      <c r="F13" s="202">
        <f>F7*(100-'Parameters, country spec'!F14)/100</f>
        <v>0.55988400000000005</v>
      </c>
      <c r="G13" s="202">
        <f>G7*(100-'Parameters, country spec'!G14)/100</f>
        <v>0.55988400000000005</v>
      </c>
      <c r="H13" s="202">
        <f>H7*(100-'Parameters, country spec'!H14)/100</f>
        <v>0.55988400000000005</v>
      </c>
      <c r="I13" s="202">
        <f>I7*(100-'Parameters, country spec'!I14)/100</f>
        <v>0.55988400000000005</v>
      </c>
      <c r="J13" s="202">
        <f>J7*(100-'Parameters, country spec'!J14)/100</f>
        <v>0.55988400000000005</v>
      </c>
      <c r="K13" s="202">
        <f>K7*(100-'Parameters, country spec'!K14)/100</f>
        <v>0.55988400000000005</v>
      </c>
      <c r="L13" s="202">
        <f>L7*(100-'Parameters, country spec'!L14)/100</f>
        <v>0.55988400000000005</v>
      </c>
      <c r="N13" s="201" t="s">
        <v>218</v>
      </c>
    </row>
    <row r="14" spans="1:21" x14ac:dyDescent="0.2">
      <c r="A14" s="197" t="s">
        <v>219</v>
      </c>
      <c r="B14" s="204"/>
      <c r="C14" s="204"/>
      <c r="D14" s="204"/>
      <c r="E14" s="204"/>
      <c r="F14" s="204"/>
      <c r="G14" s="204"/>
      <c r="H14" s="204"/>
      <c r="I14" s="204"/>
      <c r="J14" s="204"/>
      <c r="K14" s="204"/>
      <c r="L14" s="204"/>
      <c r="N14" s="201"/>
    </row>
    <row r="15" spans="1:21" x14ac:dyDescent="0.2">
      <c r="A15" s="22" t="s">
        <v>171</v>
      </c>
      <c r="B15" s="195">
        <f>B11*'Parameters, country spec'!B10</f>
        <v>102.38508</v>
      </c>
      <c r="C15" s="195">
        <f>C11*'Parameters, country spec'!C10</f>
        <v>102.28420800000001</v>
      </c>
      <c r="D15" s="195">
        <f>D11*'Parameters, country spec'!D10</f>
        <v>91.541340000000005</v>
      </c>
      <c r="E15" s="195">
        <f>E11*'Parameters, country spec'!E10</f>
        <v>93.810960000000009</v>
      </c>
      <c r="F15" s="195">
        <f>F11*'Parameters, country spec'!F10</f>
        <v>96.231888000000012</v>
      </c>
      <c r="G15" s="195">
        <f>G11*'Parameters, country spec'!G10</f>
        <v>80.949780000000004</v>
      </c>
      <c r="H15" s="195">
        <f>H11*'Parameters, country spec'!H10</f>
        <v>91.193331600000008</v>
      </c>
      <c r="I15" s="195">
        <f>I11*'Parameters, country spec'!I10</f>
        <v>89.171856720000008</v>
      </c>
      <c r="J15" s="195">
        <f>J11*'Parameters, country spec'!J10</f>
        <v>91.541340000000005</v>
      </c>
      <c r="K15" s="195">
        <f>K11*'Parameters, country spec'!K10</f>
        <v>102.13290000000001</v>
      </c>
      <c r="L15" s="195">
        <f>L11*'Parameters, country spec'!L10</f>
        <v>98.350200000000015</v>
      </c>
      <c r="N15" s="201" t="s">
        <v>220</v>
      </c>
    </row>
    <row r="16" spans="1:21" x14ac:dyDescent="0.2">
      <c r="A16" s="197" t="s">
        <v>221</v>
      </c>
      <c r="B16" s="199"/>
      <c r="C16" s="199"/>
      <c r="D16" s="199"/>
      <c r="E16" s="199"/>
      <c r="F16" s="199"/>
      <c r="G16" s="199"/>
      <c r="H16" s="199"/>
      <c r="I16" s="199"/>
      <c r="J16" s="199"/>
      <c r="K16" s="199"/>
      <c r="L16" s="199"/>
    </row>
    <row r="17" spans="1:12" x14ac:dyDescent="0.2">
      <c r="A17" s="22" t="s">
        <v>171</v>
      </c>
      <c r="B17" s="195">
        <f>B15*'Parameters, country spec'!B9</f>
        <v>71.15763059999999</v>
      </c>
      <c r="C17" s="195">
        <f>C15*'Parameters, country spec'!C9</f>
        <v>71.087524560000006</v>
      </c>
      <c r="D17" s="195">
        <f>D15*'Parameters, country spec'!D9</f>
        <v>63.621231299999998</v>
      </c>
      <c r="E17" s="195">
        <f>E15*'Parameters, country spec'!E9</f>
        <v>65.198617200000001</v>
      </c>
      <c r="F17" s="195">
        <f>F15*'Parameters, country spec'!F9</f>
        <v>66.881162160000002</v>
      </c>
      <c r="G17" s="195">
        <f>G15*'Parameters, country spec'!G9</f>
        <v>56.260097099999996</v>
      </c>
      <c r="H17" s="195">
        <f>H15*'Parameters, country spec'!H9</f>
        <v>63.379365462000003</v>
      </c>
      <c r="I17" s="195">
        <f>I15*'Parameters, country spec'!I9</f>
        <v>61.974440420400001</v>
      </c>
      <c r="J17" s="195">
        <f>J15*'Parameters, country spec'!J9</f>
        <v>63.621231299999998</v>
      </c>
      <c r="K17" s="195">
        <f>K15*'Parameters, country spec'!K9</f>
        <v>70.9823655</v>
      </c>
      <c r="L17" s="195">
        <f>L15*'Parameters, country spec'!L9</f>
        <v>68.353389000000007</v>
      </c>
    </row>
    <row r="18" spans="1:12" x14ac:dyDescent="0.2">
      <c r="A18" s="197" t="s">
        <v>222</v>
      </c>
      <c r="B18" s="199"/>
      <c r="C18" s="199"/>
      <c r="D18" s="199"/>
      <c r="E18" s="199"/>
      <c r="F18" s="199"/>
      <c r="G18" s="199"/>
      <c r="H18" s="199"/>
      <c r="I18" s="199"/>
      <c r="J18" s="199"/>
      <c r="K18" s="199"/>
      <c r="L18" s="199"/>
    </row>
    <row r="19" spans="1:12" x14ac:dyDescent="0.2">
      <c r="A19" s="22" t="s">
        <v>171</v>
      </c>
      <c r="B19" s="200">
        <f>B11*'Parameters, country spec'!B11</f>
        <v>7.5247149600000016</v>
      </c>
      <c r="C19" s="200">
        <f>C11*'Parameters, country spec'!C11</f>
        <v>6.4497556800000018</v>
      </c>
      <c r="D19" s="200">
        <f>D11*'Parameters, country spec'!D11</f>
        <v>6.4497556800000018</v>
      </c>
      <c r="E19" s="200">
        <f>E11*'Parameters, country spec'!E11</f>
        <v>6.4497556800000018</v>
      </c>
      <c r="F19" s="200">
        <f>F11*'Parameters, country spec'!F11</f>
        <v>6.4497556800000018</v>
      </c>
      <c r="G19" s="200">
        <f>G11*'Parameters, country spec'!G11</f>
        <v>6.4497556800000018</v>
      </c>
      <c r="H19" s="200">
        <f>H11*'Parameters, country spec'!H11</f>
        <v>6.4497556800000018</v>
      </c>
      <c r="I19" s="200">
        <f>I11*'Parameters, country spec'!I11</f>
        <v>6.4497556800000018</v>
      </c>
      <c r="J19" s="200">
        <f>J11*'Parameters, country spec'!J11</f>
        <v>6.4497556800000018</v>
      </c>
      <c r="K19" s="200">
        <f>K11*'Parameters, country spec'!K11</f>
        <v>6.4497556800000018</v>
      </c>
      <c r="L19" s="200">
        <f>L11*'Parameters, country spec'!L11</f>
        <v>6.4497556800000018</v>
      </c>
    </row>
    <row r="20" spans="1:12" x14ac:dyDescent="0.2">
      <c r="A20" s="197" t="s">
        <v>223</v>
      </c>
      <c r="B20" s="199"/>
      <c r="C20" s="199"/>
      <c r="D20" s="199"/>
      <c r="E20" s="199"/>
      <c r="F20" s="199"/>
      <c r="G20" s="199"/>
      <c r="H20" s="199"/>
      <c r="I20" s="199"/>
      <c r="J20" s="199"/>
      <c r="K20" s="199"/>
      <c r="L20" s="199"/>
    </row>
    <row r="21" spans="1:12" x14ac:dyDescent="0.2">
      <c r="A21" s="22" t="s">
        <v>171</v>
      </c>
      <c r="B21" s="200">
        <f>B11*'Parameters, country spec'!B12</f>
        <v>7.0610400000000002</v>
      </c>
      <c r="C21" s="200">
        <f>C11*'Parameters, country spec'!C12</f>
        <v>6.0523200000000008</v>
      </c>
      <c r="D21" s="200">
        <f>D11*'Parameters, country spec'!D12</f>
        <v>6.0523200000000008</v>
      </c>
      <c r="E21" s="200">
        <f>E11*'Parameters, country spec'!E12</f>
        <v>6.0523200000000008</v>
      </c>
      <c r="F21" s="200">
        <f>F11*'Parameters, country spec'!F12</f>
        <v>6.0523200000000008</v>
      </c>
      <c r="G21" s="200">
        <f>G11*'Parameters, country spec'!G12</f>
        <v>6.0523200000000008</v>
      </c>
      <c r="H21" s="200">
        <f>H11*'Parameters, country spec'!H12</f>
        <v>6.0523200000000008</v>
      </c>
      <c r="I21" s="200">
        <f>I11*'Parameters, country spec'!I12</f>
        <v>6.0523200000000008</v>
      </c>
      <c r="J21" s="200">
        <f>J11*'Parameters, country spec'!J12</f>
        <v>6.0523200000000008</v>
      </c>
      <c r="K21" s="200">
        <f>K11*'Parameters, country spec'!K12</f>
        <v>6.0523200000000008</v>
      </c>
      <c r="L21" s="200">
        <f>L11*'Parameters, country spec'!L12</f>
        <v>6.0523200000000008</v>
      </c>
    </row>
    <row r="22" spans="1:12" x14ac:dyDescent="0.2">
      <c r="A22" s="197" t="s">
        <v>224</v>
      </c>
      <c r="B22" s="199"/>
      <c r="C22" s="199"/>
      <c r="D22" s="199"/>
      <c r="E22" s="199"/>
      <c r="F22" s="199"/>
      <c r="G22" s="199"/>
      <c r="H22" s="199"/>
      <c r="I22" s="199"/>
      <c r="J22" s="199"/>
      <c r="K22" s="199"/>
      <c r="L22" s="199"/>
    </row>
    <row r="23" spans="1:12" x14ac:dyDescent="0.2">
      <c r="A23" s="22" t="s">
        <v>171</v>
      </c>
      <c r="B23" s="195">
        <f t="shared" ref="B23:L23" si="0">B17+B19</f>
        <v>78.682345559999987</v>
      </c>
      <c r="C23" s="195">
        <f t="shared" si="0"/>
        <v>77.537280240000001</v>
      </c>
      <c r="D23" s="195">
        <f t="shared" si="0"/>
        <v>70.070986980000001</v>
      </c>
      <c r="E23" s="195">
        <f t="shared" si="0"/>
        <v>71.648372879999997</v>
      </c>
      <c r="F23" s="195">
        <f t="shared" si="0"/>
        <v>73.330917839999998</v>
      </c>
      <c r="G23" s="195">
        <f t="shared" si="0"/>
        <v>62.709852779999999</v>
      </c>
      <c r="H23" s="195">
        <f t="shared" si="0"/>
        <v>69.829121142000005</v>
      </c>
      <c r="I23" s="195">
        <f t="shared" si="0"/>
        <v>68.424196100399996</v>
      </c>
      <c r="J23" s="195">
        <f t="shared" si="0"/>
        <v>70.070986980000001</v>
      </c>
      <c r="K23" s="195">
        <f t="shared" si="0"/>
        <v>77.432121179999996</v>
      </c>
      <c r="L23" s="195">
        <f t="shared" si="0"/>
        <v>74.803144680000003</v>
      </c>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DC3E6"/>
  </sheetPr>
  <dimension ref="A2:AK102"/>
  <sheetViews>
    <sheetView topLeftCell="A63" zoomScale="88" zoomScaleNormal="88" workbookViewId="0">
      <selection activeCell="I116" sqref="I116"/>
    </sheetView>
  </sheetViews>
  <sheetFormatPr baseColWidth="10" defaultColWidth="8.6640625" defaultRowHeight="15" x14ac:dyDescent="0.2"/>
  <cols>
    <col min="1" max="1" width="55.6640625" customWidth="1"/>
    <col min="2" max="11" width="10.6640625" customWidth="1"/>
    <col min="12" max="12" width="10.6640625" style="193" customWidth="1"/>
    <col min="14" max="14" width="29.33203125" customWidth="1"/>
    <col min="15" max="15" width="24.33203125" customWidth="1"/>
  </cols>
  <sheetData>
    <row r="2" spans="1:37" ht="18" customHeight="1" x14ac:dyDescent="0.25">
      <c r="A2" s="194" t="s">
        <v>225</v>
      </c>
      <c r="D2" s="25"/>
    </row>
    <row r="3" spans="1:37" x14ac:dyDescent="0.2">
      <c r="B3" t="s">
        <v>39</v>
      </c>
      <c r="C3" t="s">
        <v>46</v>
      </c>
      <c r="D3" t="s">
        <v>48</v>
      </c>
      <c r="E3" t="s">
        <v>50</v>
      </c>
      <c r="F3" t="s">
        <v>52</v>
      </c>
      <c r="G3" t="s">
        <v>54</v>
      </c>
      <c r="H3" t="s">
        <v>56</v>
      </c>
      <c r="I3" t="s">
        <v>58</v>
      </c>
      <c r="J3" t="s">
        <v>60</v>
      </c>
      <c r="K3" t="s">
        <v>62</v>
      </c>
      <c r="L3" s="58" t="s">
        <v>64</v>
      </c>
      <c r="AG3" s="205" t="s">
        <v>226</v>
      </c>
      <c r="AH3" s="206"/>
      <c r="AI3" s="206"/>
      <c r="AJ3" s="206"/>
      <c r="AK3" s="207"/>
    </row>
    <row r="4" spans="1:37" x14ac:dyDescent="0.2">
      <c r="A4" s="208" t="s">
        <v>227</v>
      </c>
      <c r="B4" s="208" t="s">
        <v>88</v>
      </c>
      <c r="C4" s="208" t="s">
        <v>45</v>
      </c>
      <c r="D4" s="208" t="s">
        <v>47</v>
      </c>
      <c r="E4" s="208" t="s">
        <v>49</v>
      </c>
      <c r="F4" s="208" t="s">
        <v>86</v>
      </c>
      <c r="G4" s="208" t="s">
        <v>89</v>
      </c>
      <c r="H4" s="208" t="s">
        <v>55</v>
      </c>
      <c r="I4" s="208" t="s">
        <v>87</v>
      </c>
      <c r="J4" s="208" t="s">
        <v>59</v>
      </c>
      <c r="K4" s="208" t="s">
        <v>61</v>
      </c>
      <c r="L4" s="208" t="s">
        <v>63</v>
      </c>
      <c r="N4" s="209" t="s">
        <v>228</v>
      </c>
      <c r="O4" s="209"/>
      <c r="P4" s="209" t="s">
        <v>229</v>
      </c>
      <c r="Q4" s="209"/>
      <c r="AG4" s="210"/>
      <c r="AH4" s="201" t="s">
        <v>230</v>
      </c>
      <c r="AI4" s="201" t="s">
        <v>231</v>
      </c>
      <c r="AJ4" s="201" t="s">
        <v>232</v>
      </c>
      <c r="AK4" s="211"/>
    </row>
    <row r="5" spans="1:37" x14ac:dyDescent="0.2">
      <c r="A5" s="22" t="s">
        <v>233</v>
      </c>
      <c r="B5" s="212">
        <v>10238.996028924899</v>
      </c>
      <c r="C5" s="212">
        <v>7586.3698445524396</v>
      </c>
      <c r="D5" s="212">
        <v>8802.8665323169407</v>
      </c>
      <c r="E5" s="212">
        <v>7952.0791865144101</v>
      </c>
      <c r="F5" s="212">
        <v>7671.26647752186</v>
      </c>
      <c r="G5" s="212">
        <v>5913.2300120909204</v>
      </c>
      <c r="H5" s="212">
        <v>7143.46771997836</v>
      </c>
      <c r="I5" s="212">
        <v>9304.0125244565406</v>
      </c>
      <c r="J5" s="212">
        <v>7366.6798264372201</v>
      </c>
      <c r="K5" s="212">
        <v>9485.4077911873901</v>
      </c>
      <c r="L5" s="212">
        <v>9425.7839237199805</v>
      </c>
      <c r="N5" s="201" t="s">
        <v>234</v>
      </c>
      <c r="O5" s="201"/>
      <c r="P5" s="213" t="s">
        <v>235</v>
      </c>
      <c r="Q5" s="201"/>
      <c r="AG5" s="210" t="s">
        <v>236</v>
      </c>
      <c r="AH5" s="201">
        <v>12</v>
      </c>
      <c r="AI5" s="201">
        <v>3</v>
      </c>
      <c r="AJ5" s="201">
        <f>AH5*AI5/100</f>
        <v>0.36</v>
      </c>
      <c r="AK5" s="211"/>
    </row>
    <row r="6" spans="1:37" x14ac:dyDescent="0.2">
      <c r="A6" s="22" t="s">
        <v>237</v>
      </c>
      <c r="B6" s="214">
        <v>42</v>
      </c>
      <c r="C6" s="215">
        <v>36</v>
      </c>
      <c r="D6" s="215">
        <v>36</v>
      </c>
      <c r="E6" s="215">
        <v>36</v>
      </c>
      <c r="F6" s="215">
        <v>36</v>
      </c>
      <c r="G6" s="215">
        <v>36</v>
      </c>
      <c r="H6" s="215">
        <v>36</v>
      </c>
      <c r="I6" s="215">
        <v>36</v>
      </c>
      <c r="J6" s="215">
        <v>36</v>
      </c>
      <c r="K6" s="215">
        <v>36</v>
      </c>
      <c r="L6" s="214">
        <v>36</v>
      </c>
      <c r="M6" t="s">
        <v>238</v>
      </c>
      <c r="N6" s="201" t="s">
        <v>239</v>
      </c>
      <c r="O6" s="201" t="s">
        <v>240</v>
      </c>
      <c r="P6" s="201"/>
      <c r="Q6" s="201"/>
      <c r="AG6" s="210" t="s">
        <v>241</v>
      </c>
      <c r="AH6" s="201">
        <v>1.7</v>
      </c>
      <c r="AI6" s="201">
        <v>74</v>
      </c>
      <c r="AJ6" s="201">
        <f>AH6*AI6/100</f>
        <v>1.258</v>
      </c>
      <c r="AK6" s="211"/>
    </row>
    <row r="7" spans="1:37" x14ac:dyDescent="0.2">
      <c r="A7" s="22" t="s">
        <v>242</v>
      </c>
      <c r="B7" s="216">
        <v>94.2</v>
      </c>
      <c r="C7" s="216">
        <v>94.2</v>
      </c>
      <c r="D7" s="216">
        <v>94.2</v>
      </c>
      <c r="E7" s="216">
        <v>94.2</v>
      </c>
      <c r="F7" s="216">
        <v>94.2</v>
      </c>
      <c r="G7" s="216">
        <v>94.2</v>
      </c>
      <c r="H7" s="216">
        <v>94.2</v>
      </c>
      <c r="I7" s="216">
        <v>94.2</v>
      </c>
      <c r="J7" s="216">
        <v>94.2</v>
      </c>
      <c r="K7" s="216">
        <v>94.2</v>
      </c>
      <c r="L7" s="217">
        <v>94.2</v>
      </c>
      <c r="M7" s="216"/>
      <c r="N7" s="201" t="s">
        <v>243</v>
      </c>
      <c r="O7" s="201"/>
      <c r="P7" s="201"/>
      <c r="Q7" s="201"/>
      <c r="AG7" s="210" t="s">
        <v>244</v>
      </c>
      <c r="AH7" s="201">
        <v>1.2</v>
      </c>
      <c r="AI7" s="201">
        <v>37</v>
      </c>
      <c r="AJ7" s="201"/>
      <c r="AK7" s="211"/>
    </row>
    <row r="8" spans="1:37" x14ac:dyDescent="0.2">
      <c r="A8" s="22" t="s">
        <v>245</v>
      </c>
      <c r="B8" s="216">
        <v>100</v>
      </c>
      <c r="C8" s="216">
        <v>100</v>
      </c>
      <c r="D8" s="216">
        <v>100</v>
      </c>
      <c r="E8" s="216">
        <v>100</v>
      </c>
      <c r="F8" s="216">
        <v>100</v>
      </c>
      <c r="G8" s="216">
        <v>100</v>
      </c>
      <c r="H8" s="216">
        <v>100</v>
      </c>
      <c r="I8" s="216">
        <v>100</v>
      </c>
      <c r="J8" s="216">
        <v>100</v>
      </c>
      <c r="K8" s="216">
        <v>100</v>
      </c>
      <c r="L8" s="532">
        <v>100</v>
      </c>
      <c r="M8" s="216"/>
      <c r="N8" s="201" t="s">
        <v>243</v>
      </c>
      <c r="O8" s="201"/>
      <c r="P8" s="201"/>
      <c r="Q8" s="201"/>
      <c r="AG8" s="210"/>
      <c r="AH8" s="201"/>
      <c r="AI8" s="201"/>
      <c r="AJ8" s="201"/>
      <c r="AK8" s="211"/>
    </row>
    <row r="9" spans="1:37" x14ac:dyDescent="0.2">
      <c r="A9" s="22" t="s">
        <v>246</v>
      </c>
      <c r="B9" s="216">
        <v>0.69499999999999995</v>
      </c>
      <c r="C9" s="216">
        <v>0.69499999999999995</v>
      </c>
      <c r="D9" s="216">
        <v>0.69499999999999995</v>
      </c>
      <c r="E9" s="216">
        <v>0.69499999999999995</v>
      </c>
      <c r="F9" s="216">
        <v>0.69499999999999995</v>
      </c>
      <c r="G9" s="216">
        <v>0.69499999999999995</v>
      </c>
      <c r="H9" s="216">
        <v>0.69499999999999995</v>
      </c>
      <c r="I9" s="216">
        <v>0.69499999999999995</v>
      </c>
      <c r="J9" s="216">
        <v>0.69499999999999995</v>
      </c>
      <c r="K9" s="216">
        <v>0.69499999999999995</v>
      </c>
      <c r="L9" s="216">
        <v>0.69499999999999995</v>
      </c>
      <c r="N9" s="201" t="s">
        <v>247</v>
      </c>
      <c r="O9" s="201"/>
      <c r="P9" s="201"/>
      <c r="Q9" s="201"/>
      <c r="AG9" s="210" t="s">
        <v>248</v>
      </c>
      <c r="AH9" s="201">
        <v>0.5</v>
      </c>
      <c r="AI9" s="201">
        <v>49</v>
      </c>
      <c r="AJ9" s="201"/>
      <c r="AK9" s="211"/>
    </row>
    <row r="10" spans="1:37" x14ac:dyDescent="0.2">
      <c r="A10" s="22" t="s">
        <v>249</v>
      </c>
      <c r="B10" s="212">
        <v>261</v>
      </c>
      <c r="C10" s="212">
        <v>304.2</v>
      </c>
      <c r="D10" s="212">
        <v>272.25</v>
      </c>
      <c r="E10" s="212">
        <v>279</v>
      </c>
      <c r="F10" s="212">
        <v>286.2</v>
      </c>
      <c r="G10" s="212">
        <v>240.75</v>
      </c>
      <c r="H10" s="212">
        <v>271.21499999999997</v>
      </c>
      <c r="I10" s="212">
        <v>265.20299999999997</v>
      </c>
      <c r="J10" s="212">
        <v>272.25</v>
      </c>
      <c r="K10" s="212">
        <v>303.75</v>
      </c>
      <c r="L10" s="212">
        <v>292.5</v>
      </c>
      <c r="N10" s="201" t="s">
        <v>250</v>
      </c>
      <c r="O10" s="201"/>
      <c r="P10" s="201"/>
      <c r="Q10" s="201"/>
      <c r="AG10" s="210" t="s">
        <v>251</v>
      </c>
      <c r="AH10" s="201">
        <v>3</v>
      </c>
      <c r="AI10" s="201">
        <v>13</v>
      </c>
      <c r="AJ10" s="201"/>
      <c r="AK10" s="211"/>
    </row>
    <row r="11" spans="1:37" x14ac:dyDescent="0.2">
      <c r="A11" s="22" t="s">
        <v>252</v>
      </c>
      <c r="B11" s="215">
        <f t="shared" ref="B11:K11" si="0">$L$11</f>
        <v>19.182000000000002</v>
      </c>
      <c r="C11" s="215">
        <f t="shared" si="0"/>
        <v>19.182000000000002</v>
      </c>
      <c r="D11" s="215">
        <f t="shared" si="0"/>
        <v>19.182000000000002</v>
      </c>
      <c r="E11" s="215">
        <f t="shared" si="0"/>
        <v>19.182000000000002</v>
      </c>
      <c r="F11" s="215">
        <f t="shared" si="0"/>
        <v>19.182000000000002</v>
      </c>
      <c r="G11" s="215">
        <f t="shared" si="0"/>
        <v>19.182000000000002</v>
      </c>
      <c r="H11" s="215">
        <f t="shared" si="0"/>
        <v>19.182000000000002</v>
      </c>
      <c r="I11" s="215">
        <f t="shared" si="0"/>
        <v>19.182000000000002</v>
      </c>
      <c r="J11" s="215">
        <f t="shared" si="0"/>
        <v>19.182000000000002</v>
      </c>
      <c r="K11" s="215">
        <f t="shared" si="0"/>
        <v>19.182000000000002</v>
      </c>
      <c r="L11" s="214">
        <f>AJ22</f>
        <v>19.182000000000002</v>
      </c>
      <c r="N11" s="201" t="s">
        <v>253</v>
      </c>
      <c r="O11" s="218"/>
      <c r="P11" s="201"/>
      <c r="Q11" s="201"/>
      <c r="AG11" s="210" t="s">
        <v>254</v>
      </c>
      <c r="AH11" s="201">
        <v>1.5</v>
      </c>
      <c r="AI11" s="201">
        <v>73</v>
      </c>
      <c r="AJ11" s="201">
        <f>AH11*AI11/100</f>
        <v>1.095</v>
      </c>
      <c r="AK11" s="211"/>
    </row>
    <row r="12" spans="1:37" x14ac:dyDescent="0.2">
      <c r="A12" s="22" t="s">
        <v>255</v>
      </c>
      <c r="B12" s="215">
        <f t="shared" ref="B12:K12" si="1">$L$12</f>
        <v>18</v>
      </c>
      <c r="C12" s="215">
        <f t="shared" si="1"/>
        <v>18</v>
      </c>
      <c r="D12" s="215">
        <f t="shared" si="1"/>
        <v>18</v>
      </c>
      <c r="E12" s="215">
        <f t="shared" si="1"/>
        <v>18</v>
      </c>
      <c r="F12" s="215">
        <f t="shared" si="1"/>
        <v>18</v>
      </c>
      <c r="G12" s="215">
        <f t="shared" si="1"/>
        <v>18</v>
      </c>
      <c r="H12" s="215">
        <f t="shared" si="1"/>
        <v>18</v>
      </c>
      <c r="I12" s="215">
        <f t="shared" si="1"/>
        <v>18</v>
      </c>
      <c r="J12" s="215">
        <f t="shared" si="1"/>
        <v>18</v>
      </c>
      <c r="K12" s="215">
        <f t="shared" si="1"/>
        <v>18</v>
      </c>
      <c r="L12" s="214">
        <f>AJ16</f>
        <v>18</v>
      </c>
      <c r="N12" s="201" t="s">
        <v>253</v>
      </c>
      <c r="O12" s="218"/>
      <c r="P12" s="201"/>
      <c r="Q12" s="201"/>
      <c r="AG12" s="210"/>
      <c r="AH12" s="201"/>
      <c r="AI12" s="201"/>
      <c r="AJ12" s="201"/>
      <c r="AK12" s="211"/>
    </row>
    <row r="13" spans="1:37" x14ac:dyDescent="0.2">
      <c r="A13" s="22" t="s">
        <v>256</v>
      </c>
      <c r="B13" s="215">
        <v>6.6</v>
      </c>
      <c r="C13" s="215">
        <v>6.6</v>
      </c>
      <c r="D13" s="215">
        <v>6.6</v>
      </c>
      <c r="E13" s="215">
        <v>6.6</v>
      </c>
      <c r="F13" s="215">
        <v>6.6</v>
      </c>
      <c r="G13" s="215">
        <v>6.6</v>
      </c>
      <c r="H13" s="215">
        <v>6.6</v>
      </c>
      <c r="I13" s="215">
        <v>6.6</v>
      </c>
      <c r="J13" s="215">
        <v>6.6</v>
      </c>
      <c r="K13" s="215">
        <v>6.6</v>
      </c>
      <c r="L13" s="214">
        <v>6.6</v>
      </c>
      <c r="M13" s="215"/>
      <c r="N13" s="201" t="s">
        <v>243</v>
      </c>
      <c r="O13" s="201"/>
      <c r="P13" s="201"/>
      <c r="Q13" s="201"/>
      <c r="AG13" s="210" t="s">
        <v>257</v>
      </c>
      <c r="AH13" s="201">
        <v>5</v>
      </c>
      <c r="AI13" s="201">
        <v>78</v>
      </c>
      <c r="AJ13" s="201">
        <f t="shared" ref="AJ13:AJ21" si="2">AH13*AI13/100</f>
        <v>3.9</v>
      </c>
      <c r="AK13" s="211"/>
    </row>
    <row r="14" spans="1:37" x14ac:dyDescent="0.2">
      <c r="A14" s="22" t="s">
        <v>258</v>
      </c>
      <c r="B14" s="215">
        <f t="shared" ref="B14:L14" si="3">AVERAGE(4.2,3.4)</f>
        <v>3.8</v>
      </c>
      <c r="C14" s="215">
        <f t="shared" si="3"/>
        <v>3.8</v>
      </c>
      <c r="D14" s="215">
        <f t="shared" si="3"/>
        <v>3.8</v>
      </c>
      <c r="E14" s="215">
        <f t="shared" si="3"/>
        <v>3.8</v>
      </c>
      <c r="F14" s="215">
        <f t="shared" si="3"/>
        <v>3.8</v>
      </c>
      <c r="G14" s="215">
        <f t="shared" si="3"/>
        <v>3.8</v>
      </c>
      <c r="H14" s="215">
        <f t="shared" si="3"/>
        <v>3.8</v>
      </c>
      <c r="I14" s="215">
        <f t="shared" si="3"/>
        <v>3.8</v>
      </c>
      <c r="J14" s="215">
        <f t="shared" si="3"/>
        <v>3.8</v>
      </c>
      <c r="K14" s="215">
        <f t="shared" si="3"/>
        <v>3.8</v>
      </c>
      <c r="L14" s="214">
        <f t="shared" si="3"/>
        <v>3.8</v>
      </c>
      <c r="N14" s="201" t="s">
        <v>243</v>
      </c>
      <c r="O14" s="201"/>
      <c r="P14" s="201"/>
      <c r="Q14" s="201"/>
      <c r="AG14" s="210" t="s">
        <v>259</v>
      </c>
      <c r="AH14" s="201">
        <v>1</v>
      </c>
      <c r="AI14" s="201">
        <v>67</v>
      </c>
      <c r="AJ14" s="201">
        <f t="shared" si="2"/>
        <v>0.67</v>
      </c>
      <c r="AK14" s="211"/>
    </row>
    <row r="15" spans="1:37" x14ac:dyDescent="0.2">
      <c r="N15" s="201"/>
      <c r="O15" s="219"/>
      <c r="AG15" s="210" t="s">
        <v>260</v>
      </c>
      <c r="AH15" s="201">
        <v>0.5</v>
      </c>
      <c r="AI15" s="201">
        <v>100</v>
      </c>
      <c r="AJ15" s="201">
        <f t="shared" si="2"/>
        <v>0.5</v>
      </c>
      <c r="AK15" s="211"/>
    </row>
    <row r="16" spans="1:37" x14ac:dyDescent="0.2">
      <c r="A16" s="208" t="s">
        <v>261</v>
      </c>
      <c r="B16" s="208" t="s">
        <v>88</v>
      </c>
      <c r="C16" s="208" t="s">
        <v>45</v>
      </c>
      <c r="D16" s="208" t="s">
        <v>47</v>
      </c>
      <c r="E16" s="208" t="s">
        <v>49</v>
      </c>
      <c r="F16" s="208" t="s">
        <v>86</v>
      </c>
      <c r="G16" s="208" t="s">
        <v>89</v>
      </c>
      <c r="H16" s="208" t="s">
        <v>55</v>
      </c>
      <c r="I16" s="208" t="s">
        <v>87</v>
      </c>
      <c r="J16" s="208" t="s">
        <v>59</v>
      </c>
      <c r="K16" s="208" t="s">
        <v>61</v>
      </c>
      <c r="L16" s="208" t="s">
        <v>63</v>
      </c>
      <c r="N16" s="201"/>
      <c r="O16" s="219"/>
      <c r="AG16" s="210" t="s">
        <v>262</v>
      </c>
      <c r="AH16" s="201">
        <v>18</v>
      </c>
      <c r="AI16" s="201">
        <v>100</v>
      </c>
      <c r="AJ16" s="201">
        <f t="shared" si="2"/>
        <v>18</v>
      </c>
      <c r="AK16" s="211" t="s">
        <v>263</v>
      </c>
    </row>
    <row r="17" spans="1:37" x14ac:dyDescent="0.2">
      <c r="A17" s="220" t="s">
        <v>264</v>
      </c>
      <c r="B17" s="221"/>
      <c r="C17" s="222">
        <v>0.13769293067827201</v>
      </c>
      <c r="D17" s="222">
        <v>0.34769783444479402</v>
      </c>
      <c r="E17" s="222">
        <v>8.26774498415217E-2</v>
      </c>
      <c r="F17" s="222">
        <v>5.3418699404756603E-2</v>
      </c>
      <c r="G17" s="222">
        <v>0.88396763790970601</v>
      </c>
      <c r="H17" s="222">
        <v>0.23110601329913999</v>
      </c>
      <c r="I17" s="222">
        <v>0.373167232002376</v>
      </c>
      <c r="J17" s="222">
        <v>0.25455862443412097</v>
      </c>
      <c r="K17" s="222">
        <v>0.19304395433532501</v>
      </c>
      <c r="L17" s="223">
        <f>0.17-0.17</f>
        <v>0</v>
      </c>
      <c r="N17" s="201" t="s">
        <v>265</v>
      </c>
      <c r="O17" s="219"/>
      <c r="P17" s="201" t="s">
        <v>266</v>
      </c>
      <c r="AG17" s="210" t="s">
        <v>267</v>
      </c>
      <c r="AH17" s="201">
        <v>6.5</v>
      </c>
      <c r="AI17" s="201">
        <v>31</v>
      </c>
      <c r="AJ17" s="201">
        <f t="shared" si="2"/>
        <v>2.0150000000000001</v>
      </c>
      <c r="AK17" s="211"/>
    </row>
    <row r="18" spans="1:37" x14ac:dyDescent="0.2">
      <c r="A18" s="220" t="s">
        <v>268</v>
      </c>
      <c r="B18" s="221">
        <v>0.31083</v>
      </c>
      <c r="C18" s="222">
        <v>0.26328982040576598</v>
      </c>
      <c r="D18" s="222">
        <v>0.46608419293585401</v>
      </c>
      <c r="E18" s="222">
        <v>0.37327838127398499</v>
      </c>
      <c r="F18" s="222">
        <v>0.25046523624431899</v>
      </c>
      <c r="G18" s="222">
        <v>2.2255993489188101E-3</v>
      </c>
      <c r="H18" s="222">
        <v>0.356828284731325</v>
      </c>
      <c r="I18" s="222">
        <v>0.25760749577042003</v>
      </c>
      <c r="J18" s="222">
        <v>0.33395684495061101</v>
      </c>
      <c r="K18" s="222">
        <v>9.1177256039855006E-2</v>
      </c>
      <c r="L18" s="222">
        <v>5.6833997339727403E-2</v>
      </c>
      <c r="N18" s="203" t="s">
        <v>269</v>
      </c>
      <c r="O18" s="219"/>
      <c r="AG18" s="210" t="s">
        <v>270</v>
      </c>
      <c r="AH18" s="201">
        <v>0.6</v>
      </c>
      <c r="AI18" s="201">
        <v>14</v>
      </c>
      <c r="AJ18" s="201">
        <f t="shared" si="2"/>
        <v>8.4000000000000005E-2</v>
      </c>
      <c r="AK18" s="211"/>
    </row>
    <row r="19" spans="1:37" x14ac:dyDescent="0.2">
      <c r="A19" s="220" t="s">
        <v>271</v>
      </c>
      <c r="B19" s="221">
        <v>0.30336999999999997</v>
      </c>
      <c r="C19" s="222">
        <v>0.218490339842211</v>
      </c>
      <c r="D19" s="222">
        <v>2.0074092559238799E-2</v>
      </c>
      <c r="E19" s="222">
        <v>3.3371391200029701E-2</v>
      </c>
      <c r="F19" s="222">
        <v>9.7106054001350806E-2</v>
      </c>
      <c r="G19" s="222">
        <v>3.8602337218792001E-4</v>
      </c>
      <c r="H19" s="222">
        <v>3.5685456379476198E-2</v>
      </c>
      <c r="I19" s="222">
        <v>3.5613863046085999E-2</v>
      </c>
      <c r="J19" s="222">
        <v>1.15898887697602E-2</v>
      </c>
      <c r="K19" s="222">
        <v>0.15964203619207701</v>
      </c>
      <c r="L19" s="223">
        <f>0.41451256332731+0.06+0.17</f>
        <v>0.64451256332731</v>
      </c>
      <c r="N19" s="203" t="s">
        <v>272</v>
      </c>
      <c r="AG19" s="210" t="s">
        <v>273</v>
      </c>
      <c r="AH19" s="201">
        <v>1</v>
      </c>
      <c r="AI19" s="201">
        <v>100</v>
      </c>
      <c r="AJ19" s="201">
        <f t="shared" si="2"/>
        <v>1</v>
      </c>
      <c r="AK19" s="211"/>
    </row>
    <row r="20" spans="1:37" x14ac:dyDescent="0.2">
      <c r="A20" s="224" t="s">
        <v>274</v>
      </c>
      <c r="B20" s="221">
        <v>0.12006</v>
      </c>
      <c r="C20" s="222">
        <v>3.3308654791871999E-2</v>
      </c>
      <c r="D20" s="222">
        <v>6.1781281889507905E-4</v>
      </c>
      <c r="E20" s="222">
        <v>8.1233791668593805E-2</v>
      </c>
      <c r="F20" s="222">
        <v>3.3128681692208201E-2</v>
      </c>
      <c r="G20" s="222">
        <v>4.7677794309569303E-2</v>
      </c>
      <c r="H20" s="222">
        <v>2.0715426785277101E-3</v>
      </c>
      <c r="I20" s="222">
        <v>1.3879724923939201E-2</v>
      </c>
      <c r="J20" s="222">
        <v>4.8218892985114399E-2</v>
      </c>
      <c r="K20" s="222">
        <v>0.103733368710492</v>
      </c>
      <c r="L20" s="222">
        <v>2.1854503836809602E-2</v>
      </c>
      <c r="AG20" s="210" t="s">
        <v>275</v>
      </c>
      <c r="AH20" s="201">
        <v>10</v>
      </c>
      <c r="AI20" s="201">
        <v>68</v>
      </c>
      <c r="AJ20" s="201">
        <f t="shared" si="2"/>
        <v>6.8</v>
      </c>
      <c r="AK20" s="211"/>
    </row>
    <row r="21" spans="1:37" x14ac:dyDescent="0.2">
      <c r="A21" s="220" t="s">
        <v>276</v>
      </c>
      <c r="B21" s="221"/>
      <c r="C21" s="222">
        <v>5.4784880420094197E-2</v>
      </c>
      <c r="D21" s="222">
        <v>9.1981189774538203E-4</v>
      </c>
      <c r="E21" s="222">
        <v>0.24296307089861899</v>
      </c>
      <c r="F21" s="222">
        <v>0.196499875628766</v>
      </c>
      <c r="G21" s="222">
        <v>1.3140930176321799E-2</v>
      </c>
      <c r="H21" s="222">
        <v>1.3545550548587301E-2</v>
      </c>
      <c r="I21" s="222">
        <v>4.1683562538490301E-2</v>
      </c>
      <c r="J21" s="222">
        <v>6.6054588822439503E-2</v>
      </c>
      <c r="K21" s="222">
        <v>0.136815021023385</v>
      </c>
      <c r="L21" s="222">
        <v>9.7224227215628796E-4</v>
      </c>
      <c r="N21" s="201"/>
      <c r="AG21" s="210" t="s">
        <v>277</v>
      </c>
      <c r="AH21" s="201">
        <v>1.5</v>
      </c>
      <c r="AI21" s="201">
        <v>100</v>
      </c>
      <c r="AJ21" s="201">
        <f t="shared" si="2"/>
        <v>1.5</v>
      </c>
      <c r="AK21" s="211"/>
    </row>
    <row r="22" spans="1:37" x14ac:dyDescent="0.2">
      <c r="A22" s="220" t="s">
        <v>278</v>
      </c>
      <c r="B22" s="221"/>
      <c r="C22" s="222">
        <v>3.7744392996760601E-3</v>
      </c>
      <c r="D22" s="222">
        <v>1.2297794835772801E-7</v>
      </c>
      <c r="E22" s="222">
        <v>2.2076768828459801E-2</v>
      </c>
      <c r="F22" s="222">
        <v>1.7743951673345099E-2</v>
      </c>
      <c r="G22" s="222">
        <v>2.7481478125062899E-3</v>
      </c>
      <c r="H22" s="222">
        <v>4.3020459338475702E-4</v>
      </c>
      <c r="I22" s="222">
        <v>4.55917367778715E-4</v>
      </c>
      <c r="J22" s="222">
        <v>1.4441270481012601E-3</v>
      </c>
      <c r="K22" s="222">
        <v>1.6173849728810901E-2</v>
      </c>
      <c r="L22" s="222">
        <v>2.3774415383034798E-2</v>
      </c>
      <c r="AG22" s="225"/>
      <c r="AH22" s="226"/>
      <c r="AI22" s="226" t="s">
        <v>279</v>
      </c>
      <c r="AJ22" s="227">
        <f>SUM(AJ5:AJ21)-AJ16</f>
        <v>19.182000000000002</v>
      </c>
      <c r="AK22" s="228"/>
    </row>
    <row r="23" spans="1:37" x14ac:dyDescent="0.2">
      <c r="A23" s="220" t="s">
        <v>280</v>
      </c>
      <c r="B23" s="221"/>
      <c r="C23" s="222">
        <v>5.7964160617321101E-4</v>
      </c>
      <c r="D23" s="222">
        <v>1.0091894798092701E-4</v>
      </c>
      <c r="E23" s="222">
        <v>4.8693567263410099E-3</v>
      </c>
      <c r="F23" s="222">
        <v>6.8964610637078797E-3</v>
      </c>
      <c r="G23" s="222">
        <v>0</v>
      </c>
      <c r="H23" s="222">
        <v>3.4277130847484903E-5</v>
      </c>
      <c r="I23" s="222">
        <v>1.71561062458586E-3</v>
      </c>
      <c r="J23" s="222">
        <v>1.8855002677230601E-2</v>
      </c>
      <c r="K23" s="222">
        <v>4.2692009524630597E-3</v>
      </c>
      <c r="L23" s="222">
        <v>1.50302170309128E-5</v>
      </c>
    </row>
    <row r="24" spans="1:37" x14ac:dyDescent="0.2">
      <c r="A24" s="229" t="s">
        <v>281</v>
      </c>
      <c r="B24" s="221"/>
      <c r="C24" s="222">
        <v>8.1146523169746507E-2</v>
      </c>
      <c r="D24" s="222">
        <v>2.06359990197024E-3</v>
      </c>
      <c r="E24" s="222">
        <v>3.4919458703584899E-3</v>
      </c>
      <c r="F24" s="222">
        <v>3.10248353470601E-2</v>
      </c>
      <c r="G24" s="222">
        <v>2.0477632235899601E-2</v>
      </c>
      <c r="H24" s="222">
        <v>1.9621876036942901E-3</v>
      </c>
      <c r="I24" s="222">
        <v>4.6964740317371599E-2</v>
      </c>
      <c r="J24" s="222">
        <v>7.5812285069041793E-2</v>
      </c>
      <c r="K24" s="222">
        <v>8.7872786881358494E-2</v>
      </c>
      <c r="L24" s="222">
        <v>9.4799230366266196E-2</v>
      </c>
    </row>
    <row r="25" spans="1:37" x14ac:dyDescent="0.2">
      <c r="A25" s="220" t="s">
        <v>282</v>
      </c>
      <c r="B25" s="221"/>
      <c r="C25" s="222">
        <v>0</v>
      </c>
      <c r="D25" s="222">
        <v>6.4852934547689298E-4</v>
      </c>
      <c r="E25" s="222">
        <v>3.4441220927794902E-4</v>
      </c>
      <c r="F25" s="222">
        <v>1.11577561574704E-3</v>
      </c>
      <c r="G25" s="222">
        <v>2.8121535473625199E-5</v>
      </c>
      <c r="H25" s="222">
        <v>2.2097674164487098E-3</v>
      </c>
      <c r="I25" s="222">
        <v>0</v>
      </c>
      <c r="J25" s="222">
        <v>2.6118274940683198E-3</v>
      </c>
      <c r="K25" s="222">
        <v>3.9767845041291496E-3</v>
      </c>
      <c r="L25" s="222">
        <v>8.4440367067629904E-3</v>
      </c>
    </row>
    <row r="26" spans="1:37" x14ac:dyDescent="0.2">
      <c r="A26" s="220" t="s">
        <v>283</v>
      </c>
      <c r="B26" s="221"/>
      <c r="C26" s="222">
        <v>0</v>
      </c>
      <c r="D26" s="222">
        <v>6.3706953318584203E-4</v>
      </c>
      <c r="E26" s="222">
        <v>3.3832628680436602E-4</v>
      </c>
      <c r="F26" s="222">
        <v>1.09605934664696E-3</v>
      </c>
      <c r="G26" s="222">
        <v>2.76246147491182E-5</v>
      </c>
      <c r="H26" s="222">
        <v>2.1707198077583999E-3</v>
      </c>
      <c r="I26" s="222">
        <v>0</v>
      </c>
      <c r="J26" s="222">
        <v>2.5656753005735599E-3</v>
      </c>
      <c r="K26" s="222">
        <v>3.9065128907304902E-3</v>
      </c>
      <c r="L26" s="222">
        <v>8.2948266885816205E-3</v>
      </c>
    </row>
    <row r="27" spans="1:37" x14ac:dyDescent="0.2">
      <c r="A27" s="220" t="s">
        <v>284</v>
      </c>
      <c r="B27" s="221">
        <v>0.14187</v>
      </c>
      <c r="C27" s="222">
        <v>4.6898421015534798E-2</v>
      </c>
      <c r="D27" s="222">
        <v>6.5581216657201596E-2</v>
      </c>
      <c r="E27" s="222">
        <v>3.7586046391160401E-4</v>
      </c>
      <c r="F27" s="222">
        <v>4.8155919990539102E-4</v>
      </c>
      <c r="G27" s="222">
        <v>1.50556518569814E-3</v>
      </c>
      <c r="H27" s="222">
        <v>3.7222010695302202E-3</v>
      </c>
      <c r="I27" s="222">
        <v>8.6279293190231102E-2</v>
      </c>
      <c r="J27" s="222">
        <v>1.8824856081612201E-2</v>
      </c>
      <c r="K27" s="222">
        <v>1.15171449475378E-2</v>
      </c>
      <c r="L27" s="222">
        <v>3.7274865300959803E-2</v>
      </c>
    </row>
    <row r="28" spans="1:37" x14ac:dyDescent="0.2">
      <c r="A28" s="220" t="s">
        <v>285</v>
      </c>
      <c r="B28" s="221">
        <v>5.1540000000000002E-2</v>
      </c>
      <c r="C28" s="222">
        <v>4.2253535396943397E-2</v>
      </c>
      <c r="D28" s="222">
        <v>6.3014467773449101E-2</v>
      </c>
      <c r="E28" s="222">
        <v>6.6229033989623307E-2</v>
      </c>
      <c r="F28" s="222">
        <v>9.1823937462469196E-2</v>
      </c>
      <c r="G28" s="222">
        <v>2.86495692625428E-3</v>
      </c>
      <c r="H28" s="222">
        <v>9.1896848360344105E-2</v>
      </c>
      <c r="I28" s="222">
        <v>0.111425490586606</v>
      </c>
      <c r="J28" s="222">
        <v>6.5660448709878402E-2</v>
      </c>
      <c r="K28" s="222">
        <v>9.8452568021241901E-2</v>
      </c>
      <c r="L28" s="222">
        <v>5.8079615438750398E-2</v>
      </c>
    </row>
    <row r="29" spans="1:37" x14ac:dyDescent="0.2">
      <c r="A29" s="220" t="s">
        <v>286</v>
      </c>
      <c r="B29" s="221"/>
      <c r="C29" s="222">
        <v>9.1933196022350699E-2</v>
      </c>
      <c r="D29" s="222">
        <v>2.8731677883857699E-2</v>
      </c>
      <c r="E29" s="222">
        <v>4.7111416374646303E-2</v>
      </c>
      <c r="F29" s="222">
        <v>0.15922163374012799</v>
      </c>
      <c r="G29" s="222">
        <v>1.02158904527991E-2</v>
      </c>
      <c r="H29" s="222">
        <v>0.113060071774995</v>
      </c>
      <c r="I29" s="222">
        <v>1.38916945292026E-2</v>
      </c>
      <c r="J29" s="222">
        <v>5.9455463626576097E-2</v>
      </c>
      <c r="K29" s="222">
        <v>7.0975010538760902E-2</v>
      </c>
      <c r="L29" s="223">
        <v>0.02</v>
      </c>
      <c r="N29" s="201" t="s">
        <v>287</v>
      </c>
    </row>
    <row r="30" spans="1:37" x14ac:dyDescent="0.2">
      <c r="A30" s="220" t="s">
        <v>288</v>
      </c>
      <c r="B30" s="221">
        <v>7.2330000000000005E-2</v>
      </c>
      <c r="C30" s="222">
        <v>2.5847617351359702E-2</v>
      </c>
      <c r="D30" s="222">
        <v>3.8286523224026802E-3</v>
      </c>
      <c r="E30" s="222">
        <v>4.1638794367828399E-2</v>
      </c>
      <c r="F30" s="222">
        <v>5.9977239579590301E-2</v>
      </c>
      <c r="G30" s="222">
        <v>1.4734076119915901E-2</v>
      </c>
      <c r="H30" s="222">
        <v>0.14527687460593999</v>
      </c>
      <c r="I30" s="222">
        <v>1.73153751029133E-2</v>
      </c>
      <c r="J30" s="222">
        <v>4.0391474030872003E-2</v>
      </c>
      <c r="K30" s="222">
        <v>1.8444505233833501E-2</v>
      </c>
      <c r="L30" s="222">
        <v>2.9429009738894001E-2</v>
      </c>
      <c r="N30" s="201"/>
    </row>
    <row r="31" spans="1:37" x14ac:dyDescent="0.2">
      <c r="A31" s="22"/>
      <c r="B31" s="216"/>
      <c r="C31" s="216"/>
      <c r="D31" s="216"/>
      <c r="E31" s="216"/>
      <c r="F31" s="216"/>
      <c r="G31" s="216"/>
      <c r="H31" s="216"/>
      <c r="I31" s="216"/>
      <c r="J31" s="216"/>
      <c r="K31" s="216"/>
      <c r="N31" s="201"/>
      <c r="V31" s="219" t="s">
        <v>289</v>
      </c>
    </row>
    <row r="32" spans="1:37" x14ac:dyDescent="0.2">
      <c r="A32" s="220" t="s">
        <v>290</v>
      </c>
      <c r="B32" s="15">
        <f t="shared" ref="B32:L32" si="4">SUM(B17:B19)</f>
        <v>0.61419999999999997</v>
      </c>
      <c r="C32" s="15">
        <f t="shared" si="4"/>
        <v>0.61947309092624903</v>
      </c>
      <c r="D32" s="15">
        <f t="shared" si="4"/>
        <v>0.83385611993988673</v>
      </c>
      <c r="E32" s="15">
        <f t="shared" si="4"/>
        <v>0.48932722231553638</v>
      </c>
      <c r="F32" s="15">
        <f t="shared" si="4"/>
        <v>0.40098998965042637</v>
      </c>
      <c r="G32" s="15">
        <f t="shared" si="4"/>
        <v>0.88657926063081283</v>
      </c>
      <c r="H32" s="15">
        <f t="shared" si="4"/>
        <v>0.62361975440994111</v>
      </c>
      <c r="I32" s="15">
        <f t="shared" si="4"/>
        <v>0.66638859081888202</v>
      </c>
      <c r="J32" s="15">
        <f t="shared" si="4"/>
        <v>0.60010535815449217</v>
      </c>
      <c r="K32" s="15">
        <f t="shared" si="4"/>
        <v>0.44386324656725701</v>
      </c>
      <c r="L32" s="15">
        <f t="shared" si="4"/>
        <v>0.70134656066703738</v>
      </c>
      <c r="N32" s="201" t="s">
        <v>291</v>
      </c>
    </row>
    <row r="33" spans="1:36" x14ac:dyDescent="0.2">
      <c r="N33" s="201"/>
      <c r="P33" s="59"/>
    </row>
    <row r="34" spans="1:36" x14ac:dyDescent="0.2">
      <c r="A34" s="208" t="s">
        <v>292</v>
      </c>
      <c r="B34" s="208" t="s">
        <v>88</v>
      </c>
      <c r="C34" s="208" t="s">
        <v>45</v>
      </c>
      <c r="D34" s="208" t="s">
        <v>47</v>
      </c>
      <c r="E34" s="208" t="s">
        <v>49</v>
      </c>
      <c r="F34" s="208" t="s">
        <v>86</v>
      </c>
      <c r="G34" s="208" t="s">
        <v>89</v>
      </c>
      <c r="H34" s="208" t="s">
        <v>55</v>
      </c>
      <c r="I34" s="208" t="s">
        <v>87</v>
      </c>
      <c r="J34" s="208" t="s">
        <v>59</v>
      </c>
      <c r="K34" s="208" t="s">
        <v>61</v>
      </c>
      <c r="L34" s="208" t="s">
        <v>63</v>
      </c>
      <c r="N34" s="201"/>
      <c r="O34" s="219"/>
    </row>
    <row r="35" spans="1:36" x14ac:dyDescent="0.2">
      <c r="A35" s="220" t="s">
        <v>264</v>
      </c>
      <c r="B35" s="221">
        <v>0.29561999999999999</v>
      </c>
      <c r="C35" s="15">
        <v>0.18889688285610401</v>
      </c>
      <c r="D35" s="15">
        <v>0.26457370102986</v>
      </c>
      <c r="E35" s="15">
        <v>0.37076972499536498</v>
      </c>
      <c r="F35" s="15">
        <v>7.7439143939213403E-2</v>
      </c>
      <c r="G35" s="15">
        <v>0.75114991922794205</v>
      </c>
      <c r="H35" s="15">
        <v>0.40067105954621901</v>
      </c>
      <c r="I35" s="15">
        <v>0.47949543012015899</v>
      </c>
      <c r="J35" s="15">
        <v>0.26557017524746102</v>
      </c>
      <c r="K35" s="15">
        <v>0.42695226222969901</v>
      </c>
      <c r="L35" s="230">
        <f>0.0614927283753955+0.02</f>
        <v>8.1492728375395507E-2</v>
      </c>
      <c r="N35" s="201" t="s">
        <v>293</v>
      </c>
      <c r="O35" s="219"/>
    </row>
    <row r="36" spans="1:36" x14ac:dyDescent="0.2">
      <c r="A36" s="220" t="s">
        <v>268</v>
      </c>
      <c r="B36" s="221">
        <v>0.30657000000000001</v>
      </c>
      <c r="C36" s="15">
        <v>0.36965765773619202</v>
      </c>
      <c r="D36" s="15">
        <v>0.47771254487501502</v>
      </c>
      <c r="E36" s="15">
        <v>0.135443882227997</v>
      </c>
      <c r="F36" s="15">
        <v>0.38082943222890397</v>
      </c>
      <c r="G36" s="15">
        <v>1.9608947623101902E-2</v>
      </c>
      <c r="H36" s="15">
        <v>0.27744597499526502</v>
      </c>
      <c r="I36" s="15">
        <v>0.16379583021525301</v>
      </c>
      <c r="J36" s="15">
        <v>0.30897238471141197</v>
      </c>
      <c r="K36" s="15">
        <v>8.4238508213965599E-2</v>
      </c>
      <c r="L36" s="15">
        <v>2.0132302839190298E-2</v>
      </c>
      <c r="O36" s="219"/>
    </row>
    <row r="37" spans="1:36" x14ac:dyDescent="0.2">
      <c r="A37" s="220" t="s">
        <v>271</v>
      </c>
      <c r="B37" s="221">
        <f>0.25495</f>
        <v>0.25495000000000001</v>
      </c>
      <c r="C37" s="15">
        <v>0.23243726980023599</v>
      </c>
      <c r="D37" s="15">
        <v>0.13883749692306399</v>
      </c>
      <c r="E37" s="15">
        <v>3.5518223853143398E-2</v>
      </c>
      <c r="F37" s="15">
        <v>0.18201404564523599</v>
      </c>
      <c r="G37" s="15">
        <v>4.0112374212542402E-4</v>
      </c>
      <c r="H37" s="15">
        <v>7.1895313213819104E-2</v>
      </c>
      <c r="I37" s="15">
        <v>0.17110749103346001</v>
      </c>
      <c r="J37" s="15">
        <v>0.152808046794979</v>
      </c>
      <c r="K37" s="15">
        <v>6.2955748563960107E-2</v>
      </c>
      <c r="L37" s="230">
        <f>0.749224831507466-0.02</f>
        <v>0.72922483150746598</v>
      </c>
      <c r="N37" s="203" t="s">
        <v>294</v>
      </c>
      <c r="O37" s="219"/>
    </row>
    <row r="38" spans="1:36" x14ac:dyDescent="0.2">
      <c r="A38" s="224" t="s">
        <v>274</v>
      </c>
      <c r="B38" s="221">
        <v>6.0999999999999999E-2</v>
      </c>
      <c r="C38" s="15">
        <v>9.8050025013408596E-3</v>
      </c>
      <c r="D38" s="15">
        <v>1.2989163562948001E-3</v>
      </c>
      <c r="E38" s="15">
        <v>6.7240073264057107E-2</v>
      </c>
      <c r="F38" s="15">
        <v>1.3777713958130201E-2</v>
      </c>
      <c r="G38" s="15">
        <v>9.7140944486754505E-2</v>
      </c>
      <c r="H38" s="15">
        <v>3.0038264722936601E-3</v>
      </c>
      <c r="I38" s="15">
        <v>3.7649623151768401E-3</v>
      </c>
      <c r="J38" s="15">
        <v>1.4852072857038301E-2</v>
      </c>
      <c r="K38" s="15">
        <v>7.4482644340220006E-2</v>
      </c>
      <c r="L38" s="15">
        <v>7.1251912744116604E-3</v>
      </c>
      <c r="N38" s="203" t="s">
        <v>272</v>
      </c>
      <c r="O38" s="219"/>
    </row>
    <row r="39" spans="1:36" x14ac:dyDescent="0.2">
      <c r="A39" s="220" t="s">
        <v>276</v>
      </c>
      <c r="B39" s="221"/>
      <c r="C39" s="15">
        <v>1.6126916347682999E-2</v>
      </c>
      <c r="D39" s="15">
        <v>1.9338522642941001E-3</v>
      </c>
      <c r="E39" s="15">
        <v>0.201109099496879</v>
      </c>
      <c r="F39" s="15">
        <v>8.1721304315358401E-2</v>
      </c>
      <c r="G39" s="15">
        <v>2.6773939262145899E-2</v>
      </c>
      <c r="H39" s="15">
        <v>1.9641634105452999E-2</v>
      </c>
      <c r="I39" s="15">
        <v>1.13069274080103E-2</v>
      </c>
      <c r="J39" s="15">
        <v>2.0345709016517801E-2</v>
      </c>
      <c r="K39" s="15">
        <v>9.8235935846622893E-2</v>
      </c>
      <c r="L39" s="15">
        <v>3.1697869732220902E-4</v>
      </c>
      <c r="N39" s="201" t="s">
        <v>295</v>
      </c>
    </row>
    <row r="40" spans="1:36" x14ac:dyDescent="0.2">
      <c r="A40" s="220" t="s">
        <v>278</v>
      </c>
      <c r="B40" s="221"/>
      <c r="C40" s="15">
        <v>1.1110741938309401E-3</v>
      </c>
      <c r="D40" s="15">
        <v>2.58554211857813E-7</v>
      </c>
      <c r="E40" s="15">
        <v>1.82737198718744E-2</v>
      </c>
      <c r="F40" s="15">
        <v>7.3794391499110096E-3</v>
      </c>
      <c r="G40" s="15">
        <v>5.5992035288690298E-3</v>
      </c>
      <c r="H40" s="15">
        <v>6.2381526525205101E-4</v>
      </c>
      <c r="I40" s="15">
        <v>1.2367044164683099E-4</v>
      </c>
      <c r="J40" s="15">
        <v>4.4481071240192398E-4</v>
      </c>
      <c r="K40" s="15">
        <v>1.1613149284971799E-2</v>
      </c>
      <c r="L40" s="15">
        <v>7.7511371696115704E-3</v>
      </c>
      <c r="N40" s="201" t="s">
        <v>296</v>
      </c>
    </row>
    <row r="41" spans="1:36" x14ac:dyDescent="0.2">
      <c r="A41" s="220" t="s">
        <v>280</v>
      </c>
      <c r="B41" s="221"/>
      <c r="C41" s="15">
        <v>1.7062794715375299E-4</v>
      </c>
      <c r="D41" s="15">
        <v>2.1217635552166401E-4</v>
      </c>
      <c r="E41" s="15">
        <v>4.0305382311056201E-3</v>
      </c>
      <c r="F41" s="15">
        <v>2.8681330795635499E-3</v>
      </c>
      <c r="G41" s="15">
        <v>0</v>
      </c>
      <c r="H41" s="15">
        <v>4.9703321891174897E-5</v>
      </c>
      <c r="I41" s="15">
        <v>4.6537012747958797E-4</v>
      </c>
      <c r="J41" s="15">
        <v>5.80759649035195E-3</v>
      </c>
      <c r="K41" s="15">
        <v>3.06537211910275E-3</v>
      </c>
      <c r="L41" s="15">
        <v>4.9002790875207401E-6</v>
      </c>
      <c r="N41" s="201" t="s">
        <v>297</v>
      </c>
      <c r="O41" s="231"/>
      <c r="P41" s="231"/>
      <c r="Q41" s="231"/>
      <c r="R41" s="231"/>
    </row>
    <row r="42" spans="1:36" x14ac:dyDescent="0.2">
      <c r="A42" s="229" t="s">
        <v>281</v>
      </c>
      <c r="B42" s="221"/>
      <c r="C42" s="15">
        <v>2.38869407173746E-2</v>
      </c>
      <c r="D42" s="15">
        <v>4.3386015699034596E-3</v>
      </c>
      <c r="E42" s="15">
        <v>2.89040670515525E-3</v>
      </c>
      <c r="F42" s="15">
        <v>1.29027563161922E-2</v>
      </c>
      <c r="G42" s="15">
        <v>4.17220755624313E-2</v>
      </c>
      <c r="H42" s="15">
        <v>2.8451429826063701E-3</v>
      </c>
      <c r="I42" s="15">
        <v>1.2739490248206E-2</v>
      </c>
      <c r="J42" s="15">
        <v>2.3351211772125801E-2</v>
      </c>
      <c r="K42" s="15">
        <v>6.3094427706240894E-2</v>
      </c>
      <c r="L42" s="15">
        <v>3.0907251607613699E-2</v>
      </c>
      <c r="N42" s="201" t="s">
        <v>298</v>
      </c>
      <c r="O42" s="232"/>
      <c r="P42" s="232"/>
      <c r="Q42" s="232"/>
      <c r="R42" s="232"/>
    </row>
    <row r="43" spans="1:36" x14ac:dyDescent="0.2">
      <c r="A43" s="220" t="s">
        <v>282</v>
      </c>
      <c r="B43" s="221"/>
      <c r="C43" s="15">
        <v>0</v>
      </c>
      <c r="D43" s="15">
        <v>2.7051994141606402E-4</v>
      </c>
      <c r="E43" s="15">
        <v>2.7727022810161402E-4</v>
      </c>
      <c r="F43" s="15">
        <v>9.2331122908701499E-4</v>
      </c>
      <c r="G43" s="15">
        <v>8.7938670638632895E-5</v>
      </c>
      <c r="H43" s="15">
        <v>7.8267619629309002E-4</v>
      </c>
      <c r="I43" s="15">
        <v>0</v>
      </c>
      <c r="J43" s="15">
        <v>2.6962503550840601E-3</v>
      </c>
      <c r="K43" s="15">
        <v>2.7198099192756102E-3</v>
      </c>
      <c r="L43" s="15">
        <v>1.47849500760987E-3</v>
      </c>
    </row>
    <row r="44" spans="1:36" x14ac:dyDescent="0.2">
      <c r="A44" s="220" t="s">
        <v>283</v>
      </c>
      <c r="B44" s="221"/>
      <c r="C44" s="15">
        <v>0</v>
      </c>
      <c r="D44" s="15">
        <v>2.65739729627513E-4</v>
      </c>
      <c r="E44" s="15">
        <v>2.7237073543291999E-4</v>
      </c>
      <c r="F44" s="15">
        <v>9.0699589423403595E-4</v>
      </c>
      <c r="G44" s="15">
        <v>8.6384753409677397E-5</v>
      </c>
      <c r="H44" s="15">
        <v>7.6884594730627497E-4</v>
      </c>
      <c r="I44" s="15">
        <v>0</v>
      </c>
      <c r="J44" s="15">
        <v>2.6486063692714198E-3</v>
      </c>
      <c r="K44" s="15">
        <v>2.67174962512282E-3</v>
      </c>
      <c r="L44" s="15">
        <v>1.4523693197724E-3</v>
      </c>
    </row>
    <row r="45" spans="1:36" x14ac:dyDescent="0.2">
      <c r="A45" s="220" t="s">
        <v>284</v>
      </c>
      <c r="B45" s="221">
        <v>4.3799999999999999E-2</v>
      </c>
      <c r="C45" s="15">
        <v>3.0917251771110502E-2</v>
      </c>
      <c r="D45" s="15">
        <v>2.7355781220453599E-2</v>
      </c>
      <c r="E45" s="15">
        <v>3.0258775338687599E-4</v>
      </c>
      <c r="F45" s="15">
        <v>3.9849321881062699E-4</v>
      </c>
      <c r="G45" s="15">
        <v>4.70804310319847E-3</v>
      </c>
      <c r="H45" s="15">
        <v>1.3183641649379199E-3</v>
      </c>
      <c r="I45" s="15">
        <v>4.3197597637154403E-2</v>
      </c>
      <c r="J45" s="15">
        <v>1.94333373800013E-2</v>
      </c>
      <c r="K45" s="15">
        <v>7.8768273776592904E-3</v>
      </c>
      <c r="L45" s="15">
        <v>6.52658250496908E-3</v>
      </c>
      <c r="O45" s="213"/>
      <c r="P45" s="232"/>
      <c r="Q45" s="232"/>
      <c r="R45" s="232"/>
      <c r="S45" s="232"/>
    </row>
    <row r="46" spans="1:36" x14ac:dyDescent="0.2">
      <c r="A46" s="220" t="s">
        <v>285</v>
      </c>
      <c r="B46" s="221"/>
      <c r="C46" s="15">
        <v>2.7855163642864798E-2</v>
      </c>
      <c r="D46" s="15">
        <v>2.6285117627784502E-2</v>
      </c>
      <c r="E46" s="15">
        <v>5.3317910590755302E-2</v>
      </c>
      <c r="F46" s="15">
        <v>7.5984876674379795E-2</v>
      </c>
      <c r="G46" s="15">
        <v>8.9589881795904807E-3</v>
      </c>
      <c r="H46" s="15">
        <v>3.25488896268918E-2</v>
      </c>
      <c r="I46" s="15">
        <v>5.5787586237705702E-2</v>
      </c>
      <c r="J46" s="15">
        <v>6.7782810502236002E-2</v>
      </c>
      <c r="K46" s="15">
        <v>6.7333865050956496E-2</v>
      </c>
      <c r="L46" s="15">
        <v>1.0169356726881599E-2</v>
      </c>
    </row>
    <row r="47" spans="1:36" x14ac:dyDescent="0.2">
      <c r="A47" s="220" t="s">
        <v>286</v>
      </c>
      <c r="B47" s="221"/>
      <c r="C47" s="15">
        <v>5.64996941188496E-2</v>
      </c>
      <c r="D47" s="15">
        <v>4.2051693837096303E-2</v>
      </c>
      <c r="E47" s="15">
        <v>4.6947510766466402E-2</v>
      </c>
      <c r="F47" s="15">
        <v>9.4871367549450705E-2</v>
      </c>
      <c r="G47" s="15">
        <v>1.74137385912514E-2</v>
      </c>
      <c r="H47" s="15">
        <v>7.1183592363716103E-2</v>
      </c>
      <c r="I47" s="15">
        <v>3.9631874829556102E-2</v>
      </c>
      <c r="J47" s="15">
        <v>4.7732591070968902E-2</v>
      </c>
      <c r="K47" s="15">
        <v>6.2556425026192006E-2</v>
      </c>
      <c r="L47" s="15">
        <v>8.8227403013349595E-2</v>
      </c>
      <c r="Z47">
        <v>162.97153502636999</v>
      </c>
      <c r="AA47">
        <v>141.97979417989399</v>
      </c>
      <c r="AB47">
        <v>149.910998408929</v>
      </c>
      <c r="AC47">
        <v>131.04532162973999</v>
      </c>
      <c r="AD47">
        <v>132.444893330008</v>
      </c>
      <c r="AE47">
        <v>113.349051655312</v>
      </c>
      <c r="AF47">
        <v>134.65978438229001</v>
      </c>
      <c r="AG47">
        <v>147.30773013299401</v>
      </c>
      <c r="AH47">
        <v>128.67855315461901</v>
      </c>
      <c r="AI47">
        <v>148.76961409085499</v>
      </c>
      <c r="AJ47">
        <v>165.021016752831</v>
      </c>
    </row>
    <row r="48" spans="1:36" x14ac:dyDescent="0.2">
      <c r="A48" s="220" t="s">
        <v>288</v>
      </c>
      <c r="B48" s="221">
        <f>0.02607+0.01199</f>
        <v>3.8059999999999997E-2</v>
      </c>
      <c r="C48" s="15">
        <v>4.2635518367259602E-2</v>
      </c>
      <c r="D48" s="15">
        <v>1.48635997154565E-2</v>
      </c>
      <c r="E48" s="15">
        <v>6.36066812802797E-2</v>
      </c>
      <c r="F48" s="15">
        <v>6.7982986801529102E-2</v>
      </c>
      <c r="G48" s="15">
        <v>2.6348753268541001E-2</v>
      </c>
      <c r="H48" s="15">
        <v>0.117221161798055</v>
      </c>
      <c r="I48" s="15">
        <v>1.8583769386191801E-2</v>
      </c>
      <c r="J48" s="15">
        <v>6.7554396720150997E-2</v>
      </c>
      <c r="K48" s="15">
        <v>3.2203274696010503E-2</v>
      </c>
      <c r="L48" s="15">
        <v>1.51904716773185E-2</v>
      </c>
    </row>
    <row r="49" spans="1:26" x14ac:dyDescent="0.2">
      <c r="A49" s="22"/>
      <c r="B49" s="216"/>
      <c r="C49" s="216"/>
      <c r="D49" s="216"/>
      <c r="E49" s="216"/>
      <c r="F49" s="216"/>
      <c r="G49" s="216"/>
      <c r="H49" s="216"/>
      <c r="I49" s="216"/>
      <c r="J49" s="216"/>
      <c r="K49" s="216"/>
      <c r="V49" s="219"/>
    </row>
    <row r="50" spans="1:26" x14ac:dyDescent="0.2">
      <c r="A50" s="220" t="s">
        <v>290</v>
      </c>
      <c r="B50" s="15">
        <f t="shared" ref="B50:L50" si="5">SUM(B35:B37)</f>
        <v>0.85714000000000001</v>
      </c>
      <c r="C50" s="15">
        <f t="shared" si="5"/>
        <v>0.79099181039253197</v>
      </c>
      <c r="D50" s="15">
        <f t="shared" si="5"/>
        <v>0.88112374282793904</v>
      </c>
      <c r="E50" s="15">
        <f t="shared" si="5"/>
        <v>0.54173183107650535</v>
      </c>
      <c r="F50" s="15">
        <f t="shared" si="5"/>
        <v>0.64028262181335338</v>
      </c>
      <c r="G50" s="15">
        <f t="shared" si="5"/>
        <v>0.77115999059316942</v>
      </c>
      <c r="H50" s="15">
        <f t="shared" si="5"/>
        <v>0.75001234775530312</v>
      </c>
      <c r="I50" s="15">
        <f t="shared" si="5"/>
        <v>0.81439875136887196</v>
      </c>
      <c r="J50" s="15">
        <f t="shared" si="5"/>
        <v>0.72735060675385199</v>
      </c>
      <c r="K50" s="15">
        <f t="shared" si="5"/>
        <v>0.5741465190076247</v>
      </c>
      <c r="L50" s="15">
        <f t="shared" si="5"/>
        <v>0.83084986272205175</v>
      </c>
      <c r="Z50">
        <v>162.97153502636999</v>
      </c>
    </row>
    <row r="51" spans="1:26" x14ac:dyDescent="0.2">
      <c r="L51" s="233"/>
      <c r="Z51">
        <v>141.97979417989399</v>
      </c>
    </row>
    <row r="52" spans="1:26" x14ac:dyDescent="0.2">
      <c r="A52" s="208" t="s">
        <v>299</v>
      </c>
      <c r="B52" s="208"/>
      <c r="C52" s="208"/>
      <c r="D52" s="208"/>
      <c r="E52" s="208"/>
      <c r="F52" s="208"/>
      <c r="G52" s="208"/>
      <c r="H52" s="208"/>
      <c r="I52" s="208"/>
      <c r="J52" s="208"/>
      <c r="K52" s="208"/>
      <c r="L52" s="234"/>
      <c r="N52" s="209" t="s">
        <v>300</v>
      </c>
      <c r="O52" s="209"/>
      <c r="P52" s="59"/>
      <c r="Z52">
        <v>149.910998408929</v>
      </c>
    </row>
    <row r="53" spans="1:26" x14ac:dyDescent="0.2">
      <c r="A53" s="22" t="s">
        <v>301</v>
      </c>
      <c r="B53" s="212">
        <f>6830/0.9</f>
        <v>7588.8888888888887</v>
      </c>
      <c r="C53" s="130">
        <f t="shared" ref="C53:L53" si="6">C5/C55/0.9</f>
        <v>7320.4785825502977</v>
      </c>
      <c r="D53" s="130">
        <f t="shared" si="6"/>
        <v>7729.4114946442733</v>
      </c>
      <c r="E53" s="130">
        <f t="shared" si="6"/>
        <v>6756.6971474718266</v>
      </c>
      <c r="F53" s="130">
        <f t="shared" si="6"/>
        <v>6828.8590682277872</v>
      </c>
      <c r="G53" s="130">
        <f t="shared" si="6"/>
        <v>5844.2774184032487</v>
      </c>
      <c r="H53" s="130">
        <f t="shared" si="6"/>
        <v>6943.0588570397731</v>
      </c>
      <c r="I53" s="130">
        <f t="shared" si="6"/>
        <v>7595.1869751011691</v>
      </c>
      <c r="J53" s="130">
        <f t="shared" si="6"/>
        <v>6634.6665583161375</v>
      </c>
      <c r="K53" s="130">
        <f t="shared" si="6"/>
        <v>7670.5617160317997</v>
      </c>
      <c r="L53" s="130">
        <f t="shared" si="6"/>
        <v>8508.4840824543389</v>
      </c>
      <c r="N53" s="201" t="s">
        <v>302</v>
      </c>
      <c r="O53" s="201" t="s">
        <v>303</v>
      </c>
      <c r="P53" s="59"/>
      <c r="Z53">
        <v>131.04532162973999</v>
      </c>
    </row>
    <row r="54" spans="1:26" x14ac:dyDescent="0.2">
      <c r="A54" s="22" t="s">
        <v>304</v>
      </c>
      <c r="B54" s="212">
        <v>1918</v>
      </c>
      <c r="C54" s="178">
        <f t="shared" ref="C54:K54" si="7">$L$54</f>
        <v>2634.45</v>
      </c>
      <c r="D54" s="178">
        <f t="shared" si="7"/>
        <v>2634.45</v>
      </c>
      <c r="E54" s="178">
        <f t="shared" si="7"/>
        <v>2634.45</v>
      </c>
      <c r="F54" s="178">
        <f t="shared" si="7"/>
        <v>2634.45</v>
      </c>
      <c r="G54" s="178">
        <f t="shared" si="7"/>
        <v>2634.45</v>
      </c>
      <c r="H54" s="178">
        <f t="shared" si="7"/>
        <v>2634.45</v>
      </c>
      <c r="I54" s="178">
        <f t="shared" si="7"/>
        <v>2634.45</v>
      </c>
      <c r="J54" s="178">
        <f t="shared" si="7"/>
        <v>2634.45</v>
      </c>
      <c r="K54" s="178">
        <f t="shared" si="7"/>
        <v>2634.45</v>
      </c>
      <c r="L54" s="212">
        <f>((2510+2350)+(420+50)*0.87)/2</f>
        <v>2634.45</v>
      </c>
      <c r="N54" s="201" t="s">
        <v>305</v>
      </c>
      <c r="O54" s="201" t="s">
        <v>306</v>
      </c>
      <c r="P54" s="59"/>
      <c r="Z54">
        <v>132.444893330008</v>
      </c>
    </row>
    <row r="55" spans="1:26" x14ac:dyDescent="0.2">
      <c r="A55" s="22" t="s">
        <v>307</v>
      </c>
      <c r="B55" s="54">
        <f>B5/B53</f>
        <v>1.3492088471496939</v>
      </c>
      <c r="C55" s="15">
        <v>1.1514684090973599</v>
      </c>
      <c r="D55" s="15">
        <v>1.26542141280261</v>
      </c>
      <c r="E55" s="15">
        <v>1.30768678064513</v>
      </c>
      <c r="F55" s="15">
        <v>1.24817767277203</v>
      </c>
      <c r="G55" s="15">
        <v>1.1242203438701599</v>
      </c>
      <c r="H55" s="15">
        <v>1.14318292829734</v>
      </c>
      <c r="I55" s="15">
        <v>1.3610977225090499</v>
      </c>
      <c r="J55" s="15">
        <v>1.23370175956964</v>
      </c>
      <c r="K55" s="15">
        <v>1.3739987213948801</v>
      </c>
      <c r="L55" s="15">
        <v>1.2309000225051501</v>
      </c>
      <c r="N55" s="201" t="s">
        <v>308</v>
      </c>
      <c r="O55" s="201"/>
      <c r="P55" s="59"/>
      <c r="Z55">
        <v>113.349051655312</v>
      </c>
    </row>
    <row r="56" spans="1:26" x14ac:dyDescent="0.2">
      <c r="B56" s="201" t="s">
        <v>309</v>
      </c>
      <c r="L56" s="233"/>
      <c r="N56" s="201" t="s">
        <v>310</v>
      </c>
      <c r="O56" s="201"/>
      <c r="Z56">
        <v>134.65978438229001</v>
      </c>
    </row>
    <row r="57" spans="1:26" x14ac:dyDescent="0.2">
      <c r="A57" s="208" t="s">
        <v>83</v>
      </c>
      <c r="B57" s="208"/>
      <c r="C57" s="208"/>
      <c r="D57" s="208"/>
      <c r="E57" s="208"/>
      <c r="F57" s="208"/>
      <c r="G57" s="208"/>
      <c r="H57" s="208"/>
      <c r="I57" s="208"/>
      <c r="J57" s="208"/>
      <c r="K57" s="208"/>
      <c r="L57" s="234"/>
      <c r="N57" s="201"/>
      <c r="Z57">
        <v>147.30773013299401</v>
      </c>
    </row>
    <row r="58" spans="1:26" x14ac:dyDescent="0.2">
      <c r="A58" s="22" t="s">
        <v>311</v>
      </c>
      <c r="B58" s="235">
        <v>162.97153502636999</v>
      </c>
      <c r="C58" s="235">
        <v>141.97979417989399</v>
      </c>
      <c r="D58" s="235">
        <v>149.910998408929</v>
      </c>
      <c r="E58" s="235">
        <v>131.04532162973999</v>
      </c>
      <c r="F58" s="235">
        <v>132.444893330008</v>
      </c>
      <c r="G58" s="235">
        <v>113.349051655312</v>
      </c>
      <c r="H58" s="235">
        <v>134.65978438229001</v>
      </c>
      <c r="I58" s="235">
        <v>147.30773013299401</v>
      </c>
      <c r="J58" s="235">
        <v>128.67855315461901</v>
      </c>
      <c r="K58" s="235">
        <v>148.76961409085499</v>
      </c>
      <c r="L58" s="235">
        <v>165.021016752831</v>
      </c>
      <c r="N58" s="201" t="s">
        <v>312</v>
      </c>
      <c r="O58" s="201"/>
      <c r="Z58">
        <v>128.67855315461901</v>
      </c>
    </row>
    <row r="59" spans="1:26" x14ac:dyDescent="0.2">
      <c r="A59" s="22" t="s">
        <v>313</v>
      </c>
      <c r="B59" s="130">
        <v>52</v>
      </c>
      <c r="C59" s="130">
        <v>52</v>
      </c>
      <c r="D59" s="130">
        <v>52</v>
      </c>
      <c r="E59" s="130">
        <v>52</v>
      </c>
      <c r="F59" s="130">
        <v>52</v>
      </c>
      <c r="G59" s="130">
        <v>52</v>
      </c>
      <c r="H59" s="130">
        <v>52</v>
      </c>
      <c r="I59" s="130">
        <v>52</v>
      </c>
      <c r="J59" s="130">
        <v>52</v>
      </c>
      <c r="K59" s="130">
        <v>52</v>
      </c>
      <c r="L59" s="130">
        <v>52</v>
      </c>
      <c r="N59" s="201"/>
      <c r="O59" s="201"/>
      <c r="Z59">
        <v>148.76961409085499</v>
      </c>
    </row>
    <row r="60" spans="1:26" x14ac:dyDescent="0.2">
      <c r="L60" s="58"/>
      <c r="N60" s="201"/>
      <c r="O60" s="201"/>
      <c r="P60" s="201"/>
      <c r="R60" s="201"/>
      <c r="Z60">
        <v>165.021016752831</v>
      </c>
    </row>
    <row r="61" spans="1:26" x14ac:dyDescent="0.2">
      <c r="A61" s="208" t="s">
        <v>314</v>
      </c>
      <c r="B61" s="208" t="s">
        <v>88</v>
      </c>
      <c r="C61" s="208" t="s">
        <v>45</v>
      </c>
      <c r="D61" s="208" t="s">
        <v>47</v>
      </c>
      <c r="E61" s="208" t="s">
        <v>49</v>
      </c>
      <c r="F61" s="208" t="s">
        <v>86</v>
      </c>
      <c r="G61" s="208" t="s">
        <v>89</v>
      </c>
      <c r="H61" s="208" t="s">
        <v>55</v>
      </c>
      <c r="I61" s="208" t="s">
        <v>87</v>
      </c>
      <c r="J61" s="208" t="s">
        <v>59</v>
      </c>
      <c r="K61" s="208" t="s">
        <v>61</v>
      </c>
      <c r="L61" s="208" t="s">
        <v>63</v>
      </c>
      <c r="N61" s="201"/>
    </row>
    <row r="62" spans="1:26" x14ac:dyDescent="0.2">
      <c r="A62" s="22" t="s">
        <v>315</v>
      </c>
      <c r="B62" s="230">
        <f>690/9300</f>
        <v>7.4193548387096769E-2</v>
      </c>
      <c r="C62" s="521">
        <f>D62</f>
        <v>0.23888888888888887</v>
      </c>
      <c r="D62" s="230">
        <f>AVERAGE(0.75, 0.97)/3.6</f>
        <v>0.23888888888888887</v>
      </c>
      <c r="E62" s="521">
        <f>H62</f>
        <v>0.3</v>
      </c>
      <c r="F62" s="521">
        <f>C62</f>
        <v>0.23888888888888887</v>
      </c>
      <c r="G62" s="230">
        <f>0.54/3.6</f>
        <v>0.15</v>
      </c>
      <c r="H62" s="230">
        <f>1.08/3.6</f>
        <v>0.3</v>
      </c>
      <c r="I62" s="230">
        <f>AVERAGE(1.3,0.87)/3.6</f>
        <v>0.30138888888888887</v>
      </c>
      <c r="J62" s="230">
        <f>1.02/3.6</f>
        <v>0.28333333333333333</v>
      </c>
      <c r="K62" s="521">
        <f>H62</f>
        <v>0.3</v>
      </c>
      <c r="L62" s="230">
        <f>1300/8310</f>
        <v>0.15643802647412755</v>
      </c>
      <c r="N62" s="201" t="s">
        <v>316</v>
      </c>
    </row>
    <row r="64" spans="1:26" x14ac:dyDescent="0.2">
      <c r="A64" s="208" t="s">
        <v>317</v>
      </c>
      <c r="B64" s="208"/>
      <c r="C64" s="208"/>
      <c r="D64" s="208"/>
      <c r="E64" s="208"/>
      <c r="F64" s="208"/>
      <c r="G64" s="208"/>
      <c r="H64" s="208"/>
      <c r="I64" s="208"/>
      <c r="J64" s="208"/>
      <c r="K64" s="208"/>
      <c r="L64" s="234"/>
    </row>
    <row r="65" spans="1:15" x14ac:dyDescent="0.2">
      <c r="A65" s="22" t="s">
        <v>318</v>
      </c>
      <c r="B65" s="215">
        <v>0.2</v>
      </c>
      <c r="C65" s="215">
        <v>0.2</v>
      </c>
      <c r="D65" s="215">
        <v>0.2</v>
      </c>
      <c r="E65" s="215">
        <v>0.2</v>
      </c>
      <c r="F65" s="215">
        <v>0.2</v>
      </c>
      <c r="G65" s="215">
        <v>0.2</v>
      </c>
      <c r="H65" s="215">
        <v>0.2</v>
      </c>
      <c r="I65" s="215">
        <v>0.2</v>
      </c>
      <c r="J65" s="215">
        <v>0.2</v>
      </c>
      <c r="K65" s="215">
        <v>0.2</v>
      </c>
      <c r="L65" s="215">
        <v>0.2</v>
      </c>
      <c r="M65" s="215"/>
      <c r="N65" s="237" t="s">
        <v>319</v>
      </c>
    </row>
    <row r="66" spans="1:15" x14ac:dyDescent="0.2">
      <c r="A66" s="22" t="s">
        <v>320</v>
      </c>
      <c r="B66" s="216">
        <v>0.1</v>
      </c>
      <c r="C66" s="216">
        <v>0.1</v>
      </c>
      <c r="D66" s="216">
        <v>0.1</v>
      </c>
      <c r="E66" s="216">
        <v>0.1</v>
      </c>
      <c r="F66" s="216">
        <v>0.1</v>
      </c>
      <c r="G66" s="216">
        <v>0.1</v>
      </c>
      <c r="H66" s="216">
        <v>0.1</v>
      </c>
      <c r="I66" s="216">
        <v>0.1</v>
      </c>
      <c r="J66" s="216">
        <v>0.1</v>
      </c>
      <c r="K66" s="216">
        <v>0.1</v>
      </c>
      <c r="L66" s="216">
        <v>0.1</v>
      </c>
      <c r="M66" s="216"/>
      <c r="O66" s="238"/>
    </row>
    <row r="67" spans="1:15" x14ac:dyDescent="0.2">
      <c r="L67" s="233"/>
    </row>
    <row r="68" spans="1:15" x14ac:dyDescent="0.2">
      <c r="A68" s="208" t="s">
        <v>321</v>
      </c>
      <c r="B68" s="208"/>
      <c r="C68" s="208"/>
      <c r="D68" s="208"/>
      <c r="E68" s="208"/>
      <c r="F68" s="208"/>
      <c r="G68" s="208"/>
      <c r="H68" s="208"/>
      <c r="I68" s="208"/>
      <c r="J68" s="208"/>
      <c r="K68" s="208"/>
      <c r="L68" s="234"/>
      <c r="N68" s="201"/>
    </row>
    <row r="69" spans="1:15" x14ac:dyDescent="0.2">
      <c r="A69" s="22" t="s">
        <v>322</v>
      </c>
      <c r="B69" s="83">
        <f>SUMPRODUCT(B70:B72,'Parameters, general'!$B$24:$B$26)</f>
        <v>0.38627677177026798</v>
      </c>
      <c r="C69" s="83">
        <f>SUMPRODUCT(C70:C72,'Parameters, general'!$B$24:$B$26)</f>
        <v>9.5381405160222726E-2</v>
      </c>
      <c r="D69" s="83">
        <f>SUMPRODUCT(D70:D72,'Parameters, general'!$B$24:$B$26)</f>
        <v>0.49048549543962316</v>
      </c>
      <c r="E69" s="83">
        <f>SUMPRODUCT(E70:E72,'Parameters, general'!$B$24:$B$26)</f>
        <v>0.67841599837959998</v>
      </c>
      <c r="F69" s="83">
        <f>SUMPRODUCT(F70:F72,'Parameters, general'!$B$24:$B$26)</f>
        <v>0.47045713416211871</v>
      </c>
      <c r="G69" s="83">
        <f>SUMPRODUCT(G70:G72,'Parameters, general'!$B$24:$B$26)</f>
        <v>0.4048456615611673</v>
      </c>
      <c r="H69" s="83">
        <f>SUMPRODUCT(H70:H72,'Parameters, general'!$B$24:$B$26)</f>
        <v>0.42738626455461243</v>
      </c>
      <c r="I69" s="83">
        <f>SUMPRODUCT(I70:I72,'Parameters, general'!$B$24:$B$26)</f>
        <v>0.52657781797980341</v>
      </c>
      <c r="J69" s="83">
        <f>SUMPRODUCT(J70:J72,'Parameters, general'!$B$24:$B$26)</f>
        <v>1.0319324183189464</v>
      </c>
      <c r="K69" s="83">
        <f>SUMPRODUCT(K70:K72,'Parameters, general'!$B$24:$B$26)</f>
        <v>0.29314059765558081</v>
      </c>
      <c r="L69" s="83">
        <f>SUMPRODUCT(L70:L72,'Parameters, general'!$B$24:$B$26)</f>
        <v>9.1599695300547013E-2</v>
      </c>
      <c r="N69" s="201" t="s">
        <v>323</v>
      </c>
    </row>
    <row r="70" spans="1:15" x14ac:dyDescent="0.2">
      <c r="A70" s="22" t="s">
        <v>324</v>
      </c>
      <c r="B70" s="239">
        <v>0.37053203522740003</v>
      </c>
      <c r="C70" s="240">
        <v>8.7112695367500007E-2</v>
      </c>
      <c r="D70" s="239">
        <v>0.46350339663360002</v>
      </c>
      <c r="E70" s="239">
        <v>0.63996298020209996</v>
      </c>
      <c r="F70" s="239">
        <v>0.43715184780049998</v>
      </c>
      <c r="G70" s="239">
        <v>0.39187201012473999</v>
      </c>
      <c r="H70" s="239">
        <v>0.37797633435819999</v>
      </c>
      <c r="I70" s="239">
        <v>0.49673189321139999</v>
      </c>
      <c r="J70" s="239">
        <v>0.9754510606115</v>
      </c>
      <c r="K70" s="239">
        <v>0.26811508139590001</v>
      </c>
      <c r="L70" s="239">
        <v>8.8450339728460003E-2</v>
      </c>
      <c r="N70" s="201"/>
    </row>
    <row r="71" spans="1:15" x14ac:dyDescent="0.2">
      <c r="A71" s="22" t="s">
        <v>325</v>
      </c>
      <c r="B71" s="241">
        <v>5.1107441647039998E-4</v>
      </c>
      <c r="C71" s="241">
        <v>2.700762131814E-4</v>
      </c>
      <c r="D71" s="241">
        <v>8.8663106704440001E-4</v>
      </c>
      <c r="E71" s="241">
        <v>1.2704162262849E-3</v>
      </c>
      <c r="F71" s="241">
        <v>1.1037499887663999E-3</v>
      </c>
      <c r="G71" s="241">
        <v>4.22314047096554E-4</v>
      </c>
      <c r="H71" s="241">
        <v>1.6431484401077999E-3</v>
      </c>
      <c r="I71" s="241">
        <v>9.8347245312259998E-4</v>
      </c>
      <c r="J71" s="241">
        <v>1.87940081866364E-3</v>
      </c>
      <c r="K71" s="241">
        <v>8.28784824796E-4</v>
      </c>
      <c r="L71" s="241">
        <v>9.8278548655939999E-5</v>
      </c>
      <c r="N71" s="201"/>
    </row>
    <row r="72" spans="1:15" x14ac:dyDescent="0.2">
      <c r="A72" s="22" t="s">
        <v>326</v>
      </c>
      <c r="B72" s="242">
        <v>1.9063664150000001E-5</v>
      </c>
      <c r="C72" s="242">
        <v>8.1643940710000003E-6</v>
      </c>
      <c r="D72" s="242">
        <v>2.07590003E-5</v>
      </c>
      <c r="E72" s="242">
        <v>2.2022764229999999E-5</v>
      </c>
      <c r="F72" s="242">
        <v>1.5316173940000001E-5</v>
      </c>
      <c r="G72" s="242">
        <v>1.439603085E-5</v>
      </c>
      <c r="H72" s="242">
        <v>1.6448395599999999E-5</v>
      </c>
      <c r="I72" s="242">
        <v>1.9942432050000001E-5</v>
      </c>
      <c r="J72" s="242">
        <v>1.7600493009999999E-5</v>
      </c>
      <c r="K72" s="242">
        <v>1.213809188E-5</v>
      </c>
      <c r="L72" s="242">
        <v>8.1724008200000007E-6</v>
      </c>
    </row>
    <row r="73" spans="1:15" x14ac:dyDescent="0.2">
      <c r="L73" s="216"/>
      <c r="N73" s="201"/>
    </row>
    <row r="74" spans="1:15" x14ac:dyDescent="0.2">
      <c r="A74" s="208" t="s">
        <v>327</v>
      </c>
      <c r="B74" s="208" t="s">
        <v>88</v>
      </c>
      <c r="C74" s="208" t="s">
        <v>45</v>
      </c>
      <c r="D74" s="208" t="s">
        <v>47</v>
      </c>
      <c r="E74" s="208" t="s">
        <v>49</v>
      </c>
      <c r="F74" s="208" t="s">
        <v>86</v>
      </c>
      <c r="G74" s="208" t="s">
        <v>89</v>
      </c>
      <c r="H74" s="208" t="s">
        <v>55</v>
      </c>
      <c r="I74" s="208" t="s">
        <v>87</v>
      </c>
      <c r="J74" s="208" t="s">
        <v>59</v>
      </c>
      <c r="K74" s="208" t="s">
        <v>61</v>
      </c>
      <c r="L74" s="208" t="s">
        <v>63</v>
      </c>
      <c r="N74" s="201"/>
    </row>
    <row r="75" spans="1:15" x14ac:dyDescent="0.2">
      <c r="A75" s="22" t="s">
        <v>328</v>
      </c>
      <c r="B75" s="243">
        <v>3.1162677395757101</v>
      </c>
      <c r="C75" s="243">
        <v>3.1792442157854</v>
      </c>
      <c r="D75" s="243">
        <v>3.2077829821500399</v>
      </c>
      <c r="E75" s="243">
        <v>3.3911286486486398</v>
      </c>
      <c r="F75" s="243">
        <v>3.1523065430190602</v>
      </c>
      <c r="G75" s="243">
        <v>3.2030592553749302</v>
      </c>
      <c r="H75" s="243">
        <v>3.46067082188886</v>
      </c>
      <c r="I75" s="243">
        <v>3.1627724594992599</v>
      </c>
      <c r="J75" s="243">
        <v>3.0606571322894802</v>
      </c>
      <c r="K75" s="243">
        <v>3.3359411047220702</v>
      </c>
      <c r="L75" s="243">
        <v>3.0736425884123402</v>
      </c>
      <c r="N75" s="201" t="s">
        <v>329</v>
      </c>
    </row>
    <row r="76" spans="1:15" x14ac:dyDescent="0.2">
      <c r="A76" s="22" t="s">
        <v>330</v>
      </c>
      <c r="B76" s="244">
        <v>0</v>
      </c>
      <c r="C76" s="244">
        <v>0</v>
      </c>
      <c r="D76" s="244">
        <v>0</v>
      </c>
      <c r="E76" s="244">
        <v>0</v>
      </c>
      <c r="F76" s="244">
        <v>0</v>
      </c>
      <c r="G76" s="244">
        <v>0</v>
      </c>
      <c r="H76" s="244">
        <v>0</v>
      </c>
      <c r="I76" s="244">
        <v>0</v>
      </c>
      <c r="J76" s="244">
        <v>0</v>
      </c>
      <c r="K76" s="244">
        <v>0</v>
      </c>
      <c r="L76" s="244">
        <v>0</v>
      </c>
    </row>
    <row r="77" spans="1:15" x14ac:dyDescent="0.2">
      <c r="A77" s="22" t="s">
        <v>331</v>
      </c>
      <c r="B77" s="245">
        <v>1.40781530101208E-3</v>
      </c>
      <c r="C77" s="245">
        <v>9.4235970813619002E-4</v>
      </c>
      <c r="D77" s="245">
        <v>1.06652006786216E-3</v>
      </c>
      <c r="E77" s="245">
        <v>3.1944559944559902E-4</v>
      </c>
      <c r="F77" s="245">
        <v>1.22755160004E-3</v>
      </c>
      <c r="G77" s="245">
        <v>1.12337810764659E-3</v>
      </c>
      <c r="H77" s="245">
        <v>1.53739351711039E-4</v>
      </c>
      <c r="I77" s="245">
        <v>1.2356109771426401E-3</v>
      </c>
      <c r="J77" s="245">
        <v>1.2125413730641099E-3</v>
      </c>
      <c r="K77" s="245">
        <v>5.5574384377311695E-4</v>
      </c>
      <c r="L77" s="245">
        <v>1.6242541005520601E-3</v>
      </c>
    </row>
    <row r="78" spans="1:15" x14ac:dyDescent="0.2">
      <c r="L78" s="216"/>
    </row>
    <row r="79" spans="1:15" x14ac:dyDescent="0.2">
      <c r="A79" s="208" t="s">
        <v>332</v>
      </c>
      <c r="B79" s="208"/>
      <c r="C79" s="208"/>
      <c r="D79" s="208"/>
      <c r="E79" s="208"/>
      <c r="F79" s="208"/>
      <c r="G79" s="208"/>
      <c r="H79" s="208"/>
      <c r="I79" s="208"/>
      <c r="J79" s="208"/>
      <c r="K79" s="208"/>
      <c r="L79" s="234"/>
    </row>
    <row r="80" spans="1:15" x14ac:dyDescent="0.2">
      <c r="A80" s="246" t="s">
        <v>333</v>
      </c>
      <c r="B80" s="247">
        <v>1.6E-2</v>
      </c>
      <c r="C80" s="247">
        <v>1.6E-2</v>
      </c>
      <c r="D80" s="247">
        <v>1.6E-2</v>
      </c>
      <c r="E80" s="247">
        <v>0.01</v>
      </c>
      <c r="F80" s="247">
        <v>1.6E-2</v>
      </c>
      <c r="G80" s="247">
        <v>1.6E-2</v>
      </c>
      <c r="H80" s="247">
        <v>1.6E-2</v>
      </c>
      <c r="I80" s="247">
        <v>1.6E-2</v>
      </c>
      <c r="J80" s="247">
        <v>1.6E-2</v>
      </c>
      <c r="K80" s="247">
        <v>0.01</v>
      </c>
      <c r="L80" s="247">
        <v>1.6E-2</v>
      </c>
      <c r="N80" s="201" t="s">
        <v>334</v>
      </c>
    </row>
    <row r="81" spans="1:14" x14ac:dyDescent="0.2">
      <c r="A81" s="246" t="s">
        <v>335</v>
      </c>
      <c r="B81" s="247">
        <v>6.0000000000000001E-3</v>
      </c>
      <c r="C81" s="247">
        <v>6.0000000000000001E-3</v>
      </c>
      <c r="D81" s="247">
        <v>6.0000000000000001E-3</v>
      </c>
      <c r="E81" s="247">
        <v>0.01</v>
      </c>
      <c r="F81" s="247">
        <v>6.0000000000000001E-3</v>
      </c>
      <c r="G81" s="247">
        <v>6.0000000000000001E-3</v>
      </c>
      <c r="H81" s="247">
        <v>6.0000000000000001E-3</v>
      </c>
      <c r="I81" s="247">
        <v>6.0000000000000001E-3</v>
      </c>
      <c r="J81" s="247">
        <v>6.0000000000000001E-3</v>
      </c>
      <c r="K81" s="247">
        <v>0.01</v>
      </c>
      <c r="L81" s="247">
        <v>6.0000000000000001E-3</v>
      </c>
    </row>
    <row r="82" spans="1:14" x14ac:dyDescent="0.2">
      <c r="A82" s="22" t="s">
        <v>336</v>
      </c>
      <c r="B82" s="13">
        <f t="shared" ref="B82:L82" si="8">B80-B81</f>
        <v>0.01</v>
      </c>
      <c r="C82" s="13">
        <f t="shared" si="8"/>
        <v>0.01</v>
      </c>
      <c r="D82" s="13">
        <f t="shared" si="8"/>
        <v>0.01</v>
      </c>
      <c r="E82" s="13">
        <f t="shared" si="8"/>
        <v>0</v>
      </c>
      <c r="F82" s="13">
        <f t="shared" si="8"/>
        <v>0.01</v>
      </c>
      <c r="G82" s="13">
        <f t="shared" si="8"/>
        <v>0.01</v>
      </c>
      <c r="H82" s="13">
        <f t="shared" si="8"/>
        <v>0.01</v>
      </c>
      <c r="I82" s="13">
        <f t="shared" si="8"/>
        <v>0.01</v>
      </c>
      <c r="J82" s="13">
        <f t="shared" si="8"/>
        <v>0.01</v>
      </c>
      <c r="K82" s="13">
        <f t="shared" si="8"/>
        <v>0</v>
      </c>
      <c r="L82" s="83">
        <f t="shared" si="8"/>
        <v>0.01</v>
      </c>
    </row>
    <row r="83" spans="1:14" x14ac:dyDescent="0.2">
      <c r="A83" s="246" t="s">
        <v>337</v>
      </c>
      <c r="B83" s="248">
        <v>0.1</v>
      </c>
      <c r="C83" s="248">
        <v>0.1</v>
      </c>
      <c r="D83" s="248">
        <v>0.1</v>
      </c>
      <c r="E83" s="248">
        <v>0.1</v>
      </c>
      <c r="F83" s="248">
        <v>0.1</v>
      </c>
      <c r="G83" s="248">
        <v>0.1</v>
      </c>
      <c r="H83" s="248">
        <v>0.1</v>
      </c>
      <c r="I83" s="248">
        <v>0.1</v>
      </c>
      <c r="J83" s="248">
        <v>0.1</v>
      </c>
      <c r="K83" s="248">
        <v>0.1</v>
      </c>
      <c r="L83" s="248">
        <v>0.1</v>
      </c>
    </row>
    <row r="84" spans="1:14" x14ac:dyDescent="0.2">
      <c r="A84" s="22"/>
      <c r="L84" s="216"/>
    </row>
    <row r="85" spans="1:14" x14ac:dyDescent="0.2">
      <c r="A85" s="208" t="s">
        <v>338</v>
      </c>
      <c r="B85" s="208"/>
      <c r="C85" s="208"/>
      <c r="D85" s="208"/>
      <c r="E85" s="208"/>
      <c r="F85" s="208"/>
      <c r="G85" s="208"/>
      <c r="H85" s="208"/>
      <c r="I85" s="208"/>
      <c r="J85" s="208"/>
      <c r="K85" s="208"/>
      <c r="L85" s="249"/>
      <c r="N85" s="201"/>
    </row>
    <row r="86" spans="1:14" x14ac:dyDescent="0.2">
      <c r="A86" s="246" t="s">
        <v>338</v>
      </c>
      <c r="B86" s="250">
        <v>0</v>
      </c>
      <c r="C86" s="250">
        <v>0</v>
      </c>
      <c r="D86" s="250">
        <v>0</v>
      </c>
      <c r="E86" s="250">
        <v>0</v>
      </c>
      <c r="F86" s="250">
        <v>0</v>
      </c>
      <c r="G86" s="250">
        <v>0</v>
      </c>
      <c r="H86" s="250">
        <v>0</v>
      </c>
      <c r="I86" s="250">
        <v>0</v>
      </c>
      <c r="J86" s="250">
        <v>0</v>
      </c>
      <c r="K86" s="250">
        <v>0</v>
      </c>
      <c r="L86" s="250">
        <v>0</v>
      </c>
      <c r="N86" s="201" t="s">
        <v>339</v>
      </c>
    </row>
    <row r="87" spans="1:14" x14ac:dyDescent="0.2">
      <c r="L87" s="216"/>
      <c r="N87" s="201"/>
    </row>
    <row r="88" spans="1:14" x14ac:dyDescent="0.2">
      <c r="A88" s="208" t="s">
        <v>340</v>
      </c>
      <c r="B88" s="208"/>
      <c r="C88" s="208"/>
      <c r="D88" s="208"/>
      <c r="E88" s="208"/>
      <c r="F88" s="208"/>
      <c r="G88" s="208"/>
      <c r="H88" s="208"/>
      <c r="I88" s="208"/>
      <c r="J88" s="208"/>
      <c r="K88" s="208"/>
      <c r="L88" s="234"/>
      <c r="N88" s="201"/>
    </row>
    <row r="89" spans="1:14" x14ac:dyDescent="0.2">
      <c r="A89" s="246" t="s">
        <v>341</v>
      </c>
      <c r="B89" s="251">
        <v>92.5</v>
      </c>
      <c r="C89" s="251">
        <v>92.5</v>
      </c>
      <c r="D89" s="251">
        <v>92.5</v>
      </c>
      <c r="E89" s="251">
        <v>92.5</v>
      </c>
      <c r="F89" s="251">
        <v>92.5</v>
      </c>
      <c r="G89" s="251">
        <v>92.5</v>
      </c>
      <c r="H89" s="251">
        <v>92.5</v>
      </c>
      <c r="I89" s="251">
        <v>92.5</v>
      </c>
      <c r="J89" s="251">
        <v>92.5</v>
      </c>
      <c r="K89" s="251">
        <v>92.5</v>
      </c>
      <c r="L89" s="251">
        <v>92.5</v>
      </c>
      <c r="N89" s="201" t="s">
        <v>342</v>
      </c>
    </row>
    <row r="90" spans="1:14" x14ac:dyDescent="0.2">
      <c r="A90" s="246" t="s">
        <v>343</v>
      </c>
      <c r="B90" s="251">
        <v>22</v>
      </c>
      <c r="C90" s="251">
        <v>22</v>
      </c>
      <c r="D90" s="251">
        <v>22</v>
      </c>
      <c r="E90" s="251">
        <v>22</v>
      </c>
      <c r="F90" s="251">
        <v>22</v>
      </c>
      <c r="G90" s="251">
        <v>22</v>
      </c>
      <c r="H90" s="251">
        <v>22</v>
      </c>
      <c r="I90" s="251">
        <v>22</v>
      </c>
      <c r="J90" s="251">
        <v>22</v>
      </c>
      <c r="K90" s="251">
        <v>22</v>
      </c>
      <c r="L90" s="251">
        <v>22</v>
      </c>
      <c r="N90" s="201"/>
    </row>
    <row r="91" spans="1:14" x14ac:dyDescent="0.2">
      <c r="A91" s="246" t="s">
        <v>344</v>
      </c>
      <c r="B91" s="252">
        <v>25</v>
      </c>
      <c r="C91" s="252">
        <v>25</v>
      </c>
      <c r="D91" s="252">
        <v>25</v>
      </c>
      <c r="E91" s="252">
        <v>25</v>
      </c>
      <c r="F91" s="252">
        <v>25</v>
      </c>
      <c r="G91" s="252">
        <v>25</v>
      </c>
      <c r="H91" s="252">
        <v>25</v>
      </c>
      <c r="I91" s="252">
        <v>25</v>
      </c>
      <c r="J91" s="252">
        <v>25</v>
      </c>
      <c r="K91" s="252">
        <v>25</v>
      </c>
      <c r="L91" s="252">
        <v>25</v>
      </c>
      <c r="N91" s="201"/>
    </row>
    <row r="92" spans="1:14" x14ac:dyDescent="0.2">
      <c r="A92" s="246" t="s">
        <v>345</v>
      </c>
      <c r="B92" s="252">
        <v>11</v>
      </c>
      <c r="C92" s="252">
        <v>11</v>
      </c>
      <c r="D92" s="252">
        <v>11</v>
      </c>
      <c r="E92" s="252">
        <v>11</v>
      </c>
      <c r="F92" s="252">
        <v>11</v>
      </c>
      <c r="G92" s="252">
        <v>11</v>
      </c>
      <c r="H92" s="252">
        <v>11</v>
      </c>
      <c r="I92" s="252">
        <v>11</v>
      </c>
      <c r="J92" s="252">
        <v>11</v>
      </c>
      <c r="K92" s="252">
        <v>11</v>
      </c>
      <c r="L92" s="252">
        <v>11</v>
      </c>
      <c r="N92" s="201"/>
    </row>
    <row r="93" spans="1:14" x14ac:dyDescent="0.2">
      <c r="A93" s="246"/>
      <c r="B93" s="216"/>
      <c r="C93" s="216"/>
      <c r="D93" s="216"/>
      <c r="E93" s="216"/>
      <c r="F93" s="216"/>
      <c r="G93" s="216"/>
      <c r="H93" s="216"/>
      <c r="I93" s="216"/>
      <c r="J93" s="216"/>
      <c r="K93" s="216"/>
      <c r="L93" s="216"/>
      <c r="N93" s="201"/>
    </row>
    <row r="94" spans="1:14" x14ac:dyDescent="0.2">
      <c r="A94" s="208" t="s">
        <v>346</v>
      </c>
      <c r="B94" s="208" t="s">
        <v>88</v>
      </c>
      <c r="C94" s="208" t="s">
        <v>45</v>
      </c>
      <c r="D94" s="208" t="s">
        <v>47</v>
      </c>
      <c r="E94" s="208" t="s">
        <v>49</v>
      </c>
      <c r="F94" s="208" t="s">
        <v>86</v>
      </c>
      <c r="G94" s="208" t="s">
        <v>89</v>
      </c>
      <c r="H94" s="208" t="s">
        <v>55</v>
      </c>
      <c r="I94" s="208" t="s">
        <v>87</v>
      </c>
      <c r="J94" s="208" t="s">
        <v>59</v>
      </c>
      <c r="K94" s="208" t="s">
        <v>61</v>
      </c>
      <c r="L94" s="208" t="s">
        <v>63</v>
      </c>
      <c r="N94" s="201" t="s">
        <v>347</v>
      </c>
    </row>
    <row r="95" spans="1:14" x14ac:dyDescent="0.2">
      <c r="A95" s="22" t="s">
        <v>348</v>
      </c>
      <c r="B95" s="83">
        <f>3.1*B5/(3.1*B5+27.5*Production!B13*B8+15*Production!B11*'Parameters, country spec'!B10/0.45)</f>
        <v>0.86878802012829226</v>
      </c>
      <c r="C95" s="54">
        <f>3.1*C5/(3.1*C5+27.5*Production!C13*C8+15*Production!C11*'Parameters, country spec'!C10/0.45)</f>
        <v>0.82614354195191919</v>
      </c>
      <c r="D95" s="54">
        <f>3.1*D5/(3.1*D5+27.5*Production!D13*D8+15*Production!D11*'Parameters, country spec'!D10/0.45)</f>
        <v>0.85598911905365593</v>
      </c>
      <c r="E95" s="54">
        <f>3.1*E5/(3.1*E5+27.5*Production!E13*E8+15*Production!E11*'Parameters, country spec'!E10/0.45)</f>
        <v>0.84082516630535098</v>
      </c>
      <c r="F95" s="54">
        <f>3.1*F5/(3.1*F5+27.5*Production!F13*F8+15*Production!F11*'Parameters, country spec'!F10/0.45)</f>
        <v>0.83358964621041765</v>
      </c>
      <c r="G95" s="54">
        <f>3.1*G5/(3.1*G5+27.5*Production!G13*G8+15*Production!G11*'Parameters, country spec'!G10/0.45)</f>
        <v>0.81222015874142228</v>
      </c>
      <c r="H95" s="54">
        <f>3.1*H5/(3.1*H5+27.5*Production!H13*H8+15*Production!H11*'Parameters, country spec'!H10/0.45)</f>
        <v>0.8286400626621071</v>
      </c>
      <c r="I95" s="54">
        <f>3.1*I5/(3.1*I5+27.5*Production!I13*I8+15*Production!I11*'Parameters, country spec'!I10/0.45)</f>
        <v>0.8647236748229985</v>
      </c>
      <c r="J95" s="54">
        <f>3.1*J5/(3.1*J5+27.5*Production!J13*J8+15*Production!J11*'Parameters, country spec'!J10/0.45)</f>
        <v>0.83261272818666499</v>
      </c>
      <c r="K95" s="54">
        <f>3.1*K5/(3.1*K5+27.5*Production!K13*K8+15*Production!K11*'Parameters, country spec'!K10/0.45)</f>
        <v>0.85606192406524517</v>
      </c>
      <c r="L95" s="54">
        <f>3.1*L5/(3.1*L5+27.5*Production!L13*L8+15*Production!L11*'Parameters, country spec'!L10/0.45)</f>
        <v>0.85845149795143971</v>
      </c>
      <c r="N95" s="201"/>
    </row>
    <row r="96" spans="1:14" x14ac:dyDescent="0.2">
      <c r="A96" s="22" t="s">
        <v>349</v>
      </c>
      <c r="B96" s="83">
        <f>15*Production!B11*'Parameters, country spec'!B10/0.45/(3.1*B5+27.5*Production!B13*B8+15*Production!B11*'Parameters, country spec'!B10/0.45)</f>
        <v>9.3413614025287181E-2</v>
      </c>
      <c r="C96" s="54">
        <f>15*Production!C11*'Parameters, country spec'!C10/0.45/(3.1*C5+27.5*Production!C13*C8+15*Production!C11*'Parameters, country spec'!C10/0.45)</f>
        <v>0.11976974893943279</v>
      </c>
      <c r="D96" s="54">
        <f>15*Production!D11*'Parameters, country spec'!D10/0.45/(3.1*D5+27.5*Production!D13*D8+15*Production!D11*'Parameters, country spec'!D10/0.45)</f>
        <v>9.5714656222081515E-2</v>
      </c>
      <c r="E96" s="54">
        <f>15*Production!E11*'Parameters, country spec'!E10/0.45/(3.1*E5+27.5*Production!E13*E8+15*Production!E11*'Parameters, country spec'!E10/0.45)</f>
        <v>0.10665854072402686</v>
      </c>
      <c r="F96" s="54">
        <f>15*Production!F11*'Parameters, country spec'!F10/0.45/(3.1*F5+27.5*Production!F13*F8+15*Production!F11*'Parameters, country spec'!F10/0.45)</f>
        <v>0.1124401200092774</v>
      </c>
      <c r="G96" s="54">
        <f>15*Production!G11*'Parameters, country spec'!G10/0.45/(3.1*G5+27.5*Production!G13*G8+15*Production!G11*'Parameters, country spec'!G10/0.45)</f>
        <v>0.11955884639734969</v>
      </c>
      <c r="H96" s="54">
        <f>15*Production!H11*'Parameters, country spec'!H10/0.45/(3.1*H5+27.5*Production!H13*H8+15*Production!H11*'Parameters, country spec'!H10/0.45)</f>
        <v>0.11374622012540445</v>
      </c>
      <c r="I96" s="54">
        <f>15*Production!I11*'Parameters, country spec'!I10/0.45/(3.1*I5+27.5*Production!I13*I8+15*Production!I11*'Parameters, country spec'!I10/0.45)</f>
        <v>8.9115228314988248E-2</v>
      </c>
      <c r="J96" s="54">
        <f>15*Production!J11*'Parameters, country spec'!J10/0.45/(3.1*J5+27.5*Production!J13*J8+15*Production!J11*'Parameters, country spec'!J10/0.45)</f>
        <v>0.11125142122791945</v>
      </c>
      <c r="K96" s="54">
        <f>15*Production!K11*'Parameters, country spec'!K10/0.45/(3.1*K5+27.5*Production!K13*K8+15*Production!K11*'Parameters, country spec'!K10/0.45)</f>
        <v>9.9113289296004409E-2</v>
      </c>
      <c r="L96" s="54">
        <f>15*Production!L11*'Parameters, country spec'!L10/0.45/(3.1*L5+27.5*Production!L13*L8+15*Production!L11*'Parameters, country spec'!L10/0.45)</f>
        <v>9.63142577016326E-2</v>
      </c>
      <c r="N96" s="201"/>
    </row>
    <row r="97" spans="1:14" x14ac:dyDescent="0.2">
      <c r="A97" s="22" t="s">
        <v>350</v>
      </c>
      <c r="B97" s="533">
        <f>27.5*Production!B13*B8/(3.1*B5+27.5*Production!B13*B8+15*Production!B11*'Parameters, country spec'!B10/0.45)</f>
        <v>3.7798365846420504E-2</v>
      </c>
      <c r="C97" s="539">
        <f>27.5*Production!C13*C8/(3.1*C5+27.5*Production!C13*C8+15*Production!C11*'Parameters, country spec'!C10/0.45)</f>
        <v>5.4086709108647983E-2</v>
      </c>
      <c r="D97" s="539">
        <f>27.5*Production!D13*D8/(3.1*D5+27.5*Production!D13*D8+15*Production!D11*'Parameters, country spec'!D10/0.45)</f>
        <v>4.8296224724262517E-2</v>
      </c>
      <c r="E97" s="539">
        <f>27.5*Production!E13*E8/(3.1*E5+27.5*Production!E13*E8+15*Production!E11*'Parameters, country spec'!E10/0.45)</f>
        <v>5.2516292970622123E-2</v>
      </c>
      <c r="F97" s="539">
        <f>27.5*Production!F13*F8/(3.1*F5+27.5*Production!F13*F8+15*Production!F11*'Parameters, country spec'!F10/0.45)</f>
        <v>5.3970233780305008E-2</v>
      </c>
      <c r="G97" s="539">
        <f>27.5*Production!G13*G8/(3.1*G5+27.5*Production!G13*G8+15*Production!G11*'Parameters, country spec'!G10/0.45)</f>
        <v>6.8220994861227943E-2</v>
      </c>
      <c r="H97" s="539">
        <f>27.5*Production!H13*H8/(3.1*H5+27.5*Production!H13*H8+15*Production!H11*'Parameters, country spec'!H10/0.45)</f>
        <v>5.7613717212488452E-2</v>
      </c>
      <c r="I97" s="539">
        <f>27.5*Production!I13*I8/(3.1*I5+27.5*Production!I13*I8+15*Production!I11*'Parameters, country spec'!I10/0.45)</f>
        <v>4.6161096862013203E-2</v>
      </c>
      <c r="J97" s="539">
        <f>27.5*Production!J13*J8/(3.1*J5+27.5*Production!J13*J8+15*Production!J11*'Parameters, country spec'!J10/0.45)</f>
        <v>5.6135850585415592E-2</v>
      </c>
      <c r="K97" s="539">
        <f>27.5*Production!K13*K8/(3.1*K5+27.5*Production!K13*K8+15*Production!K11*'Parameters, country spec'!K10/0.45)</f>
        <v>4.4824786638750502E-2</v>
      </c>
      <c r="L97" s="539">
        <f>27.5*Production!L13*L8/(3.1*L5+27.5*Production!L13*L8+15*Production!L11*'Parameters, country spec'!L10/0.45)</f>
        <v>4.523424434692784E-2</v>
      </c>
      <c r="N97" s="201"/>
    </row>
    <row r="98" spans="1:14" x14ac:dyDescent="0.2">
      <c r="A98" s="22" t="s">
        <v>351</v>
      </c>
      <c r="B98" s="533">
        <f>B96*'Parameters, general'!$C$39</f>
        <v>8.8723202343203217E-2</v>
      </c>
      <c r="C98" s="533">
        <f>C96*'Parameters, general'!$C$39</f>
        <v>0.11375596352445347</v>
      </c>
      <c r="D98" s="533">
        <f>D96*'Parameters, general'!$C$39</f>
        <v>9.0908706400151126E-2</v>
      </c>
      <c r="E98" s="533">
        <f>E96*'Parameters, general'!$C$39</f>
        <v>0.10130308509129028</v>
      </c>
      <c r="F98" s="533">
        <f>F96*'Parameters, general'!$C$39</f>
        <v>0.10679436421736817</v>
      </c>
      <c r="G98" s="533">
        <f>G96*'Parameters, general'!$C$39</f>
        <v>0.11355565065666452</v>
      </c>
      <c r="H98" s="533">
        <f>H96*'Parameters, general'!$C$39</f>
        <v>0.10803488345102347</v>
      </c>
      <c r="I98" s="533">
        <f>I96*'Parameters, general'!$C$39</f>
        <v>8.4640643830685439E-2</v>
      </c>
      <c r="J98" s="533">
        <f>J96*'Parameters, general'!$C$39</f>
        <v>0.10566535145403594</v>
      </c>
      <c r="K98" s="533">
        <f>K96*'Parameters, general'!$C$39</f>
        <v>9.4136689955378286E-2</v>
      </c>
      <c r="L98" s="533">
        <f>L96*'Parameters, general'!$C$39</f>
        <v>9.1478201156890704E-2</v>
      </c>
      <c r="N98" s="201"/>
    </row>
    <row r="99" spans="1:14" x14ac:dyDescent="0.2">
      <c r="A99" s="22" t="s">
        <v>352</v>
      </c>
      <c r="B99" s="533">
        <f>B96*'Parameters, general'!$C$41</f>
        <v>2.0684424188072196E-3</v>
      </c>
      <c r="C99" s="533">
        <f>C96*'Parameters, general'!$C$41</f>
        <v>2.6520420153014431E-3</v>
      </c>
      <c r="D99" s="533">
        <f>D96*'Parameters, general'!$C$41</f>
        <v>2.1193940208512892E-3</v>
      </c>
      <c r="E99" s="533">
        <f>E96*'Parameters, general'!$C$41</f>
        <v>2.3617226703372502E-3</v>
      </c>
      <c r="F99" s="533">
        <f>F96*'Parameters, general'!$C$41</f>
        <v>2.4897432374258125E-3</v>
      </c>
      <c r="G99" s="533">
        <f>G96*'Parameters, general'!$C$41</f>
        <v>2.647372034712095E-3</v>
      </c>
      <c r="H99" s="533">
        <f>H96*'Parameters, general'!$C$41</f>
        <v>2.5186639992611794E-3</v>
      </c>
      <c r="I99" s="533">
        <f>I96*'Parameters, general'!$C$41</f>
        <v>1.9732639651273273E-3</v>
      </c>
      <c r="J99" s="533">
        <f>J96*'Parameters, general'!$C$41</f>
        <v>2.4634220741970815E-3</v>
      </c>
      <c r="K99" s="533">
        <f>K96*'Parameters, general'!$C$41</f>
        <v>2.1946493986612116E-3</v>
      </c>
      <c r="L99" s="533">
        <f>L96*'Parameters, general'!$C$41</f>
        <v>2.1326708986128891E-3</v>
      </c>
      <c r="N99" s="201"/>
    </row>
    <row r="100" spans="1:14" x14ac:dyDescent="0.2">
      <c r="A100" s="22" t="s">
        <v>353</v>
      </c>
      <c r="B100" s="522">
        <f>B96*'Parameters, general'!$C$42</f>
        <v>2.6219692632767607E-3</v>
      </c>
      <c r="C100" s="522">
        <f>C96*'Parameters, general'!$C$42</f>
        <v>3.3617433996778901E-3</v>
      </c>
      <c r="D100" s="522">
        <f>D96*'Parameters, general'!$C$42</f>
        <v>2.6865558010791026E-3</v>
      </c>
      <c r="E100" s="522">
        <f>E96*'Parameters, general'!$C$42</f>
        <v>2.9937329623993354E-3</v>
      </c>
      <c r="F100" s="522">
        <f>F96*'Parameters, general'!$C$42</f>
        <v>3.1560125544834285E-3</v>
      </c>
      <c r="G100" s="522">
        <f>G96*'Parameters, general'!$C$42</f>
        <v>3.3558237059730825E-3</v>
      </c>
      <c r="H100" s="522">
        <f>H96*'Parameters, general'!$C$42</f>
        <v>3.1926726751198091E-3</v>
      </c>
      <c r="I100" s="522">
        <f>I96*'Parameters, general'!$C$42</f>
        <v>2.5013205191754886E-3</v>
      </c>
      <c r="J100" s="522">
        <f>J96*'Parameters, general'!$C$42</f>
        <v>3.1226476996864456E-3</v>
      </c>
      <c r="K100" s="522">
        <f>K96*'Parameters, general'!$C$42</f>
        <v>2.7819499419649203E-3</v>
      </c>
      <c r="L100" s="522">
        <f>L96*'Parameters, general'!$C$42</f>
        <v>2.7033856461290179E-3</v>
      </c>
      <c r="N100" s="201"/>
    </row>
    <row r="101" spans="1:14" x14ac:dyDescent="0.2">
      <c r="N101" s="201"/>
    </row>
    <row r="102" spans="1:14" x14ac:dyDescent="0.2">
      <c r="A102" s="535" t="s">
        <v>170</v>
      </c>
      <c r="B102" s="536">
        <f t="shared" ref="B102:L102" si="9">B95+SUM(B97:B100)</f>
        <v>1</v>
      </c>
      <c r="C102" s="536">
        <f t="shared" si="9"/>
        <v>1</v>
      </c>
      <c r="D102" s="536">
        <f t="shared" si="9"/>
        <v>1</v>
      </c>
      <c r="E102" s="536">
        <f t="shared" si="9"/>
        <v>1</v>
      </c>
      <c r="F102" s="536">
        <f t="shared" si="9"/>
        <v>1</v>
      </c>
      <c r="G102" s="536">
        <f t="shared" si="9"/>
        <v>1</v>
      </c>
      <c r="H102" s="536">
        <f t="shared" si="9"/>
        <v>1</v>
      </c>
      <c r="I102" s="536">
        <f t="shared" si="9"/>
        <v>1</v>
      </c>
      <c r="J102" s="536">
        <f t="shared" si="9"/>
        <v>1</v>
      </c>
      <c r="K102" s="536">
        <f t="shared" si="9"/>
        <v>1</v>
      </c>
      <c r="L102" s="536">
        <f t="shared" si="9"/>
        <v>1.0000000000000002</v>
      </c>
    </row>
  </sheetData>
  <pageMargins left="0.7" right="0.7" top="0.75" bottom="0.75"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L162"/>
  <sheetViews>
    <sheetView topLeftCell="D2" zoomScale="75" zoomScaleNormal="75" workbookViewId="0">
      <selection activeCell="K18" sqref="K18"/>
    </sheetView>
  </sheetViews>
  <sheetFormatPr baseColWidth="10" defaultColWidth="8.6640625" defaultRowHeight="15" x14ac:dyDescent="0.2"/>
  <cols>
    <col min="1" max="1" width="65.5" customWidth="1"/>
  </cols>
  <sheetData>
    <row r="1" spans="1:38" x14ac:dyDescent="0.2">
      <c r="B1" s="254"/>
      <c r="C1" s="15"/>
      <c r="S1" s="15"/>
    </row>
    <row r="2" spans="1:38" ht="18" customHeight="1" x14ac:dyDescent="0.25">
      <c r="A2" s="194" t="s">
        <v>354</v>
      </c>
      <c r="B2" s="255"/>
      <c r="C2" s="193"/>
    </row>
    <row r="3" spans="1:38" x14ac:dyDescent="0.2">
      <c r="B3" t="s">
        <v>39</v>
      </c>
      <c r="D3" t="s">
        <v>46</v>
      </c>
      <c r="F3" t="s">
        <v>48</v>
      </c>
      <c r="H3" t="s">
        <v>50</v>
      </c>
      <c r="J3" t="s">
        <v>52</v>
      </c>
      <c r="L3" t="s">
        <v>54</v>
      </c>
      <c r="N3" t="s">
        <v>56</v>
      </c>
      <c r="P3" t="s">
        <v>58</v>
      </c>
      <c r="R3" t="s">
        <v>60</v>
      </c>
      <c r="T3" t="s">
        <v>62</v>
      </c>
      <c r="V3" s="58" t="s">
        <v>64</v>
      </c>
    </row>
    <row r="4" spans="1:38" x14ac:dyDescent="0.2">
      <c r="A4" s="256"/>
      <c r="B4" s="257" t="s">
        <v>88</v>
      </c>
      <c r="C4" s="258"/>
      <c r="D4" s="257" t="s">
        <v>45</v>
      </c>
      <c r="E4" s="258"/>
      <c r="F4" s="258" t="s">
        <v>47</v>
      </c>
      <c r="G4" s="259"/>
      <c r="H4" s="258" t="s">
        <v>49</v>
      </c>
      <c r="I4" s="259"/>
      <c r="J4" s="258" t="s">
        <v>86</v>
      </c>
      <c r="K4" s="259"/>
      <c r="L4" s="258" t="s">
        <v>89</v>
      </c>
      <c r="M4" s="258"/>
      <c r="N4" s="257" t="s">
        <v>55</v>
      </c>
      <c r="O4" s="259"/>
      <c r="P4" s="258" t="s">
        <v>87</v>
      </c>
      <c r="Q4" s="259"/>
      <c r="R4" s="258" t="s">
        <v>59</v>
      </c>
      <c r="S4" s="259"/>
      <c r="T4" s="258" t="s">
        <v>61</v>
      </c>
      <c r="U4" s="258"/>
      <c r="V4" s="257" t="s">
        <v>63</v>
      </c>
      <c r="W4" s="259"/>
      <c r="Y4" s="201" t="s">
        <v>355</v>
      </c>
      <c r="AA4" t="s">
        <v>38</v>
      </c>
      <c r="AB4" t="s">
        <v>45</v>
      </c>
      <c r="AC4" t="s">
        <v>47</v>
      </c>
      <c r="AD4" t="s">
        <v>49</v>
      </c>
      <c r="AE4" t="s">
        <v>51</v>
      </c>
      <c r="AF4" t="s">
        <v>89</v>
      </c>
      <c r="AG4" t="s">
        <v>55</v>
      </c>
      <c r="AH4" t="s">
        <v>87</v>
      </c>
      <c r="AI4" t="s">
        <v>59</v>
      </c>
      <c r="AJ4" t="s">
        <v>61</v>
      </c>
      <c r="AK4" t="s">
        <v>63</v>
      </c>
    </row>
    <row r="5" spans="1:38" x14ac:dyDescent="0.2">
      <c r="A5" s="260"/>
      <c r="B5" s="261" t="s">
        <v>356</v>
      </c>
      <c r="C5" s="262" t="s">
        <v>357</v>
      </c>
      <c r="D5" s="263" t="s">
        <v>356</v>
      </c>
      <c r="E5" s="263" t="s">
        <v>357</v>
      </c>
      <c r="F5" s="261" t="s">
        <v>356</v>
      </c>
      <c r="G5" s="263" t="s">
        <v>357</v>
      </c>
      <c r="H5" s="261" t="s">
        <v>356</v>
      </c>
      <c r="I5" s="262" t="s">
        <v>357</v>
      </c>
      <c r="J5" s="263" t="s">
        <v>356</v>
      </c>
      <c r="K5" s="262" t="s">
        <v>357</v>
      </c>
      <c r="L5" s="263" t="s">
        <v>356</v>
      </c>
      <c r="M5" s="263" t="s">
        <v>357</v>
      </c>
      <c r="N5" s="261" t="s">
        <v>356</v>
      </c>
      <c r="O5" s="262" t="s">
        <v>357</v>
      </c>
      <c r="P5" s="263" t="s">
        <v>356</v>
      </c>
      <c r="Q5" s="262" t="s">
        <v>357</v>
      </c>
      <c r="R5" s="263" t="s">
        <v>356</v>
      </c>
      <c r="S5" s="262" t="s">
        <v>357</v>
      </c>
      <c r="T5" s="263" t="s">
        <v>356</v>
      </c>
      <c r="U5" s="263" t="s">
        <v>357</v>
      </c>
      <c r="V5" s="261" t="s">
        <v>356</v>
      </c>
      <c r="W5" s="262" t="s">
        <v>357</v>
      </c>
      <c r="AL5" s="203" t="s">
        <v>238</v>
      </c>
    </row>
    <row r="6" spans="1:38" x14ac:dyDescent="0.2">
      <c r="A6" s="264" t="s">
        <v>358</v>
      </c>
      <c r="B6" s="265">
        <v>9.8952655758689102E-3</v>
      </c>
      <c r="C6" s="266">
        <v>3.0430722331225E-3</v>
      </c>
      <c r="D6" s="265">
        <v>0.39150348523598699</v>
      </c>
      <c r="E6" s="222">
        <v>0.33814626965405697</v>
      </c>
      <c r="F6" s="267">
        <v>0.100134315628558</v>
      </c>
      <c r="G6" s="266">
        <v>0.139659383288012</v>
      </c>
      <c r="H6" s="265">
        <v>0.86480000000000001</v>
      </c>
      <c r="I6" s="266">
        <v>0.64</v>
      </c>
      <c r="J6" s="265">
        <v>0.29833017308302801</v>
      </c>
      <c r="K6" s="266">
        <v>0.165543606130888</v>
      </c>
      <c r="L6" s="265">
        <v>0</v>
      </c>
      <c r="M6" s="265">
        <v>0</v>
      </c>
      <c r="N6" s="268">
        <v>0.39277943147195099</v>
      </c>
      <c r="O6" s="269">
        <v>0.49664793646199301</v>
      </c>
      <c r="P6" s="265">
        <v>1.74722697701859E-2</v>
      </c>
      <c r="Q6" s="266">
        <v>0.22600000000000001</v>
      </c>
      <c r="R6" s="265">
        <v>0.79167584253465995</v>
      </c>
      <c r="S6" s="266">
        <v>0.829365392500794</v>
      </c>
      <c r="T6" s="265">
        <v>0.45376318657832898</v>
      </c>
      <c r="U6" s="265">
        <v>0.266439769316134</v>
      </c>
      <c r="V6" s="267">
        <v>5.3926206244086998E-2</v>
      </c>
      <c r="W6" s="266">
        <v>9.4994892747701704E-2</v>
      </c>
      <c r="Z6" s="263" t="s">
        <v>359</v>
      </c>
      <c r="AA6" s="203" t="s">
        <v>360</v>
      </c>
      <c r="AB6" s="203" t="s">
        <v>360</v>
      </c>
      <c r="AC6" s="203" t="s">
        <v>360</v>
      </c>
      <c r="AD6" s="203" t="s">
        <v>360</v>
      </c>
      <c r="AE6" s="203" t="s">
        <v>360</v>
      </c>
      <c r="AF6" s="203" t="s">
        <v>360</v>
      </c>
      <c r="AG6" s="203" t="s">
        <v>360</v>
      </c>
      <c r="AH6" s="203" t="s">
        <v>360</v>
      </c>
      <c r="AI6" s="203" t="s">
        <v>360</v>
      </c>
      <c r="AJ6" s="203" t="s">
        <v>360</v>
      </c>
      <c r="AK6" s="203" t="s">
        <v>360</v>
      </c>
      <c r="AL6" s="203" t="s">
        <v>238</v>
      </c>
    </row>
    <row r="7" spans="1:38" x14ac:dyDescent="0.2">
      <c r="A7" s="270" t="s">
        <v>361</v>
      </c>
      <c r="B7" s="265">
        <v>0.80827784648046397</v>
      </c>
      <c r="C7" s="266">
        <v>0.31293319961023902</v>
      </c>
      <c r="D7" s="265">
        <v>0.167663669349149</v>
      </c>
      <c r="E7" s="222">
        <v>2.7268322766391601E-2</v>
      </c>
      <c r="F7" s="267">
        <v>0.75465055313760199</v>
      </c>
      <c r="G7" s="266">
        <v>0.37211913987429002</v>
      </c>
      <c r="H7" s="265">
        <v>5.5199999999999999E-2</v>
      </c>
      <c r="I7" s="266">
        <v>0.03</v>
      </c>
      <c r="J7" s="265">
        <v>0.21046099793712</v>
      </c>
      <c r="K7" s="266">
        <v>1.9710816533976799E-2</v>
      </c>
      <c r="L7" s="265">
        <v>0</v>
      </c>
      <c r="M7" s="265">
        <v>0</v>
      </c>
      <c r="N7" s="271">
        <v>0.54381363064154697</v>
      </c>
      <c r="O7" s="222">
        <v>0.46886472923359401</v>
      </c>
      <c r="P7" s="267">
        <v>0.85614121873910498</v>
      </c>
      <c r="Q7" s="266">
        <v>0.22600000000000001</v>
      </c>
      <c r="R7" s="265">
        <v>0.10532763113445701</v>
      </c>
      <c r="S7" s="266">
        <v>5.0634201457048403E-2</v>
      </c>
      <c r="T7" s="265">
        <v>0.43851203248557402</v>
      </c>
      <c r="U7" s="265">
        <v>6.1664139059119999E-3</v>
      </c>
      <c r="V7" s="267">
        <v>0.66918953011668303</v>
      </c>
      <c r="W7" s="266">
        <v>0.21021450459652699</v>
      </c>
      <c r="AA7" s="203" t="s">
        <v>360</v>
      </c>
      <c r="AB7" s="203" t="s">
        <v>360</v>
      </c>
      <c r="AC7" s="203" t="s">
        <v>360</v>
      </c>
      <c r="AD7" s="203" t="s">
        <v>360</v>
      </c>
      <c r="AE7" s="203" t="s">
        <v>360</v>
      </c>
      <c r="AF7" s="203" t="s">
        <v>360</v>
      </c>
      <c r="AG7" s="203" t="s">
        <v>360</v>
      </c>
      <c r="AH7" s="203" t="s">
        <v>360</v>
      </c>
      <c r="AI7" s="203" t="s">
        <v>360</v>
      </c>
      <c r="AJ7" s="203" t="s">
        <v>360</v>
      </c>
      <c r="AK7" s="203" t="s">
        <v>360</v>
      </c>
      <c r="AL7" s="203" t="s">
        <v>238</v>
      </c>
    </row>
    <row r="8" spans="1:38" x14ac:dyDescent="0.2">
      <c r="A8" s="270" t="s">
        <v>362</v>
      </c>
      <c r="B8" s="265">
        <v>0.114104181888096</v>
      </c>
      <c r="C8" s="266">
        <v>0.39594552579619802</v>
      </c>
      <c r="D8" s="265">
        <v>2.9471846707442802E-2</v>
      </c>
      <c r="E8" s="222">
        <v>9.0583847517868799E-2</v>
      </c>
      <c r="F8" s="267">
        <v>4.9512279494380702E-2</v>
      </c>
      <c r="G8" s="266">
        <v>0.25339931591162501</v>
      </c>
      <c r="H8" s="265">
        <v>0</v>
      </c>
      <c r="I8" s="266">
        <v>0</v>
      </c>
      <c r="J8" s="265">
        <v>0.44083758759715802</v>
      </c>
      <c r="K8" s="266">
        <v>0.56389922847833895</v>
      </c>
      <c r="L8" s="265">
        <v>0.311312844987851</v>
      </c>
      <c r="M8" s="265">
        <v>0.48526024478871199</v>
      </c>
      <c r="N8" s="271">
        <v>0</v>
      </c>
      <c r="O8" s="222">
        <v>0</v>
      </c>
      <c r="P8" s="267">
        <v>1.14676899523561E-2</v>
      </c>
      <c r="Q8" s="266">
        <v>0</v>
      </c>
      <c r="R8" s="265">
        <v>0</v>
      </c>
      <c r="S8" s="266">
        <v>0</v>
      </c>
      <c r="T8" s="265">
        <v>0.107724780936097</v>
      </c>
      <c r="U8" s="265">
        <v>7.5768942108424803E-2</v>
      </c>
      <c r="V8" s="267">
        <v>1.0722169662567E-2</v>
      </c>
      <c r="W8" s="266">
        <v>0.20888661899897901</v>
      </c>
      <c r="AA8" s="203" t="s">
        <v>360</v>
      </c>
      <c r="AB8" s="203" t="s">
        <v>360</v>
      </c>
      <c r="AC8" s="203" t="s">
        <v>360</v>
      </c>
      <c r="AD8" s="203" t="s">
        <v>360</v>
      </c>
      <c r="AE8" s="203" t="s">
        <v>360</v>
      </c>
      <c r="AF8" s="203" t="s">
        <v>360</v>
      </c>
      <c r="AG8" s="203" t="s">
        <v>360</v>
      </c>
      <c r="AH8" s="203" t="s">
        <v>360</v>
      </c>
      <c r="AI8" s="203" t="s">
        <v>360</v>
      </c>
      <c r="AJ8" s="203" t="s">
        <v>360</v>
      </c>
      <c r="AK8" s="203" t="s">
        <v>360</v>
      </c>
      <c r="AL8" s="203" t="s">
        <v>238</v>
      </c>
    </row>
    <row r="9" spans="1:38" x14ac:dyDescent="0.2">
      <c r="A9" s="270" t="s">
        <v>363</v>
      </c>
      <c r="B9" s="265">
        <v>6.7722706055571402E-2</v>
      </c>
      <c r="C9" s="266">
        <v>0.28807820236044102</v>
      </c>
      <c r="D9" s="265">
        <v>0.41136099870742199</v>
      </c>
      <c r="E9" s="222">
        <v>0.54400156006168299</v>
      </c>
      <c r="F9" s="267">
        <v>9.5702851739459804E-2</v>
      </c>
      <c r="G9" s="266">
        <v>0.234822160926072</v>
      </c>
      <c r="H9" s="265">
        <v>0.08</v>
      </c>
      <c r="I9" s="266">
        <v>0.33</v>
      </c>
      <c r="J9" s="265">
        <v>5.03712413826942E-2</v>
      </c>
      <c r="K9" s="266">
        <v>0.25084634885679602</v>
      </c>
      <c r="L9" s="265">
        <v>0.68868715501214905</v>
      </c>
      <c r="M9" s="266">
        <v>0.51473975521128801</v>
      </c>
      <c r="N9" s="222">
        <v>6.3406937886502396E-2</v>
      </c>
      <c r="O9" s="222">
        <v>3.44873343044131E-2</v>
      </c>
      <c r="P9" s="267">
        <v>0.11491882153835301</v>
      </c>
      <c r="Q9" s="266">
        <v>0.54800000000000004</v>
      </c>
      <c r="R9" s="265">
        <v>0.10299652633088301</v>
      </c>
      <c r="S9" s="266">
        <v>0.120000406042158</v>
      </c>
      <c r="T9" s="265"/>
      <c r="U9" s="265">
        <v>0.65162487466953001</v>
      </c>
      <c r="V9" s="267">
        <v>0.26616209397666402</v>
      </c>
      <c r="W9" s="266">
        <v>0.48590398365679299</v>
      </c>
      <c r="AA9" s="203" t="s">
        <v>360</v>
      </c>
      <c r="AB9" s="203" t="s">
        <v>360</v>
      </c>
      <c r="AC9" s="203" t="s">
        <v>360</v>
      </c>
      <c r="AD9" s="203" t="s">
        <v>360</v>
      </c>
      <c r="AE9" s="203" t="s">
        <v>360</v>
      </c>
      <c r="AF9" s="203" t="s">
        <v>360</v>
      </c>
      <c r="AG9" s="203" t="s">
        <v>360</v>
      </c>
      <c r="AH9" s="203" t="s">
        <v>360</v>
      </c>
      <c r="AI9" s="203" t="s">
        <v>360</v>
      </c>
      <c r="AJ9" s="203" t="s">
        <v>360</v>
      </c>
      <c r="AK9" s="203" t="s">
        <v>360</v>
      </c>
      <c r="AL9" s="203"/>
    </row>
    <row r="10" spans="1:38" x14ac:dyDescent="0.2">
      <c r="A10" s="270"/>
      <c r="B10" s="267"/>
      <c r="C10" s="266"/>
      <c r="D10" s="265"/>
      <c r="E10" s="265"/>
      <c r="F10" s="272"/>
      <c r="G10" s="266"/>
      <c r="H10" s="265"/>
      <c r="I10" s="266"/>
      <c r="J10" s="265"/>
      <c r="K10" s="266"/>
      <c r="L10" s="265"/>
      <c r="M10" s="266"/>
      <c r="N10" s="265"/>
      <c r="O10" s="266"/>
      <c r="P10" s="265"/>
      <c r="Q10" s="266"/>
      <c r="R10" s="265"/>
      <c r="S10" s="266"/>
      <c r="T10" s="265"/>
      <c r="U10" s="265"/>
      <c r="V10" s="267"/>
      <c r="W10" s="266"/>
      <c r="AL10" s="203" t="s">
        <v>238</v>
      </c>
    </row>
    <row r="11" spans="1:38" x14ac:dyDescent="0.2">
      <c r="A11" s="273" t="s">
        <v>364</v>
      </c>
      <c r="B11" s="274"/>
      <c r="C11" s="275"/>
      <c r="D11" s="276"/>
      <c r="E11" s="276"/>
      <c r="F11" s="274"/>
      <c r="G11" s="275"/>
      <c r="H11" s="276"/>
      <c r="I11" s="275"/>
      <c r="J11" s="276"/>
      <c r="K11" s="275"/>
      <c r="L11" s="276"/>
      <c r="M11" s="275"/>
      <c r="N11" s="276"/>
      <c r="O11" s="275"/>
      <c r="P11" s="276"/>
      <c r="Q11" s="275"/>
      <c r="R11" s="276"/>
      <c r="S11" s="275"/>
      <c r="T11" s="276"/>
      <c r="U11" s="276"/>
      <c r="V11" s="274"/>
      <c r="W11" s="275"/>
      <c r="AL11" s="203" t="s">
        <v>238</v>
      </c>
    </row>
    <row r="12" spans="1:38" x14ac:dyDescent="0.2">
      <c r="A12" s="277" t="s">
        <v>365</v>
      </c>
      <c r="B12" s="278"/>
      <c r="C12" s="279"/>
      <c r="D12" s="280"/>
      <c r="E12" s="280"/>
      <c r="F12" s="278"/>
      <c r="G12" s="279"/>
      <c r="H12" s="280"/>
      <c r="I12" s="279"/>
      <c r="J12" s="280"/>
      <c r="K12" s="279"/>
      <c r="L12" s="280"/>
      <c r="M12" s="279"/>
      <c r="N12" s="280"/>
      <c r="O12" s="279"/>
      <c r="P12" s="280"/>
      <c r="Q12" s="279"/>
      <c r="R12" s="280"/>
      <c r="S12" s="279"/>
      <c r="T12" s="280"/>
      <c r="U12" s="280"/>
      <c r="V12" s="278"/>
      <c r="W12" s="279"/>
      <c r="AL12" s="203" t="s">
        <v>238</v>
      </c>
    </row>
    <row r="13" spans="1:38" x14ac:dyDescent="0.2">
      <c r="A13" s="281" t="s">
        <v>366</v>
      </c>
      <c r="B13" s="282">
        <v>0.02</v>
      </c>
      <c r="C13" s="283"/>
      <c r="D13" s="239">
        <v>3.6897792558067001E-2</v>
      </c>
      <c r="F13" s="282">
        <v>0.02</v>
      </c>
      <c r="G13" s="283"/>
      <c r="H13" s="284">
        <v>0.04</v>
      </c>
      <c r="I13" s="283"/>
      <c r="J13" s="284">
        <v>0.02</v>
      </c>
      <c r="K13" s="283"/>
      <c r="L13" s="284"/>
      <c r="M13" s="283"/>
      <c r="N13" s="239">
        <v>2.44839471657784E-2</v>
      </c>
      <c r="O13" s="283"/>
      <c r="P13" s="284">
        <v>0.02</v>
      </c>
      <c r="Q13" s="283"/>
      <c r="R13" s="284">
        <v>0.02</v>
      </c>
      <c r="S13" s="283"/>
      <c r="T13" s="239">
        <v>2.2873889042297701E-2</v>
      </c>
      <c r="V13" s="282">
        <v>0.02</v>
      </c>
      <c r="W13" s="283"/>
      <c r="Z13" s="203"/>
      <c r="AA13" s="203" t="s">
        <v>367</v>
      </c>
      <c r="AB13" s="203" t="s">
        <v>368</v>
      </c>
      <c r="AC13" s="203" t="s">
        <v>368</v>
      </c>
      <c r="AD13" s="203" t="s">
        <v>368</v>
      </c>
      <c r="AE13" s="203" t="s">
        <v>368</v>
      </c>
      <c r="AF13" s="203" t="s">
        <v>368</v>
      </c>
      <c r="AG13" s="203" t="s">
        <v>368</v>
      </c>
      <c r="AH13" s="203" t="s">
        <v>368</v>
      </c>
      <c r="AI13" s="203" t="s">
        <v>368</v>
      </c>
      <c r="AJ13" s="203" t="s">
        <v>368</v>
      </c>
      <c r="AK13" s="203" t="s">
        <v>368</v>
      </c>
      <c r="AL13" s="203" t="s">
        <v>238</v>
      </c>
    </row>
    <row r="14" spans="1:38" x14ac:dyDescent="0.2">
      <c r="A14" s="285" t="s">
        <v>369</v>
      </c>
      <c r="B14" s="282">
        <v>0.14360000000000001</v>
      </c>
      <c r="C14" s="283"/>
      <c r="D14" s="239">
        <v>0.290596813770227</v>
      </c>
      <c r="F14" s="282">
        <v>0.145875</v>
      </c>
      <c r="G14" s="283"/>
      <c r="H14" s="284">
        <v>0.22</v>
      </c>
      <c r="I14" s="283"/>
      <c r="J14" s="284">
        <v>0.14406894113160401</v>
      </c>
      <c r="K14" s="283"/>
      <c r="L14" s="284"/>
      <c r="M14" s="283"/>
      <c r="N14" s="239">
        <v>0.16619940422448801</v>
      </c>
      <c r="O14" s="283"/>
      <c r="P14" s="284">
        <v>0.17</v>
      </c>
      <c r="Q14" s="283"/>
      <c r="R14" s="284">
        <v>0.17</v>
      </c>
      <c r="S14" s="283"/>
      <c r="T14" s="239">
        <v>0.18348350218554199</v>
      </c>
      <c r="V14" s="282">
        <v>3.5000000000000003E-2</v>
      </c>
      <c r="W14" s="283"/>
      <c r="Z14" s="203"/>
      <c r="AA14" s="203" t="s">
        <v>367</v>
      </c>
      <c r="AB14" s="203" t="s">
        <v>368</v>
      </c>
      <c r="AC14" s="203" t="s">
        <v>368</v>
      </c>
      <c r="AD14" s="203" t="s">
        <v>368</v>
      </c>
      <c r="AE14" s="203" t="s">
        <v>368</v>
      </c>
      <c r="AF14" s="203" t="s">
        <v>368</v>
      </c>
      <c r="AG14" s="203" t="s">
        <v>368</v>
      </c>
      <c r="AH14" s="203" t="s">
        <v>368</v>
      </c>
      <c r="AI14" s="203" t="s">
        <v>368</v>
      </c>
      <c r="AJ14" s="203" t="s">
        <v>368</v>
      </c>
      <c r="AK14" s="203" t="s">
        <v>368</v>
      </c>
      <c r="AL14" s="203" t="s">
        <v>370</v>
      </c>
    </row>
    <row r="15" spans="1:38" x14ac:dyDescent="0.2">
      <c r="A15" s="281" t="s">
        <v>371</v>
      </c>
      <c r="B15" s="282">
        <v>0.14399999999999999</v>
      </c>
      <c r="C15" s="283"/>
      <c r="D15" s="239">
        <v>5.9240377530939303E-2</v>
      </c>
      <c r="F15" s="282">
        <v>0.17</v>
      </c>
      <c r="G15" s="283"/>
      <c r="H15" s="284"/>
      <c r="I15" s="283"/>
      <c r="J15" s="284">
        <v>6.2702465030950394E-2</v>
      </c>
      <c r="K15" s="283"/>
      <c r="L15" s="284">
        <v>0.21</v>
      </c>
      <c r="M15" s="283"/>
      <c r="N15" s="284"/>
      <c r="O15" s="283"/>
      <c r="P15" s="284">
        <v>0.17</v>
      </c>
      <c r="Q15" s="283"/>
      <c r="R15" s="284"/>
      <c r="S15" s="283"/>
      <c r="T15" s="239">
        <v>8.8490706993965898E-2</v>
      </c>
      <c r="V15" s="282">
        <v>0.17</v>
      </c>
      <c r="W15" s="283"/>
      <c r="Z15" s="203"/>
      <c r="AA15" s="203" t="s">
        <v>367</v>
      </c>
      <c r="AB15" s="203" t="s">
        <v>368</v>
      </c>
      <c r="AC15" s="203" t="s">
        <v>368</v>
      </c>
      <c r="AD15" s="203" t="s">
        <v>368</v>
      </c>
      <c r="AE15" s="203" t="s">
        <v>368</v>
      </c>
      <c r="AF15" s="203" t="s">
        <v>368</v>
      </c>
      <c r="AG15" s="203" t="s">
        <v>368</v>
      </c>
      <c r="AH15" s="203" t="s">
        <v>368</v>
      </c>
      <c r="AI15" s="203" t="s">
        <v>368</v>
      </c>
      <c r="AJ15" s="203" t="s">
        <v>368</v>
      </c>
      <c r="AK15" s="203" t="s">
        <v>368</v>
      </c>
      <c r="AL15" s="203" t="s">
        <v>238</v>
      </c>
    </row>
    <row r="16" spans="1:38" x14ac:dyDescent="0.2">
      <c r="A16" s="281" t="s">
        <v>372</v>
      </c>
      <c r="B16" s="282">
        <v>0.14399999999999999</v>
      </c>
      <c r="C16" s="283"/>
      <c r="D16" s="284">
        <v>0.365387112008209</v>
      </c>
      <c r="F16" s="282">
        <v>0.17</v>
      </c>
      <c r="G16" s="283"/>
      <c r="H16" s="284"/>
      <c r="I16" s="283"/>
      <c r="J16" s="284">
        <v>0.154751358335628</v>
      </c>
      <c r="K16" s="283"/>
      <c r="L16" s="284">
        <v>0.21</v>
      </c>
      <c r="M16" s="283"/>
      <c r="N16" s="284"/>
      <c r="O16" s="283"/>
      <c r="P16" s="284">
        <v>0.17</v>
      </c>
      <c r="Q16" s="283"/>
      <c r="R16" s="284"/>
      <c r="S16" s="283"/>
      <c r="T16" s="284">
        <v>0.1113</v>
      </c>
      <c r="V16" s="282">
        <v>0.17</v>
      </c>
      <c r="W16" s="283"/>
      <c r="Z16" s="203"/>
      <c r="AA16" s="203" t="s">
        <v>367</v>
      </c>
      <c r="AB16" s="203" t="s">
        <v>368</v>
      </c>
      <c r="AC16" s="203" t="s">
        <v>368</v>
      </c>
      <c r="AD16" s="203" t="s">
        <v>368</v>
      </c>
      <c r="AE16" s="203" t="s">
        <v>368</v>
      </c>
      <c r="AF16" s="203" t="s">
        <v>368</v>
      </c>
      <c r="AG16" s="203" t="s">
        <v>368</v>
      </c>
      <c r="AH16" s="203" t="s">
        <v>373</v>
      </c>
      <c r="AI16" s="203" t="s">
        <v>368</v>
      </c>
      <c r="AJ16" s="203" t="s">
        <v>368</v>
      </c>
      <c r="AK16" s="203" t="s">
        <v>368</v>
      </c>
      <c r="AL16" s="203" t="s">
        <v>238</v>
      </c>
    </row>
    <row r="17" spans="1:38" x14ac:dyDescent="0.2">
      <c r="A17" s="281" t="s">
        <v>374</v>
      </c>
      <c r="B17" s="282">
        <v>4.7000000000000002E-3</v>
      </c>
      <c r="C17" s="283"/>
      <c r="D17" s="282">
        <v>4.7000000000000002E-3</v>
      </c>
      <c r="F17" s="282">
        <v>0.01</v>
      </c>
      <c r="G17" s="283"/>
      <c r="H17" s="284">
        <v>1.4999999999999999E-2</v>
      </c>
      <c r="I17" s="283"/>
      <c r="J17" s="284">
        <v>0.01</v>
      </c>
      <c r="K17" s="283"/>
      <c r="L17" s="284">
        <v>4.7000000000000002E-3</v>
      </c>
      <c r="M17" s="283"/>
      <c r="N17" s="284">
        <v>1.11209867914446E-2</v>
      </c>
      <c r="O17" s="283"/>
      <c r="P17" s="284">
        <v>0.01</v>
      </c>
      <c r="Q17" s="283"/>
      <c r="R17" s="284">
        <v>0.01</v>
      </c>
      <c r="S17" s="283"/>
      <c r="T17" s="284">
        <v>1.1966629969767099E-2</v>
      </c>
      <c r="V17" s="282">
        <v>0.01</v>
      </c>
      <c r="W17" s="283"/>
      <c r="Z17" s="203"/>
      <c r="AA17" s="203" t="s">
        <v>367</v>
      </c>
      <c r="AB17" s="203" t="s">
        <v>368</v>
      </c>
      <c r="AC17" s="203" t="s">
        <v>368</v>
      </c>
      <c r="AD17" s="203" t="s">
        <v>368</v>
      </c>
      <c r="AE17" s="203" t="s">
        <v>368</v>
      </c>
      <c r="AF17" s="203" t="s">
        <v>368</v>
      </c>
      <c r="AG17" s="203" t="s">
        <v>368</v>
      </c>
      <c r="AH17" s="203"/>
      <c r="AI17" s="203" t="s">
        <v>368</v>
      </c>
      <c r="AJ17" s="203" t="s">
        <v>368</v>
      </c>
      <c r="AK17" s="203" t="s">
        <v>368</v>
      </c>
      <c r="AL17" s="203"/>
    </row>
    <row r="18" spans="1:38" x14ac:dyDescent="0.2">
      <c r="A18" s="281" t="s">
        <v>375</v>
      </c>
      <c r="B18" s="267">
        <v>0.8</v>
      </c>
      <c r="C18" s="283"/>
      <c r="D18" s="265">
        <v>0.87</v>
      </c>
      <c r="F18" s="267">
        <v>0.87</v>
      </c>
      <c r="G18" s="283"/>
      <c r="H18" s="265">
        <v>0.87</v>
      </c>
      <c r="I18" s="283"/>
      <c r="J18" s="265">
        <v>0.87</v>
      </c>
      <c r="K18" s="283"/>
      <c r="L18" s="265">
        <v>0.87</v>
      </c>
      <c r="M18" s="283"/>
      <c r="N18" s="265">
        <v>0.87</v>
      </c>
      <c r="O18" s="283"/>
      <c r="P18" s="265">
        <v>0.87</v>
      </c>
      <c r="Q18" s="283"/>
      <c r="R18" s="265">
        <v>0.87</v>
      </c>
      <c r="S18" s="283"/>
      <c r="T18" s="265">
        <v>0.87</v>
      </c>
      <c r="V18" s="267">
        <v>0.87</v>
      </c>
      <c r="W18" s="283"/>
      <c r="Z18" s="203"/>
      <c r="AA18" t="s">
        <v>376</v>
      </c>
      <c r="AB18" t="s">
        <v>377</v>
      </c>
      <c r="AC18" t="s">
        <v>377</v>
      </c>
      <c r="AD18" t="s">
        <v>377</v>
      </c>
      <c r="AE18" t="s">
        <v>377</v>
      </c>
      <c r="AF18" t="s">
        <v>377</v>
      </c>
      <c r="AG18" s="203" t="s">
        <v>368</v>
      </c>
      <c r="AH18" t="s">
        <v>377</v>
      </c>
      <c r="AI18" t="s">
        <v>377</v>
      </c>
      <c r="AJ18" t="s">
        <v>377</v>
      </c>
      <c r="AK18" s="203" t="s">
        <v>378</v>
      </c>
      <c r="AL18" s="203" t="s">
        <v>238</v>
      </c>
    </row>
    <row r="19" spans="1:38" x14ac:dyDescent="0.2">
      <c r="A19" s="281" t="s">
        <v>379</v>
      </c>
      <c r="B19" s="267">
        <v>0.24</v>
      </c>
      <c r="C19" s="286">
        <v>0.18</v>
      </c>
      <c r="D19" s="265">
        <v>0.24</v>
      </c>
      <c r="E19" s="222">
        <v>0.18044529176999999</v>
      </c>
      <c r="F19" s="267">
        <v>0.23</v>
      </c>
      <c r="G19" s="283">
        <v>0.23</v>
      </c>
      <c r="H19" s="265">
        <v>0.24</v>
      </c>
      <c r="I19" s="266">
        <v>0.17</v>
      </c>
      <c r="J19" s="265">
        <v>0.24</v>
      </c>
      <c r="K19" s="266">
        <v>0.17</v>
      </c>
      <c r="L19" s="265">
        <v>0.24</v>
      </c>
      <c r="M19" s="266">
        <v>0.18</v>
      </c>
      <c r="N19" s="265">
        <v>0.24</v>
      </c>
      <c r="O19" s="266">
        <v>0.27</v>
      </c>
      <c r="P19" s="265">
        <v>0.22</v>
      </c>
      <c r="Q19" s="283"/>
      <c r="R19" s="265">
        <v>0.24</v>
      </c>
      <c r="S19" s="266">
        <v>0.17</v>
      </c>
      <c r="T19" s="265">
        <v>0.24</v>
      </c>
      <c r="U19" s="265">
        <v>0.18</v>
      </c>
      <c r="V19" s="267">
        <v>0.24</v>
      </c>
      <c r="W19" s="266">
        <v>0.18</v>
      </c>
      <c r="X19" s="25"/>
      <c r="Z19" s="203"/>
      <c r="AA19" s="203" t="s">
        <v>380</v>
      </c>
      <c r="AB19" s="203" t="s">
        <v>381</v>
      </c>
      <c r="AC19" s="203" t="s">
        <v>381</v>
      </c>
      <c r="AD19" s="203" t="s">
        <v>381</v>
      </c>
      <c r="AE19" s="203" t="s">
        <v>381</v>
      </c>
      <c r="AF19" s="203" t="s">
        <v>381</v>
      </c>
      <c r="AG19" s="203" t="s">
        <v>381</v>
      </c>
      <c r="AH19" s="203" t="s">
        <v>381</v>
      </c>
      <c r="AI19" s="203" t="s">
        <v>381</v>
      </c>
      <c r="AJ19" s="203" t="s">
        <v>381</v>
      </c>
      <c r="AK19" s="203" t="s">
        <v>381</v>
      </c>
      <c r="AL19" s="203" t="s">
        <v>238</v>
      </c>
    </row>
    <row r="20" spans="1:38" x14ac:dyDescent="0.2">
      <c r="A20" s="281"/>
      <c r="B20" s="267"/>
      <c r="C20" s="283"/>
      <c r="D20" s="265"/>
      <c r="F20" s="267"/>
      <c r="G20" s="283"/>
      <c r="H20" s="265"/>
      <c r="I20" s="283"/>
      <c r="J20" s="265"/>
      <c r="K20" s="283"/>
      <c r="L20" s="265"/>
      <c r="M20" s="283"/>
      <c r="N20" s="265"/>
      <c r="O20" s="283"/>
      <c r="P20" s="265"/>
      <c r="Q20" s="283"/>
      <c r="R20" s="265"/>
      <c r="S20" s="283"/>
      <c r="T20" s="265"/>
      <c r="V20" s="267"/>
      <c r="W20" s="283"/>
      <c r="Z20" s="203"/>
      <c r="AL20" s="203" t="s">
        <v>238</v>
      </c>
    </row>
    <row r="21" spans="1:38" x14ac:dyDescent="0.2">
      <c r="A21" s="285" t="s">
        <v>382</v>
      </c>
      <c r="B21" s="222">
        <v>7.4328609922601796</v>
      </c>
      <c r="C21" s="287">
        <v>2.5430740283442499</v>
      </c>
      <c r="D21" s="222">
        <v>4.29</v>
      </c>
      <c r="E21" s="222">
        <v>1.9056720345</v>
      </c>
      <c r="F21" s="271">
        <v>4.1500000000000004</v>
      </c>
      <c r="G21" s="287">
        <v>1.44</v>
      </c>
      <c r="H21" s="222">
        <v>4.5199999999999996</v>
      </c>
      <c r="I21" s="287">
        <v>2.82</v>
      </c>
      <c r="J21" s="222">
        <v>5.77</v>
      </c>
      <c r="K21" s="287">
        <v>2.6</v>
      </c>
      <c r="L21" s="222">
        <v>3.29</v>
      </c>
      <c r="M21" s="287">
        <v>1.63</v>
      </c>
      <c r="N21" s="222">
        <v>5.2188350726526203</v>
      </c>
      <c r="O21" s="287">
        <v>2.3520664682653201</v>
      </c>
      <c r="P21" s="222">
        <v>4.76</v>
      </c>
      <c r="Q21" s="287">
        <v>2.59</v>
      </c>
      <c r="R21" s="222">
        <v>5.0199999999999996</v>
      </c>
      <c r="S21" s="287">
        <v>1.79</v>
      </c>
      <c r="T21" s="222">
        <v>5.18</v>
      </c>
      <c r="U21" s="222">
        <v>2.98</v>
      </c>
      <c r="V21" s="271">
        <v>5.39</v>
      </c>
      <c r="W21" s="287">
        <v>1.75</v>
      </c>
      <c r="AA21" s="203" t="s">
        <v>383</v>
      </c>
      <c r="AB21" s="203" t="s">
        <v>381</v>
      </c>
      <c r="AC21" s="203" t="s">
        <v>381</v>
      </c>
      <c r="AD21" s="203" t="s">
        <v>381</v>
      </c>
      <c r="AE21" s="203" t="s">
        <v>381</v>
      </c>
      <c r="AF21" s="203" t="s">
        <v>381</v>
      </c>
      <c r="AG21" s="203" t="s">
        <v>381</v>
      </c>
      <c r="AH21" s="203" t="s">
        <v>381</v>
      </c>
      <c r="AI21" s="203" t="s">
        <v>381</v>
      </c>
      <c r="AJ21" s="203" t="s">
        <v>384</v>
      </c>
      <c r="AK21" s="203" t="s">
        <v>381</v>
      </c>
      <c r="AL21" s="203" t="s">
        <v>238</v>
      </c>
    </row>
    <row r="22" spans="1:38" x14ac:dyDescent="0.2">
      <c r="A22" s="260"/>
      <c r="D22" s="272"/>
      <c r="F22" s="272"/>
      <c r="H22" s="272"/>
      <c r="J22" s="272"/>
      <c r="L22" s="272"/>
      <c r="N22" s="272"/>
      <c r="P22" s="272"/>
      <c r="R22" s="272"/>
      <c r="T22" s="272"/>
      <c r="V22" s="272"/>
      <c r="W22" s="283"/>
    </row>
    <row r="23" spans="1:38" x14ac:dyDescent="0.2">
      <c r="A23" s="288" t="s">
        <v>385</v>
      </c>
      <c r="B23" s="289"/>
      <c r="C23" s="290"/>
      <c r="D23" s="197"/>
      <c r="E23" s="197"/>
      <c r="F23" s="289"/>
      <c r="G23" s="197"/>
      <c r="H23" s="289"/>
      <c r="I23" s="290"/>
      <c r="J23" s="289"/>
      <c r="K23" s="290"/>
      <c r="L23" s="289"/>
      <c r="M23" s="290"/>
      <c r="N23" s="289"/>
      <c r="O23" s="197"/>
      <c r="P23" s="289"/>
      <c r="Q23" s="290"/>
      <c r="R23" s="289"/>
      <c r="S23" s="197"/>
      <c r="T23" s="289"/>
      <c r="U23" s="197"/>
      <c r="V23" s="289"/>
      <c r="W23" s="290"/>
    </row>
    <row r="24" spans="1:38" x14ac:dyDescent="0.2">
      <c r="A24" s="285" t="s">
        <v>386</v>
      </c>
      <c r="B24" s="291">
        <f>Production!$B$5*B6*$B$21*365</f>
        <v>26.845798730029809</v>
      </c>
      <c r="C24" s="178">
        <f>Production!$B$6*C6*$C$21*365</f>
        <v>2.3727031912808441</v>
      </c>
      <c r="D24" s="291">
        <f>Production!$C$5*D6*$D$21*365</f>
        <v>613.03573235677027</v>
      </c>
      <c r="E24" s="178">
        <f>Production!$C$6*E6*$E$21*365</f>
        <v>169.34723980008107</v>
      </c>
      <c r="F24" s="291">
        <f>Production!$D$5*F6*$F$21*365</f>
        <v>151.67845459835826</v>
      </c>
      <c r="G24" s="178">
        <f>Production!$D$6*G6*$G$21*365</f>
        <v>52.851579736448954</v>
      </c>
      <c r="H24" s="291">
        <f>Production!$E$5*H6*$H$21*365</f>
        <v>1426.7470399999997</v>
      </c>
      <c r="I24" s="178">
        <f>Production!$E$6*I6*$I$21*365</f>
        <v>474.30143999999996</v>
      </c>
      <c r="J24" s="291">
        <f>Production!$F$5*J6*$J$21*365</f>
        <v>628.29826102151105</v>
      </c>
      <c r="K24" s="178">
        <f>Production!$F$6*K6*$K$21*365</f>
        <v>113.11263519711316</v>
      </c>
      <c r="L24" s="291">
        <f>Production!$G$5*L6*$L$21*365</f>
        <v>0</v>
      </c>
      <c r="M24" s="178">
        <f>Production!$G$6*M6*$M$21*365</f>
        <v>0</v>
      </c>
      <c r="N24" s="291">
        <f>Production!$H$5*N6*$N$21*365</f>
        <v>748.19564156556658</v>
      </c>
      <c r="O24" s="178">
        <f>Production!$H$6*O6*$O$21*365</f>
        <v>306.98954613228807</v>
      </c>
      <c r="P24" s="291">
        <f>Production!$I$5*P6*$P$21*365</f>
        <v>30.35632149872098</v>
      </c>
      <c r="Q24" s="178">
        <f>Production!$I$6*Q6*$Q$21*365</f>
        <v>153.82735199999999</v>
      </c>
      <c r="R24" s="291">
        <f>Production!$J$5*R6*$R$21*365</f>
        <v>1450.5876462762571</v>
      </c>
      <c r="S24" s="178">
        <f>Production!$J$6*S6*$S$21*365</f>
        <v>390.14343301708351</v>
      </c>
      <c r="T24" s="291">
        <f>Production!$K$5*T6*$T$21*365</f>
        <v>857.93005686364654</v>
      </c>
      <c r="U24" s="292">
        <f>Production!$K$6*U6*$U$21*365</f>
        <v>208.66070670131441</v>
      </c>
      <c r="V24" s="291">
        <f>Production!$L$5*V6*$V$21*365</f>
        <v>106.09172185430455</v>
      </c>
      <c r="W24" s="292">
        <f>Production!$L$6*W6*$W$21*365</f>
        <v>43.688151174668008</v>
      </c>
    </row>
    <row r="25" spans="1:38" x14ac:dyDescent="0.2">
      <c r="A25" s="285" t="s">
        <v>387</v>
      </c>
      <c r="B25" s="291">
        <f>Production!$B$5*B7*$B$21*365</f>
        <v>2192.8531597446363</v>
      </c>
      <c r="C25" s="178">
        <f>Production!$B$6*C7*$C$21*365</f>
        <v>243.99604889137382</v>
      </c>
      <c r="D25" s="291">
        <f>Production!$C$5*D7*$D$21*365</f>
        <v>262.536156650365</v>
      </c>
      <c r="E25" s="178">
        <f>Production!$C$6*E7*$E$21*365</f>
        <v>13.656265376490531</v>
      </c>
      <c r="F25" s="291">
        <f>Production!$D$5*F7*$F$21*365</f>
        <v>1143.1069253651826</v>
      </c>
      <c r="G25" s="178">
        <f>Production!$D$6*G7*$G$21*365</f>
        <v>140.82179034090731</v>
      </c>
      <c r="H25" s="291">
        <f>Production!$E$5*H7*$H$21*365</f>
        <v>91.06895999999999</v>
      </c>
      <c r="I25" s="178">
        <f>Production!$E$6*I7*$I$21*365</f>
        <v>22.232879999999994</v>
      </c>
      <c r="J25" s="291">
        <f>Production!$F$5*J7*$J$21*365</f>
        <v>443.24138470547149</v>
      </c>
      <c r="K25" s="178">
        <f>Production!$F$6*K7*$K$21*365</f>
        <v>13.468006721335668</v>
      </c>
      <c r="L25" s="291">
        <f>Production!$G$5*L7*$L$21*365</f>
        <v>0</v>
      </c>
      <c r="M25" s="178">
        <f>Production!$G$6*M7*$M$21*365</f>
        <v>0</v>
      </c>
      <c r="N25" s="291">
        <f>Production!$H$5*N7*$N$21*365</f>
        <v>1035.896881731212</v>
      </c>
      <c r="O25" s="178">
        <f>Production!$H$6*O7*$O$21*365</f>
        <v>289.81610484527647</v>
      </c>
      <c r="P25" s="291">
        <f>Production!$I$5*P7*$P$21*365</f>
        <v>1487.4597534373211</v>
      </c>
      <c r="Q25" s="178">
        <f>Production!$I$6*Q7*$Q$21*365</f>
        <v>153.82735199999999</v>
      </c>
      <c r="R25" s="291">
        <f>Production!$J$5*R7*$R$21*365</f>
        <v>192.99181852766554</v>
      </c>
      <c r="S25" s="178">
        <f>Production!$J$6*S7*$S$21*365</f>
        <v>23.818935975813051</v>
      </c>
      <c r="T25" s="291">
        <f>Production!$K$5*T7*$T$21*365</f>
        <v>829.09469982047483</v>
      </c>
      <c r="U25" s="292">
        <f>Production!$K$6*U7*$U$21*365</f>
        <v>4.8291900519315476</v>
      </c>
      <c r="V25" s="291">
        <f>Production!$L$5*V7*$V$21*365</f>
        <v>1316.5300220750564</v>
      </c>
      <c r="W25" s="292">
        <f>Production!$L$6*W7*$W$21*365</f>
        <v>96.677650663942771</v>
      </c>
    </row>
    <row r="26" spans="1:38" x14ac:dyDescent="0.2">
      <c r="A26" s="285" t="s">
        <v>388</v>
      </c>
      <c r="B26" s="291">
        <f>Production!$B$5*B8*$B$21*365</f>
        <v>309.56399075257303</v>
      </c>
      <c r="C26" s="292">
        <f>Production!$B$6*C8*$C$21*365</f>
        <v>308.72129895714914</v>
      </c>
      <c r="D26" s="291">
        <f>Production!$C$5*D8*$D$21*365</f>
        <v>46.148491166849311</v>
      </c>
      <c r="E26" s="178">
        <f>Production!$C$6*E8*$E$21*365</f>
        <v>45.36535199195405</v>
      </c>
      <c r="F26" s="291">
        <f>Production!$D$5*F8*$F$21*365</f>
        <v>74.998725364113184</v>
      </c>
      <c r="G26" s="178">
        <f>Production!$D$6*G8*$G$21*365</f>
        <v>95.894409919068067</v>
      </c>
      <c r="H26" s="291">
        <f>Production!$E$5*H8*$H$21*365</f>
        <v>0</v>
      </c>
      <c r="I26" s="178">
        <f>Production!$E$6*I8*$I$21*365</f>
        <v>0</v>
      </c>
      <c r="J26" s="291">
        <f>Production!$F$5*J8*$J$21*365</f>
        <v>928.42600135899454</v>
      </c>
      <c r="K26" s="178">
        <f>Production!$F$6*K8*$K$21*365</f>
        <v>385.30106483467938</v>
      </c>
      <c r="L26" s="291">
        <f>Production!$G$5*L8*$L$21*365</f>
        <v>373.84002990366082</v>
      </c>
      <c r="M26" s="178">
        <f>Production!$G$6*M8*$M$21*365</f>
        <v>207.86801949867183</v>
      </c>
      <c r="N26" s="291">
        <f>Production!$H$5*N8*$N$21*365</f>
        <v>0</v>
      </c>
      <c r="O26" s="178">
        <f>Production!$H$6*O8*$O$21*365</f>
        <v>0</v>
      </c>
      <c r="P26" s="291">
        <f>Production!$I$5*P8*$P$21*365</f>
        <v>19.923964523223486</v>
      </c>
      <c r="Q26" s="178">
        <f>Production!$I$6*Q8*$Q$21*365</f>
        <v>0</v>
      </c>
      <c r="R26" s="291">
        <f>Production!$J$5*R8*$R$21*365</f>
        <v>0</v>
      </c>
      <c r="S26" s="178">
        <f>Production!$J$6*S8*$S$21*365</f>
        <v>0</v>
      </c>
      <c r="T26" s="291">
        <f>Production!$K$5*T8*$T$21*365</f>
        <v>203.67524331587859</v>
      </c>
      <c r="U26" s="178">
        <f>Production!$K$6*U8*$U$21*365</f>
        <v>59.337992398560225</v>
      </c>
      <c r="V26" s="291">
        <f>Production!$L$5*V8*$V$21*365</f>
        <v>21.094260485651187</v>
      </c>
      <c r="W26" s="292">
        <f>Production!$L$6*W8*$W$21*365</f>
        <v>96.066956077630437</v>
      </c>
    </row>
    <row r="27" spans="1:38" x14ac:dyDescent="0.2">
      <c r="A27" s="285" t="s">
        <v>264</v>
      </c>
      <c r="B27" s="291">
        <f>Production!$B$5*B9*$B$21*365</f>
        <v>183.73131294772699</v>
      </c>
      <c r="C27" s="178">
        <f>Production!$B$6*C9*$C$21*365</f>
        <v>224.6164460505436</v>
      </c>
      <c r="D27" s="291">
        <f>Production!$C$5*D9*$D$21*365</f>
        <v>644.12961982601666</v>
      </c>
      <c r="E27" s="178">
        <f>Production!$C$6*E9*$E$21*365</f>
        <v>272.44175349807455</v>
      </c>
      <c r="F27" s="291">
        <f>Production!$D$5*F9*$F$21*365</f>
        <v>144.96589467234676</v>
      </c>
      <c r="G27" s="178">
        <f>Production!$D$6*G9*$G$21*365</f>
        <v>88.864220003575284</v>
      </c>
      <c r="H27" s="291">
        <f>Production!$E$5*H9*$H$21*365</f>
        <v>131.98399999999998</v>
      </c>
      <c r="I27" s="178">
        <f>Production!$E$6*I9*$I$21*365</f>
        <v>244.56168</v>
      </c>
      <c r="J27" s="291">
        <f>Production!$F$5*J9*$J$21*365</f>
        <v>106.08435291402311</v>
      </c>
      <c r="K27" s="178">
        <f>Production!$F$6*K9*$K$21*365</f>
        <v>171.39829324687159</v>
      </c>
      <c r="L27" s="291">
        <f>Production!$G$5*L9*$L$21*365</f>
        <v>827.0099700963392</v>
      </c>
      <c r="M27" s="178">
        <f>Production!$G$6*M9*$M$21*365</f>
        <v>220.49598050132815</v>
      </c>
      <c r="N27" s="291">
        <f>Production!$H$5*N9*$N$21*365</f>
        <v>120.7822782214285</v>
      </c>
      <c r="O27" s="178">
        <f>Production!$H$6*O9*$O$21*365</f>
        <v>21.317416882561592</v>
      </c>
      <c r="P27" s="291">
        <f>Production!$I$5*P9*$P$21*365</f>
        <v>199.65996054073449</v>
      </c>
      <c r="Q27" s="178">
        <f>Production!$I$6*Q9*$Q$21*365</f>
        <v>372.99729600000006</v>
      </c>
      <c r="R27" s="291">
        <f>Production!$J$5*R9*$R$21*365</f>
        <v>188.7205351960769</v>
      </c>
      <c r="S27" s="178">
        <f>Production!$J$6*S9*$S$21*365</f>
        <v>56.44963100710364</v>
      </c>
      <c r="T27" s="291">
        <f>Production!$K$5*T9*$T$21*365</f>
        <v>0</v>
      </c>
      <c r="U27" s="292">
        <f>Production!$K$6*U9*$U$21*365</f>
        <v>510.3161108481944</v>
      </c>
      <c r="V27" s="291">
        <f>Production!$L$5*V9*$V$21*365</f>
        <v>523.63399558498986</v>
      </c>
      <c r="W27" s="292">
        <f>Production!$L$6*W9*$W$21*365</f>
        <v>223.46724208375912</v>
      </c>
    </row>
    <row r="28" spans="1:38" x14ac:dyDescent="0.2">
      <c r="A28" s="260"/>
      <c r="B28" s="293"/>
      <c r="C28" s="294"/>
      <c r="D28" s="272"/>
      <c r="E28" s="294"/>
      <c r="F28" s="272"/>
      <c r="G28" s="294"/>
      <c r="H28" s="272"/>
      <c r="I28" s="294"/>
      <c r="J28" s="272"/>
      <c r="K28" s="294"/>
      <c r="L28" s="272"/>
      <c r="M28" s="294"/>
      <c r="N28" s="272"/>
      <c r="O28" s="294"/>
      <c r="P28" s="272"/>
      <c r="Q28" s="294"/>
      <c r="R28" s="272"/>
      <c r="S28" s="294"/>
      <c r="T28" s="272"/>
      <c r="U28" s="294"/>
      <c r="V28" s="272"/>
      <c r="W28" s="294"/>
    </row>
    <row r="29" spans="1:38" x14ac:dyDescent="0.2">
      <c r="A29" s="295" t="s">
        <v>389</v>
      </c>
      <c r="B29" s="289"/>
      <c r="C29" s="296"/>
      <c r="D29" s="289"/>
      <c r="E29" s="297"/>
      <c r="F29" s="197"/>
      <c r="G29" s="296"/>
      <c r="H29" s="289"/>
      <c r="I29" s="297"/>
      <c r="J29" s="289"/>
      <c r="K29" s="297"/>
      <c r="L29" s="289"/>
      <c r="M29" s="297"/>
      <c r="N29" s="289"/>
      <c r="O29" s="296"/>
      <c r="P29" s="289"/>
      <c r="Q29" s="296"/>
      <c r="R29" s="289"/>
      <c r="S29" s="296"/>
      <c r="T29" s="289"/>
      <c r="U29" s="296"/>
      <c r="V29" s="289"/>
      <c r="W29" s="297"/>
    </row>
    <row r="30" spans="1:38" x14ac:dyDescent="0.2">
      <c r="A30" s="285" t="s">
        <v>386</v>
      </c>
      <c r="B30" s="293">
        <f>B24*$B$19*0.67*B13</f>
        <v>8.6336088715775874E-2</v>
      </c>
      <c r="C30" s="15">
        <f>C24*$C$19*0.67*B13</f>
        <v>5.7229600973693964E-3</v>
      </c>
      <c r="D30" s="293">
        <f>D24*$D$19*0.67*D13</f>
        <v>3.6372421775357928</v>
      </c>
      <c r="E30" s="298">
        <f>E24*$E$19*0.67*D13</f>
        <v>0.75543806602651986</v>
      </c>
      <c r="F30" s="15">
        <f>F24*$F$19*0.67*F13</f>
        <v>0.46747299707214018</v>
      </c>
      <c r="G30" s="15">
        <f>G24*$G$19*0.67*F13</f>
        <v>0.16288856874773569</v>
      </c>
      <c r="H30" s="293">
        <f>H24*$H$19*0.67*H13</f>
        <v>9.1768369612799994</v>
      </c>
      <c r="I30" s="298">
        <f>I24*$I$19*0.67*H13</f>
        <v>2.1609173606400005</v>
      </c>
      <c r="J30" s="15">
        <f>J24*$J$19*0.67*J13</f>
        <v>2.0206072074451793</v>
      </c>
      <c r="K30" s="298">
        <f>K24*$K$19*0.67*J13</f>
        <v>0.25767058297902384</v>
      </c>
      <c r="L30" s="293">
        <f>L24*$L$19*0.67*L13</f>
        <v>0</v>
      </c>
      <c r="M30" s="298">
        <f>M24*$M$19*0.67*L13</f>
        <v>0</v>
      </c>
      <c r="N30" s="293">
        <f>N24*$N$19*0.67*N13</f>
        <v>2.9456602352873267</v>
      </c>
      <c r="O30" s="15">
        <f>O24*$O$19*0.67*N13</f>
        <v>1.3597015332760163</v>
      </c>
      <c r="P30" s="293">
        <f>P24*$P$19*0.67*P13</f>
        <v>8.9490435778229446E-2</v>
      </c>
      <c r="Q30" s="15">
        <f>Q24*$Q$19*0.67*P13</f>
        <v>0</v>
      </c>
      <c r="R30" s="293">
        <f>R24*$R$19*0.67*R13</f>
        <v>4.6650898704244437</v>
      </c>
      <c r="S30" s="15">
        <f>S24*$S$19*0.67*R13</f>
        <v>0.88874674041291624</v>
      </c>
      <c r="T30" s="293">
        <f>T24*$T$19*0.67*T13</f>
        <v>3.155570865821594</v>
      </c>
      <c r="U30" s="15">
        <f>U24*$U$19*0.67*T13</f>
        <v>0.57560955142033876</v>
      </c>
      <c r="V30" s="293">
        <f>V24*$V$19*0.67*V13</f>
        <v>0.34119097748344346</v>
      </c>
      <c r="W30" s="298">
        <f>W24*$W$19*0.67*V13</f>
        <v>0.10537582063329923</v>
      </c>
      <c r="AA30" s="15"/>
      <c r="AB30" s="15"/>
      <c r="AC30" s="15"/>
      <c r="AD30" s="15"/>
    </row>
    <row r="31" spans="1:38" x14ac:dyDescent="0.2">
      <c r="A31" s="285" t="s">
        <v>387</v>
      </c>
      <c r="B31" s="293">
        <f>B25*$B$19*0.67*B14</f>
        <v>50.634909169284235</v>
      </c>
      <c r="C31" s="15">
        <f>C25*$C$19*0.67*B14</f>
        <v>4.2255626140686342</v>
      </c>
      <c r="D31" s="293">
        <f>D25*$D$19*0.67*D14</f>
        <v>12.267781036030025</v>
      </c>
      <c r="E31" s="298">
        <f>E25*$E$19*0.67*D14</f>
        <v>0.47978111936987766</v>
      </c>
      <c r="F31" s="15">
        <f>F25*$F$19*0.67*F14</f>
        <v>25.696286373871253</v>
      </c>
      <c r="G31" s="15">
        <f>G25*$G$19*0.67*F14</f>
        <v>3.1655805524274965</v>
      </c>
      <c r="H31" s="293">
        <f>H25*$H$19*0.67*H14</f>
        <v>3.2216555289599995</v>
      </c>
      <c r="I31" s="298">
        <f>I25*$I$19*0.67*H14</f>
        <v>0.5571115070399999</v>
      </c>
      <c r="J31" s="15">
        <f>J25*$J$19*0.67*J14</f>
        <v>10.268256567203895</v>
      </c>
      <c r="K31" s="298">
        <f>K25*$K$19*0.67*J14</f>
        <v>0.22100261514781211</v>
      </c>
      <c r="L31" s="293">
        <f>L25*$L$19*0.67*L14</f>
        <v>0</v>
      </c>
      <c r="M31" s="298">
        <f>M25*$M$19*0.67*L14</f>
        <v>0</v>
      </c>
      <c r="N31" s="293">
        <f>N25*$N$19*0.67*N14</f>
        <v>27.684203488742561</v>
      </c>
      <c r="O31" s="15">
        <f>O25*$O$19*0.67*N14</f>
        <v>8.7134580503543599</v>
      </c>
      <c r="P31" s="293">
        <f>P25*$P$19*0.67*P14</f>
        <v>37.272766501632397</v>
      </c>
      <c r="Q31" s="15">
        <f>Q25*$Q$19*0.67*P14</f>
        <v>0</v>
      </c>
      <c r="R31" s="293">
        <f>R25*$R$19*0.67*R14</f>
        <v>5.275624351272266</v>
      </c>
      <c r="S31" s="15">
        <f>S25*$S$19*0.67*R14</f>
        <v>0.46120605729966818</v>
      </c>
      <c r="T31" s="293">
        <f>T25*$T$19*0.67*T14</f>
        <v>24.461732025978243</v>
      </c>
      <c r="U31" s="15">
        <f>U25*$U$19*0.67*T14</f>
        <v>0.10686085043582635</v>
      </c>
      <c r="V31" s="293">
        <f>V25*$V$19*0.67*V14</f>
        <v>7.4094309642384193</v>
      </c>
      <c r="W31" s="298">
        <f>W25*$W$19*0.67*V14</f>
        <v>0.40807636345250248</v>
      </c>
      <c r="AA31" s="15"/>
      <c r="AB31" s="15"/>
      <c r="AC31" s="15"/>
      <c r="AD31" s="15"/>
    </row>
    <row r="32" spans="1:38" x14ac:dyDescent="0.2">
      <c r="A32" s="285" t="s">
        <v>390</v>
      </c>
      <c r="B32" s="293">
        <f>B26*$B$19*0.67*B15</f>
        <v>7.1680161186739779</v>
      </c>
      <c r="C32" s="15">
        <f>C26*$C$19*0.67*B16</f>
        <v>5.361377566209435</v>
      </c>
      <c r="D32" s="293">
        <f>D26*$D$19*0.67*D15</f>
        <v>0.43960372950454524</v>
      </c>
      <c r="E32" s="298">
        <f>E26*$E$19*0.67*D16</f>
        <v>2.0040006923187268</v>
      </c>
      <c r="F32" s="15">
        <f>F26*$F$19*0.67*F15</f>
        <v>1.9647416083636733</v>
      </c>
      <c r="G32" s="15">
        <f>G26*$G$19*0.67*F16</f>
        <v>2.5121458566498265</v>
      </c>
      <c r="H32" s="293">
        <f>H26*$H$19*0.67*H15</f>
        <v>0</v>
      </c>
      <c r="I32" s="298">
        <f>I26*$I$19*0.67*H16</f>
        <v>0</v>
      </c>
      <c r="J32" s="15">
        <f>J26*$J$19*0.67*J15</f>
        <v>9.3609075005532247</v>
      </c>
      <c r="K32" s="298">
        <f>K26*$K$19*0.67*J16</f>
        <v>6.7913858129365465</v>
      </c>
      <c r="L32" s="293">
        <f>L26*$L$19*0.67*L15</f>
        <v>12.623830129786818</v>
      </c>
      <c r="M32" s="298">
        <f>M26*$M$19*0.67*L16</f>
        <v>5.2644654618233622</v>
      </c>
      <c r="N32" s="293">
        <f>N26*$N$19*0.67*N15</f>
        <v>0</v>
      </c>
      <c r="O32" s="15">
        <f>O26*$O$19*0.67*N16</f>
        <v>0</v>
      </c>
      <c r="P32" s="293">
        <f>P26*$P$19*0.67*P15</f>
        <v>0.49925470302293418</v>
      </c>
      <c r="Q32" s="15">
        <f>Q26*$Q$19*0.67*P16</f>
        <v>0</v>
      </c>
      <c r="R32" s="293">
        <f>R26*$R$19*0.67*R15</f>
        <v>0</v>
      </c>
      <c r="S32" s="15">
        <f>S26*$S$19*0.67*R16</f>
        <v>0</v>
      </c>
      <c r="T32" s="293">
        <f>T26*$T$19*0.67*T15</f>
        <v>2.8981572975329719</v>
      </c>
      <c r="U32" s="15">
        <f>U26*$U$19*0.67*T16</f>
        <v>0.7964808176075463</v>
      </c>
      <c r="V32" s="293">
        <f>V26*$V$19*0.67*V15</f>
        <v>0.576632704635761</v>
      </c>
      <c r="W32" s="298">
        <f>W26*$W$19*0.67*V16</f>
        <v>1.9695647335035793</v>
      </c>
      <c r="AA32" s="15"/>
      <c r="AB32" s="15"/>
      <c r="AC32" s="15"/>
      <c r="AD32" s="15"/>
    </row>
    <row r="33" spans="1:30" x14ac:dyDescent="0.2">
      <c r="A33" s="285" t="s">
        <v>264</v>
      </c>
      <c r="B33" s="293">
        <f>B27*$B$19*0.67*B17</f>
        <v>0.13885677707337415</v>
      </c>
      <c r="C33" s="15">
        <f>C27*$C$19*0.67*B17</f>
        <v>0.12731709395036914</v>
      </c>
      <c r="D33" s="293">
        <f>D27*$D$19*0.67*D17</f>
        <v>0.48680740147971036</v>
      </c>
      <c r="E33" s="293">
        <f>E27*$D$19*0.67*D17</f>
        <v>0.20590057962370484</v>
      </c>
      <c r="F33" s="15">
        <f>F27*$F$19*0.67*F17</f>
        <v>0.2233924436900864</v>
      </c>
      <c r="G33" s="15">
        <f>G27*$G$19*0.67*F17</f>
        <v>0.13693976302550953</v>
      </c>
      <c r="H33" s="293">
        <f>H27*$H$19*0.67*H17</f>
        <v>0.31834540799999994</v>
      </c>
      <c r="I33" s="298">
        <f>I27*$I$19*0.67*H17</f>
        <v>0.41783363028000003</v>
      </c>
      <c r="J33" s="15">
        <f>J27*$J$19*0.67*J17</f>
        <v>0.17058363948574917</v>
      </c>
      <c r="K33" s="298">
        <f>K27*$K$19*0.67*J17</f>
        <v>0.19522265600818678</v>
      </c>
      <c r="L33" s="293">
        <f>L27*$L$19*0.67*L17</f>
        <v>0.62502105500000937</v>
      </c>
      <c r="M33" s="298">
        <f>M27*$M$19*0.67*L17</f>
        <v>0.12498153166776282</v>
      </c>
      <c r="N33" s="293">
        <f>N27*$N$19*0.67*N17</f>
        <v>0.21598947381516778</v>
      </c>
      <c r="O33" s="15">
        <f>O27*$O$19*0.67*N17</f>
        <v>4.2886091724584227E-2</v>
      </c>
      <c r="P33" s="293">
        <f>P27*$P$19*0.67*P17</f>
        <v>0.29429878183704267</v>
      </c>
      <c r="Q33" s="15">
        <f>Q27*$Q$19*0.67*P17</f>
        <v>0</v>
      </c>
      <c r="R33" s="293">
        <f>R27*$R$19*0.67*R17</f>
        <v>0.30346262059529167</v>
      </c>
      <c r="S33" s="15">
        <f>S27*$S$19*0.67*R17</f>
        <v>6.4296129717091061E-2</v>
      </c>
      <c r="T33" s="293">
        <f>T27*$T$19*0.67*T17</f>
        <v>0</v>
      </c>
      <c r="U33" s="15">
        <f>U27*$U$19*0.67*T17</f>
        <v>0.7364757463753977</v>
      </c>
      <c r="V33" s="293">
        <f>V27*$V$19*0.67*V17</f>
        <v>0.8420034649006638</v>
      </c>
      <c r="W33" s="298">
        <f>W27*$W$19*0.67*V17</f>
        <v>0.26950149395301348</v>
      </c>
      <c r="AA33" s="15"/>
      <c r="AB33" s="15"/>
      <c r="AC33" s="15"/>
      <c r="AD33" s="15"/>
    </row>
    <row r="34" spans="1:30" x14ac:dyDescent="0.2">
      <c r="A34" s="285" t="s">
        <v>391</v>
      </c>
      <c r="B34" s="293"/>
      <c r="C34" s="15">
        <f>SUM(B30:C33)</f>
        <v>67.748098388073174</v>
      </c>
      <c r="D34" s="293"/>
      <c r="E34" s="298">
        <f>SUM(D30:E33)</f>
        <v>20.276554801888899</v>
      </c>
      <c r="F34" s="15"/>
      <c r="G34" s="298">
        <f>SUM(F30:G33)</f>
        <v>34.329448163847722</v>
      </c>
      <c r="H34" s="293"/>
      <c r="I34" s="298">
        <f>SUM(H30:I33)</f>
        <v>15.852700396200001</v>
      </c>
      <c r="J34" s="293"/>
      <c r="K34" s="298">
        <f>SUM(J30:K33)</f>
        <v>29.285636581759618</v>
      </c>
      <c r="L34" s="15"/>
      <c r="M34" s="298">
        <f>SUM(L30:M33)</f>
        <v>18.638298178277953</v>
      </c>
      <c r="N34" s="293"/>
      <c r="O34" s="298">
        <f>SUM(N30:O33)</f>
        <v>40.96189887320002</v>
      </c>
      <c r="P34" s="293"/>
      <c r="Q34" s="298">
        <f>SUM(P30:Q33)</f>
        <v>38.155810422270605</v>
      </c>
      <c r="R34" s="293"/>
      <c r="S34" s="298">
        <f>SUM(R30:S33)</f>
        <v>11.658425769721676</v>
      </c>
      <c r="T34" s="293"/>
      <c r="U34" s="298">
        <f>SUM(T30:U33)</f>
        <v>32.730887155171921</v>
      </c>
      <c r="V34" s="293"/>
      <c r="W34" s="298">
        <f>SUM(V30:W33)</f>
        <v>11.921776522800684</v>
      </c>
      <c r="AA34" s="15"/>
      <c r="AB34" s="15"/>
      <c r="AC34" s="15"/>
      <c r="AD34" s="15"/>
    </row>
    <row r="35" spans="1:30" x14ac:dyDescent="0.2">
      <c r="A35" s="285"/>
      <c r="B35" s="293"/>
      <c r="C35" s="15"/>
      <c r="D35" s="293"/>
      <c r="E35" s="298"/>
      <c r="F35" s="15"/>
      <c r="G35" s="15"/>
      <c r="H35" s="293"/>
      <c r="I35" s="15"/>
      <c r="J35" s="293"/>
      <c r="K35" s="15"/>
      <c r="L35" s="293"/>
      <c r="M35" s="15"/>
      <c r="N35" s="293"/>
      <c r="O35" s="15"/>
      <c r="P35" s="293"/>
      <c r="Q35" s="15"/>
      <c r="R35" s="293"/>
      <c r="S35" s="15"/>
      <c r="T35" s="293"/>
      <c r="U35" s="15"/>
      <c r="V35" s="293"/>
      <c r="W35" s="298"/>
      <c r="Z35" s="13"/>
      <c r="AA35" s="13"/>
      <c r="AB35" s="13"/>
      <c r="AC35" s="13"/>
      <c r="AD35" s="13"/>
    </row>
    <row r="36" spans="1:30" x14ac:dyDescent="0.2">
      <c r="A36" s="285"/>
      <c r="B36" s="272"/>
      <c r="D36" s="272"/>
      <c r="E36" s="283"/>
      <c r="H36" s="272"/>
      <c r="J36" s="272"/>
      <c r="L36" s="272"/>
      <c r="N36" s="272"/>
      <c r="P36" s="272"/>
      <c r="R36" s="272"/>
      <c r="T36" s="272"/>
      <c r="V36" s="272"/>
      <c r="W36" s="283"/>
    </row>
    <row r="37" spans="1:30" x14ac:dyDescent="0.2">
      <c r="A37" s="273" t="s">
        <v>392</v>
      </c>
      <c r="B37" s="274"/>
      <c r="C37" s="276"/>
      <c r="D37" s="274"/>
      <c r="E37" s="275"/>
      <c r="F37" s="276"/>
      <c r="G37" s="276"/>
      <c r="H37" s="274"/>
      <c r="I37" s="276"/>
      <c r="J37" s="274"/>
      <c r="K37" s="276"/>
      <c r="L37" s="274"/>
      <c r="M37" s="276"/>
      <c r="N37" s="274"/>
      <c r="O37" s="276"/>
      <c r="P37" s="274"/>
      <c r="Q37" s="276"/>
      <c r="R37" s="274"/>
      <c r="S37" s="276"/>
      <c r="T37" s="274"/>
      <c r="U37" s="276"/>
      <c r="V37" s="274"/>
      <c r="W37" s="275"/>
    </row>
    <row r="38" spans="1:30" x14ac:dyDescent="0.2">
      <c r="A38" s="295" t="s">
        <v>393</v>
      </c>
      <c r="B38" s="289"/>
      <c r="C38" s="197"/>
      <c r="D38" s="289"/>
      <c r="E38" s="290"/>
      <c r="F38" s="197"/>
      <c r="G38" s="197"/>
      <c r="H38" s="289"/>
      <c r="I38" s="197"/>
      <c r="J38" s="289"/>
      <c r="K38" s="197"/>
      <c r="L38" s="289"/>
      <c r="M38" s="197"/>
      <c r="N38" s="289"/>
      <c r="O38" s="197"/>
      <c r="P38" s="289"/>
      <c r="Q38" s="197"/>
      <c r="R38" s="289"/>
      <c r="S38" s="197"/>
      <c r="T38" s="289"/>
      <c r="U38" s="197"/>
      <c r="V38" s="289"/>
      <c r="W38" s="290"/>
    </row>
    <row r="39" spans="1:30" x14ac:dyDescent="0.2">
      <c r="A39" s="285" t="s">
        <v>394</v>
      </c>
      <c r="B39" s="265">
        <v>156.82</v>
      </c>
      <c r="C39" s="266">
        <v>42.34</v>
      </c>
      <c r="D39" s="265">
        <v>116.14</v>
      </c>
      <c r="E39" s="269">
        <v>59.991253303000001</v>
      </c>
      <c r="F39" s="299">
        <v>121.86919</v>
      </c>
      <c r="G39" s="269">
        <v>43.786859999999997</v>
      </c>
      <c r="H39" s="299">
        <v>116.315130409554</v>
      </c>
      <c r="I39" s="269">
        <v>53.4397506433912</v>
      </c>
      <c r="J39" s="299">
        <v>130.743659025255</v>
      </c>
      <c r="K39" s="269">
        <v>52.571885197854897</v>
      </c>
      <c r="L39" s="299">
        <v>109.557130779405</v>
      </c>
      <c r="M39" s="269">
        <v>57.159813022474403</v>
      </c>
      <c r="N39" s="265">
        <v>110.89162</v>
      </c>
      <c r="O39" s="269">
        <v>52.335238466816399</v>
      </c>
      <c r="P39" s="299">
        <v>142.30000000000001</v>
      </c>
      <c r="Q39" s="269">
        <v>36.951655332741304</v>
      </c>
      <c r="R39" s="299">
        <v>118.133544920099</v>
      </c>
      <c r="S39" s="269">
        <v>50.9641263567081</v>
      </c>
      <c r="T39" s="299">
        <v>113.32913737443801</v>
      </c>
      <c r="U39" s="269">
        <v>57.444594930976102</v>
      </c>
      <c r="V39" s="299">
        <v>138.183877609771</v>
      </c>
      <c r="W39" s="269">
        <v>42.2381130623655</v>
      </c>
      <c r="Y39" s="203" t="s">
        <v>395</v>
      </c>
    </row>
    <row r="40" spans="1:30" x14ac:dyDescent="0.2">
      <c r="A40" s="285" t="s">
        <v>396</v>
      </c>
      <c r="B40" s="300">
        <v>0.6</v>
      </c>
      <c r="C40" s="301">
        <v>0.6</v>
      </c>
      <c r="D40" s="300">
        <v>0.6</v>
      </c>
      <c r="E40" s="301">
        <v>0.6</v>
      </c>
      <c r="F40" s="300">
        <v>0.6</v>
      </c>
      <c r="G40" s="301">
        <v>0.6</v>
      </c>
      <c r="H40" s="300">
        <v>0.6</v>
      </c>
      <c r="I40" s="301">
        <v>0.6</v>
      </c>
      <c r="J40" s="300">
        <v>0.6</v>
      </c>
      <c r="K40" s="301">
        <v>0.6</v>
      </c>
      <c r="L40" s="300">
        <v>0.6</v>
      </c>
      <c r="M40" s="301">
        <v>0.6</v>
      </c>
      <c r="N40" s="300">
        <v>0.6</v>
      </c>
      <c r="O40" s="301">
        <v>0.6</v>
      </c>
      <c r="P40" s="300">
        <v>0.6</v>
      </c>
      <c r="Q40" s="301">
        <v>0.6</v>
      </c>
      <c r="R40" s="300">
        <v>0.6</v>
      </c>
      <c r="S40" s="301">
        <v>0.6</v>
      </c>
      <c r="T40" s="300">
        <v>0.6</v>
      </c>
      <c r="U40" s="301">
        <v>0.6</v>
      </c>
      <c r="V40" s="300">
        <v>0.6</v>
      </c>
      <c r="W40" s="302">
        <v>0.6</v>
      </c>
      <c r="Y40" s="203" t="s">
        <v>397</v>
      </c>
    </row>
    <row r="41" spans="1:30" x14ac:dyDescent="0.2">
      <c r="A41" s="285"/>
      <c r="B41" s="300"/>
      <c r="C41" s="301"/>
      <c r="D41" s="300"/>
      <c r="E41" s="301"/>
      <c r="F41" s="300"/>
      <c r="G41" s="301"/>
      <c r="H41" s="300"/>
      <c r="I41" s="301"/>
      <c r="J41" s="300"/>
      <c r="K41" s="301"/>
      <c r="L41" s="300"/>
      <c r="M41" s="301"/>
      <c r="N41" s="300"/>
      <c r="O41" s="301"/>
      <c r="P41" s="300"/>
      <c r="Q41" s="301"/>
      <c r="R41" s="300"/>
      <c r="S41" s="301"/>
      <c r="T41" s="300"/>
      <c r="U41" s="301"/>
      <c r="V41" s="300"/>
      <c r="W41" s="302"/>
      <c r="Y41" s="203"/>
    </row>
    <row r="42" spans="1:30" x14ac:dyDescent="0.2">
      <c r="A42" s="295" t="s">
        <v>398</v>
      </c>
      <c r="B42" s="289"/>
      <c r="C42" s="197"/>
      <c r="D42" s="289"/>
      <c r="E42" s="197"/>
      <c r="F42" s="289"/>
      <c r="G42" s="197"/>
      <c r="H42" s="289"/>
      <c r="I42" s="197"/>
      <c r="J42" s="289"/>
      <c r="K42" s="197"/>
      <c r="L42" s="289"/>
      <c r="M42" s="197"/>
      <c r="N42" s="289"/>
      <c r="O42" s="197"/>
      <c r="P42" s="289"/>
      <c r="Q42" s="197"/>
      <c r="R42" s="289"/>
      <c r="S42" s="197"/>
      <c r="T42" s="289"/>
      <c r="U42" s="197"/>
      <c r="V42" s="289"/>
      <c r="W42" s="290"/>
    </row>
    <row r="43" spans="1:30" x14ac:dyDescent="0.2">
      <c r="A43" s="285" t="s">
        <v>386</v>
      </c>
      <c r="B43" s="303">
        <f>Production!$B$5*B6*$B$39</f>
        <v>1.5517755476077624</v>
      </c>
      <c r="C43" s="54">
        <f>Production!$B$6*C6*$C$39</f>
        <v>0.10822868981434158</v>
      </c>
      <c r="D43" s="303">
        <f>Production!$C$5*D6*$D$39</f>
        <v>45.469214775307528</v>
      </c>
      <c r="E43" s="54">
        <f>Production!$C$6*E6*$E$39</f>
        <v>14.605789331722374</v>
      </c>
      <c r="F43" s="303">
        <f>Production!$D$5*F6*$F$39</f>
        <v>12.203287936856704</v>
      </c>
      <c r="G43" s="54">
        <f>Production!$D$6*G6*$G$39</f>
        <v>4.4029770218773345</v>
      </c>
      <c r="H43" s="303">
        <f>Production!$E$5*H6*$H$39</f>
        <v>100.5893247781823</v>
      </c>
      <c r="I43" s="54">
        <f>Production!$E$6*I6*$I$39</f>
        <v>24.625037096474664</v>
      </c>
      <c r="J43" s="303">
        <f>Production!$F$5*J6*$J$39</f>
        <v>39.004778426512722</v>
      </c>
      <c r="K43" s="54">
        <f>Production!$F$6*K6*$K$39</f>
        <v>6.2661164088614054</v>
      </c>
      <c r="L43" s="303">
        <f>Production!$G$5*L6*$L$39</f>
        <v>0</v>
      </c>
      <c r="M43" s="54">
        <f>Production!$G$6*M6*$M$39</f>
        <v>0</v>
      </c>
      <c r="N43" s="303">
        <f>Production!$H$5*N6*$N$39</f>
        <v>43.555947458603633</v>
      </c>
      <c r="O43" s="54">
        <f>Production!$H$6*O6*$O$39</f>
        <v>18.714375495929289</v>
      </c>
      <c r="P43" s="303">
        <f>Production!$I$5*P6*$P$39</f>
        <v>2.4863039882974536</v>
      </c>
      <c r="Q43" s="54">
        <f>Production!$I$6*Q6*$Q$39</f>
        <v>6.0127733557436649</v>
      </c>
      <c r="R43" s="303">
        <f>Production!$J$5*R6*$R$39</f>
        <v>93.523473706225474</v>
      </c>
      <c r="S43" s="54">
        <f>Production!$J$6*S6*$S$39</f>
        <v>30.432875514689719</v>
      </c>
      <c r="T43" s="303">
        <f>Production!$K$5*T6*$T$39</f>
        <v>51.424590507198189</v>
      </c>
      <c r="U43" s="54">
        <f>Production!$K$6*U6*$U$39</f>
        <v>11.019977727744983</v>
      </c>
      <c r="V43" s="303">
        <f>Production!$L$5*V6*$V$39</f>
        <v>7.4517322835921869</v>
      </c>
      <c r="W43" s="304">
        <f>Production!$L$6*W6*$W$39</f>
        <v>2.8889316145617903</v>
      </c>
    </row>
    <row r="44" spans="1:30" x14ac:dyDescent="0.2">
      <c r="A44" s="285" t="s">
        <v>387</v>
      </c>
      <c r="B44" s="303">
        <f>Production!$B$5*B7*$B$39</f>
        <v>126.75413188506636</v>
      </c>
      <c r="C44" s="54">
        <f>Production!$B$6*C7*$C$39</f>
        <v>11.129657004057918</v>
      </c>
      <c r="D44" s="303">
        <f>Production!$C$5*D7*$D$39</f>
        <v>19.472458558210164</v>
      </c>
      <c r="E44" s="54">
        <f>Production!$C$6*E7*$E$39</f>
        <v>1.1778198179231234</v>
      </c>
      <c r="F44" s="303">
        <f>Production!$D$5*F7*$F$39</f>
        <v>91.968651643931508</v>
      </c>
      <c r="G44" s="54">
        <f>Production!$D$6*G7*$G$39</f>
        <v>11.731628650317086</v>
      </c>
      <c r="H44" s="303">
        <f>Production!$E$5*H7*$H$39</f>
        <v>6.4205951986073808</v>
      </c>
      <c r="I44" s="54">
        <f>Production!$E$6*I7*$I$39</f>
        <v>1.1542986138972497</v>
      </c>
      <c r="J44" s="303">
        <f>Production!$F$5*J7*$J$39</f>
        <v>27.516440952405713</v>
      </c>
      <c r="K44" s="54">
        <f>Production!$F$6*K7*$K$39</f>
        <v>0.74608904446575008</v>
      </c>
      <c r="L44" s="303">
        <f>Production!$G$5*L7*$L$39</f>
        <v>0</v>
      </c>
      <c r="M44" s="54">
        <f>Production!$G$6*M7*$M$39</f>
        <v>0</v>
      </c>
      <c r="N44" s="303">
        <f>Production!$H$5*N7*$N$39</f>
        <v>60.304374479922785</v>
      </c>
      <c r="O44" s="54">
        <f>Production!$H$6*O7*$O$39</f>
        <v>17.667466137445999</v>
      </c>
      <c r="P44" s="303">
        <f>Production!$I$5*P7*$P$39</f>
        <v>121.82889542657465</v>
      </c>
      <c r="Q44" s="54">
        <f>Production!$I$6*Q7*$Q$39</f>
        <v>6.0127733557436649</v>
      </c>
      <c r="R44" s="303">
        <f>Production!$J$5*R7*$R$39</f>
        <v>12.442726443949995</v>
      </c>
      <c r="S44" s="54">
        <f>Production!$J$6*S7*$S$39</f>
        <v>1.8579800455401803</v>
      </c>
      <c r="T44" s="303">
        <f>Production!$K$5*T7*$T$39</f>
        <v>49.696190369901636</v>
      </c>
      <c r="U44" s="54">
        <f>Production!$K$6*U7*$U$39</f>
        <v>0.25504354728133416</v>
      </c>
      <c r="V44" s="303">
        <f>Production!$L$5*V7*$V$39</f>
        <v>92.471204127383899</v>
      </c>
      <c r="W44" s="304">
        <f>Production!$L$6*W7*$W$39</f>
        <v>6.3929260889980268</v>
      </c>
    </row>
    <row r="45" spans="1:30" x14ac:dyDescent="0.2">
      <c r="A45" s="285" t="s">
        <v>388</v>
      </c>
      <c r="B45" s="303">
        <f>Production!$B$5*B8*$B$39</f>
        <v>17.893817803691213</v>
      </c>
      <c r="C45" s="54">
        <f>Production!$B$6*C8*$C$39</f>
        <v>14.08204019225726</v>
      </c>
      <c r="D45" s="303">
        <f>Production!$C$5*D8*$D$39</f>
        <v>3.4228602766024072</v>
      </c>
      <c r="E45" s="54">
        <f>Production!$C$6*E8*$E$39</f>
        <v>3.9126517499554523</v>
      </c>
      <c r="F45" s="303">
        <f>Production!$D$5*F8*$F$39</f>
        <v>6.0340213970337855</v>
      </c>
      <c r="G45" s="54">
        <f>Production!$D$6*G8*$G$39</f>
        <v>7.9888034663410288</v>
      </c>
      <c r="H45" s="303">
        <f>Production!$E$5*H8*$H$39</f>
        <v>0</v>
      </c>
      <c r="I45" s="54">
        <f>Production!$E$6*I8*$I$39</f>
        <v>0</v>
      </c>
      <c r="J45" s="303">
        <f>Production!$F$5*J8*$J$39</f>
        <v>57.636719238318811</v>
      </c>
      <c r="K45" s="54">
        <f>Production!$F$6*K8*$K$39</f>
        <v>21.344576761959971</v>
      </c>
      <c r="L45" s="303">
        <f>Production!$G$5*L8*$L$39</f>
        <v>34.106542071642629</v>
      </c>
      <c r="M45" s="54">
        <f>Production!$G$6*M8*$M$39</f>
        <v>19.970917098741314</v>
      </c>
      <c r="N45" s="303">
        <f>Production!$H$5*N8*$N$39</f>
        <v>0</v>
      </c>
      <c r="O45" s="54">
        <f>Production!$H$6*O8*$O$39</f>
        <v>0</v>
      </c>
      <c r="P45" s="303">
        <f>Production!$I$5*P8*$P$39</f>
        <v>1.6318522802202731</v>
      </c>
      <c r="Q45" s="54">
        <f>Production!$I$6*Q8*$Q$39</f>
        <v>0</v>
      </c>
      <c r="R45" s="303">
        <f>Production!$J$5*R8*$R$39</f>
        <v>0</v>
      </c>
      <c r="S45" s="54">
        <f>Production!$J$6*S8*$S$39</f>
        <v>0</v>
      </c>
      <c r="T45" s="303">
        <f>Production!$K$5*T8*$T$39</f>
        <v>12.208356497338176</v>
      </c>
      <c r="U45" s="54">
        <f>Production!$K$6*U8*$U$39</f>
        <v>3.1338116551922695</v>
      </c>
      <c r="V45" s="303">
        <f>Production!$L$5*V8*$V$39</f>
        <v>1.4816309803633578</v>
      </c>
      <c r="W45" s="304">
        <f>Production!$L$6*W8*$W$39</f>
        <v>6.3525431739557803</v>
      </c>
    </row>
    <row r="46" spans="1:30" x14ac:dyDescent="0.2">
      <c r="A46" s="285" t="s">
        <v>264</v>
      </c>
      <c r="B46" s="303">
        <f>Production!$B$5*B9*$B$39</f>
        <v>10.620274763634708</v>
      </c>
      <c r="C46" s="54">
        <f>Production!$B$6*C9*$C$39</f>
        <v>10.245674113870502</v>
      </c>
      <c r="D46" s="303">
        <f>Production!$C$5*D9*$D$39</f>
        <v>47.775466389879988</v>
      </c>
      <c r="E46" s="54">
        <f>Production!$C$6*E9*$E$39</f>
        <v>23.497441478559065</v>
      </c>
      <c r="F46" s="303">
        <f>Production!$D$5*F9*$F$39</f>
        <v>11.663229022178058</v>
      </c>
      <c r="G46" s="54">
        <f>Production!$D$6*G9*$G$39</f>
        <v>7.403130061464517</v>
      </c>
      <c r="H46" s="303">
        <f>Production!$E$5*H9*$H$39</f>
        <v>9.305210432764321</v>
      </c>
      <c r="I46" s="54">
        <f>Production!$E$6*I9*$I$39</f>
        <v>12.697284752869749</v>
      </c>
      <c r="J46" s="303">
        <f>Production!$F$5*J9*$J$39</f>
        <v>6.5857204080177842</v>
      </c>
      <c r="K46" s="54">
        <f>Production!$F$6*K9*$K$39</f>
        <v>9.494975127168388</v>
      </c>
      <c r="L46" s="303">
        <f>Production!$G$5*L9*$L$39</f>
        <v>75.450588707762378</v>
      </c>
      <c r="M46" s="54">
        <f>Production!$G$6*M9*$M$39</f>
        <v>21.184148277440254</v>
      </c>
      <c r="N46" s="303">
        <f>Production!$H$5*N9*$N$39</f>
        <v>7.0312980614736267</v>
      </c>
      <c r="O46" s="54">
        <f>Production!$H$6*O9*$O$39</f>
        <v>1.2995300627325195</v>
      </c>
      <c r="P46" s="303">
        <f>Production!$I$5*P9*$P$39</f>
        <v>16.352948304907635</v>
      </c>
      <c r="Q46" s="54">
        <f>Production!$I$6*Q9*$Q$39</f>
        <v>14.57964512808641</v>
      </c>
      <c r="R46" s="303">
        <f>Production!$J$5*R9*$R$39</f>
        <v>12.167344769923528</v>
      </c>
      <c r="S46" s="54">
        <f>Production!$J$6*S9*$S$39</f>
        <v>4.4033154165999493</v>
      </c>
      <c r="T46" s="303">
        <f>Production!$K$5*T9*$T$39</f>
        <v>0</v>
      </c>
      <c r="U46" s="54">
        <f>Production!$K$6*U9*$U$39</f>
        <v>26.951275420084237</v>
      </c>
      <c r="V46" s="303">
        <f>Production!$L$5*V9*$V$39</f>
        <v>36.779310218431711</v>
      </c>
      <c r="W46" s="304">
        <f>Production!$L$6*W9*$W$39</f>
        <v>14.777040527387584</v>
      </c>
    </row>
    <row r="47" spans="1:30" x14ac:dyDescent="0.2">
      <c r="A47" s="260"/>
      <c r="B47" s="272"/>
      <c r="D47" s="272"/>
      <c r="F47" s="272"/>
      <c r="H47" s="272"/>
      <c r="J47" s="272"/>
      <c r="L47" s="272"/>
      <c r="N47" s="272"/>
      <c r="P47" s="272"/>
      <c r="R47" s="272"/>
      <c r="T47" s="272"/>
      <c r="V47" s="272"/>
      <c r="W47" s="283"/>
    </row>
    <row r="48" spans="1:30" x14ac:dyDescent="0.2">
      <c r="A48" s="295" t="s">
        <v>399</v>
      </c>
      <c r="B48" s="289"/>
      <c r="C48" s="197"/>
      <c r="D48" s="289"/>
      <c r="E48" s="197"/>
      <c r="F48" s="289"/>
      <c r="G48" s="197"/>
      <c r="H48" s="289"/>
      <c r="I48" s="197"/>
      <c r="J48" s="289"/>
      <c r="K48" s="197"/>
      <c r="L48" s="289"/>
      <c r="M48" s="197"/>
      <c r="N48" s="289"/>
      <c r="O48" s="197"/>
      <c r="P48" s="289"/>
      <c r="Q48" s="197"/>
      <c r="R48" s="289"/>
      <c r="S48" s="197"/>
      <c r="T48" s="289"/>
      <c r="U48" s="197"/>
      <c r="V48" s="289"/>
      <c r="W48" s="290"/>
    </row>
    <row r="49" spans="1:25" x14ac:dyDescent="0.2">
      <c r="A49" s="285" t="s">
        <v>386</v>
      </c>
      <c r="B49" s="305">
        <f>B43*$B$40</f>
        <v>0.9310653285646574</v>
      </c>
      <c r="C49" s="59">
        <f>C43*$C$40</f>
        <v>6.4937213888604947E-2</v>
      </c>
      <c r="D49" s="305">
        <f>D43*$D$40</f>
        <v>27.281528865184516</v>
      </c>
      <c r="E49" s="59">
        <f>E43*$E$40</f>
        <v>8.7634735990334232</v>
      </c>
      <c r="F49" s="305">
        <f>F43*$F$40</f>
        <v>7.3219727621140223</v>
      </c>
      <c r="G49" s="59">
        <f>G43*$G$40</f>
        <v>2.6417862131264007</v>
      </c>
      <c r="H49" s="305">
        <f>H43*$H$40</f>
        <v>60.353594866909376</v>
      </c>
      <c r="I49" s="59">
        <f>I43*$I$40</f>
        <v>14.775022257884798</v>
      </c>
      <c r="J49" s="305">
        <f>J43*$J$40</f>
        <v>23.402867055907631</v>
      </c>
      <c r="K49" s="59">
        <f>K43*$K$40</f>
        <v>3.7596698453168429</v>
      </c>
      <c r="L49" s="305">
        <f>L43*$L$40</f>
        <v>0</v>
      </c>
      <c r="M49" s="59">
        <f>M43*$M$40</f>
        <v>0</v>
      </c>
      <c r="N49" s="305">
        <f>N43*$N$40</f>
        <v>26.133568475162178</v>
      </c>
      <c r="O49" s="59">
        <f>O43*$O$40</f>
        <v>11.228625297557572</v>
      </c>
      <c r="P49" s="305">
        <f>P43*$P$40</f>
        <v>1.4917823929784721</v>
      </c>
      <c r="Q49" s="59">
        <f>Q43*$Q$40</f>
        <v>3.6076640134461986</v>
      </c>
      <c r="R49" s="305">
        <f>R43*$R$40</f>
        <v>56.114084223735283</v>
      </c>
      <c r="S49" s="59">
        <f>S43*$S$40</f>
        <v>18.259725308813831</v>
      </c>
      <c r="T49" s="305">
        <f>T43*$T$40</f>
        <v>30.854754304318913</v>
      </c>
      <c r="U49" s="59">
        <f>U43*$U$40</f>
        <v>6.6119866366469902</v>
      </c>
      <c r="V49" s="305">
        <f>V43*$V$40</f>
        <v>4.4710393701553119</v>
      </c>
      <c r="W49" s="306">
        <f>W43*$W$40</f>
        <v>1.7333589687370741</v>
      </c>
    </row>
    <row r="50" spans="1:25" x14ac:dyDescent="0.2">
      <c r="A50" s="285" t="s">
        <v>387</v>
      </c>
      <c r="B50" s="305">
        <f>B44*$B$40</f>
        <v>76.052479131039817</v>
      </c>
      <c r="C50" s="59">
        <f>C44*$C$40</f>
        <v>6.6777942024347512</v>
      </c>
      <c r="D50" s="305">
        <f>D44*$D$40</f>
        <v>11.683475134926098</v>
      </c>
      <c r="E50" s="59">
        <f>E44*$E$40</f>
        <v>0.70669189075387406</v>
      </c>
      <c r="F50" s="305">
        <f>F44*$F$40</f>
        <v>55.181190986358907</v>
      </c>
      <c r="G50" s="59">
        <f>G44*$G$40</f>
        <v>7.0389771901902511</v>
      </c>
      <c r="H50" s="305">
        <f>H44*$H$40</f>
        <v>3.8523571191644281</v>
      </c>
      <c r="I50" s="59">
        <f>I44*$I$40</f>
        <v>0.69257916833834987</v>
      </c>
      <c r="J50" s="305">
        <f>J44*$J$40</f>
        <v>16.509864571443426</v>
      </c>
      <c r="K50" s="59">
        <f>K44*$K$40</f>
        <v>0.44765342667945002</v>
      </c>
      <c r="L50" s="305">
        <f>L44*$L$40</f>
        <v>0</v>
      </c>
      <c r="M50" s="59">
        <f>M44*$M$40</f>
        <v>0</v>
      </c>
      <c r="N50" s="305">
        <f>N44*$N$40</f>
        <v>36.18262468795367</v>
      </c>
      <c r="O50" s="59">
        <f>O44*$O$40</f>
        <v>10.600479682467599</v>
      </c>
      <c r="P50" s="305">
        <f>P44*$P$40</f>
        <v>73.09733725594478</v>
      </c>
      <c r="Q50" s="59">
        <f>Q44*$Q$40</f>
        <v>3.6076640134461986</v>
      </c>
      <c r="R50" s="305">
        <f>R44*$R$40</f>
        <v>7.4656358663699969</v>
      </c>
      <c r="S50" s="59">
        <f>S44*$S$40</f>
        <v>1.1147880273241082</v>
      </c>
      <c r="T50" s="305">
        <f>T44*$T$40</f>
        <v>29.817714221940982</v>
      </c>
      <c r="U50" s="59">
        <f>U44*$U$40</f>
        <v>0.1530261283688005</v>
      </c>
      <c r="V50" s="305">
        <f>V44*$V$40</f>
        <v>55.482722476430339</v>
      </c>
      <c r="W50" s="306">
        <f>W44*$W$40</f>
        <v>3.8357556533988157</v>
      </c>
    </row>
    <row r="51" spans="1:25" x14ac:dyDescent="0.2">
      <c r="A51" s="285" t="s">
        <v>388</v>
      </c>
      <c r="B51" s="305">
        <f>B45*$B$40</f>
        <v>10.736290682214728</v>
      </c>
      <c r="C51" s="59">
        <f>C45*$C$40</f>
        <v>8.4492241153543564</v>
      </c>
      <c r="D51" s="305">
        <f>D45*$D$40</f>
        <v>2.0537161659614442</v>
      </c>
      <c r="E51" s="59">
        <f>E45*$E$40</f>
        <v>2.3475910499732713</v>
      </c>
      <c r="F51" s="305">
        <f>F45*$F$40</f>
        <v>3.6204128382202709</v>
      </c>
      <c r="G51" s="59">
        <f>G45*$G$40</f>
        <v>4.7932820798046167</v>
      </c>
      <c r="H51" s="305">
        <f>H45*$H$40</f>
        <v>0</v>
      </c>
      <c r="I51" s="59">
        <f>I45*$I$40</f>
        <v>0</v>
      </c>
      <c r="J51" s="305">
        <f>J45*$J$40</f>
        <v>34.582031542991288</v>
      </c>
      <c r="K51" s="59">
        <f>K45*$K$40</f>
        <v>12.806746057175982</v>
      </c>
      <c r="L51" s="305">
        <f>L45*$L$40</f>
        <v>20.463925242985578</v>
      </c>
      <c r="M51" s="59">
        <f>M45*$M$40</f>
        <v>11.982550259244787</v>
      </c>
      <c r="N51" s="305">
        <f>N45*$N$40</f>
        <v>0</v>
      </c>
      <c r="O51" s="59">
        <f>O45*$O$40</f>
        <v>0</v>
      </c>
      <c r="P51" s="305">
        <f>P45*$P$40</f>
        <v>0.97911136813216382</v>
      </c>
      <c r="Q51" s="59">
        <f>Q45*$Q$40</f>
        <v>0</v>
      </c>
      <c r="R51" s="305">
        <f>R45*$R$40</f>
        <v>0</v>
      </c>
      <c r="S51" s="59">
        <f>S45*$S$40</f>
        <v>0</v>
      </c>
      <c r="T51" s="305">
        <f>T45*$T$40</f>
        <v>7.3250138984029052</v>
      </c>
      <c r="U51" s="59">
        <f>U45*$U$40</f>
        <v>1.8802869931153616</v>
      </c>
      <c r="V51" s="305">
        <f>V45*$V$40</f>
        <v>0.88897858821801468</v>
      </c>
      <c r="W51" s="306">
        <f>W45*$W$40</f>
        <v>3.8115259043734682</v>
      </c>
    </row>
    <row r="52" spans="1:25" x14ac:dyDescent="0.2">
      <c r="A52" s="285" t="s">
        <v>264</v>
      </c>
      <c r="B52" s="305">
        <f>B46*$B$40</f>
        <v>6.3721648581808248</v>
      </c>
      <c r="C52" s="59">
        <f>C46*$C$40</f>
        <v>6.1474044683223008</v>
      </c>
      <c r="D52" s="305">
        <f>D46*$D$40</f>
        <v>28.665279833927993</v>
      </c>
      <c r="E52" s="59">
        <f>E46*$E$40</f>
        <v>14.098464887135439</v>
      </c>
      <c r="F52" s="305">
        <f>F46*$F$40</f>
        <v>6.9979374133068344</v>
      </c>
      <c r="G52" s="59">
        <f>G46*$G$40</f>
        <v>4.4418780368787099</v>
      </c>
      <c r="H52" s="305">
        <f>H46*$H$40</f>
        <v>5.5831262596585924</v>
      </c>
      <c r="I52" s="59">
        <f>I46*$I$40</f>
        <v>7.6183708517218491</v>
      </c>
      <c r="J52" s="305">
        <f>J46*$J$40</f>
        <v>3.9514322448106705</v>
      </c>
      <c r="K52" s="59">
        <f>K46*$K$40</f>
        <v>5.6969850763010328</v>
      </c>
      <c r="L52" s="305">
        <f>L46*$L$40</f>
        <v>45.270353224657427</v>
      </c>
      <c r="M52" s="59">
        <f>M46*$M$40</f>
        <v>12.710488966464153</v>
      </c>
      <c r="N52" s="305">
        <f>N46*$N$40</f>
        <v>4.2187788368841757</v>
      </c>
      <c r="O52" s="59">
        <f>O46*$O$40</f>
        <v>0.77971803763951164</v>
      </c>
      <c r="P52" s="305">
        <f>P46*$P$40</f>
        <v>9.8117689829445798</v>
      </c>
      <c r="Q52" s="59">
        <f>Q46*$Q$40</f>
        <v>8.7477870768518464</v>
      </c>
      <c r="R52" s="305">
        <f>R46*$R$40</f>
        <v>7.3004068619541158</v>
      </c>
      <c r="S52" s="59">
        <f>S46*$S$40</f>
        <v>2.6419892499599693</v>
      </c>
      <c r="T52" s="305">
        <f>T46*$T$40</f>
        <v>0</v>
      </c>
      <c r="U52" s="59">
        <f>U46*$U$40</f>
        <v>16.17076525205054</v>
      </c>
      <c r="V52" s="305">
        <f>V46*$V$40</f>
        <v>22.067586131059027</v>
      </c>
      <c r="W52" s="306">
        <f>W46*$W$40</f>
        <v>8.8662243164325503</v>
      </c>
    </row>
    <row r="53" spans="1:25" x14ac:dyDescent="0.2">
      <c r="A53" s="260"/>
      <c r="B53" s="272"/>
      <c r="D53" s="272"/>
      <c r="F53" s="272"/>
      <c r="H53" s="272"/>
      <c r="J53" s="272"/>
      <c r="L53" s="272"/>
      <c r="N53" s="272"/>
      <c r="P53" s="272"/>
      <c r="R53" s="272"/>
      <c r="T53" s="272"/>
      <c r="V53" s="272"/>
      <c r="W53" s="283"/>
    </row>
    <row r="54" spans="1:25" x14ac:dyDescent="0.2">
      <c r="A54" s="295" t="s">
        <v>400</v>
      </c>
      <c r="B54" s="289"/>
      <c r="C54" s="197"/>
      <c r="D54" s="289"/>
      <c r="E54" s="197"/>
      <c r="F54" s="289"/>
      <c r="G54" s="197"/>
      <c r="H54" s="289"/>
      <c r="I54" s="197"/>
      <c r="J54" s="289"/>
      <c r="K54" s="197"/>
      <c r="L54" s="289"/>
      <c r="M54" s="197"/>
      <c r="N54" s="289"/>
      <c r="O54" s="197"/>
      <c r="P54" s="289"/>
      <c r="Q54" s="197"/>
      <c r="R54" s="289"/>
      <c r="S54" s="197"/>
      <c r="T54" s="289"/>
      <c r="U54" s="197"/>
      <c r="V54" s="289"/>
      <c r="W54" s="290"/>
      <c r="Y54" s="20" t="s">
        <v>401</v>
      </c>
    </row>
    <row r="55" spans="1:25" x14ac:dyDescent="0.2">
      <c r="A55" s="285" t="s">
        <v>386</v>
      </c>
      <c r="B55" s="305">
        <f t="shared" ref="B55:W55" si="0">B49*B61</f>
        <v>7.4485226285172595E-2</v>
      </c>
      <c r="C55" s="59">
        <f t="shared" si="0"/>
        <v>5.1949771110883962E-3</v>
      </c>
      <c r="D55" s="305">
        <f t="shared" si="0"/>
        <v>2.1825223092147614</v>
      </c>
      <c r="E55" s="59">
        <f t="shared" si="0"/>
        <v>0.70107788792267389</v>
      </c>
      <c r="F55" s="305">
        <f t="shared" si="0"/>
        <v>0.58575782096912177</v>
      </c>
      <c r="G55" s="59">
        <f t="shared" si="0"/>
        <v>0.21134289705011206</v>
      </c>
      <c r="H55" s="305">
        <f t="shared" si="0"/>
        <v>4.8282875893527502</v>
      </c>
      <c r="I55" s="59">
        <f t="shared" si="0"/>
        <v>1.1820017806307839</v>
      </c>
      <c r="J55" s="305">
        <f t="shared" si="0"/>
        <v>1.8722293644726105</v>
      </c>
      <c r="K55" s="59">
        <f t="shared" si="0"/>
        <v>0.30077358762534745</v>
      </c>
      <c r="L55" s="305">
        <f t="shared" si="0"/>
        <v>0</v>
      </c>
      <c r="M55" s="59">
        <f t="shared" si="0"/>
        <v>0</v>
      </c>
      <c r="N55" s="305">
        <f t="shared" si="0"/>
        <v>2.0906854780129742</v>
      </c>
      <c r="O55" s="59">
        <f t="shared" si="0"/>
        <v>0.89829002380460576</v>
      </c>
      <c r="P55" s="305">
        <f t="shared" si="0"/>
        <v>0.11934259143827777</v>
      </c>
      <c r="Q55" s="59">
        <f t="shared" si="0"/>
        <v>0.28861312107569587</v>
      </c>
      <c r="R55" s="305">
        <f t="shared" si="0"/>
        <v>4.4891267378988227</v>
      </c>
      <c r="S55" s="59">
        <f t="shared" si="0"/>
        <v>1.4607780247051065</v>
      </c>
      <c r="T55" s="305">
        <f t="shared" si="0"/>
        <v>2.4683803443455132</v>
      </c>
      <c r="U55" s="59">
        <f t="shared" si="0"/>
        <v>0.52895893093175927</v>
      </c>
      <c r="V55" s="305">
        <f t="shared" si="0"/>
        <v>0.35768314961242498</v>
      </c>
      <c r="W55" s="306">
        <f t="shared" si="0"/>
        <v>0.13866871749896592</v>
      </c>
    </row>
    <row r="56" spans="1:25" x14ac:dyDescent="0.2">
      <c r="A56" s="285" t="s">
        <v>387</v>
      </c>
      <c r="B56" s="305">
        <f t="shared" ref="B56:W56" si="1">B50*B62</f>
        <v>18.252594991449556</v>
      </c>
      <c r="C56" s="59">
        <f t="shared" si="1"/>
        <v>1.6026706085843403</v>
      </c>
      <c r="D56" s="305">
        <f t="shared" si="1"/>
        <v>2.8040340323822637</v>
      </c>
      <c r="E56" s="59">
        <f t="shared" si="1"/>
        <v>0.16960605378092977</v>
      </c>
      <c r="F56" s="305">
        <f t="shared" si="1"/>
        <v>13.243485836726137</v>
      </c>
      <c r="G56" s="59">
        <f t="shared" si="1"/>
        <v>1.6893545256456601</v>
      </c>
      <c r="H56" s="305">
        <f t="shared" si="1"/>
        <v>0.92456570859946274</v>
      </c>
      <c r="I56" s="59">
        <f t="shared" si="1"/>
        <v>0.16621900040120396</v>
      </c>
      <c r="J56" s="305">
        <f t="shared" si="1"/>
        <v>3.9623674971464222</v>
      </c>
      <c r="K56" s="59">
        <f t="shared" si="1"/>
        <v>0.107436822403068</v>
      </c>
      <c r="L56" s="305">
        <f t="shared" si="1"/>
        <v>0</v>
      </c>
      <c r="M56" s="59">
        <f t="shared" si="1"/>
        <v>0</v>
      </c>
      <c r="N56" s="305">
        <f t="shared" si="1"/>
        <v>8.6838299251088795</v>
      </c>
      <c r="O56" s="59">
        <f t="shared" si="1"/>
        <v>2.5441151237922237</v>
      </c>
      <c r="P56" s="305">
        <f t="shared" si="1"/>
        <v>17.543360941426748</v>
      </c>
      <c r="Q56" s="59">
        <f t="shared" si="1"/>
        <v>0.86583936322708765</v>
      </c>
      <c r="R56" s="305">
        <f t="shared" si="1"/>
        <v>1.7917526079287991</v>
      </c>
      <c r="S56" s="59">
        <f t="shared" si="1"/>
        <v>0.26754912655778595</v>
      </c>
      <c r="T56" s="305">
        <f t="shared" si="1"/>
        <v>7.156251413265835</v>
      </c>
      <c r="U56" s="59">
        <f t="shared" si="1"/>
        <v>3.6726270808512117E-2</v>
      </c>
      <c r="V56" s="305">
        <f t="shared" si="1"/>
        <v>13.31585339434328</v>
      </c>
      <c r="W56" s="306">
        <f t="shared" si="1"/>
        <v>0.92058135681571573</v>
      </c>
    </row>
    <row r="57" spans="1:25" x14ac:dyDescent="0.2">
      <c r="A57" s="285" t="s">
        <v>388</v>
      </c>
      <c r="B57" s="305">
        <f t="shared" ref="B57:W57" si="2">B51*B61</f>
        <v>0.8589032545771782</v>
      </c>
      <c r="C57" s="59">
        <f t="shared" si="2"/>
        <v>0.6759379292283485</v>
      </c>
      <c r="D57" s="305">
        <f t="shared" si="2"/>
        <v>0.16429729327691553</v>
      </c>
      <c r="E57" s="59">
        <f t="shared" si="2"/>
        <v>0.1878072839978617</v>
      </c>
      <c r="F57" s="305">
        <f t="shared" si="2"/>
        <v>0.28963302705762167</v>
      </c>
      <c r="G57" s="59">
        <f t="shared" si="2"/>
        <v>0.38346256638436937</v>
      </c>
      <c r="H57" s="305">
        <f t="shared" si="2"/>
        <v>0</v>
      </c>
      <c r="I57" s="59">
        <f t="shared" si="2"/>
        <v>0</v>
      </c>
      <c r="J57" s="305">
        <f t="shared" si="2"/>
        <v>2.766562523439303</v>
      </c>
      <c r="K57" s="59">
        <f t="shared" si="2"/>
        <v>1.0245396845740786</v>
      </c>
      <c r="L57" s="305">
        <f t="shared" si="2"/>
        <v>1.6371140194388463</v>
      </c>
      <c r="M57" s="59">
        <f t="shared" si="2"/>
        <v>0.95860402073958295</v>
      </c>
      <c r="N57" s="305">
        <f t="shared" si="2"/>
        <v>0</v>
      </c>
      <c r="O57" s="59">
        <f t="shared" si="2"/>
        <v>0</v>
      </c>
      <c r="P57" s="305">
        <f t="shared" si="2"/>
        <v>7.8328909450573109E-2</v>
      </c>
      <c r="Q57" s="59">
        <f t="shared" si="2"/>
        <v>0</v>
      </c>
      <c r="R57" s="305">
        <f t="shared" si="2"/>
        <v>0</v>
      </c>
      <c r="S57" s="59">
        <f t="shared" si="2"/>
        <v>0</v>
      </c>
      <c r="T57" s="305">
        <f t="shared" si="2"/>
        <v>0.58600111187223247</v>
      </c>
      <c r="U57" s="59">
        <f t="shared" si="2"/>
        <v>0.15042295944922893</v>
      </c>
      <c r="V57" s="305">
        <f t="shared" si="2"/>
        <v>7.1118287057441179E-2</v>
      </c>
      <c r="W57" s="306">
        <f t="shared" si="2"/>
        <v>0.30492207234987745</v>
      </c>
      <c r="Y57" s="201" t="s">
        <v>402</v>
      </c>
    </row>
    <row r="58" spans="1:25" x14ac:dyDescent="0.2">
      <c r="A58" s="285" t="s">
        <v>391</v>
      </c>
      <c r="B58" s="305"/>
      <c r="C58" s="59">
        <f>SUM(B55:C57)</f>
        <v>21.469786987235683</v>
      </c>
      <c r="D58" s="305"/>
      <c r="E58" s="59">
        <f>SUM(D55:E57)</f>
        <v>6.2093448605754054</v>
      </c>
      <c r="F58" s="305"/>
      <c r="G58" s="59">
        <f>SUM(F55:G57)</f>
        <v>16.403036673833022</v>
      </c>
      <c r="H58" s="305"/>
      <c r="I58" s="59">
        <f>SUM(H55:I57)</f>
        <v>7.1010740789842011</v>
      </c>
      <c r="J58" s="305"/>
      <c r="K58" s="59">
        <f>SUM(J55:K57)</f>
        <v>10.03390947966083</v>
      </c>
      <c r="L58" s="305"/>
      <c r="M58" s="59">
        <f>SUM(L55:M57)</f>
        <v>2.5957180401784292</v>
      </c>
      <c r="N58" s="305"/>
      <c r="O58" s="59">
        <f>SUM(N55:O57)</f>
        <v>14.216920550718683</v>
      </c>
      <c r="P58" s="305"/>
      <c r="Q58" s="59">
        <f>SUM(P55:Q57)</f>
        <v>18.895484926618384</v>
      </c>
      <c r="R58" s="305"/>
      <c r="S58" s="59">
        <f>SUM(R55:S57)</f>
        <v>8.0092064970905135</v>
      </c>
      <c r="T58" s="305"/>
      <c r="U58" s="59">
        <f>SUM(T55:U57)</f>
        <v>10.92674103067308</v>
      </c>
      <c r="V58" s="305"/>
      <c r="W58" s="306">
        <f>SUM(V55:W57)</f>
        <v>15.108826977677705</v>
      </c>
      <c r="Y58" s="201"/>
    </row>
    <row r="59" spans="1:25" x14ac:dyDescent="0.2">
      <c r="A59" s="285" t="s">
        <v>403</v>
      </c>
      <c r="B59" s="305"/>
      <c r="C59" s="59"/>
      <c r="D59" s="305"/>
      <c r="E59" s="59"/>
      <c r="F59" s="305"/>
      <c r="G59" s="59"/>
      <c r="H59" s="305"/>
      <c r="I59" s="59"/>
      <c r="J59" s="305"/>
      <c r="K59" s="59"/>
      <c r="L59" s="305"/>
      <c r="M59" s="59"/>
      <c r="N59" s="305"/>
      <c r="O59" s="59"/>
      <c r="P59" s="305"/>
      <c r="Q59" s="59"/>
      <c r="R59" s="305"/>
      <c r="S59" s="59"/>
      <c r="T59" s="305"/>
      <c r="U59" s="59"/>
      <c r="V59" s="305"/>
      <c r="W59" s="306"/>
      <c r="Y59" s="201"/>
    </row>
    <row r="60" spans="1:25" x14ac:dyDescent="0.2">
      <c r="A60" s="285"/>
      <c r="B60" s="291"/>
      <c r="D60" s="291"/>
      <c r="F60" s="291"/>
      <c r="H60" s="291"/>
      <c r="J60" s="291"/>
      <c r="L60" s="291"/>
      <c r="N60" s="291"/>
      <c r="P60" s="291"/>
      <c r="R60" s="291"/>
      <c r="T60" s="291"/>
      <c r="V60" s="291"/>
      <c r="W60" s="283"/>
    </row>
    <row r="61" spans="1:25" x14ac:dyDescent="0.2">
      <c r="A61" s="307" t="s">
        <v>404</v>
      </c>
      <c r="B61" s="271">
        <v>0.08</v>
      </c>
      <c r="C61" s="222">
        <v>0.08</v>
      </c>
      <c r="D61" s="271">
        <v>0.08</v>
      </c>
      <c r="E61" s="222">
        <v>0.08</v>
      </c>
      <c r="F61" s="271">
        <v>0.08</v>
      </c>
      <c r="G61" s="222">
        <v>0.08</v>
      </c>
      <c r="H61" s="271">
        <v>0.08</v>
      </c>
      <c r="I61" s="222">
        <v>0.08</v>
      </c>
      <c r="J61" s="271">
        <v>0.08</v>
      </c>
      <c r="K61" s="222">
        <v>0.08</v>
      </c>
      <c r="L61" s="271">
        <v>0.08</v>
      </c>
      <c r="M61" s="222">
        <v>0.08</v>
      </c>
      <c r="N61" s="271">
        <v>0.08</v>
      </c>
      <c r="O61" s="222">
        <v>0.08</v>
      </c>
      <c r="P61" s="271">
        <v>0.08</v>
      </c>
      <c r="Q61" s="222">
        <v>0.08</v>
      </c>
      <c r="R61" s="271">
        <v>0.08</v>
      </c>
      <c r="S61" s="222">
        <v>0.08</v>
      </c>
      <c r="T61" s="271">
        <v>0.08</v>
      </c>
      <c r="U61" s="222">
        <v>0.08</v>
      </c>
      <c r="V61" s="271">
        <v>0.08</v>
      </c>
      <c r="W61" s="287">
        <v>0.08</v>
      </c>
      <c r="Y61" s="203" t="s">
        <v>405</v>
      </c>
    </row>
    <row r="62" spans="1:25" x14ac:dyDescent="0.2">
      <c r="A62" s="307" t="s">
        <v>406</v>
      </c>
      <c r="B62" s="271">
        <v>0.24</v>
      </c>
      <c r="C62" s="222">
        <v>0.24</v>
      </c>
      <c r="D62" s="271">
        <v>0.24</v>
      </c>
      <c r="E62" s="222">
        <v>0.24</v>
      </c>
      <c r="F62" s="271">
        <v>0.24</v>
      </c>
      <c r="G62" s="222">
        <v>0.24</v>
      </c>
      <c r="H62" s="271">
        <v>0.24</v>
      </c>
      <c r="I62" s="222">
        <v>0.24</v>
      </c>
      <c r="J62" s="271">
        <v>0.24</v>
      </c>
      <c r="K62" s="222">
        <v>0.24</v>
      </c>
      <c r="L62" s="271">
        <v>0.24</v>
      </c>
      <c r="M62" s="222">
        <v>0.24</v>
      </c>
      <c r="N62" s="271">
        <v>0.24</v>
      </c>
      <c r="O62" s="222">
        <v>0.24</v>
      </c>
      <c r="P62" s="271">
        <v>0.24</v>
      </c>
      <c r="Q62" s="222">
        <v>0.24</v>
      </c>
      <c r="R62" s="271">
        <v>0.24</v>
      </c>
      <c r="S62" s="222">
        <v>0.24</v>
      </c>
      <c r="T62" s="271">
        <v>0.24</v>
      </c>
      <c r="U62" s="222">
        <v>0.24</v>
      </c>
      <c r="V62" s="271">
        <v>0.24</v>
      </c>
      <c r="W62" s="287">
        <v>0.24</v>
      </c>
    </row>
    <row r="63" spans="1:25" x14ac:dyDescent="0.2">
      <c r="A63" s="260"/>
      <c r="B63" s="272"/>
      <c r="D63" s="272"/>
      <c r="F63" s="272"/>
      <c r="H63" s="272"/>
      <c r="J63" s="272"/>
      <c r="L63" s="272"/>
      <c r="N63" s="272"/>
      <c r="P63" s="272"/>
      <c r="R63" s="272"/>
      <c r="T63" s="272"/>
      <c r="V63" s="272"/>
      <c r="W63" s="283"/>
    </row>
    <row r="64" spans="1:25" x14ac:dyDescent="0.2">
      <c r="A64" s="308" t="s">
        <v>407</v>
      </c>
      <c r="B64" s="309"/>
      <c r="C64" s="25"/>
      <c r="D64" s="309"/>
      <c r="E64" s="25"/>
      <c r="F64" s="309"/>
      <c r="G64" s="25"/>
      <c r="H64" s="309"/>
      <c r="I64" s="25"/>
      <c r="J64" s="309"/>
      <c r="K64" s="25"/>
      <c r="L64" s="309"/>
      <c r="M64" s="25"/>
      <c r="N64" s="309"/>
      <c r="O64" s="25"/>
      <c r="P64" s="309"/>
      <c r="Q64" s="25"/>
      <c r="R64" s="309"/>
      <c r="S64" s="25"/>
      <c r="T64" s="309"/>
      <c r="U64" s="25"/>
      <c r="V64" s="309"/>
      <c r="W64" s="310"/>
      <c r="X64" s="25"/>
      <c r="Y64" s="311" t="s">
        <v>408</v>
      </c>
    </row>
    <row r="65" spans="1:26" x14ac:dyDescent="0.2">
      <c r="A65" s="260"/>
      <c r="B65" s="272"/>
      <c r="D65" s="272"/>
      <c r="F65" s="272"/>
      <c r="H65" s="272"/>
      <c r="J65" s="272"/>
      <c r="L65" s="272"/>
      <c r="N65" s="272"/>
      <c r="P65" s="272"/>
      <c r="R65" s="272"/>
      <c r="T65" s="272"/>
      <c r="V65" s="272"/>
      <c r="W65" s="283"/>
    </row>
    <row r="66" spans="1:26" x14ac:dyDescent="0.2">
      <c r="A66" s="295" t="s">
        <v>409</v>
      </c>
      <c r="B66" s="289"/>
      <c r="C66" s="197"/>
      <c r="D66" s="289"/>
      <c r="E66" s="197"/>
      <c r="F66" s="289"/>
      <c r="G66" s="197"/>
      <c r="H66" s="289"/>
      <c r="I66" s="197"/>
      <c r="J66" s="289"/>
      <c r="K66" s="197"/>
      <c r="L66" s="289"/>
      <c r="M66" s="197"/>
      <c r="N66" s="289"/>
      <c r="O66" s="197"/>
      <c r="P66" s="289"/>
      <c r="Q66" s="197"/>
      <c r="R66" s="289"/>
      <c r="S66" s="197"/>
      <c r="T66" s="289"/>
      <c r="U66" s="197"/>
      <c r="V66" s="289"/>
      <c r="W66" s="290"/>
    </row>
    <row r="67" spans="1:26" x14ac:dyDescent="0.2">
      <c r="A67" s="285" t="s">
        <v>386</v>
      </c>
      <c r="B67" s="305">
        <f t="shared" ref="B67:W67" si="3">B49-B55</f>
        <v>0.85658010227948478</v>
      </c>
      <c r="C67" s="15">
        <f t="shared" si="3"/>
        <v>5.9742236777516548E-2</v>
      </c>
      <c r="D67" s="305">
        <f t="shared" si="3"/>
        <v>25.099006555969755</v>
      </c>
      <c r="E67" s="15">
        <f t="shared" si="3"/>
        <v>8.0623957111107494</v>
      </c>
      <c r="F67" s="305">
        <f t="shared" si="3"/>
        <v>6.7362149411449002</v>
      </c>
      <c r="G67" s="15">
        <f t="shared" si="3"/>
        <v>2.4304433160762886</v>
      </c>
      <c r="H67" s="305">
        <f t="shared" si="3"/>
        <v>55.525307277556628</v>
      </c>
      <c r="I67" s="15">
        <f t="shared" si="3"/>
        <v>13.593020477254013</v>
      </c>
      <c r="J67" s="305">
        <f t="shared" si="3"/>
        <v>21.530637691435022</v>
      </c>
      <c r="K67" s="15">
        <f t="shared" si="3"/>
        <v>3.4588962576914954</v>
      </c>
      <c r="L67" s="305">
        <f t="shared" si="3"/>
        <v>0</v>
      </c>
      <c r="M67" s="15">
        <f t="shared" si="3"/>
        <v>0</v>
      </c>
      <c r="N67" s="305">
        <f t="shared" si="3"/>
        <v>24.042882997149203</v>
      </c>
      <c r="O67" s="15">
        <f t="shared" si="3"/>
        <v>10.330335273752967</v>
      </c>
      <c r="P67" s="305">
        <f t="shared" si="3"/>
        <v>1.3724398015401944</v>
      </c>
      <c r="Q67" s="15">
        <f t="shared" si="3"/>
        <v>3.3190508923705027</v>
      </c>
      <c r="R67" s="305">
        <f t="shared" si="3"/>
        <v>51.624957485836461</v>
      </c>
      <c r="S67" s="15">
        <f t="shared" si="3"/>
        <v>16.798947284108724</v>
      </c>
      <c r="T67" s="305">
        <f t="shared" si="3"/>
        <v>28.386373959973401</v>
      </c>
      <c r="U67" s="15">
        <f t="shared" si="3"/>
        <v>6.0830277057152307</v>
      </c>
      <c r="V67" s="305">
        <f t="shared" si="3"/>
        <v>4.1133562205428866</v>
      </c>
      <c r="W67" s="298">
        <f t="shared" si="3"/>
        <v>1.594690251238108</v>
      </c>
    </row>
    <row r="68" spans="1:26" x14ac:dyDescent="0.2">
      <c r="A68" s="285" t="s">
        <v>387</v>
      </c>
      <c r="B68" s="305">
        <f t="shared" ref="B68:W68" si="4">B50-B56</f>
        <v>57.799884139590262</v>
      </c>
      <c r="C68" s="15">
        <f t="shared" si="4"/>
        <v>5.0751235938504111</v>
      </c>
      <c r="D68" s="305">
        <f t="shared" si="4"/>
        <v>8.8794411025438347</v>
      </c>
      <c r="E68" s="15">
        <f t="shared" si="4"/>
        <v>0.53708583697294432</v>
      </c>
      <c r="F68" s="305">
        <f t="shared" si="4"/>
        <v>41.93770514963277</v>
      </c>
      <c r="G68" s="15">
        <f t="shared" si="4"/>
        <v>5.349622664544591</v>
      </c>
      <c r="H68" s="305">
        <f t="shared" si="4"/>
        <v>2.9277914105649652</v>
      </c>
      <c r="I68" s="15">
        <f t="shared" si="4"/>
        <v>0.52636016793714591</v>
      </c>
      <c r="J68" s="305">
        <f t="shared" si="4"/>
        <v>12.547497074297004</v>
      </c>
      <c r="K68" s="15">
        <f t="shared" si="4"/>
        <v>0.34021660427638201</v>
      </c>
      <c r="L68" s="305">
        <f t="shared" si="4"/>
        <v>0</v>
      </c>
      <c r="M68" s="15">
        <f t="shared" si="4"/>
        <v>0</v>
      </c>
      <c r="N68" s="305">
        <f t="shared" si="4"/>
        <v>27.498794762844788</v>
      </c>
      <c r="O68" s="15">
        <f t="shared" si="4"/>
        <v>8.0563645586753747</v>
      </c>
      <c r="P68" s="305">
        <f t="shared" si="4"/>
        <v>55.553976314518032</v>
      </c>
      <c r="Q68" s="15">
        <f t="shared" si="4"/>
        <v>2.7418246502191108</v>
      </c>
      <c r="R68" s="305">
        <f t="shared" si="4"/>
        <v>5.6738832584411973</v>
      </c>
      <c r="S68" s="15">
        <f t="shared" si="4"/>
        <v>0.84723890076632224</v>
      </c>
      <c r="T68" s="305">
        <f t="shared" si="4"/>
        <v>22.661462808675147</v>
      </c>
      <c r="U68" s="15">
        <f t="shared" si="4"/>
        <v>0.11629985756028838</v>
      </c>
      <c r="V68" s="305">
        <f t="shared" si="4"/>
        <v>42.166869082087061</v>
      </c>
      <c r="W68" s="298">
        <f t="shared" si="4"/>
        <v>2.9151742965830998</v>
      </c>
    </row>
    <row r="69" spans="1:26" x14ac:dyDescent="0.2">
      <c r="A69" s="285" t="s">
        <v>388</v>
      </c>
      <c r="B69" s="305">
        <f t="shared" ref="B69:W69" si="5">B51-B57</f>
        <v>9.8773874276375491</v>
      </c>
      <c r="C69" s="15">
        <f t="shared" si="5"/>
        <v>7.7732861861260076</v>
      </c>
      <c r="D69" s="305">
        <f t="shared" si="5"/>
        <v>1.8894188726845287</v>
      </c>
      <c r="E69" s="15">
        <f t="shared" si="5"/>
        <v>2.1597837659754098</v>
      </c>
      <c r="F69" s="305">
        <f t="shared" si="5"/>
        <v>3.3307798111626492</v>
      </c>
      <c r="G69" s="15">
        <f t="shared" si="5"/>
        <v>4.4098195134202474</v>
      </c>
      <c r="H69" s="305">
        <f t="shared" si="5"/>
        <v>0</v>
      </c>
      <c r="I69" s="15">
        <f t="shared" si="5"/>
        <v>0</v>
      </c>
      <c r="J69" s="305">
        <f t="shared" si="5"/>
        <v>31.815469019551983</v>
      </c>
      <c r="K69" s="15">
        <f t="shared" si="5"/>
        <v>11.782206372601904</v>
      </c>
      <c r="L69" s="305">
        <f t="shared" si="5"/>
        <v>18.826811223546731</v>
      </c>
      <c r="M69" s="15">
        <f t="shared" si="5"/>
        <v>11.023946238505204</v>
      </c>
      <c r="N69" s="305">
        <f t="shared" si="5"/>
        <v>0</v>
      </c>
      <c r="O69" s="15">
        <f t="shared" si="5"/>
        <v>0</v>
      </c>
      <c r="P69" s="305">
        <f t="shared" si="5"/>
        <v>0.90078245868159068</v>
      </c>
      <c r="Q69" s="15">
        <f t="shared" si="5"/>
        <v>0</v>
      </c>
      <c r="R69" s="305">
        <f t="shared" si="5"/>
        <v>0</v>
      </c>
      <c r="S69" s="15">
        <f t="shared" si="5"/>
        <v>0</v>
      </c>
      <c r="T69" s="305">
        <f t="shared" si="5"/>
        <v>6.7390127865306724</v>
      </c>
      <c r="U69" s="15">
        <f t="shared" si="5"/>
        <v>1.7298640336661326</v>
      </c>
      <c r="V69" s="305">
        <f t="shared" si="5"/>
        <v>0.81786030116057351</v>
      </c>
      <c r="W69" s="298">
        <f t="shared" si="5"/>
        <v>3.5066038320235906</v>
      </c>
    </row>
    <row r="70" spans="1:26" x14ac:dyDescent="0.2">
      <c r="A70" s="260"/>
      <c r="B70" s="272"/>
      <c r="D70" s="272"/>
      <c r="F70" s="272"/>
      <c r="H70" s="272"/>
      <c r="J70" s="272"/>
      <c r="L70" s="272"/>
      <c r="N70" s="272"/>
      <c r="P70" s="272"/>
      <c r="R70" s="272"/>
      <c r="T70" s="272"/>
      <c r="V70" s="272"/>
      <c r="W70" s="283"/>
    </row>
    <row r="71" spans="1:26" x14ac:dyDescent="0.2">
      <c r="A71" s="295" t="s">
        <v>410</v>
      </c>
      <c r="B71" s="312"/>
      <c r="C71" s="197"/>
      <c r="D71" s="312"/>
      <c r="E71" s="197"/>
      <c r="F71" s="312"/>
      <c r="G71" s="197"/>
      <c r="H71" s="312"/>
      <c r="I71" s="197"/>
      <c r="J71" s="312"/>
      <c r="K71" s="197"/>
      <c r="L71" s="312"/>
      <c r="M71" s="197"/>
      <c r="N71" s="312"/>
      <c r="O71" s="197"/>
      <c r="P71" s="312"/>
      <c r="Q71" s="197"/>
      <c r="R71" s="312"/>
      <c r="S71" s="197"/>
      <c r="T71" s="312"/>
      <c r="U71" s="197"/>
      <c r="V71" s="312"/>
      <c r="W71" s="290"/>
      <c r="Y71" s="20" t="s">
        <v>411</v>
      </c>
    </row>
    <row r="72" spans="1:26" x14ac:dyDescent="0.2">
      <c r="A72" s="285" t="s">
        <v>386</v>
      </c>
      <c r="B72" s="313">
        <f t="shared" ref="B72:W72" si="6">B67</f>
        <v>0.85658010227948478</v>
      </c>
      <c r="C72" s="54">
        <f t="shared" si="6"/>
        <v>5.9742236777516548E-2</v>
      </c>
      <c r="D72" s="313">
        <f t="shared" si="6"/>
        <v>25.099006555969755</v>
      </c>
      <c r="E72" s="54">
        <f t="shared" si="6"/>
        <v>8.0623957111107494</v>
      </c>
      <c r="F72" s="313">
        <f t="shared" si="6"/>
        <v>6.7362149411449002</v>
      </c>
      <c r="G72" s="54">
        <f t="shared" si="6"/>
        <v>2.4304433160762886</v>
      </c>
      <c r="H72" s="313">
        <f t="shared" si="6"/>
        <v>55.525307277556628</v>
      </c>
      <c r="I72" s="54">
        <f t="shared" si="6"/>
        <v>13.593020477254013</v>
      </c>
      <c r="J72" s="313">
        <f t="shared" si="6"/>
        <v>21.530637691435022</v>
      </c>
      <c r="K72" s="54">
        <f t="shared" si="6"/>
        <v>3.4588962576914954</v>
      </c>
      <c r="L72" s="313">
        <f t="shared" si="6"/>
        <v>0</v>
      </c>
      <c r="M72" s="54">
        <f t="shared" si="6"/>
        <v>0</v>
      </c>
      <c r="N72" s="313">
        <f t="shared" si="6"/>
        <v>24.042882997149203</v>
      </c>
      <c r="O72" s="54">
        <f t="shared" si="6"/>
        <v>10.330335273752967</v>
      </c>
      <c r="P72" s="313">
        <f t="shared" si="6"/>
        <v>1.3724398015401944</v>
      </c>
      <c r="Q72" s="54">
        <f t="shared" si="6"/>
        <v>3.3190508923705027</v>
      </c>
      <c r="R72" s="313">
        <f t="shared" si="6"/>
        <v>51.624957485836461</v>
      </c>
      <c r="S72" s="54">
        <f t="shared" si="6"/>
        <v>16.798947284108724</v>
      </c>
      <c r="T72" s="313">
        <f t="shared" si="6"/>
        <v>28.386373959973401</v>
      </c>
      <c r="U72" s="54">
        <f t="shared" si="6"/>
        <v>6.0830277057152307</v>
      </c>
      <c r="V72" s="313">
        <f t="shared" si="6"/>
        <v>4.1133562205428866</v>
      </c>
      <c r="W72" s="304">
        <f t="shared" si="6"/>
        <v>1.594690251238108</v>
      </c>
    </row>
    <row r="73" spans="1:26" x14ac:dyDescent="0.2">
      <c r="A73" s="285" t="s">
        <v>387</v>
      </c>
      <c r="B73" s="305">
        <f t="shared" ref="B73:W73" si="7">B68+((B44-B50)*B76)</f>
        <v>62.87004941499292</v>
      </c>
      <c r="C73" s="15">
        <f t="shared" si="7"/>
        <v>5.5203098740127281</v>
      </c>
      <c r="D73" s="305">
        <f t="shared" si="7"/>
        <v>9.6583394448722419</v>
      </c>
      <c r="E73" s="15">
        <f t="shared" si="7"/>
        <v>0.58419862968986924</v>
      </c>
      <c r="F73" s="305">
        <f t="shared" si="7"/>
        <v>45.616451215390029</v>
      </c>
      <c r="G73" s="15">
        <f t="shared" si="7"/>
        <v>5.8188878105572748</v>
      </c>
      <c r="H73" s="305">
        <f t="shared" si="7"/>
        <v>3.1846152185092604</v>
      </c>
      <c r="I73" s="15">
        <f t="shared" si="7"/>
        <v>0.57253211249303593</v>
      </c>
      <c r="J73" s="305">
        <f t="shared" si="7"/>
        <v>13.648154712393232</v>
      </c>
      <c r="K73" s="15">
        <f t="shared" si="7"/>
        <v>0.37006016605501202</v>
      </c>
      <c r="L73" s="305">
        <f t="shared" si="7"/>
        <v>0</v>
      </c>
      <c r="M73" s="15">
        <f t="shared" si="7"/>
        <v>0</v>
      </c>
      <c r="N73" s="305">
        <f t="shared" si="7"/>
        <v>29.910969742041701</v>
      </c>
      <c r="O73" s="15">
        <f t="shared" si="7"/>
        <v>8.7630632041732142</v>
      </c>
      <c r="P73" s="305">
        <f t="shared" si="7"/>
        <v>60.427132131581018</v>
      </c>
      <c r="Q73" s="15">
        <f t="shared" si="7"/>
        <v>2.9823355844488573</v>
      </c>
      <c r="R73" s="305">
        <f t="shared" si="7"/>
        <v>6.171592316199197</v>
      </c>
      <c r="S73" s="15">
        <f t="shared" si="7"/>
        <v>0.92155810258792947</v>
      </c>
      <c r="T73" s="305">
        <f t="shared" si="7"/>
        <v>24.649310423471213</v>
      </c>
      <c r="U73" s="15">
        <f t="shared" si="7"/>
        <v>0.12650159945154174</v>
      </c>
      <c r="V73" s="305">
        <f t="shared" si="7"/>
        <v>45.865717247182417</v>
      </c>
      <c r="W73" s="298">
        <f t="shared" si="7"/>
        <v>3.170891340143021</v>
      </c>
    </row>
    <row r="74" spans="1:26" x14ac:dyDescent="0.2">
      <c r="A74" s="285" t="s">
        <v>390</v>
      </c>
      <c r="B74" s="305">
        <f t="shared" ref="B74:W74" si="8">B69</f>
        <v>9.8773874276375491</v>
      </c>
      <c r="C74" s="15">
        <f t="shared" si="8"/>
        <v>7.7732861861260076</v>
      </c>
      <c r="D74" s="305">
        <f t="shared" si="8"/>
        <v>1.8894188726845287</v>
      </c>
      <c r="E74" s="15">
        <f t="shared" si="8"/>
        <v>2.1597837659754098</v>
      </c>
      <c r="F74" s="305">
        <f t="shared" si="8"/>
        <v>3.3307798111626492</v>
      </c>
      <c r="G74" s="15">
        <f t="shared" si="8"/>
        <v>4.4098195134202474</v>
      </c>
      <c r="H74" s="305">
        <f t="shared" si="8"/>
        <v>0</v>
      </c>
      <c r="I74" s="15">
        <f t="shared" si="8"/>
        <v>0</v>
      </c>
      <c r="J74" s="305">
        <f t="shared" si="8"/>
        <v>31.815469019551983</v>
      </c>
      <c r="K74" s="15">
        <f t="shared" si="8"/>
        <v>11.782206372601904</v>
      </c>
      <c r="L74" s="305">
        <f t="shared" si="8"/>
        <v>18.826811223546731</v>
      </c>
      <c r="M74" s="15">
        <f t="shared" si="8"/>
        <v>11.023946238505204</v>
      </c>
      <c r="N74" s="305">
        <f t="shared" si="8"/>
        <v>0</v>
      </c>
      <c r="O74" s="15">
        <f t="shared" si="8"/>
        <v>0</v>
      </c>
      <c r="P74" s="305">
        <f t="shared" si="8"/>
        <v>0.90078245868159068</v>
      </c>
      <c r="Q74" s="15">
        <f t="shared" si="8"/>
        <v>0</v>
      </c>
      <c r="R74" s="305">
        <f t="shared" si="8"/>
        <v>0</v>
      </c>
      <c r="S74" s="15">
        <f t="shared" si="8"/>
        <v>0</v>
      </c>
      <c r="T74" s="305">
        <f t="shared" si="8"/>
        <v>6.7390127865306724</v>
      </c>
      <c r="U74" s="15">
        <f t="shared" si="8"/>
        <v>1.7298640336661326</v>
      </c>
      <c r="V74" s="305">
        <f t="shared" si="8"/>
        <v>0.81786030116057351</v>
      </c>
      <c r="W74" s="298">
        <f t="shared" si="8"/>
        <v>3.5066038320235906</v>
      </c>
    </row>
    <row r="75" spans="1:26" x14ac:dyDescent="0.2">
      <c r="A75" s="260"/>
      <c r="B75" s="272"/>
      <c r="D75" s="272"/>
      <c r="F75" s="272"/>
      <c r="H75" s="272"/>
      <c r="J75" s="272"/>
      <c r="L75" s="272"/>
      <c r="N75" s="272"/>
      <c r="P75" s="272"/>
      <c r="R75" s="272"/>
      <c r="T75" s="272"/>
      <c r="V75" s="272"/>
      <c r="W75" s="283"/>
    </row>
    <row r="76" spans="1:26" x14ac:dyDescent="0.2">
      <c r="A76" s="285" t="s">
        <v>412</v>
      </c>
      <c r="B76" s="314">
        <v>0.1</v>
      </c>
      <c r="C76" s="216">
        <v>0.1</v>
      </c>
      <c r="D76" s="314">
        <v>0.1</v>
      </c>
      <c r="E76" s="216">
        <v>0.1</v>
      </c>
      <c r="F76" s="314">
        <v>0.1</v>
      </c>
      <c r="G76" s="216">
        <v>0.1</v>
      </c>
      <c r="H76" s="314">
        <v>0.1</v>
      </c>
      <c r="I76" s="216">
        <v>0.1</v>
      </c>
      <c r="J76" s="314">
        <v>0.1</v>
      </c>
      <c r="K76" s="216">
        <v>0.1</v>
      </c>
      <c r="L76" s="314">
        <v>0.1</v>
      </c>
      <c r="M76" s="216">
        <v>0.1</v>
      </c>
      <c r="N76" s="314">
        <v>0.1</v>
      </c>
      <c r="O76" s="216">
        <v>0.1</v>
      </c>
      <c r="P76" s="314">
        <v>0.1</v>
      </c>
      <c r="Q76" s="216">
        <v>0.1</v>
      </c>
      <c r="R76" s="314">
        <v>0.1</v>
      </c>
      <c r="S76" s="216">
        <v>0.1</v>
      </c>
      <c r="T76" s="314">
        <v>0.1</v>
      </c>
      <c r="U76" s="216">
        <v>0.1</v>
      </c>
      <c r="V76" s="314">
        <v>0.1</v>
      </c>
      <c r="W76" s="286">
        <v>0.1</v>
      </c>
      <c r="X76" s="216"/>
      <c r="Y76" s="203" t="s">
        <v>413</v>
      </c>
    </row>
    <row r="77" spans="1:26" x14ac:dyDescent="0.2">
      <c r="A77" s="260"/>
      <c r="B77" s="272"/>
      <c r="D77" s="272"/>
      <c r="F77" s="272"/>
      <c r="H77" s="272"/>
      <c r="J77" s="272"/>
      <c r="L77" s="272"/>
      <c r="N77" s="272"/>
      <c r="P77" s="272"/>
      <c r="R77" s="272"/>
      <c r="T77" s="272"/>
      <c r="V77" s="272"/>
      <c r="W77" s="283"/>
    </row>
    <row r="78" spans="1:26" x14ac:dyDescent="0.2">
      <c r="A78" s="315" t="s">
        <v>414</v>
      </c>
      <c r="B78" s="289"/>
      <c r="C78" s="197"/>
      <c r="D78" s="289"/>
      <c r="E78" s="197"/>
      <c r="F78" s="289"/>
      <c r="G78" s="197"/>
      <c r="H78" s="289"/>
      <c r="I78" s="197"/>
      <c r="J78" s="289"/>
      <c r="K78" s="197"/>
      <c r="L78" s="289"/>
      <c r="M78" s="197"/>
      <c r="N78" s="289"/>
      <c r="O78" s="197"/>
      <c r="P78" s="289"/>
      <c r="Q78" s="197"/>
      <c r="R78" s="289"/>
      <c r="S78" s="197"/>
      <c r="T78" s="289"/>
      <c r="U78" s="197"/>
      <c r="V78" s="289"/>
      <c r="W78" s="290"/>
      <c r="Y78" s="20" t="s">
        <v>415</v>
      </c>
      <c r="Z78" s="201" t="s">
        <v>416</v>
      </c>
    </row>
    <row r="79" spans="1:26" x14ac:dyDescent="0.2">
      <c r="A79" s="285" t="s">
        <v>386</v>
      </c>
      <c r="B79" s="316">
        <f t="shared" ref="B79:W79" si="9">B72*B85</f>
        <v>0.27410563272943511</v>
      </c>
      <c r="C79" s="13">
        <f t="shared" si="9"/>
        <v>1.9117515768805295E-2</v>
      </c>
      <c r="D79" s="316">
        <f t="shared" si="9"/>
        <v>8.0316820979103216</v>
      </c>
      <c r="E79" s="13">
        <f t="shared" si="9"/>
        <v>2.5799666275554398</v>
      </c>
      <c r="F79" s="316">
        <f t="shared" si="9"/>
        <v>2.1555887811663683</v>
      </c>
      <c r="G79" s="13">
        <f t="shared" si="9"/>
        <v>0.77774186114441235</v>
      </c>
      <c r="H79" s="316">
        <f t="shared" si="9"/>
        <v>17.768098328818123</v>
      </c>
      <c r="I79" s="13">
        <f t="shared" si="9"/>
        <v>4.3497665527212845</v>
      </c>
      <c r="J79" s="316">
        <f t="shared" si="9"/>
        <v>6.8898040612592073</v>
      </c>
      <c r="K79" s="13">
        <f t="shared" si="9"/>
        <v>1.1068468024612785</v>
      </c>
      <c r="L79" s="316">
        <f t="shared" si="9"/>
        <v>0</v>
      </c>
      <c r="M79" s="13">
        <f t="shared" si="9"/>
        <v>0</v>
      </c>
      <c r="N79" s="316">
        <f t="shared" si="9"/>
        <v>7.6937225590877452</v>
      </c>
      <c r="O79" s="13">
        <f t="shared" si="9"/>
        <v>3.3057072876009492</v>
      </c>
      <c r="P79" s="316">
        <f t="shared" si="9"/>
        <v>0.43918073649286221</v>
      </c>
      <c r="Q79" s="13">
        <f t="shared" si="9"/>
        <v>1.0620962855585609</v>
      </c>
      <c r="R79" s="316">
        <f t="shared" si="9"/>
        <v>16.519986395467669</v>
      </c>
      <c r="S79" s="13">
        <f t="shared" si="9"/>
        <v>5.3756631309147922</v>
      </c>
      <c r="T79" s="316">
        <f t="shared" si="9"/>
        <v>9.0836396671914894</v>
      </c>
      <c r="U79" s="13">
        <f t="shared" si="9"/>
        <v>1.9465688658288738</v>
      </c>
      <c r="V79" s="316">
        <f t="shared" si="9"/>
        <v>1.3162739905737237</v>
      </c>
      <c r="W79" s="317">
        <f t="shared" si="9"/>
        <v>0.51030088039619459</v>
      </c>
    </row>
    <row r="80" spans="1:26" x14ac:dyDescent="0.2">
      <c r="A80" s="285" t="s">
        <v>387</v>
      </c>
      <c r="B80" s="316">
        <f t="shared" ref="B80:W80" si="10">B73*B86</f>
        <v>15.71751235374823</v>
      </c>
      <c r="C80" s="13">
        <f t="shared" si="10"/>
        <v>1.380077468503182</v>
      </c>
      <c r="D80" s="316">
        <f t="shared" si="10"/>
        <v>2.4145848612180605</v>
      </c>
      <c r="E80" s="13">
        <f t="shared" si="10"/>
        <v>0.14604965742246731</v>
      </c>
      <c r="F80" s="316">
        <f t="shared" si="10"/>
        <v>11.404112803847507</v>
      </c>
      <c r="G80" s="13">
        <f t="shared" si="10"/>
        <v>1.4547219526393187</v>
      </c>
      <c r="H80" s="316">
        <f t="shared" si="10"/>
        <v>0.79615380462731511</v>
      </c>
      <c r="I80" s="13">
        <f t="shared" si="10"/>
        <v>0.14313302812325898</v>
      </c>
      <c r="J80" s="316">
        <f t="shared" si="10"/>
        <v>3.4120386780983081</v>
      </c>
      <c r="K80" s="13">
        <f t="shared" si="10"/>
        <v>9.2515041513753005E-2</v>
      </c>
      <c r="L80" s="316">
        <f t="shared" si="10"/>
        <v>0</v>
      </c>
      <c r="M80" s="13">
        <f t="shared" si="10"/>
        <v>0</v>
      </c>
      <c r="N80" s="316">
        <f t="shared" si="10"/>
        <v>7.4777424355104252</v>
      </c>
      <c r="O80" s="13">
        <f t="shared" si="10"/>
        <v>2.1907658010433035</v>
      </c>
      <c r="P80" s="316">
        <f t="shared" si="10"/>
        <v>15.106783032895255</v>
      </c>
      <c r="Q80" s="13">
        <f t="shared" si="10"/>
        <v>0.74558389611221432</v>
      </c>
      <c r="R80" s="316">
        <f t="shared" si="10"/>
        <v>1.5428980790497993</v>
      </c>
      <c r="S80" s="13">
        <f t="shared" si="10"/>
        <v>0.23038952564698237</v>
      </c>
      <c r="T80" s="316">
        <f t="shared" si="10"/>
        <v>6.1623276058678034</v>
      </c>
      <c r="U80" s="13">
        <f t="shared" si="10"/>
        <v>3.1625399862885435E-2</v>
      </c>
      <c r="V80" s="316">
        <f t="shared" si="10"/>
        <v>11.466429311795604</v>
      </c>
      <c r="W80" s="317">
        <f t="shared" si="10"/>
        <v>0.79272283503575525</v>
      </c>
    </row>
    <row r="81" spans="1:31" x14ac:dyDescent="0.2">
      <c r="A81" s="285" t="s">
        <v>388</v>
      </c>
      <c r="B81" s="316">
        <f t="shared" ref="B81:W81" si="11">B74*B85</f>
        <v>3.1607639768440157</v>
      </c>
      <c r="C81" s="13">
        <f t="shared" si="11"/>
        <v>2.4874515795603225</v>
      </c>
      <c r="D81" s="316">
        <f t="shared" si="11"/>
        <v>0.60461403925904922</v>
      </c>
      <c r="E81" s="13">
        <f t="shared" si="11"/>
        <v>0.6911308051121311</v>
      </c>
      <c r="F81" s="316">
        <f t="shared" si="11"/>
        <v>1.0658495395720478</v>
      </c>
      <c r="G81" s="13">
        <f t="shared" si="11"/>
        <v>1.4111422442944792</v>
      </c>
      <c r="H81" s="316">
        <f t="shared" si="11"/>
        <v>0</v>
      </c>
      <c r="I81" s="13">
        <f t="shared" si="11"/>
        <v>0</v>
      </c>
      <c r="J81" s="316">
        <f t="shared" si="11"/>
        <v>10.180950086256635</v>
      </c>
      <c r="K81" s="13">
        <f t="shared" si="11"/>
        <v>3.7703060392326093</v>
      </c>
      <c r="L81" s="316">
        <f t="shared" si="11"/>
        <v>6.0245795915349536</v>
      </c>
      <c r="M81" s="13">
        <f t="shared" si="11"/>
        <v>3.5276627963216654</v>
      </c>
      <c r="N81" s="316">
        <f t="shared" si="11"/>
        <v>0</v>
      </c>
      <c r="O81" s="13">
        <f t="shared" si="11"/>
        <v>0</v>
      </c>
      <c r="P81" s="316">
        <f t="shared" si="11"/>
        <v>0.28825038677810905</v>
      </c>
      <c r="Q81" s="13">
        <f t="shared" si="11"/>
        <v>0</v>
      </c>
      <c r="R81" s="316">
        <f t="shared" si="11"/>
        <v>0</v>
      </c>
      <c r="S81" s="13">
        <f t="shared" si="11"/>
        <v>0</v>
      </c>
      <c r="T81" s="316">
        <f t="shared" si="11"/>
        <v>2.1564840916898151</v>
      </c>
      <c r="U81" s="13">
        <f t="shared" si="11"/>
        <v>0.55355649077316249</v>
      </c>
      <c r="V81" s="316">
        <f t="shared" si="11"/>
        <v>0.26171529637138352</v>
      </c>
      <c r="W81" s="317">
        <f t="shared" si="11"/>
        <v>1.1221132262475491</v>
      </c>
      <c r="Y81" s="201" t="s">
        <v>402</v>
      </c>
    </row>
    <row r="82" spans="1:31" x14ac:dyDescent="0.2">
      <c r="A82" s="285" t="s">
        <v>391</v>
      </c>
      <c r="B82" s="318"/>
      <c r="C82" s="130">
        <f>SUM(B79:C81)</f>
        <v>23.039028527153988</v>
      </c>
      <c r="D82" s="318"/>
      <c r="E82" s="130">
        <f>SUM(D79:E81)</f>
        <v>14.468028088477469</v>
      </c>
      <c r="F82" s="318"/>
      <c r="G82" s="130">
        <f>SUM(F79:G81)</f>
        <v>18.269157182664134</v>
      </c>
      <c r="H82" s="318"/>
      <c r="I82" s="130">
        <f>SUM(H79:I81)</f>
        <v>23.057151714289983</v>
      </c>
      <c r="J82" s="318"/>
      <c r="K82" s="130">
        <f>SUM(J79:K81)</f>
        <v>25.452460708821789</v>
      </c>
      <c r="L82" s="318"/>
      <c r="M82" s="130">
        <f>SUM(L79:M81)</f>
        <v>9.5522423878566194</v>
      </c>
      <c r="N82" s="318"/>
      <c r="O82" s="130">
        <f>SUM(N79:O81)</f>
        <v>20.667938083242426</v>
      </c>
      <c r="P82" s="318"/>
      <c r="Q82" s="130">
        <f>SUM(P79:Q81)</f>
        <v>17.641894337837002</v>
      </c>
      <c r="R82" s="318"/>
      <c r="S82" s="130">
        <f>SUM(R79:S81)</f>
        <v>23.66893713107924</v>
      </c>
      <c r="T82" s="318"/>
      <c r="U82" s="130">
        <f>SUM(T79:U81)</f>
        <v>19.934202121214028</v>
      </c>
      <c r="V82" s="318"/>
      <c r="W82" s="294">
        <f>SUM(V79:W81)</f>
        <v>15.46955554042021</v>
      </c>
    </row>
    <row r="83" spans="1:31" x14ac:dyDescent="0.2">
      <c r="A83" s="285"/>
      <c r="B83" s="318"/>
      <c r="C83" s="130"/>
      <c r="D83" s="318"/>
      <c r="E83" s="130"/>
      <c r="F83" s="318"/>
      <c r="G83" s="130"/>
      <c r="H83" s="318"/>
      <c r="I83" s="130"/>
      <c r="J83" s="318"/>
      <c r="K83" s="130"/>
      <c r="L83" s="318"/>
      <c r="M83" s="130"/>
      <c r="N83" s="318"/>
      <c r="O83" s="130"/>
      <c r="P83" s="318"/>
      <c r="Q83" s="130"/>
      <c r="R83" s="318"/>
      <c r="S83" s="130"/>
      <c r="T83" s="318"/>
      <c r="U83" s="130"/>
      <c r="V83" s="318"/>
      <c r="W83" s="294"/>
      <c r="Y83" s="201"/>
    </row>
    <row r="84" spans="1:31" x14ac:dyDescent="0.2">
      <c r="A84" s="260"/>
      <c r="B84" s="272"/>
      <c r="D84" s="272"/>
      <c r="F84" s="272"/>
      <c r="H84" s="272"/>
      <c r="J84" s="272"/>
      <c r="L84" s="272"/>
      <c r="N84" s="272"/>
      <c r="P84" s="272"/>
      <c r="R84" s="272"/>
      <c r="T84" s="272"/>
      <c r="V84" s="272"/>
      <c r="W84" s="283"/>
    </row>
    <row r="85" spans="1:31" x14ac:dyDescent="0.2">
      <c r="A85" s="307" t="s">
        <v>417</v>
      </c>
      <c r="B85" s="271">
        <v>0.32</v>
      </c>
      <c r="C85" s="222">
        <v>0.32</v>
      </c>
      <c r="D85" s="271">
        <v>0.32</v>
      </c>
      <c r="E85" s="222">
        <v>0.32</v>
      </c>
      <c r="F85" s="271">
        <v>0.32</v>
      </c>
      <c r="G85" s="222">
        <v>0.32</v>
      </c>
      <c r="H85" s="271">
        <v>0.32</v>
      </c>
      <c r="I85" s="222">
        <v>0.32</v>
      </c>
      <c r="J85" s="271">
        <v>0.32</v>
      </c>
      <c r="K85" s="222">
        <v>0.32</v>
      </c>
      <c r="L85" s="271">
        <v>0.32</v>
      </c>
      <c r="M85" s="222">
        <v>0.32</v>
      </c>
      <c r="N85" s="271">
        <v>0.32</v>
      </c>
      <c r="O85" s="222">
        <v>0.32</v>
      </c>
      <c r="P85" s="271">
        <v>0.32</v>
      </c>
      <c r="Q85" s="222">
        <v>0.32</v>
      </c>
      <c r="R85" s="271">
        <v>0.32</v>
      </c>
      <c r="S85" s="222">
        <v>0.32</v>
      </c>
      <c r="T85" s="271">
        <v>0.32</v>
      </c>
      <c r="U85" s="222">
        <v>0.32</v>
      </c>
      <c r="V85" s="271">
        <v>0.32</v>
      </c>
      <c r="W85" s="287">
        <v>0.32</v>
      </c>
      <c r="Y85" s="203" t="s">
        <v>397</v>
      </c>
    </row>
    <row r="86" spans="1:31" x14ac:dyDescent="0.2">
      <c r="A86" s="307" t="s">
        <v>418</v>
      </c>
      <c r="B86" s="271">
        <v>0.25</v>
      </c>
      <c r="C86" s="222">
        <v>0.25</v>
      </c>
      <c r="D86" s="271">
        <v>0.25</v>
      </c>
      <c r="E86" s="222">
        <v>0.25</v>
      </c>
      <c r="F86" s="271">
        <v>0.25</v>
      </c>
      <c r="G86" s="222">
        <v>0.25</v>
      </c>
      <c r="H86" s="271">
        <v>0.25</v>
      </c>
      <c r="I86" s="222">
        <v>0.25</v>
      </c>
      <c r="J86" s="271">
        <v>0.25</v>
      </c>
      <c r="K86" s="222">
        <v>0.25</v>
      </c>
      <c r="L86" s="271">
        <v>0.25</v>
      </c>
      <c r="M86" s="222">
        <v>0.25</v>
      </c>
      <c r="N86" s="271">
        <v>0.25</v>
      </c>
      <c r="O86" s="222">
        <v>0.25</v>
      </c>
      <c r="P86" s="271">
        <v>0.25</v>
      </c>
      <c r="Q86" s="222">
        <v>0.25</v>
      </c>
      <c r="R86" s="271">
        <v>0.25</v>
      </c>
      <c r="S86" s="222">
        <v>0.25</v>
      </c>
      <c r="T86" s="271">
        <v>0.25</v>
      </c>
      <c r="U86" s="222">
        <v>0.25</v>
      </c>
      <c r="V86" s="271">
        <v>0.25</v>
      </c>
      <c r="W86" s="287">
        <v>0.25</v>
      </c>
      <c r="Y86" s="203" t="s">
        <v>397</v>
      </c>
    </row>
    <row r="87" spans="1:31" x14ac:dyDescent="0.2">
      <c r="A87" s="260"/>
      <c r="B87" s="272"/>
      <c r="D87" s="272"/>
      <c r="F87" s="272"/>
      <c r="H87" s="272"/>
      <c r="J87" s="272"/>
      <c r="L87" s="272"/>
      <c r="N87" s="272"/>
      <c r="P87" s="272"/>
      <c r="R87" s="272"/>
      <c r="T87" s="272"/>
      <c r="V87" s="272"/>
      <c r="W87" s="283"/>
    </row>
    <row r="88" spans="1:31" x14ac:dyDescent="0.2">
      <c r="A88" s="315" t="s">
        <v>419</v>
      </c>
      <c r="B88" s="289"/>
      <c r="C88" s="197"/>
      <c r="D88" s="289"/>
      <c r="E88" s="197"/>
      <c r="F88" s="289"/>
      <c r="G88" s="197"/>
      <c r="H88" s="289"/>
      <c r="I88" s="197"/>
      <c r="J88" s="289"/>
      <c r="K88" s="197"/>
      <c r="L88" s="289"/>
      <c r="M88" s="197"/>
      <c r="N88" s="289"/>
      <c r="O88" s="197"/>
      <c r="P88" s="289"/>
      <c r="Q88" s="197"/>
      <c r="R88" s="289"/>
      <c r="S88" s="197"/>
      <c r="T88" s="289"/>
      <c r="U88" s="197"/>
      <c r="V88" s="289"/>
      <c r="W88" s="290"/>
    </row>
    <row r="89" spans="1:31" x14ac:dyDescent="0.2">
      <c r="A89" s="285" t="s">
        <v>386</v>
      </c>
      <c r="B89" s="293">
        <f t="shared" ref="B89:W89" si="12">B72*B95</f>
        <v>1.7131602045589694E-2</v>
      </c>
      <c r="C89" s="15">
        <f t="shared" si="12"/>
        <v>1.194844735550331E-3</v>
      </c>
      <c r="D89" s="293">
        <f t="shared" si="12"/>
        <v>0.5019801311193951</v>
      </c>
      <c r="E89" s="15">
        <f t="shared" si="12"/>
        <v>0.16124791422221499</v>
      </c>
      <c r="F89" s="293">
        <f t="shared" si="12"/>
        <v>0.13472429882289802</v>
      </c>
      <c r="G89" s="15">
        <f t="shared" si="12"/>
        <v>4.8608866321525772E-2</v>
      </c>
      <c r="H89" s="293">
        <f t="shared" si="12"/>
        <v>1.1105061455511327</v>
      </c>
      <c r="I89" s="15">
        <f t="shared" si="12"/>
        <v>0.27186040954508028</v>
      </c>
      <c r="J89" s="293">
        <f t="shared" si="12"/>
        <v>0.43061275382870046</v>
      </c>
      <c r="K89" s="15">
        <f t="shared" si="12"/>
        <v>6.9177925153829908E-2</v>
      </c>
      <c r="L89" s="293">
        <f t="shared" si="12"/>
        <v>0</v>
      </c>
      <c r="M89" s="15">
        <f t="shared" si="12"/>
        <v>0</v>
      </c>
      <c r="N89" s="293">
        <f t="shared" si="12"/>
        <v>0.48085765994298407</v>
      </c>
      <c r="O89" s="15">
        <f t="shared" si="12"/>
        <v>0.20660670547505933</v>
      </c>
      <c r="P89" s="293">
        <f t="shared" si="12"/>
        <v>2.7448796030803888E-2</v>
      </c>
      <c r="Q89" s="15">
        <f t="shared" si="12"/>
        <v>6.6381017847410059E-2</v>
      </c>
      <c r="R89" s="293">
        <f t="shared" si="12"/>
        <v>1.0324991497167293</v>
      </c>
      <c r="S89" s="15">
        <f t="shared" si="12"/>
        <v>0.33597894568217451</v>
      </c>
      <c r="T89" s="293">
        <f t="shared" si="12"/>
        <v>0.56772747919946809</v>
      </c>
      <c r="U89" s="15">
        <f t="shared" si="12"/>
        <v>0.12166055411430461</v>
      </c>
      <c r="V89" s="293">
        <f t="shared" si="12"/>
        <v>8.2267124410857734E-2</v>
      </c>
      <c r="W89" s="298">
        <f t="shared" si="12"/>
        <v>3.1893805024762162E-2</v>
      </c>
    </row>
    <row r="90" spans="1:31" x14ac:dyDescent="0.2">
      <c r="A90" s="285" t="s">
        <v>387</v>
      </c>
      <c r="B90" s="293">
        <f t="shared" ref="B90:W90" si="13">B73*B96</f>
        <v>0.62870049414992923</v>
      </c>
      <c r="C90" s="15">
        <f t="shared" si="13"/>
        <v>5.5203098740127285E-2</v>
      </c>
      <c r="D90" s="293">
        <f t="shared" si="13"/>
        <v>9.6583394448722423E-2</v>
      </c>
      <c r="E90" s="15">
        <f t="shared" si="13"/>
        <v>5.8419862968986927E-3</v>
      </c>
      <c r="F90" s="293">
        <f t="shared" si="13"/>
        <v>0.4561645121539003</v>
      </c>
      <c r="G90" s="15">
        <f t="shared" si="13"/>
        <v>5.8188878105572751E-2</v>
      </c>
      <c r="H90" s="293">
        <f t="shared" si="13"/>
        <v>3.1846152185092604E-2</v>
      </c>
      <c r="I90" s="15">
        <f t="shared" si="13"/>
        <v>5.7253211249303597E-3</v>
      </c>
      <c r="J90" s="293">
        <f t="shared" si="13"/>
        <v>0.13648154712393232</v>
      </c>
      <c r="K90" s="15">
        <f t="shared" si="13"/>
        <v>3.7006016605501202E-3</v>
      </c>
      <c r="L90" s="293">
        <f t="shared" si="13"/>
        <v>0</v>
      </c>
      <c r="M90" s="15">
        <f t="shared" si="13"/>
        <v>0</v>
      </c>
      <c r="N90" s="293">
        <f t="shared" si="13"/>
        <v>0.29910969742041699</v>
      </c>
      <c r="O90" s="15">
        <f t="shared" si="13"/>
        <v>8.7630632041732145E-2</v>
      </c>
      <c r="P90" s="293">
        <f t="shared" si="13"/>
        <v>0.60427132131581018</v>
      </c>
      <c r="Q90" s="15">
        <f t="shared" si="13"/>
        <v>2.9823355844488572E-2</v>
      </c>
      <c r="R90" s="293">
        <f t="shared" si="13"/>
        <v>6.1715923161991974E-2</v>
      </c>
      <c r="S90" s="15">
        <f t="shared" si="13"/>
        <v>9.2155810258792957E-3</v>
      </c>
      <c r="T90" s="293">
        <f t="shared" si="13"/>
        <v>0.24649310423471213</v>
      </c>
      <c r="U90" s="15">
        <f t="shared" si="13"/>
        <v>1.2650159945154175E-3</v>
      </c>
      <c r="V90" s="293">
        <f t="shared" si="13"/>
        <v>0.45865717247182419</v>
      </c>
      <c r="W90" s="298">
        <f t="shared" si="13"/>
        <v>3.1708913401430214E-2</v>
      </c>
    </row>
    <row r="91" spans="1:31" x14ac:dyDescent="0.2">
      <c r="A91" s="285" t="s">
        <v>388</v>
      </c>
      <c r="B91" s="293">
        <f t="shared" ref="B91:W91" si="14">B74*B95</f>
        <v>0.19754774855275098</v>
      </c>
      <c r="C91" s="15">
        <f t="shared" si="14"/>
        <v>0.15546572372252015</v>
      </c>
      <c r="D91" s="293">
        <f t="shared" si="14"/>
        <v>3.7788377453690576E-2</v>
      </c>
      <c r="E91" s="15">
        <f t="shared" si="14"/>
        <v>4.3195675319508194E-2</v>
      </c>
      <c r="F91" s="293">
        <f t="shared" si="14"/>
        <v>6.6615596223252985E-2</v>
      </c>
      <c r="G91" s="15">
        <f t="shared" si="14"/>
        <v>8.8196390268404951E-2</v>
      </c>
      <c r="H91" s="293">
        <f t="shared" si="14"/>
        <v>0</v>
      </c>
      <c r="I91" s="15">
        <f t="shared" si="14"/>
        <v>0</v>
      </c>
      <c r="J91" s="293">
        <f t="shared" si="14"/>
        <v>0.63630938039103968</v>
      </c>
      <c r="K91" s="15">
        <f t="shared" si="14"/>
        <v>0.23564412745203808</v>
      </c>
      <c r="L91" s="293">
        <f t="shared" si="14"/>
        <v>0.3765362244709346</v>
      </c>
      <c r="M91" s="15">
        <f t="shared" si="14"/>
        <v>0.22047892477010408</v>
      </c>
      <c r="N91" s="293">
        <f t="shared" si="14"/>
        <v>0</v>
      </c>
      <c r="O91" s="15">
        <f t="shared" si="14"/>
        <v>0</v>
      </c>
      <c r="P91" s="293">
        <f t="shared" si="14"/>
        <v>1.8015649173631815E-2</v>
      </c>
      <c r="Q91" s="15">
        <f t="shared" si="14"/>
        <v>0</v>
      </c>
      <c r="R91" s="293">
        <f t="shared" si="14"/>
        <v>0</v>
      </c>
      <c r="S91" s="15">
        <f t="shared" si="14"/>
        <v>0</v>
      </c>
      <c r="T91" s="293">
        <f t="shared" si="14"/>
        <v>0.13478025573061345</v>
      </c>
      <c r="U91" s="15">
        <f t="shared" si="14"/>
        <v>3.4597280673322656E-2</v>
      </c>
      <c r="V91" s="293">
        <f t="shared" si="14"/>
        <v>1.635720602321147E-2</v>
      </c>
      <c r="W91" s="298">
        <f t="shared" si="14"/>
        <v>7.0132076640471816E-2</v>
      </c>
      <c r="Y91" s="201" t="s">
        <v>402</v>
      </c>
    </row>
    <row r="92" spans="1:31" x14ac:dyDescent="0.2">
      <c r="A92" s="285" t="s">
        <v>391</v>
      </c>
      <c r="B92" s="293"/>
      <c r="C92" s="15">
        <f>SUM(B89:C91)</f>
        <v>1.0552435119464676</v>
      </c>
      <c r="D92" s="293"/>
      <c r="E92" s="15">
        <f>SUM(D89:E91)</f>
        <v>0.84663747886042995</v>
      </c>
      <c r="F92" s="293"/>
      <c r="G92" s="15">
        <f>SUM(F89:G91)</f>
        <v>0.85249854189555474</v>
      </c>
      <c r="H92" s="293"/>
      <c r="I92" s="15">
        <f>SUM(H89:I91)</f>
        <v>1.419938028406236</v>
      </c>
      <c r="J92" s="293"/>
      <c r="K92" s="15">
        <f>SUM(J89:K91)</f>
        <v>1.5119263356100905</v>
      </c>
      <c r="L92" s="293"/>
      <c r="M92" s="15">
        <f>SUM(L89:M91)</f>
        <v>0.59701514924103871</v>
      </c>
      <c r="N92" s="293"/>
      <c r="O92" s="15">
        <f>SUM(N89:O91)</f>
        <v>1.0742046948801927</v>
      </c>
      <c r="P92" s="293"/>
      <c r="Q92" s="15">
        <f>SUM(P89:Q91)</f>
        <v>0.74594014021214461</v>
      </c>
      <c r="R92" s="293"/>
      <c r="S92" s="15">
        <f>SUM(R89:S91)</f>
        <v>1.4394095995867751</v>
      </c>
      <c r="T92" s="293"/>
      <c r="U92" s="15">
        <f>SUM(T89:U91)</f>
        <v>1.1065236899469364</v>
      </c>
      <c r="V92" s="293"/>
      <c r="W92" s="15">
        <f>SUM(V89:W91)</f>
        <v>0.69101629797255759</v>
      </c>
    </row>
    <row r="93" spans="1:31" x14ac:dyDescent="0.2">
      <c r="A93" s="285"/>
      <c r="B93" s="272"/>
      <c r="D93" s="272"/>
      <c r="F93" s="272"/>
      <c r="H93" s="272"/>
      <c r="J93" s="272"/>
      <c r="L93" s="272"/>
      <c r="N93" s="272"/>
      <c r="P93" s="272"/>
      <c r="R93" s="272"/>
      <c r="T93" s="272"/>
      <c r="V93" s="272"/>
      <c r="W93" s="283"/>
    </row>
    <row r="94" spans="1:31" x14ac:dyDescent="0.2">
      <c r="A94" s="260"/>
      <c r="B94" s="272"/>
      <c r="D94" s="272"/>
      <c r="F94" s="272"/>
      <c r="H94" s="272"/>
      <c r="J94" s="272"/>
      <c r="L94" s="272"/>
      <c r="M94" s="283"/>
      <c r="N94" s="272"/>
      <c r="P94" s="272"/>
      <c r="R94" s="272"/>
      <c r="T94" s="272"/>
      <c r="V94" s="272"/>
      <c r="W94" s="283"/>
    </row>
    <row r="95" spans="1:31" x14ac:dyDescent="0.2">
      <c r="A95" s="307" t="s">
        <v>420</v>
      </c>
      <c r="B95" s="271">
        <v>0.02</v>
      </c>
      <c r="C95" s="222">
        <v>0.02</v>
      </c>
      <c r="D95" s="271">
        <v>0.02</v>
      </c>
      <c r="E95" s="222">
        <v>0.02</v>
      </c>
      <c r="F95" s="271">
        <v>0.02</v>
      </c>
      <c r="G95" s="222">
        <v>0.02</v>
      </c>
      <c r="H95" s="271">
        <v>0.02</v>
      </c>
      <c r="I95" s="222">
        <v>0.02</v>
      </c>
      <c r="J95" s="271">
        <v>0.02</v>
      </c>
      <c r="K95" s="222">
        <v>0.02</v>
      </c>
      <c r="L95" s="271">
        <v>0.02</v>
      </c>
      <c r="M95" s="222">
        <v>0.02</v>
      </c>
      <c r="N95" s="271">
        <v>0.02</v>
      </c>
      <c r="O95" s="222">
        <v>0.02</v>
      </c>
      <c r="P95" s="271">
        <v>0.02</v>
      </c>
      <c r="Q95" s="222">
        <v>0.02</v>
      </c>
      <c r="R95" s="271">
        <v>0.02</v>
      </c>
      <c r="S95" s="222">
        <v>0.02</v>
      </c>
      <c r="T95" s="271">
        <v>0.02</v>
      </c>
      <c r="U95" s="222">
        <v>0.02</v>
      </c>
      <c r="V95" s="271">
        <v>0.02</v>
      </c>
      <c r="W95" s="287">
        <v>0.02</v>
      </c>
      <c r="X95" s="222"/>
      <c r="Y95" s="203" t="s">
        <v>421</v>
      </c>
      <c r="AB95" s="25"/>
      <c r="AC95" s="25"/>
      <c r="AE95" s="201" t="s">
        <v>422</v>
      </c>
    </row>
    <row r="96" spans="1:31" x14ac:dyDescent="0.2">
      <c r="A96" s="307" t="s">
        <v>423</v>
      </c>
      <c r="B96" s="271">
        <v>0.01</v>
      </c>
      <c r="C96" s="222">
        <v>0.01</v>
      </c>
      <c r="D96" s="271">
        <v>0.01</v>
      </c>
      <c r="E96" s="222">
        <v>0.01</v>
      </c>
      <c r="F96" s="271">
        <v>0.01</v>
      </c>
      <c r="G96" s="222">
        <v>0.01</v>
      </c>
      <c r="H96" s="271">
        <v>0.01</v>
      </c>
      <c r="I96" s="222">
        <v>0.01</v>
      </c>
      <c r="J96" s="271">
        <v>0.01</v>
      </c>
      <c r="K96" s="222">
        <v>0.01</v>
      </c>
      <c r="L96" s="271">
        <v>0.01</v>
      </c>
      <c r="M96" s="222">
        <v>0.01</v>
      </c>
      <c r="N96" s="271">
        <v>0.01</v>
      </c>
      <c r="O96" s="222">
        <v>0.01</v>
      </c>
      <c r="P96" s="271">
        <v>0.01</v>
      </c>
      <c r="Q96" s="222">
        <v>0.01</v>
      </c>
      <c r="R96" s="271">
        <v>0.01</v>
      </c>
      <c r="S96" s="222">
        <v>0.01</v>
      </c>
      <c r="T96" s="271">
        <v>0.01</v>
      </c>
      <c r="U96" s="222">
        <v>0.01</v>
      </c>
      <c r="V96" s="271">
        <v>0.01</v>
      </c>
      <c r="W96" s="287">
        <v>0.01</v>
      </c>
      <c r="X96" s="319"/>
      <c r="Y96" s="203" t="s">
        <v>424</v>
      </c>
    </row>
    <row r="97" spans="1:25" x14ac:dyDescent="0.2">
      <c r="A97" s="260"/>
      <c r="B97" s="272"/>
      <c r="D97" s="272"/>
      <c r="F97" s="272"/>
      <c r="H97" s="272"/>
      <c r="J97" s="272"/>
      <c r="L97" s="272"/>
      <c r="N97" s="272"/>
      <c r="P97" s="272"/>
      <c r="R97" s="272"/>
      <c r="T97" s="272"/>
      <c r="V97" s="272"/>
      <c r="W97" s="283"/>
    </row>
    <row r="98" spans="1:25" x14ac:dyDescent="0.2">
      <c r="A98" s="315" t="s">
        <v>425</v>
      </c>
      <c r="B98" s="289"/>
      <c r="C98" s="197"/>
      <c r="D98" s="289"/>
      <c r="E98" s="197"/>
      <c r="F98" s="289"/>
      <c r="G98" s="197"/>
      <c r="H98" s="289"/>
      <c r="I98" s="197"/>
      <c r="J98" s="289"/>
      <c r="K98" s="197"/>
      <c r="L98" s="289"/>
      <c r="M98" s="197"/>
      <c r="N98" s="289"/>
      <c r="O98" s="197"/>
      <c r="P98" s="289"/>
      <c r="Q98" s="197"/>
      <c r="R98" s="289"/>
      <c r="S98" s="197"/>
      <c r="T98" s="289"/>
      <c r="U98" s="197"/>
      <c r="V98" s="289"/>
      <c r="W98" s="290"/>
    </row>
    <row r="99" spans="1:25" x14ac:dyDescent="0.2">
      <c r="A99" s="285" t="s">
        <v>386</v>
      </c>
      <c r="B99" s="293">
        <f t="shared" ref="B99:W99" si="15">B72*(B103+B105)</f>
        <v>0.26553983170664031</v>
      </c>
      <c r="C99" s="15">
        <f t="shared" si="15"/>
        <v>1.8520093401030131E-2</v>
      </c>
      <c r="D99" s="293">
        <f t="shared" si="15"/>
        <v>7.7806920323506237</v>
      </c>
      <c r="E99" s="15">
        <f t="shared" si="15"/>
        <v>2.4993426704443324</v>
      </c>
      <c r="F99" s="293">
        <f t="shared" si="15"/>
        <v>2.0882266317549192</v>
      </c>
      <c r="G99" s="15">
        <f t="shared" si="15"/>
        <v>0.75343742798364943</v>
      </c>
      <c r="H99" s="293">
        <f t="shared" si="15"/>
        <v>17.212845256042556</v>
      </c>
      <c r="I99" s="15">
        <f t="shared" si="15"/>
        <v>4.2138363479487442</v>
      </c>
      <c r="J99" s="293">
        <f t="shared" si="15"/>
        <v>6.6744976843448569</v>
      </c>
      <c r="K99" s="15">
        <f t="shared" si="15"/>
        <v>1.0722578398843636</v>
      </c>
      <c r="L99" s="293">
        <f t="shared" si="15"/>
        <v>0</v>
      </c>
      <c r="M99" s="15">
        <f t="shared" si="15"/>
        <v>0</v>
      </c>
      <c r="N99" s="293">
        <f t="shared" si="15"/>
        <v>7.4532937291162531</v>
      </c>
      <c r="O99" s="15">
        <f t="shared" si="15"/>
        <v>3.2024039348634199</v>
      </c>
      <c r="P99" s="293">
        <f t="shared" si="15"/>
        <v>0.42545633847746028</v>
      </c>
      <c r="Q99" s="15">
        <f t="shared" si="15"/>
        <v>1.0289057766348557</v>
      </c>
      <c r="R99" s="293">
        <f t="shared" si="15"/>
        <v>16.003736820609301</v>
      </c>
      <c r="S99" s="15">
        <f t="shared" si="15"/>
        <v>5.2076736580737046</v>
      </c>
      <c r="T99" s="293">
        <f t="shared" si="15"/>
        <v>8.7997759275917549</v>
      </c>
      <c r="U99" s="15">
        <f t="shared" si="15"/>
        <v>1.8857385887717215</v>
      </c>
      <c r="V99" s="293">
        <f t="shared" si="15"/>
        <v>1.2751404283682948</v>
      </c>
      <c r="W99" s="298">
        <f t="shared" si="15"/>
        <v>0.49435397788381347</v>
      </c>
    </row>
    <row r="100" spans="1:25" x14ac:dyDescent="0.2">
      <c r="A100" s="285" t="s">
        <v>387</v>
      </c>
      <c r="B100" s="293">
        <f t="shared" ref="B100:W100" si="16">B73*(B104+B106)</f>
        <v>0.19489715318647804</v>
      </c>
      <c r="C100" s="15">
        <f t="shared" si="16"/>
        <v>1.7112960609439457E-2</v>
      </c>
      <c r="D100" s="293">
        <f t="shared" si="16"/>
        <v>2.9940852279103949E-2</v>
      </c>
      <c r="E100" s="15">
        <f t="shared" si="16"/>
        <v>1.8110157520385946E-3</v>
      </c>
      <c r="F100" s="293">
        <f t="shared" si="16"/>
        <v>0.14141099876770907</v>
      </c>
      <c r="G100" s="15">
        <f t="shared" si="16"/>
        <v>1.803855221272755E-2</v>
      </c>
      <c r="H100" s="293">
        <f t="shared" si="16"/>
        <v>9.8723071773787075E-3</v>
      </c>
      <c r="I100" s="15">
        <f t="shared" si="16"/>
        <v>1.7748495487284112E-3</v>
      </c>
      <c r="J100" s="293">
        <f t="shared" si="16"/>
        <v>4.2309279608419022E-2</v>
      </c>
      <c r="K100" s="15">
        <f t="shared" si="16"/>
        <v>1.1471865147705373E-3</v>
      </c>
      <c r="L100" s="293">
        <f t="shared" si="16"/>
        <v>0</v>
      </c>
      <c r="M100" s="15">
        <f t="shared" si="16"/>
        <v>0</v>
      </c>
      <c r="N100" s="293">
        <f t="shared" si="16"/>
        <v>9.2724006200329265E-2</v>
      </c>
      <c r="O100" s="15">
        <f t="shared" si="16"/>
        <v>2.7165495932936962E-2</v>
      </c>
      <c r="P100" s="293">
        <f t="shared" si="16"/>
        <v>0.18732410960790116</v>
      </c>
      <c r="Q100" s="15">
        <f t="shared" si="16"/>
        <v>9.2452403117914573E-3</v>
      </c>
      <c r="R100" s="293">
        <f t="shared" si="16"/>
        <v>1.913193618021751E-2</v>
      </c>
      <c r="S100" s="15">
        <f t="shared" si="16"/>
        <v>2.8568301180225812E-3</v>
      </c>
      <c r="T100" s="293">
        <f t="shared" si="16"/>
        <v>7.641286231276076E-2</v>
      </c>
      <c r="U100" s="15">
        <f t="shared" si="16"/>
        <v>3.921549582997794E-4</v>
      </c>
      <c r="V100" s="293">
        <f t="shared" si="16"/>
        <v>0.14218372346626548</v>
      </c>
      <c r="W100" s="298">
        <f t="shared" si="16"/>
        <v>9.8297631544433644E-3</v>
      </c>
    </row>
    <row r="101" spans="1:25" x14ac:dyDescent="0.2">
      <c r="A101" s="285" t="s">
        <v>388</v>
      </c>
      <c r="B101" s="293">
        <f t="shared" ref="B101:W101" si="17">B74*(B103+B105)</f>
        <v>3.0619901025676404</v>
      </c>
      <c r="C101" s="15">
        <f t="shared" si="17"/>
        <v>2.4097187176990622</v>
      </c>
      <c r="D101" s="293">
        <f t="shared" si="17"/>
        <v>0.58571985053220388</v>
      </c>
      <c r="E101" s="15">
        <f t="shared" si="17"/>
        <v>0.669532967452377</v>
      </c>
      <c r="F101" s="293">
        <f t="shared" si="17"/>
        <v>1.0325417414604212</v>
      </c>
      <c r="G101" s="15">
        <f t="shared" si="17"/>
        <v>1.3670440491602767</v>
      </c>
      <c r="H101" s="293">
        <f t="shared" si="17"/>
        <v>0</v>
      </c>
      <c r="I101" s="15">
        <f t="shared" si="17"/>
        <v>0</v>
      </c>
      <c r="J101" s="293">
        <f t="shared" si="17"/>
        <v>9.8627953960611148</v>
      </c>
      <c r="K101" s="15">
        <f t="shared" si="17"/>
        <v>3.6524839755065899</v>
      </c>
      <c r="L101" s="293">
        <f t="shared" si="17"/>
        <v>5.8363114792994866</v>
      </c>
      <c r="M101" s="15">
        <f t="shared" si="17"/>
        <v>3.4174233339366129</v>
      </c>
      <c r="N101" s="293">
        <f t="shared" si="17"/>
        <v>0</v>
      </c>
      <c r="O101" s="15">
        <f t="shared" si="17"/>
        <v>0</v>
      </c>
      <c r="P101" s="293">
        <f t="shared" si="17"/>
        <v>0.27924256219129312</v>
      </c>
      <c r="Q101" s="15">
        <f t="shared" si="17"/>
        <v>0</v>
      </c>
      <c r="R101" s="293">
        <f t="shared" si="17"/>
        <v>0</v>
      </c>
      <c r="S101" s="15">
        <f t="shared" si="17"/>
        <v>0</v>
      </c>
      <c r="T101" s="293">
        <f t="shared" si="17"/>
        <v>2.0890939638245083</v>
      </c>
      <c r="U101" s="15">
        <f t="shared" si="17"/>
        <v>0.53625785043650109</v>
      </c>
      <c r="V101" s="293">
        <f t="shared" si="17"/>
        <v>0.2535366933597778</v>
      </c>
      <c r="W101" s="298">
        <f t="shared" si="17"/>
        <v>1.0870471879273131</v>
      </c>
      <c r="Y101" s="201" t="s">
        <v>402</v>
      </c>
    </row>
    <row r="102" spans="1:25" x14ac:dyDescent="0.2">
      <c r="A102" s="260"/>
      <c r="B102" s="272"/>
      <c r="D102" s="272"/>
      <c r="F102" s="272"/>
      <c r="H102" s="272"/>
      <c r="J102" s="272"/>
      <c r="L102" s="272"/>
      <c r="N102" s="272"/>
      <c r="P102" s="272"/>
      <c r="R102" s="272"/>
      <c r="T102" s="272"/>
      <c r="V102" s="272"/>
      <c r="W102" s="283"/>
    </row>
    <row r="103" spans="1:25" x14ac:dyDescent="0.2">
      <c r="A103" s="307" t="s">
        <v>426</v>
      </c>
      <c r="B103" s="271">
        <v>0.01</v>
      </c>
      <c r="C103" s="222">
        <v>0.01</v>
      </c>
      <c r="D103" s="271">
        <v>0.01</v>
      </c>
      <c r="E103" s="222">
        <v>0.01</v>
      </c>
      <c r="F103" s="271">
        <v>0.01</v>
      </c>
      <c r="G103" s="222">
        <v>0.01</v>
      </c>
      <c r="H103" s="271">
        <v>0.01</v>
      </c>
      <c r="I103" s="222">
        <v>0.01</v>
      </c>
      <c r="J103" s="271">
        <v>0.01</v>
      </c>
      <c r="K103" s="222">
        <v>0.01</v>
      </c>
      <c r="L103" s="271">
        <v>0.01</v>
      </c>
      <c r="M103" s="222">
        <v>0.01</v>
      </c>
      <c r="N103" s="271">
        <v>0.01</v>
      </c>
      <c r="O103" s="222">
        <v>0.01</v>
      </c>
      <c r="P103" s="271">
        <v>0.01</v>
      </c>
      <c r="Q103" s="222">
        <v>0.01</v>
      </c>
      <c r="R103" s="271">
        <v>0.01</v>
      </c>
      <c r="S103" s="222">
        <v>0.01</v>
      </c>
      <c r="T103" s="271">
        <v>0.01</v>
      </c>
      <c r="U103" s="222">
        <v>0.01</v>
      </c>
      <c r="V103" s="271">
        <v>0.01</v>
      </c>
      <c r="W103" s="287">
        <v>0.01</v>
      </c>
      <c r="Y103" s="203" t="s">
        <v>427</v>
      </c>
    </row>
    <row r="104" spans="1:25" x14ac:dyDescent="0.2">
      <c r="A104" s="307" t="s">
        <v>428</v>
      </c>
      <c r="B104" s="320">
        <v>1E-4</v>
      </c>
      <c r="C104" s="240">
        <v>1E-4</v>
      </c>
      <c r="D104" s="320">
        <v>1E-4</v>
      </c>
      <c r="E104" s="240">
        <v>1E-4</v>
      </c>
      <c r="F104" s="320">
        <v>1E-4</v>
      </c>
      <c r="G104" s="240">
        <v>1E-4</v>
      </c>
      <c r="H104" s="320">
        <v>1E-4</v>
      </c>
      <c r="I104" s="240">
        <v>1E-4</v>
      </c>
      <c r="J104" s="320">
        <v>1E-4</v>
      </c>
      <c r="K104" s="240">
        <v>1E-4</v>
      </c>
      <c r="L104" s="320">
        <v>1E-4</v>
      </c>
      <c r="M104" s="240">
        <v>1E-4</v>
      </c>
      <c r="N104" s="320">
        <v>1E-4</v>
      </c>
      <c r="O104" s="240">
        <v>1E-4</v>
      </c>
      <c r="P104" s="320">
        <v>1E-4</v>
      </c>
      <c r="Q104" s="240">
        <v>1E-4</v>
      </c>
      <c r="R104" s="320">
        <v>1E-4</v>
      </c>
      <c r="S104" s="240">
        <v>1E-4</v>
      </c>
      <c r="T104" s="320">
        <v>1E-4</v>
      </c>
      <c r="U104" s="240">
        <v>1E-4</v>
      </c>
      <c r="V104" s="320">
        <v>1E-4</v>
      </c>
      <c r="W104" s="321">
        <v>1E-4</v>
      </c>
      <c r="Y104" s="203" t="s">
        <v>427</v>
      </c>
    </row>
    <row r="105" spans="1:25" x14ac:dyDescent="0.2">
      <c r="A105" s="307" t="s">
        <v>429</v>
      </c>
      <c r="B105" s="314">
        <v>0.3</v>
      </c>
      <c r="C105" s="216">
        <v>0.3</v>
      </c>
      <c r="D105" s="314">
        <v>0.3</v>
      </c>
      <c r="E105" s="216">
        <v>0.3</v>
      </c>
      <c r="F105" s="314">
        <v>0.3</v>
      </c>
      <c r="G105" s="216">
        <v>0.3</v>
      </c>
      <c r="H105" s="314">
        <v>0.3</v>
      </c>
      <c r="I105" s="216">
        <v>0.3</v>
      </c>
      <c r="J105" s="314">
        <v>0.3</v>
      </c>
      <c r="K105" s="216">
        <v>0.3</v>
      </c>
      <c r="L105" s="314">
        <v>0.3</v>
      </c>
      <c r="M105" s="216">
        <v>0.3</v>
      </c>
      <c r="N105" s="314">
        <v>0.3</v>
      </c>
      <c r="O105" s="216">
        <v>0.3</v>
      </c>
      <c r="P105" s="314">
        <v>0.3</v>
      </c>
      <c r="Q105" s="216">
        <v>0.3</v>
      </c>
      <c r="R105" s="314">
        <v>0.3</v>
      </c>
      <c r="S105" s="216">
        <v>0.3</v>
      </c>
      <c r="T105" s="314">
        <v>0.3</v>
      </c>
      <c r="U105" s="216">
        <v>0.3</v>
      </c>
      <c r="V105" s="314">
        <v>0.3</v>
      </c>
      <c r="W105" s="286">
        <v>0.3</v>
      </c>
      <c r="Y105" s="203" t="s">
        <v>427</v>
      </c>
    </row>
    <row r="106" spans="1:25" x14ac:dyDescent="0.2">
      <c r="A106" s="307" t="s">
        <v>430</v>
      </c>
      <c r="B106" s="314">
        <v>3.0000000000000001E-3</v>
      </c>
      <c r="C106" s="216">
        <v>3.0000000000000001E-3</v>
      </c>
      <c r="D106" s="314">
        <v>3.0000000000000001E-3</v>
      </c>
      <c r="E106" s="216">
        <v>3.0000000000000001E-3</v>
      </c>
      <c r="F106" s="314">
        <v>3.0000000000000001E-3</v>
      </c>
      <c r="G106" s="216">
        <v>3.0000000000000001E-3</v>
      </c>
      <c r="H106" s="314">
        <v>3.0000000000000001E-3</v>
      </c>
      <c r="I106" s="216">
        <v>3.0000000000000001E-3</v>
      </c>
      <c r="J106" s="314">
        <v>3.0000000000000001E-3</v>
      </c>
      <c r="K106" s="216">
        <v>3.0000000000000001E-3</v>
      </c>
      <c r="L106" s="314">
        <v>3.0000000000000001E-3</v>
      </c>
      <c r="M106" s="216">
        <v>3.0000000000000001E-3</v>
      </c>
      <c r="N106" s="314">
        <v>3.0000000000000001E-3</v>
      </c>
      <c r="O106" s="216">
        <v>3.0000000000000001E-3</v>
      </c>
      <c r="P106" s="314">
        <v>3.0000000000000001E-3</v>
      </c>
      <c r="Q106" s="216">
        <v>3.0000000000000001E-3</v>
      </c>
      <c r="R106" s="314">
        <v>3.0000000000000001E-3</v>
      </c>
      <c r="S106" s="216">
        <v>3.0000000000000001E-3</v>
      </c>
      <c r="T106" s="314">
        <v>3.0000000000000001E-3</v>
      </c>
      <c r="U106" s="216">
        <v>3.0000000000000001E-3</v>
      </c>
      <c r="V106" s="314">
        <v>3.0000000000000001E-3</v>
      </c>
      <c r="W106" s="286">
        <v>3.0000000000000001E-3</v>
      </c>
      <c r="Y106" s="203" t="s">
        <v>427</v>
      </c>
    </row>
    <row r="107" spans="1:25" x14ac:dyDescent="0.2">
      <c r="A107" s="260"/>
      <c r="B107" s="272"/>
      <c r="D107" s="272"/>
      <c r="F107" s="272"/>
      <c r="H107" s="272"/>
      <c r="J107" s="272"/>
      <c r="L107" s="272"/>
      <c r="N107" s="272"/>
      <c r="P107" s="272"/>
      <c r="R107" s="272"/>
      <c r="T107" s="272"/>
      <c r="V107" s="272"/>
      <c r="W107" s="283"/>
    </row>
    <row r="108" spans="1:25" x14ac:dyDescent="0.2">
      <c r="A108" s="295" t="s">
        <v>431</v>
      </c>
      <c r="B108" s="289"/>
      <c r="C108" s="197"/>
      <c r="D108" s="289"/>
      <c r="E108" s="197"/>
      <c r="F108" s="289"/>
      <c r="G108" s="197"/>
      <c r="H108" s="289"/>
      <c r="I108" s="197"/>
      <c r="J108" s="289"/>
      <c r="K108" s="197"/>
      <c r="L108" s="289"/>
      <c r="M108" s="197"/>
      <c r="N108" s="289"/>
      <c r="O108" s="197"/>
      <c r="P108" s="289"/>
      <c r="Q108" s="197"/>
      <c r="R108" s="289"/>
      <c r="S108" s="197"/>
      <c r="T108" s="289"/>
      <c r="U108" s="197"/>
      <c r="V108" s="289"/>
      <c r="W108" s="290"/>
    </row>
    <row r="109" spans="1:25" x14ac:dyDescent="0.2">
      <c r="A109" s="285" t="s">
        <v>386</v>
      </c>
      <c r="B109" s="305">
        <f t="shared" ref="B109:W109" si="18">B72-B79-B89-B99</f>
        <v>0.29980303579781964</v>
      </c>
      <c r="C109" s="59">
        <f t="shared" si="18"/>
        <v>2.0909782872130796E-2</v>
      </c>
      <c r="D109" s="305">
        <f t="shared" si="18"/>
        <v>8.7846522945894119</v>
      </c>
      <c r="E109" s="59">
        <f t="shared" si="18"/>
        <v>2.8218384988887628</v>
      </c>
      <c r="F109" s="305">
        <f t="shared" si="18"/>
        <v>2.3576752294007148</v>
      </c>
      <c r="G109" s="59">
        <f t="shared" si="18"/>
        <v>0.85065516062670088</v>
      </c>
      <c r="H109" s="305">
        <f t="shared" si="18"/>
        <v>19.433857547144818</v>
      </c>
      <c r="I109" s="59">
        <f t="shared" si="18"/>
        <v>4.7575571670389039</v>
      </c>
      <c r="J109" s="305">
        <f t="shared" si="18"/>
        <v>7.5357231920022567</v>
      </c>
      <c r="K109" s="59">
        <f t="shared" si="18"/>
        <v>1.2106136901920237</v>
      </c>
      <c r="L109" s="305">
        <f t="shared" si="18"/>
        <v>0</v>
      </c>
      <c r="M109" s="59">
        <f t="shared" si="18"/>
        <v>0</v>
      </c>
      <c r="N109" s="305">
        <f t="shared" si="18"/>
        <v>8.4150090490022187</v>
      </c>
      <c r="O109" s="59">
        <f t="shared" si="18"/>
        <v>3.6156173458135381</v>
      </c>
      <c r="P109" s="305">
        <f t="shared" si="18"/>
        <v>0.48035393053906811</v>
      </c>
      <c r="Q109" s="59">
        <f t="shared" si="18"/>
        <v>1.1616678123296758</v>
      </c>
      <c r="R109" s="305">
        <f t="shared" si="18"/>
        <v>18.068735120042763</v>
      </c>
      <c r="S109" s="59">
        <f t="shared" si="18"/>
        <v>5.8796315494380531</v>
      </c>
      <c r="T109" s="305">
        <f t="shared" si="18"/>
        <v>9.9352308859906895</v>
      </c>
      <c r="U109" s="59">
        <f t="shared" si="18"/>
        <v>2.1290596970003306</v>
      </c>
      <c r="V109" s="305">
        <f t="shared" si="18"/>
        <v>1.4396746771900102</v>
      </c>
      <c r="W109" s="306">
        <f t="shared" si="18"/>
        <v>0.55814158793333779</v>
      </c>
    </row>
    <row r="110" spans="1:25" x14ac:dyDescent="0.2">
      <c r="A110" s="285" t="s">
        <v>387</v>
      </c>
      <c r="B110" s="305">
        <f t="shared" ref="B110:W110" si="19">B73-B80-B90-B100</f>
        <v>46.328939413908273</v>
      </c>
      <c r="C110" s="59">
        <f t="shared" si="19"/>
        <v>4.0679163461599801</v>
      </c>
      <c r="D110" s="305">
        <f t="shared" si="19"/>
        <v>7.1172303369263554</v>
      </c>
      <c r="E110" s="59">
        <f t="shared" si="19"/>
        <v>0.43049597021846464</v>
      </c>
      <c r="F110" s="305">
        <f t="shared" si="19"/>
        <v>33.61476290062091</v>
      </c>
      <c r="G110" s="59">
        <f t="shared" si="19"/>
        <v>4.2879384275996557</v>
      </c>
      <c r="H110" s="305">
        <f t="shared" si="19"/>
        <v>2.3467429545194736</v>
      </c>
      <c r="I110" s="59">
        <f t="shared" si="19"/>
        <v>0.42189891369611815</v>
      </c>
      <c r="J110" s="305">
        <f t="shared" si="19"/>
        <v>10.057325207562572</v>
      </c>
      <c r="K110" s="59">
        <f t="shared" si="19"/>
        <v>0.27269733636593835</v>
      </c>
      <c r="L110" s="305">
        <f t="shared" si="19"/>
        <v>0</v>
      </c>
      <c r="M110" s="59">
        <f t="shared" si="19"/>
        <v>0</v>
      </c>
      <c r="N110" s="305">
        <f t="shared" si="19"/>
        <v>22.041393602910532</v>
      </c>
      <c r="O110" s="59">
        <f t="shared" si="19"/>
        <v>6.4575012751552423</v>
      </c>
      <c r="P110" s="305">
        <f t="shared" si="19"/>
        <v>44.528753667762061</v>
      </c>
      <c r="Q110" s="59">
        <f t="shared" si="19"/>
        <v>2.197683092180363</v>
      </c>
      <c r="R110" s="305">
        <f t="shared" si="19"/>
        <v>4.5478463778071889</v>
      </c>
      <c r="S110" s="59">
        <f t="shared" si="19"/>
        <v>0.67909616579704524</v>
      </c>
      <c r="T110" s="305">
        <f t="shared" si="19"/>
        <v>18.164076851055938</v>
      </c>
      <c r="U110" s="59">
        <f t="shared" si="19"/>
        <v>9.3219028635841111E-2</v>
      </c>
      <c r="V110" s="305">
        <f t="shared" si="19"/>
        <v>33.798447039448718</v>
      </c>
      <c r="W110" s="306">
        <f t="shared" si="19"/>
        <v>2.3366298285513922</v>
      </c>
    </row>
    <row r="111" spans="1:25" x14ac:dyDescent="0.2">
      <c r="A111" s="285" t="s">
        <v>388</v>
      </c>
      <c r="B111" s="305">
        <f t="shared" ref="B111:W111" si="20">B74-B81-B91-B101</f>
        <v>3.4570855996731424</v>
      </c>
      <c r="C111" s="59">
        <f t="shared" si="20"/>
        <v>2.7206501651441024</v>
      </c>
      <c r="D111" s="305">
        <f t="shared" si="20"/>
        <v>0.66129660543958502</v>
      </c>
      <c r="E111" s="59">
        <f t="shared" si="20"/>
        <v>0.7559243180913936</v>
      </c>
      <c r="F111" s="305">
        <f t="shared" si="20"/>
        <v>1.1657729339069269</v>
      </c>
      <c r="G111" s="59">
        <f t="shared" si="20"/>
        <v>1.5434368296970864</v>
      </c>
      <c r="H111" s="305">
        <f t="shared" si="20"/>
        <v>0</v>
      </c>
      <c r="I111" s="306">
        <f t="shared" si="20"/>
        <v>0</v>
      </c>
      <c r="J111" s="305">
        <f t="shared" si="20"/>
        <v>11.135414156843192</v>
      </c>
      <c r="K111" s="59">
        <f t="shared" si="20"/>
        <v>4.1237722304106654</v>
      </c>
      <c r="L111" s="305">
        <f t="shared" si="20"/>
        <v>6.5893839282413564</v>
      </c>
      <c r="M111" s="59">
        <f t="shared" si="20"/>
        <v>3.8583811834768209</v>
      </c>
      <c r="N111" s="305">
        <f t="shared" si="20"/>
        <v>0</v>
      </c>
      <c r="O111" s="59">
        <f t="shared" si="20"/>
        <v>0</v>
      </c>
      <c r="P111" s="305">
        <f t="shared" si="20"/>
        <v>0.31527386053855672</v>
      </c>
      <c r="Q111" s="59">
        <f t="shared" si="20"/>
        <v>0</v>
      </c>
      <c r="R111" s="305">
        <f t="shared" si="20"/>
        <v>0</v>
      </c>
      <c r="S111" s="59">
        <f t="shared" si="20"/>
        <v>0</v>
      </c>
      <c r="T111" s="305">
        <f t="shared" si="20"/>
        <v>2.3586544752857348</v>
      </c>
      <c r="U111" s="59">
        <f t="shared" si="20"/>
        <v>0.60545241178314646</v>
      </c>
      <c r="V111" s="305">
        <f t="shared" si="20"/>
        <v>0.2862511054062008</v>
      </c>
      <c r="W111" s="306">
        <f t="shared" si="20"/>
        <v>1.2273113412082564</v>
      </c>
    </row>
    <row r="112" spans="1:25" x14ac:dyDescent="0.2">
      <c r="A112" s="260"/>
      <c r="B112" s="305"/>
      <c r="C112" s="59"/>
      <c r="D112" s="305"/>
      <c r="E112" s="59"/>
      <c r="F112" s="305"/>
      <c r="G112" s="59"/>
      <c r="H112" s="305"/>
      <c r="I112" s="59"/>
      <c r="J112" s="305"/>
      <c r="K112" s="59"/>
      <c r="L112" s="305"/>
      <c r="M112" s="59"/>
      <c r="N112" s="305"/>
      <c r="O112" s="59"/>
      <c r="P112" s="305"/>
      <c r="Q112" s="59"/>
      <c r="R112" s="305"/>
      <c r="S112" s="59"/>
      <c r="T112" s="305"/>
      <c r="U112" s="59"/>
      <c r="V112" s="305"/>
      <c r="W112" s="306"/>
    </row>
    <row r="113" spans="1:25" x14ac:dyDescent="0.2">
      <c r="A113" s="315" t="s">
        <v>432</v>
      </c>
      <c r="B113" s="322"/>
      <c r="C113" s="323"/>
      <c r="D113" s="322"/>
      <c r="E113" s="323"/>
      <c r="F113" s="322"/>
      <c r="G113" s="323"/>
      <c r="H113" s="322"/>
      <c r="I113" s="323"/>
      <c r="J113" s="322"/>
      <c r="K113" s="323"/>
      <c r="L113" s="322"/>
      <c r="M113" s="323"/>
      <c r="N113" s="322"/>
      <c r="O113" s="323"/>
      <c r="P113" s="322"/>
      <c r="Q113" s="323"/>
      <c r="R113" s="322"/>
      <c r="S113" s="323"/>
      <c r="T113" s="322"/>
      <c r="U113" s="323"/>
      <c r="V113" s="322"/>
      <c r="W113" s="324"/>
      <c r="Y113" s="20" t="s">
        <v>433</v>
      </c>
    </row>
    <row r="114" spans="1:25" x14ac:dyDescent="0.2">
      <c r="A114" s="285" t="s">
        <v>386</v>
      </c>
      <c r="B114" s="305">
        <f t="shared" ref="B114:W114" si="21">B109*B120</f>
        <v>0.20386606434251736</v>
      </c>
      <c r="C114" s="59">
        <f t="shared" si="21"/>
        <v>1.4218652353048943E-2</v>
      </c>
      <c r="D114" s="305">
        <f t="shared" si="21"/>
        <v>5.9735635603208008</v>
      </c>
      <c r="E114" s="59">
        <f t="shared" si="21"/>
        <v>1.9188501792443589</v>
      </c>
      <c r="F114" s="305">
        <f t="shared" si="21"/>
        <v>1.6032191559924862</v>
      </c>
      <c r="G114" s="59">
        <f t="shared" si="21"/>
        <v>0.57844550922615667</v>
      </c>
      <c r="H114" s="305">
        <f t="shared" si="21"/>
        <v>13.215023132058477</v>
      </c>
      <c r="I114" s="59">
        <f t="shared" si="21"/>
        <v>3.2351388735864548</v>
      </c>
      <c r="J114" s="305">
        <f t="shared" si="21"/>
        <v>5.124291770561535</v>
      </c>
      <c r="K114" s="59">
        <f t="shared" si="21"/>
        <v>0.82321730933057613</v>
      </c>
      <c r="L114" s="305">
        <f t="shared" si="21"/>
        <v>0</v>
      </c>
      <c r="M114" s="59">
        <f t="shared" si="21"/>
        <v>0</v>
      </c>
      <c r="N114" s="305">
        <f t="shared" si="21"/>
        <v>5.7222061533215092</v>
      </c>
      <c r="O114" s="59">
        <f t="shared" si="21"/>
        <v>2.4586197951532061</v>
      </c>
      <c r="P114" s="305">
        <f t="shared" si="21"/>
        <v>0.32664067276656633</v>
      </c>
      <c r="Q114" s="59">
        <f t="shared" si="21"/>
        <v>0.78993411238417954</v>
      </c>
      <c r="R114" s="305">
        <f t="shared" si="21"/>
        <v>12.28673988162908</v>
      </c>
      <c r="S114" s="59">
        <f t="shared" si="21"/>
        <v>3.9981494536178763</v>
      </c>
      <c r="T114" s="305">
        <f t="shared" si="21"/>
        <v>6.7559570024736697</v>
      </c>
      <c r="U114" s="59">
        <f t="shared" si="21"/>
        <v>1.4477605939602249</v>
      </c>
      <c r="V114" s="305">
        <f t="shared" si="21"/>
        <v>0.97897878048920695</v>
      </c>
      <c r="W114" s="306">
        <f t="shared" si="21"/>
        <v>0.37953627979466975</v>
      </c>
    </row>
    <row r="115" spans="1:25" x14ac:dyDescent="0.2">
      <c r="A115" s="285" t="s">
        <v>387</v>
      </c>
      <c r="B115" s="305">
        <f t="shared" ref="B115:W115" si="22">B110*B121</f>
        <v>25.480916677649553</v>
      </c>
      <c r="C115" s="59">
        <f t="shared" si="22"/>
        <v>2.2373539903879891</v>
      </c>
      <c r="D115" s="305">
        <f t="shared" si="22"/>
        <v>3.9144766853094959</v>
      </c>
      <c r="E115" s="59">
        <f t="shared" si="22"/>
        <v>0.23677278362015558</v>
      </c>
      <c r="F115" s="305">
        <f t="shared" si="22"/>
        <v>18.488119595341502</v>
      </c>
      <c r="G115" s="59">
        <f t="shared" si="22"/>
        <v>2.3583661351798106</v>
      </c>
      <c r="H115" s="305">
        <f t="shared" si="22"/>
        <v>1.2907086249857105</v>
      </c>
      <c r="I115" s="59">
        <f t="shared" si="22"/>
        <v>0.23204440253286501</v>
      </c>
      <c r="J115" s="305">
        <f t="shared" si="22"/>
        <v>5.5315288641594149</v>
      </c>
      <c r="K115" s="59">
        <f t="shared" si="22"/>
        <v>0.1499835350012661</v>
      </c>
      <c r="L115" s="305">
        <f t="shared" si="22"/>
        <v>0</v>
      </c>
      <c r="M115" s="59">
        <f t="shared" si="22"/>
        <v>0</v>
      </c>
      <c r="N115" s="305">
        <f t="shared" si="22"/>
        <v>12.122766481600793</v>
      </c>
      <c r="O115" s="59">
        <f t="shared" si="22"/>
        <v>3.5516257013353836</v>
      </c>
      <c r="P115" s="305">
        <f t="shared" si="22"/>
        <v>24.490814517269136</v>
      </c>
      <c r="Q115" s="59">
        <f t="shared" si="22"/>
        <v>1.2087257006991998</v>
      </c>
      <c r="R115" s="305">
        <f t="shared" si="22"/>
        <v>2.501315507793954</v>
      </c>
      <c r="S115" s="59">
        <f t="shared" si="22"/>
        <v>0.37350289118837493</v>
      </c>
      <c r="T115" s="305">
        <f t="shared" si="22"/>
        <v>9.9902422680807668</v>
      </c>
      <c r="U115" s="59">
        <f t="shared" si="22"/>
        <v>5.1270465749712613E-2</v>
      </c>
      <c r="V115" s="305">
        <f t="shared" si="22"/>
        <v>18.589145871696797</v>
      </c>
      <c r="W115" s="306">
        <f t="shared" si="22"/>
        <v>1.2851464057032658</v>
      </c>
    </row>
    <row r="116" spans="1:25" x14ac:dyDescent="0.2">
      <c r="A116" s="285" t="s">
        <v>388</v>
      </c>
      <c r="B116" s="305">
        <f t="shared" ref="B116:W116" si="23">B111*B120</f>
        <v>2.3508182077777371</v>
      </c>
      <c r="C116" s="59">
        <f t="shared" si="23"/>
        <v>1.8500421122979898</v>
      </c>
      <c r="D116" s="305">
        <f t="shared" si="23"/>
        <v>0.44968169169891786</v>
      </c>
      <c r="E116" s="59">
        <f t="shared" si="23"/>
        <v>0.51402853630214773</v>
      </c>
      <c r="F116" s="305">
        <f t="shared" si="23"/>
        <v>0.79272559505671036</v>
      </c>
      <c r="G116" s="59">
        <f t="shared" si="23"/>
        <v>1.0495370441940188</v>
      </c>
      <c r="H116" s="305">
        <f t="shared" si="23"/>
        <v>0</v>
      </c>
      <c r="I116" s="59">
        <f t="shared" si="23"/>
        <v>0</v>
      </c>
      <c r="J116" s="305">
        <f t="shared" si="23"/>
        <v>7.5720816266533708</v>
      </c>
      <c r="K116" s="59">
        <f t="shared" si="23"/>
        <v>2.8041651166792527</v>
      </c>
      <c r="L116" s="305">
        <f t="shared" si="23"/>
        <v>4.4807810712041229</v>
      </c>
      <c r="M116" s="59">
        <f t="shared" si="23"/>
        <v>2.6236992047642382</v>
      </c>
      <c r="N116" s="305">
        <f t="shared" si="23"/>
        <v>0</v>
      </c>
      <c r="O116" s="59">
        <f t="shared" si="23"/>
        <v>0</v>
      </c>
      <c r="P116" s="305">
        <f t="shared" si="23"/>
        <v>0.21438622516621858</v>
      </c>
      <c r="Q116" s="59">
        <f t="shared" si="23"/>
        <v>0</v>
      </c>
      <c r="R116" s="305">
        <f t="shared" si="23"/>
        <v>0</v>
      </c>
      <c r="S116" s="59">
        <f t="shared" si="23"/>
        <v>0</v>
      </c>
      <c r="T116" s="305">
        <f t="shared" si="23"/>
        <v>1.6038850431942997</v>
      </c>
      <c r="U116" s="59">
        <f t="shared" si="23"/>
        <v>0.41170764001253962</v>
      </c>
      <c r="V116" s="305">
        <f t="shared" si="23"/>
        <v>0.19465075167621657</v>
      </c>
      <c r="W116" s="306">
        <f t="shared" si="23"/>
        <v>0.8345717120216144</v>
      </c>
    </row>
    <row r="117" spans="1:25" x14ac:dyDescent="0.2">
      <c r="A117" s="285" t="s">
        <v>391</v>
      </c>
      <c r="B117" s="305"/>
      <c r="C117" s="59">
        <f>SUM(B114:C116)</f>
        <v>32.137215704808838</v>
      </c>
      <c r="D117" s="305"/>
      <c r="E117" s="59">
        <f>SUM(D114:E116)</f>
        <v>13.007373436495877</v>
      </c>
      <c r="F117" s="305"/>
      <c r="G117" s="59">
        <f>SUM(F114:G116)</f>
        <v>24.870413034990683</v>
      </c>
      <c r="H117" s="305"/>
      <c r="I117" s="59">
        <f>SUM(H114:I116)</f>
        <v>17.972915033163506</v>
      </c>
      <c r="J117" s="305"/>
      <c r="K117" s="59">
        <f>SUM(J114:K116)</f>
        <v>22.005268222385418</v>
      </c>
      <c r="L117" s="305"/>
      <c r="M117" s="59">
        <f>SUM(L114:M116)</f>
        <v>7.1044802759683616</v>
      </c>
      <c r="N117" s="305"/>
      <c r="O117" s="59">
        <f>SUM(N114:O116)</f>
        <v>23.855218131410894</v>
      </c>
      <c r="P117" s="305"/>
      <c r="Q117" s="59">
        <f>SUM(P114:Q116)</f>
        <v>27.030501228285303</v>
      </c>
      <c r="R117" s="305"/>
      <c r="S117" s="59">
        <f>SUM(R114:S116)</f>
        <v>19.159707734229286</v>
      </c>
      <c r="T117" s="305"/>
      <c r="U117" s="59">
        <f>SUM(T114:U116)</f>
        <v>20.260823013471214</v>
      </c>
      <c r="V117" s="305"/>
      <c r="W117" s="306">
        <f>SUM(V114:W116)</f>
        <v>22.262029801381772</v>
      </c>
    </row>
    <row r="118" spans="1:25" x14ac:dyDescent="0.2">
      <c r="A118" s="285"/>
      <c r="B118" s="305"/>
      <c r="C118" s="59"/>
      <c r="D118" s="305"/>
      <c r="E118" s="59"/>
      <c r="F118" s="305"/>
      <c r="G118" s="59"/>
      <c r="H118" s="305"/>
      <c r="I118" s="59"/>
      <c r="J118" s="305"/>
      <c r="K118" s="59"/>
      <c r="L118" s="305"/>
      <c r="M118" s="59"/>
      <c r="N118" s="305"/>
      <c r="O118" s="59"/>
      <c r="P118" s="305"/>
      <c r="Q118" s="59"/>
      <c r="R118" s="305"/>
      <c r="S118" s="59"/>
      <c r="T118" s="305"/>
      <c r="U118" s="59"/>
      <c r="V118" s="305"/>
      <c r="W118" s="306"/>
    </row>
    <row r="119" spans="1:25" x14ac:dyDescent="0.2">
      <c r="A119" s="260"/>
      <c r="B119" s="272"/>
      <c r="D119" s="272"/>
      <c r="F119" s="272"/>
      <c r="H119" s="272"/>
      <c r="J119" s="272"/>
      <c r="L119" s="272"/>
      <c r="N119" s="272"/>
      <c r="P119" s="272"/>
      <c r="R119" s="272"/>
      <c r="T119" s="272"/>
      <c r="V119" s="272"/>
      <c r="W119" s="283"/>
    </row>
    <row r="120" spans="1:25" x14ac:dyDescent="0.2">
      <c r="A120" s="307" t="s">
        <v>434</v>
      </c>
      <c r="B120" s="271">
        <v>0.68</v>
      </c>
      <c r="C120" s="222">
        <v>0.68</v>
      </c>
      <c r="D120" s="271">
        <v>0.68</v>
      </c>
      <c r="E120" s="222">
        <v>0.68</v>
      </c>
      <c r="F120" s="271">
        <v>0.68</v>
      </c>
      <c r="G120" s="222">
        <v>0.68</v>
      </c>
      <c r="H120" s="271">
        <v>0.68</v>
      </c>
      <c r="I120" s="222">
        <v>0.68</v>
      </c>
      <c r="J120" s="271">
        <v>0.68</v>
      </c>
      <c r="K120" s="222">
        <v>0.68</v>
      </c>
      <c r="L120" s="271">
        <v>0.68</v>
      </c>
      <c r="M120" s="222">
        <v>0.68</v>
      </c>
      <c r="N120" s="271">
        <v>0.68</v>
      </c>
      <c r="O120" s="222">
        <v>0.68</v>
      </c>
      <c r="P120" s="271">
        <v>0.68</v>
      </c>
      <c r="Q120" s="222">
        <v>0.68</v>
      </c>
      <c r="R120" s="271">
        <v>0.68</v>
      </c>
      <c r="S120" s="222">
        <v>0.68</v>
      </c>
      <c r="T120" s="271">
        <v>0.68</v>
      </c>
      <c r="U120" s="222">
        <v>0.68</v>
      </c>
      <c r="V120" s="271">
        <v>0.68</v>
      </c>
      <c r="W120" s="287">
        <v>0.68</v>
      </c>
      <c r="Y120" s="203" t="s">
        <v>397</v>
      </c>
    </row>
    <row r="121" spans="1:25" x14ac:dyDescent="0.2">
      <c r="A121" s="307" t="s">
        <v>435</v>
      </c>
      <c r="B121" s="271">
        <v>0.55000000000000004</v>
      </c>
      <c r="C121" s="222">
        <v>0.55000000000000004</v>
      </c>
      <c r="D121" s="271">
        <v>0.55000000000000004</v>
      </c>
      <c r="E121" s="222">
        <v>0.55000000000000004</v>
      </c>
      <c r="F121" s="271">
        <v>0.55000000000000004</v>
      </c>
      <c r="G121" s="222">
        <v>0.55000000000000004</v>
      </c>
      <c r="H121" s="271">
        <v>0.55000000000000004</v>
      </c>
      <c r="I121" s="222">
        <v>0.55000000000000004</v>
      </c>
      <c r="J121" s="271">
        <v>0.55000000000000004</v>
      </c>
      <c r="K121" s="222">
        <v>0.55000000000000004</v>
      </c>
      <c r="L121" s="271">
        <v>0.55000000000000004</v>
      </c>
      <c r="M121" s="222">
        <v>0.55000000000000004</v>
      </c>
      <c r="N121" s="271">
        <v>0.55000000000000004</v>
      </c>
      <c r="O121" s="222">
        <v>0.55000000000000004</v>
      </c>
      <c r="P121" s="271">
        <v>0.55000000000000004</v>
      </c>
      <c r="Q121" s="222">
        <v>0.55000000000000004</v>
      </c>
      <c r="R121" s="271">
        <v>0.55000000000000004</v>
      </c>
      <c r="S121" s="222">
        <v>0.55000000000000004</v>
      </c>
      <c r="T121" s="271">
        <v>0.55000000000000004</v>
      </c>
      <c r="U121" s="222">
        <v>0.55000000000000004</v>
      </c>
      <c r="V121" s="271">
        <v>0.55000000000000004</v>
      </c>
      <c r="W121" s="287">
        <v>0.55000000000000004</v>
      </c>
      <c r="Y121" s="203" t="s">
        <v>397</v>
      </c>
    </row>
    <row r="122" spans="1:25" x14ac:dyDescent="0.2">
      <c r="A122" s="285" t="s">
        <v>436</v>
      </c>
      <c r="B122" s="314">
        <v>0.01</v>
      </c>
      <c r="D122" s="314">
        <v>0.01</v>
      </c>
      <c r="F122" s="314">
        <v>0.01</v>
      </c>
      <c r="H122" s="314">
        <v>0.01</v>
      </c>
      <c r="J122" s="314">
        <v>0.01</v>
      </c>
      <c r="L122" s="314">
        <v>0.01</v>
      </c>
      <c r="N122" s="314">
        <v>0.01</v>
      </c>
      <c r="P122" s="314">
        <v>0.01</v>
      </c>
      <c r="R122" s="314">
        <v>0.01</v>
      </c>
      <c r="T122" s="314">
        <v>0.01</v>
      </c>
      <c r="V122" s="314">
        <v>0.01</v>
      </c>
      <c r="W122" s="283"/>
      <c r="Y122" s="203" t="s">
        <v>437</v>
      </c>
    </row>
    <row r="123" spans="1:25" x14ac:dyDescent="0.2">
      <c r="A123" s="260"/>
      <c r="B123" s="272"/>
      <c r="D123" s="272"/>
      <c r="F123" s="272"/>
      <c r="H123" s="272"/>
      <c r="J123" s="272"/>
      <c r="L123" s="272"/>
      <c r="N123" s="272"/>
      <c r="P123" s="272"/>
      <c r="R123" s="272"/>
      <c r="T123" s="272"/>
      <c r="V123" s="272"/>
      <c r="W123" s="283"/>
    </row>
    <row r="124" spans="1:25" x14ac:dyDescent="0.2">
      <c r="A124" s="295" t="s">
        <v>438</v>
      </c>
      <c r="B124" s="289"/>
      <c r="C124" s="197"/>
      <c r="D124" s="289"/>
      <c r="E124" s="197"/>
      <c r="F124" s="289"/>
      <c r="G124" s="197"/>
      <c r="H124" s="289"/>
      <c r="I124" s="197"/>
      <c r="J124" s="289"/>
      <c r="K124" s="197"/>
      <c r="L124" s="289"/>
      <c r="M124" s="197"/>
      <c r="N124" s="289"/>
      <c r="O124" s="197"/>
      <c r="P124" s="289"/>
      <c r="Q124" s="197"/>
      <c r="R124" s="289"/>
      <c r="S124" s="197"/>
      <c r="T124" s="289"/>
      <c r="U124" s="197"/>
      <c r="V124" s="289"/>
      <c r="W124" s="290"/>
      <c r="Y124" s="325" t="s">
        <v>439</v>
      </c>
    </row>
    <row r="125" spans="1:25" x14ac:dyDescent="0.2">
      <c r="A125" s="285" t="s">
        <v>386</v>
      </c>
      <c r="B125" s="305">
        <f t="shared" ref="B125:W125" si="24">B109-B114</f>
        <v>9.5936971455302278E-2</v>
      </c>
      <c r="C125" s="59">
        <f t="shared" si="24"/>
        <v>6.6911305190818539E-3</v>
      </c>
      <c r="D125" s="305">
        <f t="shared" si="24"/>
        <v>2.8110887342686111</v>
      </c>
      <c r="E125" s="59">
        <f t="shared" si="24"/>
        <v>0.90298831964440396</v>
      </c>
      <c r="F125" s="305">
        <f t="shared" si="24"/>
        <v>0.75445607340822862</v>
      </c>
      <c r="G125" s="59">
        <f t="shared" si="24"/>
        <v>0.27220965140054421</v>
      </c>
      <c r="H125" s="305">
        <f t="shared" si="24"/>
        <v>6.2188344150863415</v>
      </c>
      <c r="I125" s="59">
        <f t="shared" si="24"/>
        <v>1.5224182934524491</v>
      </c>
      <c r="J125" s="305">
        <f t="shared" si="24"/>
        <v>2.4114314214407218</v>
      </c>
      <c r="K125" s="59">
        <f t="shared" si="24"/>
        <v>0.38739638086144756</v>
      </c>
      <c r="L125" s="305">
        <f t="shared" si="24"/>
        <v>0</v>
      </c>
      <c r="M125" s="59">
        <f t="shared" si="24"/>
        <v>0</v>
      </c>
      <c r="N125" s="305">
        <f t="shared" si="24"/>
        <v>2.6928028956807095</v>
      </c>
      <c r="O125" s="59">
        <f t="shared" si="24"/>
        <v>1.1569975506603321</v>
      </c>
      <c r="P125" s="305">
        <f t="shared" si="24"/>
        <v>0.15371325777250178</v>
      </c>
      <c r="Q125" s="59">
        <f t="shared" si="24"/>
        <v>0.37173369994549621</v>
      </c>
      <c r="R125" s="305">
        <f t="shared" si="24"/>
        <v>5.7819952384136837</v>
      </c>
      <c r="S125" s="59">
        <f t="shared" si="24"/>
        <v>1.8814820958201768</v>
      </c>
      <c r="T125" s="305">
        <f t="shared" si="24"/>
        <v>3.1792738835170198</v>
      </c>
      <c r="U125" s="59">
        <f t="shared" si="24"/>
        <v>0.68129910304010566</v>
      </c>
      <c r="V125" s="305">
        <f t="shared" si="24"/>
        <v>0.46069589670080324</v>
      </c>
      <c r="W125" s="306">
        <f t="shared" si="24"/>
        <v>0.17860530813866804</v>
      </c>
    </row>
    <row r="126" spans="1:25" x14ac:dyDescent="0.2">
      <c r="A126" s="285" t="s">
        <v>387</v>
      </c>
      <c r="B126" s="305">
        <f t="shared" ref="B126:W126" si="25">B110-B115</f>
        <v>20.84802273625872</v>
      </c>
      <c r="C126" s="59">
        <f t="shared" si="25"/>
        <v>1.830562355771991</v>
      </c>
      <c r="D126" s="305">
        <f t="shared" si="25"/>
        <v>3.2027536516168595</v>
      </c>
      <c r="E126" s="59">
        <f t="shared" si="25"/>
        <v>0.19372318659830906</v>
      </c>
      <c r="F126" s="305">
        <f t="shared" si="25"/>
        <v>15.126643305279408</v>
      </c>
      <c r="G126" s="59">
        <f t="shared" si="25"/>
        <v>1.9295722924198451</v>
      </c>
      <c r="H126" s="305">
        <f t="shared" si="25"/>
        <v>1.0560343295337631</v>
      </c>
      <c r="I126" s="59">
        <f t="shared" si="25"/>
        <v>0.18985451116325314</v>
      </c>
      <c r="J126" s="305">
        <f t="shared" si="25"/>
        <v>4.5257963434031572</v>
      </c>
      <c r="K126" s="59">
        <f t="shared" si="25"/>
        <v>0.12271380136467225</v>
      </c>
      <c r="L126" s="305">
        <f t="shared" si="25"/>
        <v>0</v>
      </c>
      <c r="M126" s="59">
        <f t="shared" si="25"/>
        <v>0</v>
      </c>
      <c r="N126" s="305">
        <f t="shared" si="25"/>
        <v>9.9186271213097381</v>
      </c>
      <c r="O126" s="59">
        <f t="shared" si="25"/>
        <v>2.9058755738198587</v>
      </c>
      <c r="P126" s="305">
        <f t="shared" si="25"/>
        <v>20.037939150492925</v>
      </c>
      <c r="Q126" s="59">
        <f t="shared" si="25"/>
        <v>0.98895739148116313</v>
      </c>
      <c r="R126" s="305">
        <f t="shared" si="25"/>
        <v>2.046530870013235</v>
      </c>
      <c r="S126" s="59">
        <f t="shared" si="25"/>
        <v>0.30559327460867031</v>
      </c>
      <c r="T126" s="305">
        <f t="shared" si="25"/>
        <v>8.1738345829751715</v>
      </c>
      <c r="U126" s="59">
        <f t="shared" si="25"/>
        <v>4.1948562886128499E-2</v>
      </c>
      <c r="V126" s="305">
        <f t="shared" si="25"/>
        <v>15.209301167751921</v>
      </c>
      <c r="W126" s="306">
        <f t="shared" si="25"/>
        <v>1.0514834228481265</v>
      </c>
    </row>
    <row r="127" spans="1:25" x14ac:dyDescent="0.2">
      <c r="A127" s="285" t="s">
        <v>388</v>
      </c>
      <c r="B127" s="305">
        <f t="shared" ref="B127:W127" si="26">B111-B116</f>
        <v>1.1062673918954053</v>
      </c>
      <c r="C127" s="59">
        <f t="shared" si="26"/>
        <v>0.87060805284611265</v>
      </c>
      <c r="D127" s="305">
        <f t="shared" si="26"/>
        <v>0.21161491374066715</v>
      </c>
      <c r="E127" s="59">
        <f t="shared" si="26"/>
        <v>0.24189578178924587</v>
      </c>
      <c r="F127" s="305">
        <f t="shared" si="26"/>
        <v>0.37304733885021657</v>
      </c>
      <c r="G127" s="59">
        <f t="shared" si="26"/>
        <v>0.49389978550306757</v>
      </c>
      <c r="H127" s="305">
        <f t="shared" si="26"/>
        <v>0</v>
      </c>
      <c r="I127" s="59">
        <f t="shared" si="26"/>
        <v>0</v>
      </c>
      <c r="J127" s="305">
        <f t="shared" si="26"/>
        <v>3.5633325301898209</v>
      </c>
      <c r="K127" s="59">
        <f t="shared" si="26"/>
        <v>1.3196071137314127</v>
      </c>
      <c r="L127" s="305">
        <f t="shared" si="26"/>
        <v>2.1086028570372335</v>
      </c>
      <c r="M127" s="59">
        <f t="shared" si="26"/>
        <v>1.2346819787125827</v>
      </c>
      <c r="N127" s="305">
        <f t="shared" si="26"/>
        <v>0</v>
      </c>
      <c r="O127" s="59">
        <f t="shared" si="26"/>
        <v>0</v>
      </c>
      <c r="P127" s="305">
        <f t="shared" si="26"/>
        <v>0.10088763537233814</v>
      </c>
      <c r="Q127" s="59">
        <f t="shared" si="26"/>
        <v>0</v>
      </c>
      <c r="R127" s="305">
        <f t="shared" si="26"/>
        <v>0</v>
      </c>
      <c r="S127" s="59">
        <f t="shared" si="26"/>
        <v>0</v>
      </c>
      <c r="T127" s="305">
        <f t="shared" si="26"/>
        <v>0.7547694320914351</v>
      </c>
      <c r="U127" s="59">
        <f t="shared" si="26"/>
        <v>0.19374477177060684</v>
      </c>
      <c r="V127" s="305">
        <f t="shared" si="26"/>
        <v>9.1600353729984235E-2</v>
      </c>
      <c r="W127" s="306">
        <f t="shared" si="26"/>
        <v>0.39273962918664196</v>
      </c>
    </row>
    <row r="128" spans="1:25" x14ac:dyDescent="0.2">
      <c r="A128" s="308" t="s">
        <v>440</v>
      </c>
      <c r="B128" s="305"/>
      <c r="C128" s="59"/>
      <c r="D128" s="305"/>
      <c r="E128" s="59"/>
      <c r="F128" s="305"/>
      <c r="G128" s="59"/>
      <c r="H128" s="305"/>
      <c r="I128" s="59"/>
      <c r="J128" s="305"/>
      <c r="K128" s="59"/>
      <c r="L128" s="305"/>
      <c r="M128" s="59"/>
      <c r="N128" s="305"/>
      <c r="O128" s="59"/>
      <c r="P128" s="305"/>
      <c r="Q128" s="59"/>
      <c r="R128" s="305"/>
      <c r="S128" s="59"/>
      <c r="T128" s="305"/>
      <c r="U128" s="59"/>
      <c r="V128" s="305"/>
      <c r="W128" s="306"/>
    </row>
    <row r="129" spans="1:25" x14ac:dyDescent="0.2">
      <c r="A129" s="295" t="s">
        <v>441</v>
      </c>
      <c r="B129" s="289"/>
      <c r="C129" s="197"/>
      <c r="D129" s="289"/>
      <c r="E129" s="197"/>
      <c r="F129" s="289"/>
      <c r="G129" s="197"/>
      <c r="H129" s="289"/>
      <c r="I129" s="197"/>
      <c r="J129" s="289"/>
      <c r="K129" s="197"/>
      <c r="L129" s="289"/>
      <c r="M129" s="197"/>
      <c r="N129" s="289"/>
      <c r="O129" s="197"/>
      <c r="P129" s="289"/>
      <c r="Q129" s="197"/>
      <c r="R129" s="289"/>
      <c r="S129" s="197"/>
      <c r="T129" s="289"/>
      <c r="U129" s="197"/>
      <c r="V129" s="289"/>
      <c r="W129" s="290"/>
      <c r="Y129" s="325" t="s">
        <v>442</v>
      </c>
    </row>
    <row r="130" spans="1:25" x14ac:dyDescent="0.2">
      <c r="A130" s="326" t="s">
        <v>443</v>
      </c>
      <c r="B130" s="305">
        <f t="shared" ref="B130:W130" si="27">B52*B133</f>
        <v>0.89210308014531559</v>
      </c>
      <c r="C130" s="59">
        <f t="shared" si="27"/>
        <v>0.86063662556512222</v>
      </c>
      <c r="D130" s="305">
        <f t="shared" si="27"/>
        <v>4.0131391767499194</v>
      </c>
      <c r="E130" s="59">
        <f t="shared" si="27"/>
        <v>1.9737850841989617</v>
      </c>
      <c r="F130" s="305">
        <f t="shared" si="27"/>
        <v>0.97971123786295689</v>
      </c>
      <c r="G130" s="59">
        <f t="shared" si="27"/>
        <v>0.62186292516301944</v>
      </c>
      <c r="H130" s="305">
        <f t="shared" si="27"/>
        <v>0.78163767635220305</v>
      </c>
      <c r="I130" s="59">
        <f t="shared" si="27"/>
        <v>1.066571919241059</v>
      </c>
      <c r="J130" s="305">
        <f t="shared" si="27"/>
        <v>0.55320051427349393</v>
      </c>
      <c r="K130" s="59">
        <f t="shared" si="27"/>
        <v>0.79757791068214468</v>
      </c>
      <c r="L130" s="305">
        <f t="shared" si="27"/>
        <v>6.3378494514520405</v>
      </c>
      <c r="M130" s="59">
        <f t="shared" si="27"/>
        <v>1.7794684553049815</v>
      </c>
      <c r="N130" s="305">
        <f t="shared" si="27"/>
        <v>0.59062903716378468</v>
      </c>
      <c r="O130" s="59">
        <f t="shared" si="27"/>
        <v>0.10916052526953164</v>
      </c>
      <c r="P130" s="305">
        <f t="shared" si="27"/>
        <v>1.3736476576122414</v>
      </c>
      <c r="Q130" s="59">
        <f t="shared" si="27"/>
        <v>1.2246901907592587</v>
      </c>
      <c r="R130" s="305">
        <f t="shared" si="27"/>
        <v>1.0220569606735763</v>
      </c>
      <c r="S130" s="59">
        <f t="shared" si="27"/>
        <v>0.36987849499439573</v>
      </c>
      <c r="T130" s="305">
        <f t="shared" si="27"/>
        <v>0</v>
      </c>
      <c r="U130" s="59">
        <f t="shared" si="27"/>
        <v>2.2639071352870759</v>
      </c>
      <c r="V130" s="305">
        <f t="shared" si="27"/>
        <v>3.0894620583482642</v>
      </c>
      <c r="W130" s="306">
        <f t="shared" si="27"/>
        <v>1.241271404300557</v>
      </c>
    </row>
    <row r="131" spans="1:25" x14ac:dyDescent="0.2">
      <c r="A131" s="326"/>
      <c r="B131" s="305"/>
      <c r="C131" s="59">
        <f>SUM(B130:C130)</f>
        <v>1.7527397057104377</v>
      </c>
      <c r="D131" s="305"/>
      <c r="E131" s="59">
        <f>SUM(D130:E130)</f>
        <v>5.9869242609488813</v>
      </c>
      <c r="F131" s="305"/>
      <c r="G131" s="59">
        <f>SUM(F130:G130)</f>
        <v>1.6015741630259763</v>
      </c>
      <c r="H131" s="305"/>
      <c r="I131" s="59">
        <f>SUM(H130:I130)</f>
        <v>1.848209595593262</v>
      </c>
      <c r="J131" s="305"/>
      <c r="K131" s="59">
        <f>SUM(J130:K130)</f>
        <v>1.3507784249556387</v>
      </c>
      <c r="L131" s="305"/>
      <c r="M131" s="59">
        <f>SUM(L130:M130)</f>
        <v>8.1173179067570214</v>
      </c>
      <c r="N131" s="305"/>
      <c r="O131" s="59">
        <f>SUM(N130:O130)</f>
        <v>0.69978956243331636</v>
      </c>
      <c r="P131" s="305"/>
      <c r="Q131" s="59">
        <f>SUM(P130:Q130)</f>
        <v>2.5983378483715001</v>
      </c>
      <c r="R131" s="305"/>
      <c r="S131" s="59">
        <f>SUM(R130:S130)</f>
        <v>1.3919354556679719</v>
      </c>
      <c r="T131" s="305"/>
      <c r="U131" s="59">
        <f>SUM(T130:U130)</f>
        <v>2.2639071352870759</v>
      </c>
      <c r="V131" s="305"/>
      <c r="W131" s="59">
        <f>SUM(V130:W130)</f>
        <v>4.330733462648821</v>
      </c>
    </row>
    <row r="132" spans="1:25" x14ac:dyDescent="0.2">
      <c r="A132" s="285"/>
      <c r="B132" s="305"/>
      <c r="C132" s="59"/>
      <c r="D132" s="305"/>
      <c r="E132" s="59"/>
      <c r="F132" s="305"/>
      <c r="G132" s="59"/>
      <c r="H132" s="305"/>
      <c r="I132" s="59"/>
      <c r="J132" s="305"/>
      <c r="K132" s="59"/>
      <c r="L132" s="305"/>
      <c r="M132" s="59"/>
      <c r="N132" s="305"/>
      <c r="O132" s="59"/>
      <c r="P132" s="305"/>
      <c r="Q132" s="59"/>
      <c r="R132" s="305"/>
      <c r="S132" s="59"/>
      <c r="T132" s="305"/>
      <c r="U132" s="59"/>
      <c r="V132" s="305"/>
      <c r="W132" s="306"/>
    </row>
    <row r="133" spans="1:25" x14ac:dyDescent="0.2">
      <c r="A133" s="260" t="s">
        <v>444</v>
      </c>
      <c r="B133" s="271">
        <v>0.14000000000000001</v>
      </c>
      <c r="C133" s="222">
        <v>0.14000000000000001</v>
      </c>
      <c r="D133" s="271">
        <v>0.14000000000000001</v>
      </c>
      <c r="E133" s="222">
        <v>0.14000000000000001</v>
      </c>
      <c r="F133" s="271">
        <v>0.14000000000000001</v>
      </c>
      <c r="G133" s="222">
        <v>0.14000000000000001</v>
      </c>
      <c r="H133" s="271">
        <v>0.14000000000000001</v>
      </c>
      <c r="I133" s="222">
        <v>0.14000000000000001</v>
      </c>
      <c r="J133" s="271">
        <v>0.14000000000000001</v>
      </c>
      <c r="K133" s="222">
        <v>0.14000000000000001</v>
      </c>
      <c r="L133" s="271">
        <v>0.14000000000000001</v>
      </c>
      <c r="M133" s="222">
        <v>0.14000000000000001</v>
      </c>
      <c r="N133" s="271">
        <v>0.14000000000000001</v>
      </c>
      <c r="O133" s="222">
        <v>0.14000000000000001</v>
      </c>
      <c r="P133" s="271">
        <v>0.14000000000000001</v>
      </c>
      <c r="Q133" s="222">
        <v>0.14000000000000001</v>
      </c>
      <c r="R133" s="271">
        <v>0.14000000000000001</v>
      </c>
      <c r="S133" s="222">
        <v>0.14000000000000001</v>
      </c>
      <c r="T133" s="271">
        <v>0.14000000000000001</v>
      </c>
      <c r="U133" s="222">
        <v>0.14000000000000001</v>
      </c>
      <c r="V133" s="271">
        <v>0.14000000000000001</v>
      </c>
      <c r="W133" s="287">
        <v>0.14000000000000001</v>
      </c>
      <c r="Y133" s="203" t="s">
        <v>397</v>
      </c>
    </row>
    <row r="134" spans="1:25" x14ac:dyDescent="0.2">
      <c r="A134" s="295" t="s">
        <v>445</v>
      </c>
      <c r="B134" s="322"/>
      <c r="C134" s="323"/>
      <c r="D134" s="322"/>
      <c r="E134" s="323"/>
      <c r="F134" s="322"/>
      <c r="G134" s="323"/>
      <c r="H134" s="322"/>
      <c r="I134" s="323"/>
      <c r="J134" s="322"/>
      <c r="K134" s="323"/>
      <c r="L134" s="322"/>
      <c r="M134" s="323"/>
      <c r="N134" s="322"/>
      <c r="O134" s="323"/>
      <c r="P134" s="322"/>
      <c r="Q134" s="323"/>
      <c r="R134" s="322"/>
      <c r="S134" s="323"/>
      <c r="T134" s="322"/>
      <c r="U134" s="323"/>
      <c r="V134" s="322"/>
      <c r="W134" s="324"/>
    </row>
    <row r="135" spans="1:25" x14ac:dyDescent="0.2">
      <c r="A135" s="285" t="s">
        <v>386</v>
      </c>
      <c r="B135" s="305">
        <f t="shared" ref="B135:W135" si="28">B55+B79+B89+B99+B114</f>
        <v>0.83512835710935507</v>
      </c>
      <c r="C135" s="59">
        <f t="shared" si="28"/>
        <v>5.824608336952309E-2</v>
      </c>
      <c r="D135" s="305">
        <f t="shared" si="28"/>
        <v>24.470440130915904</v>
      </c>
      <c r="E135" s="59">
        <f t="shared" si="28"/>
        <v>7.8604852793890201</v>
      </c>
      <c r="F135" s="305">
        <f t="shared" si="28"/>
        <v>6.5675166887057923</v>
      </c>
      <c r="G135" s="59">
        <f t="shared" si="28"/>
        <v>2.3695765617258564</v>
      </c>
      <c r="H135" s="305">
        <f t="shared" si="28"/>
        <v>54.134760451823041</v>
      </c>
      <c r="I135" s="59">
        <f t="shared" si="28"/>
        <v>13.252603964432346</v>
      </c>
      <c r="J135" s="305">
        <f t="shared" si="28"/>
        <v>20.99143563446691</v>
      </c>
      <c r="K135" s="59">
        <f t="shared" si="28"/>
        <v>3.3722734644553958</v>
      </c>
      <c r="L135" s="305">
        <f t="shared" si="28"/>
        <v>0</v>
      </c>
      <c r="M135" s="59">
        <f t="shared" si="28"/>
        <v>0</v>
      </c>
      <c r="N135" s="305">
        <f t="shared" si="28"/>
        <v>23.440765579481464</v>
      </c>
      <c r="O135" s="59">
        <f t="shared" si="28"/>
        <v>10.07162774689724</v>
      </c>
      <c r="P135" s="305">
        <f t="shared" si="28"/>
        <v>1.3380691352059704</v>
      </c>
      <c r="Q135" s="59">
        <f t="shared" si="28"/>
        <v>3.235930313500702</v>
      </c>
      <c r="R135" s="305">
        <f t="shared" si="28"/>
        <v>50.332088985321597</v>
      </c>
      <c r="S135" s="59">
        <f t="shared" si="28"/>
        <v>16.378243212993656</v>
      </c>
      <c r="T135" s="305">
        <f t="shared" si="28"/>
        <v>27.675480420801897</v>
      </c>
      <c r="U135" s="59">
        <f t="shared" si="28"/>
        <v>5.9306875336068838</v>
      </c>
      <c r="V135" s="305">
        <f t="shared" si="28"/>
        <v>4.0103434734545083</v>
      </c>
      <c r="W135" s="306">
        <f t="shared" si="28"/>
        <v>1.5547536605984058</v>
      </c>
    </row>
    <row r="136" spans="1:25" x14ac:dyDescent="0.2">
      <c r="A136" s="285" t="s">
        <v>387</v>
      </c>
      <c r="B136" s="305">
        <f t="shared" ref="B136:W136" si="29">B56+B80+B90+B100+B115</f>
        <v>60.274621670183755</v>
      </c>
      <c r="C136" s="59">
        <f t="shared" si="29"/>
        <v>5.2924181268250781</v>
      </c>
      <c r="D136" s="305">
        <f t="shared" si="29"/>
        <v>9.2596198256376461</v>
      </c>
      <c r="E136" s="59">
        <f t="shared" si="29"/>
        <v>0.56008149687248987</v>
      </c>
      <c r="F136" s="305">
        <f t="shared" si="29"/>
        <v>43.733293746836758</v>
      </c>
      <c r="G136" s="59">
        <f t="shared" si="29"/>
        <v>5.5786700437830898</v>
      </c>
      <c r="H136" s="305">
        <f t="shared" si="29"/>
        <v>3.0531465975749597</v>
      </c>
      <c r="I136" s="59">
        <f t="shared" si="29"/>
        <v>0.54889660173098676</v>
      </c>
      <c r="J136" s="305">
        <f t="shared" si="29"/>
        <v>13.084725866136498</v>
      </c>
      <c r="K136" s="59">
        <f t="shared" si="29"/>
        <v>0.35478318709340773</v>
      </c>
      <c r="L136" s="305">
        <f t="shared" si="29"/>
        <v>0</v>
      </c>
      <c r="M136" s="59">
        <f t="shared" si="29"/>
        <v>0</v>
      </c>
      <c r="N136" s="305">
        <f t="shared" si="29"/>
        <v>28.676172545840842</v>
      </c>
      <c r="O136" s="59">
        <f t="shared" si="29"/>
        <v>8.4013027541455791</v>
      </c>
      <c r="P136" s="305">
        <f t="shared" si="29"/>
        <v>57.932553922514849</v>
      </c>
      <c r="Q136" s="59">
        <f t="shared" si="29"/>
        <v>2.8592175561947819</v>
      </c>
      <c r="R136" s="305">
        <f t="shared" si="29"/>
        <v>5.916814054114762</v>
      </c>
      <c r="S136" s="59">
        <f t="shared" si="29"/>
        <v>0.88351395453704518</v>
      </c>
      <c r="T136" s="305">
        <f t="shared" si="29"/>
        <v>23.631727253761881</v>
      </c>
      <c r="U136" s="59">
        <f t="shared" si="29"/>
        <v>0.12127930737392537</v>
      </c>
      <c r="V136" s="305">
        <f t="shared" si="29"/>
        <v>43.972269473773771</v>
      </c>
      <c r="W136" s="306">
        <f t="shared" si="29"/>
        <v>3.03998927411061</v>
      </c>
    </row>
    <row r="137" spans="1:25" x14ac:dyDescent="0.2">
      <c r="A137" s="285" t="s">
        <v>388</v>
      </c>
      <c r="B137" s="305">
        <f t="shared" ref="B137:W137" si="30">B57+B81+B91+B101+B116</f>
        <v>9.6300232903193219</v>
      </c>
      <c r="C137" s="59">
        <f t="shared" si="30"/>
        <v>7.5786160625082433</v>
      </c>
      <c r="D137" s="305">
        <f t="shared" si="30"/>
        <v>1.8421012522207771</v>
      </c>
      <c r="E137" s="59">
        <f t="shared" si="30"/>
        <v>2.105695268184026</v>
      </c>
      <c r="F137" s="305">
        <f t="shared" si="30"/>
        <v>3.247365499370054</v>
      </c>
      <c r="G137" s="59">
        <f t="shared" si="30"/>
        <v>4.2993822943015489</v>
      </c>
      <c r="H137" s="305">
        <f t="shared" si="30"/>
        <v>0</v>
      </c>
      <c r="I137" s="59">
        <f t="shared" si="30"/>
        <v>0</v>
      </c>
      <c r="J137" s="305">
        <f t="shared" si="30"/>
        <v>31.018699012801463</v>
      </c>
      <c r="K137" s="59">
        <f t="shared" si="30"/>
        <v>11.487138943444569</v>
      </c>
      <c r="L137" s="305">
        <f t="shared" si="30"/>
        <v>18.355322385948345</v>
      </c>
      <c r="M137" s="59">
        <f t="shared" si="30"/>
        <v>10.747868280532204</v>
      </c>
      <c r="N137" s="305">
        <f t="shared" si="30"/>
        <v>0</v>
      </c>
      <c r="O137" s="59">
        <f t="shared" si="30"/>
        <v>0</v>
      </c>
      <c r="P137" s="305">
        <f t="shared" si="30"/>
        <v>0.87822373275982568</v>
      </c>
      <c r="Q137" s="59">
        <f t="shared" si="30"/>
        <v>0</v>
      </c>
      <c r="R137" s="305">
        <f t="shared" si="30"/>
        <v>0</v>
      </c>
      <c r="S137" s="59">
        <f t="shared" si="30"/>
        <v>0</v>
      </c>
      <c r="T137" s="305">
        <f t="shared" si="30"/>
        <v>6.5702444663114683</v>
      </c>
      <c r="U137" s="59">
        <f t="shared" si="30"/>
        <v>1.6865422213447547</v>
      </c>
      <c r="V137" s="305">
        <f t="shared" si="30"/>
        <v>0.79737823448803047</v>
      </c>
      <c r="W137" s="306">
        <f t="shared" si="30"/>
        <v>3.4187862751868261</v>
      </c>
    </row>
    <row r="138" spans="1:25" x14ac:dyDescent="0.2">
      <c r="A138" s="285" t="s">
        <v>264</v>
      </c>
      <c r="B138" s="305">
        <f t="shared" ref="B138:W138" si="31">B130</f>
        <v>0.89210308014531559</v>
      </c>
      <c r="C138" s="59">
        <f t="shared" si="31"/>
        <v>0.86063662556512222</v>
      </c>
      <c r="D138" s="305">
        <f t="shared" si="31"/>
        <v>4.0131391767499194</v>
      </c>
      <c r="E138" s="59">
        <f t="shared" si="31"/>
        <v>1.9737850841989617</v>
      </c>
      <c r="F138" s="305">
        <f t="shared" si="31"/>
        <v>0.97971123786295689</v>
      </c>
      <c r="G138" s="59">
        <f t="shared" si="31"/>
        <v>0.62186292516301944</v>
      </c>
      <c r="H138" s="305">
        <f t="shared" si="31"/>
        <v>0.78163767635220305</v>
      </c>
      <c r="I138" s="59">
        <f t="shared" si="31"/>
        <v>1.066571919241059</v>
      </c>
      <c r="J138" s="305">
        <f t="shared" si="31"/>
        <v>0.55320051427349393</v>
      </c>
      <c r="K138" s="59">
        <f t="shared" si="31"/>
        <v>0.79757791068214468</v>
      </c>
      <c r="L138" s="305">
        <f t="shared" si="31"/>
        <v>6.3378494514520405</v>
      </c>
      <c r="M138" s="59">
        <f t="shared" si="31"/>
        <v>1.7794684553049815</v>
      </c>
      <c r="N138" s="305">
        <f t="shared" si="31"/>
        <v>0.59062903716378468</v>
      </c>
      <c r="O138" s="59">
        <f t="shared" si="31"/>
        <v>0.10916052526953164</v>
      </c>
      <c r="P138" s="305">
        <f t="shared" si="31"/>
        <v>1.3736476576122414</v>
      </c>
      <c r="Q138" s="59">
        <f t="shared" si="31"/>
        <v>1.2246901907592587</v>
      </c>
      <c r="R138" s="305">
        <f t="shared" si="31"/>
        <v>1.0220569606735763</v>
      </c>
      <c r="S138" s="59">
        <f t="shared" si="31"/>
        <v>0.36987849499439573</v>
      </c>
      <c r="T138" s="305">
        <f t="shared" si="31"/>
        <v>0</v>
      </c>
      <c r="U138" s="59">
        <f t="shared" si="31"/>
        <v>2.2639071352870759</v>
      </c>
      <c r="V138" s="305">
        <f t="shared" si="31"/>
        <v>3.0894620583482642</v>
      </c>
      <c r="W138" s="306">
        <f t="shared" si="31"/>
        <v>1.241271404300557</v>
      </c>
    </row>
    <row r="139" spans="1:25" x14ac:dyDescent="0.2">
      <c r="A139" s="327" t="s">
        <v>446</v>
      </c>
      <c r="B139" s="305"/>
      <c r="C139" s="59"/>
      <c r="D139" s="305"/>
      <c r="E139" s="59"/>
      <c r="F139" s="305"/>
      <c r="G139" s="59"/>
      <c r="H139" s="305"/>
      <c r="I139" s="59"/>
      <c r="J139" s="305"/>
      <c r="K139" s="59"/>
      <c r="L139" s="305"/>
      <c r="M139" s="59"/>
      <c r="N139" s="305"/>
      <c r="O139" s="59"/>
      <c r="P139" s="305"/>
      <c r="Q139" s="59"/>
      <c r="R139" s="305"/>
      <c r="S139" s="59"/>
      <c r="T139" s="305"/>
      <c r="U139" s="59"/>
      <c r="V139" s="305"/>
      <c r="W139" s="306"/>
    </row>
    <row r="140" spans="1:25" x14ac:dyDescent="0.2">
      <c r="B140" s="328">
        <f t="shared" ref="B140:W140" si="32">IF(B43=0,"",B135/B43)</f>
        <v>0.53817599999999999</v>
      </c>
      <c r="C140" s="16">
        <f t="shared" si="32"/>
        <v>0.53817599999999999</v>
      </c>
      <c r="D140" s="328">
        <f t="shared" si="32"/>
        <v>0.53817599999999999</v>
      </c>
      <c r="E140" s="16">
        <f t="shared" si="32"/>
        <v>0.53817599999999999</v>
      </c>
      <c r="F140" s="328">
        <f t="shared" si="32"/>
        <v>0.53817599999999988</v>
      </c>
      <c r="G140" s="16">
        <f t="shared" si="32"/>
        <v>0.53817599999999999</v>
      </c>
      <c r="H140" s="328">
        <f t="shared" si="32"/>
        <v>0.53817599999999999</v>
      </c>
      <c r="I140" s="16">
        <f t="shared" si="32"/>
        <v>0.53817599999999988</v>
      </c>
      <c r="J140" s="328">
        <f t="shared" si="32"/>
        <v>0.53817599999999999</v>
      </c>
      <c r="K140" s="16">
        <f t="shared" si="32"/>
        <v>0.53817599999999999</v>
      </c>
      <c r="L140" s="328" t="str">
        <f t="shared" si="32"/>
        <v/>
      </c>
      <c r="M140" s="16" t="str">
        <f t="shared" si="32"/>
        <v/>
      </c>
      <c r="N140" s="328">
        <f t="shared" si="32"/>
        <v>0.53817599999999988</v>
      </c>
      <c r="O140" s="16">
        <f t="shared" si="32"/>
        <v>0.53817599999999999</v>
      </c>
      <c r="P140" s="328">
        <f t="shared" si="32"/>
        <v>0.53817599999999999</v>
      </c>
      <c r="Q140" s="16">
        <f t="shared" si="32"/>
        <v>0.53817599999999988</v>
      </c>
      <c r="R140" s="328">
        <f t="shared" si="32"/>
        <v>0.53817599999999999</v>
      </c>
      <c r="S140" s="16">
        <f t="shared" si="32"/>
        <v>0.5381760000000001</v>
      </c>
      <c r="T140" s="328">
        <f t="shared" si="32"/>
        <v>0.5381760000000001</v>
      </c>
      <c r="U140" s="16">
        <f t="shared" si="32"/>
        <v>0.53817599999999999</v>
      </c>
      <c r="V140" s="328">
        <f t="shared" si="32"/>
        <v>0.53817599999999999</v>
      </c>
      <c r="W140" s="329">
        <f t="shared" si="32"/>
        <v>0.53817599999999988</v>
      </c>
    </row>
    <row r="141" spans="1:25" x14ac:dyDescent="0.2">
      <c r="A141" s="285"/>
      <c r="B141" s="328">
        <f t="shared" ref="B141:W141" si="33">IF(B44=0,"",B136/B44)</f>
        <v>0.4755239200000001</v>
      </c>
      <c r="C141" s="16">
        <f t="shared" si="33"/>
        <v>0.4755239200000001</v>
      </c>
      <c r="D141" s="328">
        <f t="shared" si="33"/>
        <v>0.47552392000000004</v>
      </c>
      <c r="E141" s="16">
        <f t="shared" si="33"/>
        <v>0.47552391999999999</v>
      </c>
      <c r="F141" s="328">
        <f t="shared" si="33"/>
        <v>0.47552392000000004</v>
      </c>
      <c r="G141" s="16">
        <f t="shared" si="33"/>
        <v>0.47552391999999999</v>
      </c>
      <c r="H141" s="328">
        <f t="shared" si="33"/>
        <v>0.47552391999999988</v>
      </c>
      <c r="I141" s="16">
        <f t="shared" si="33"/>
        <v>0.47552392000000004</v>
      </c>
      <c r="J141" s="328">
        <f t="shared" si="33"/>
        <v>0.47552391999999999</v>
      </c>
      <c r="K141" s="16">
        <f t="shared" si="33"/>
        <v>0.47552391999999993</v>
      </c>
      <c r="L141" s="328" t="str">
        <f t="shared" si="33"/>
        <v/>
      </c>
      <c r="M141" s="16" t="str">
        <f t="shared" si="33"/>
        <v/>
      </c>
      <c r="N141" s="328">
        <f t="shared" si="33"/>
        <v>0.47552391999999999</v>
      </c>
      <c r="O141" s="16">
        <f t="shared" si="33"/>
        <v>0.47552391999999993</v>
      </c>
      <c r="P141" s="328">
        <f t="shared" si="33"/>
        <v>0.47552391999999999</v>
      </c>
      <c r="Q141" s="16">
        <f t="shared" si="33"/>
        <v>0.47552391999999999</v>
      </c>
      <c r="R141" s="328">
        <f t="shared" si="33"/>
        <v>0.47552391999999999</v>
      </c>
      <c r="S141" s="16">
        <f t="shared" si="33"/>
        <v>0.4755239200000001</v>
      </c>
      <c r="T141" s="328">
        <f t="shared" si="33"/>
        <v>0.4755239200000001</v>
      </c>
      <c r="U141" s="16">
        <f t="shared" si="33"/>
        <v>0.47552391999999999</v>
      </c>
      <c r="V141" s="328">
        <f t="shared" si="33"/>
        <v>0.47552391999999999</v>
      </c>
      <c r="W141" s="329">
        <f t="shared" si="33"/>
        <v>0.47552391999999993</v>
      </c>
    </row>
    <row r="142" spans="1:25" x14ac:dyDescent="0.2">
      <c r="A142" s="285"/>
      <c r="B142" s="328">
        <f t="shared" ref="B142:W142" si="34">IF(B45=0,"",B137/B45)</f>
        <v>0.53817599999999999</v>
      </c>
      <c r="C142" s="16">
        <f t="shared" si="34"/>
        <v>0.53817599999999999</v>
      </c>
      <c r="D142" s="328">
        <f t="shared" si="34"/>
        <v>0.53817599999999999</v>
      </c>
      <c r="E142" s="16">
        <f t="shared" si="34"/>
        <v>0.5381760000000001</v>
      </c>
      <c r="F142" s="328">
        <f t="shared" si="34"/>
        <v>0.53817599999999988</v>
      </c>
      <c r="G142" s="16">
        <f t="shared" si="34"/>
        <v>0.53817599999999988</v>
      </c>
      <c r="H142" s="328" t="str">
        <f t="shared" si="34"/>
        <v/>
      </c>
      <c r="I142" s="16" t="str">
        <f t="shared" si="34"/>
        <v/>
      </c>
      <c r="J142" s="328">
        <f t="shared" si="34"/>
        <v>0.53817599999999999</v>
      </c>
      <c r="K142" s="16">
        <f t="shared" si="34"/>
        <v>0.53817599999999999</v>
      </c>
      <c r="L142" s="328">
        <f t="shared" si="34"/>
        <v>0.53817599999999999</v>
      </c>
      <c r="M142" s="16">
        <f t="shared" si="34"/>
        <v>0.53817599999999999</v>
      </c>
      <c r="N142" s="328" t="str">
        <f t="shared" si="34"/>
        <v/>
      </c>
      <c r="O142" s="16" t="str">
        <f t="shared" si="34"/>
        <v/>
      </c>
      <c r="P142" s="328">
        <f t="shared" si="34"/>
        <v>0.53817599999999999</v>
      </c>
      <c r="Q142" s="16" t="str">
        <f t="shared" si="34"/>
        <v/>
      </c>
      <c r="R142" s="328" t="str">
        <f t="shared" si="34"/>
        <v/>
      </c>
      <c r="S142" s="16" t="str">
        <f t="shared" si="34"/>
        <v/>
      </c>
      <c r="T142" s="328">
        <f t="shared" si="34"/>
        <v>0.53817599999999988</v>
      </c>
      <c r="U142" s="16">
        <f t="shared" si="34"/>
        <v>0.53817599999999999</v>
      </c>
      <c r="V142" s="328">
        <f t="shared" si="34"/>
        <v>0.53817599999999999</v>
      </c>
      <c r="W142" s="329">
        <f t="shared" si="34"/>
        <v>0.53817599999999999</v>
      </c>
    </row>
    <row r="143" spans="1:25" x14ac:dyDescent="0.2">
      <c r="A143" s="285"/>
      <c r="B143" s="328">
        <f t="shared" ref="B143:W143" si="35">IF(B46=0,"",B138/B46)</f>
        <v>8.4000000000000019E-2</v>
      </c>
      <c r="C143" s="16">
        <f t="shared" si="35"/>
        <v>8.4000000000000005E-2</v>
      </c>
      <c r="D143" s="328">
        <f t="shared" si="35"/>
        <v>8.4000000000000005E-2</v>
      </c>
      <c r="E143" s="16">
        <f t="shared" si="35"/>
        <v>8.4000000000000005E-2</v>
      </c>
      <c r="F143" s="328">
        <f t="shared" si="35"/>
        <v>8.4000000000000005E-2</v>
      </c>
      <c r="G143" s="16">
        <f t="shared" si="35"/>
        <v>8.4000000000000005E-2</v>
      </c>
      <c r="H143" s="328">
        <f t="shared" si="35"/>
        <v>8.4000000000000005E-2</v>
      </c>
      <c r="I143" s="16">
        <f t="shared" si="35"/>
        <v>8.4000000000000005E-2</v>
      </c>
      <c r="J143" s="328">
        <f t="shared" si="35"/>
        <v>8.4000000000000005E-2</v>
      </c>
      <c r="K143" s="16">
        <f t="shared" si="35"/>
        <v>8.4000000000000005E-2</v>
      </c>
      <c r="L143" s="328">
        <f t="shared" si="35"/>
        <v>8.4000000000000005E-2</v>
      </c>
      <c r="M143" s="16">
        <f t="shared" si="35"/>
        <v>8.4000000000000005E-2</v>
      </c>
      <c r="N143" s="328">
        <f t="shared" si="35"/>
        <v>8.4000000000000005E-2</v>
      </c>
      <c r="O143" s="16">
        <f t="shared" si="35"/>
        <v>8.4000000000000005E-2</v>
      </c>
      <c r="P143" s="328">
        <f t="shared" si="35"/>
        <v>8.4000000000000005E-2</v>
      </c>
      <c r="Q143" s="16">
        <f t="shared" si="35"/>
        <v>8.4000000000000019E-2</v>
      </c>
      <c r="R143" s="328">
        <f t="shared" si="35"/>
        <v>8.4000000000000005E-2</v>
      </c>
      <c r="S143" s="16">
        <f t="shared" si="35"/>
        <v>8.4000000000000005E-2</v>
      </c>
      <c r="T143" s="328" t="str">
        <f t="shared" si="35"/>
        <v/>
      </c>
      <c r="U143" s="16">
        <f t="shared" si="35"/>
        <v>8.4000000000000005E-2</v>
      </c>
      <c r="V143" s="328">
        <f t="shared" si="35"/>
        <v>8.4000000000000019E-2</v>
      </c>
      <c r="W143" s="329">
        <f t="shared" si="35"/>
        <v>8.4000000000000005E-2</v>
      </c>
    </row>
    <row r="144" spans="1:25" x14ac:dyDescent="0.2">
      <c r="A144" s="285"/>
      <c r="B144" s="272"/>
      <c r="D144" s="272"/>
      <c r="F144" s="272"/>
      <c r="H144" s="272"/>
      <c r="J144" s="272"/>
      <c r="L144" s="272"/>
      <c r="P144" s="272"/>
      <c r="R144" s="272"/>
      <c r="T144" s="272"/>
      <c r="V144" s="272"/>
      <c r="W144" s="283"/>
    </row>
    <row r="145" spans="1:24" x14ac:dyDescent="0.2">
      <c r="A145" s="295" t="s">
        <v>447</v>
      </c>
      <c r="B145" s="289"/>
      <c r="C145" s="197"/>
      <c r="D145" s="289"/>
      <c r="E145" s="197"/>
      <c r="F145" s="289"/>
      <c r="G145" s="197"/>
      <c r="H145" s="289"/>
      <c r="I145" s="197"/>
      <c r="J145" s="289"/>
      <c r="K145" s="197"/>
      <c r="L145" s="289"/>
      <c r="M145" s="197"/>
      <c r="N145" s="197"/>
      <c r="O145" s="197"/>
      <c r="P145" s="289"/>
      <c r="Q145" s="197"/>
      <c r="R145" s="289"/>
      <c r="S145" s="197"/>
      <c r="T145" s="289"/>
      <c r="U145" s="197"/>
      <c r="V145" s="289"/>
      <c r="W145" s="290"/>
    </row>
    <row r="146" spans="1:24" x14ac:dyDescent="0.2">
      <c r="A146" s="285" t="s">
        <v>386</v>
      </c>
      <c r="B146" s="305">
        <f t="shared" ref="B146:W146" si="36">B43-B135</f>
        <v>0.7166471904984073</v>
      </c>
      <c r="C146" s="59">
        <f t="shared" si="36"/>
        <v>4.9982606444818493E-2</v>
      </c>
      <c r="D146" s="305">
        <f t="shared" si="36"/>
        <v>20.998774644391624</v>
      </c>
      <c r="E146" s="59">
        <f t="shared" si="36"/>
        <v>6.7453040523333536</v>
      </c>
      <c r="F146" s="305">
        <f t="shared" si="36"/>
        <v>5.6357712481509115</v>
      </c>
      <c r="G146" s="59">
        <f t="shared" si="36"/>
        <v>2.0334004601514781</v>
      </c>
      <c r="H146" s="305">
        <f t="shared" si="36"/>
        <v>46.454564326359261</v>
      </c>
      <c r="I146" s="59">
        <f t="shared" si="36"/>
        <v>11.372433132042318</v>
      </c>
      <c r="J146" s="305">
        <f t="shared" si="36"/>
        <v>18.013342792045812</v>
      </c>
      <c r="K146" s="59">
        <f t="shared" si="36"/>
        <v>2.8938429444060096</v>
      </c>
      <c r="L146" s="305">
        <f t="shared" si="36"/>
        <v>0</v>
      </c>
      <c r="M146" s="59">
        <f t="shared" si="36"/>
        <v>0</v>
      </c>
      <c r="N146" s="59">
        <f t="shared" si="36"/>
        <v>20.115181879122169</v>
      </c>
      <c r="O146" s="59">
        <f t="shared" si="36"/>
        <v>8.6427477490320488</v>
      </c>
      <c r="P146" s="305">
        <f t="shared" si="36"/>
        <v>1.1482348530914832</v>
      </c>
      <c r="Q146" s="59">
        <f t="shared" si="36"/>
        <v>2.7768430422429629</v>
      </c>
      <c r="R146" s="305">
        <f t="shared" si="36"/>
        <v>43.191384720903876</v>
      </c>
      <c r="S146" s="59">
        <f t="shared" si="36"/>
        <v>14.054632301696063</v>
      </c>
      <c r="T146" s="305">
        <f t="shared" si="36"/>
        <v>23.749110086396293</v>
      </c>
      <c r="U146" s="59">
        <f t="shared" si="36"/>
        <v>5.0892901941380995</v>
      </c>
      <c r="V146" s="305">
        <f t="shared" si="36"/>
        <v>3.4413888101376786</v>
      </c>
      <c r="W146" s="306">
        <f t="shared" si="36"/>
        <v>1.3341779539633845</v>
      </c>
    </row>
    <row r="147" spans="1:24" x14ac:dyDescent="0.2">
      <c r="A147" s="285" t="s">
        <v>387</v>
      </c>
      <c r="B147" s="305">
        <f t="shared" ref="B147:W147" si="37">B44-B136</f>
        <v>66.479510214882595</v>
      </c>
      <c r="C147" s="59">
        <f t="shared" si="37"/>
        <v>5.8372388772328403</v>
      </c>
      <c r="D147" s="305">
        <f t="shared" si="37"/>
        <v>10.212838732572518</v>
      </c>
      <c r="E147" s="59">
        <f t="shared" si="37"/>
        <v>0.61773832105063353</v>
      </c>
      <c r="F147" s="305">
        <f t="shared" si="37"/>
        <v>48.235357897094751</v>
      </c>
      <c r="G147" s="59">
        <f t="shared" si="37"/>
        <v>6.1529586065339963</v>
      </c>
      <c r="H147" s="305">
        <f t="shared" si="37"/>
        <v>3.3674486010324212</v>
      </c>
      <c r="I147" s="59">
        <f t="shared" si="37"/>
        <v>0.60540201216626299</v>
      </c>
      <c r="J147" s="305">
        <f t="shared" si="37"/>
        <v>14.431715086269215</v>
      </c>
      <c r="K147" s="59">
        <f t="shared" si="37"/>
        <v>0.39130585737234236</v>
      </c>
      <c r="L147" s="305">
        <f t="shared" si="37"/>
        <v>0</v>
      </c>
      <c r="M147" s="59">
        <f t="shared" si="37"/>
        <v>0</v>
      </c>
      <c r="N147" s="305">
        <f t="shared" si="37"/>
        <v>31.628201934081943</v>
      </c>
      <c r="O147" s="59">
        <f t="shared" si="37"/>
        <v>9.2661633833004196</v>
      </c>
      <c r="P147" s="305">
        <f t="shared" si="37"/>
        <v>63.896341504059798</v>
      </c>
      <c r="Q147" s="59">
        <f t="shared" si="37"/>
        <v>3.153555799548883</v>
      </c>
      <c r="R147" s="305">
        <f t="shared" si="37"/>
        <v>6.5259123898352334</v>
      </c>
      <c r="S147" s="59">
        <f t="shared" si="37"/>
        <v>0.97446609100313508</v>
      </c>
      <c r="T147" s="305">
        <f t="shared" si="37"/>
        <v>26.064463116139756</v>
      </c>
      <c r="U147" s="59">
        <f t="shared" si="37"/>
        <v>0.13376423990740879</v>
      </c>
      <c r="V147" s="305">
        <f t="shared" si="37"/>
        <v>48.498934653610128</v>
      </c>
      <c r="W147" s="306">
        <f t="shared" si="37"/>
        <v>3.3529368148874168</v>
      </c>
    </row>
    <row r="148" spans="1:24" x14ac:dyDescent="0.2">
      <c r="A148" s="285" t="s">
        <v>388</v>
      </c>
      <c r="B148" s="305">
        <f t="shared" ref="B148:W148" si="38">B45-B137</f>
        <v>8.2637945133718915</v>
      </c>
      <c r="C148" s="59">
        <f t="shared" si="38"/>
        <v>6.5034241297490167</v>
      </c>
      <c r="D148" s="305">
        <f t="shared" si="38"/>
        <v>1.5807590243816301</v>
      </c>
      <c r="E148" s="59">
        <f t="shared" si="38"/>
        <v>1.8069564817714263</v>
      </c>
      <c r="F148" s="305">
        <f t="shared" si="38"/>
        <v>2.7866558976637315</v>
      </c>
      <c r="G148" s="59">
        <f t="shared" si="38"/>
        <v>3.6894211720394798</v>
      </c>
      <c r="H148" s="305">
        <f t="shared" si="38"/>
        <v>0</v>
      </c>
      <c r="I148" s="59">
        <f t="shared" si="38"/>
        <v>0</v>
      </c>
      <c r="J148" s="305">
        <f t="shared" si="38"/>
        <v>26.618020225517348</v>
      </c>
      <c r="K148" s="59">
        <f t="shared" si="38"/>
        <v>9.8574378185154021</v>
      </c>
      <c r="L148" s="305">
        <f t="shared" si="38"/>
        <v>15.751219685694284</v>
      </c>
      <c r="M148" s="59">
        <f t="shared" si="38"/>
        <v>9.2230488182091097</v>
      </c>
      <c r="N148" s="305">
        <f t="shared" si="38"/>
        <v>0</v>
      </c>
      <c r="O148" s="59">
        <f t="shared" si="38"/>
        <v>0</v>
      </c>
      <c r="P148" s="305">
        <f t="shared" si="38"/>
        <v>0.75362854746044738</v>
      </c>
      <c r="Q148" s="59">
        <f t="shared" si="38"/>
        <v>0</v>
      </c>
      <c r="R148" s="305">
        <f t="shared" si="38"/>
        <v>0</v>
      </c>
      <c r="S148" s="59">
        <f t="shared" si="38"/>
        <v>0</v>
      </c>
      <c r="T148" s="305">
        <f t="shared" si="38"/>
        <v>5.6381120310267079</v>
      </c>
      <c r="U148" s="59">
        <f t="shared" si="38"/>
        <v>1.4472694338475147</v>
      </c>
      <c r="V148" s="305">
        <f t="shared" si="38"/>
        <v>0.68425274587532736</v>
      </c>
      <c r="W148" s="306">
        <f t="shared" si="38"/>
        <v>2.9337568987689542</v>
      </c>
    </row>
    <row r="149" spans="1:24" x14ac:dyDescent="0.2">
      <c r="A149" s="285" t="s">
        <v>264</v>
      </c>
      <c r="B149" s="305">
        <f t="shared" ref="B149:W149" si="39">B46-B138</f>
        <v>9.7281716834893928</v>
      </c>
      <c r="C149" s="59">
        <f t="shared" si="39"/>
        <v>9.3850374883053789</v>
      </c>
      <c r="D149" s="305">
        <f t="shared" si="39"/>
        <v>43.762327213130071</v>
      </c>
      <c r="E149" s="59">
        <f t="shared" si="39"/>
        <v>21.523656394360103</v>
      </c>
      <c r="F149" s="305">
        <f t="shared" si="39"/>
        <v>10.6835177843151</v>
      </c>
      <c r="G149" s="59">
        <f t="shared" si="39"/>
        <v>6.7812671363014978</v>
      </c>
      <c r="H149" s="305">
        <f t="shared" si="39"/>
        <v>8.5235727564121184</v>
      </c>
      <c r="I149" s="59">
        <f t="shared" si="39"/>
        <v>11.630712833628689</v>
      </c>
      <c r="J149" s="305">
        <f t="shared" si="39"/>
        <v>6.0325198937442899</v>
      </c>
      <c r="K149" s="59">
        <f t="shared" si="39"/>
        <v>8.6973972164862428</v>
      </c>
      <c r="L149" s="305">
        <f t="shared" si="39"/>
        <v>69.112739256310334</v>
      </c>
      <c r="M149" s="59">
        <f t="shared" si="39"/>
        <v>19.404679822135272</v>
      </c>
      <c r="N149" s="305">
        <f t="shared" si="39"/>
        <v>6.4406690243098419</v>
      </c>
      <c r="O149" s="59">
        <f t="shared" si="39"/>
        <v>1.1903695374629879</v>
      </c>
      <c r="P149" s="305">
        <f t="shared" si="39"/>
        <v>14.979300647295393</v>
      </c>
      <c r="Q149" s="59">
        <f t="shared" si="39"/>
        <v>13.354954937327152</v>
      </c>
      <c r="R149" s="305">
        <f t="shared" si="39"/>
        <v>11.14528780924995</v>
      </c>
      <c r="S149" s="59">
        <f t="shared" si="39"/>
        <v>4.0334369216055537</v>
      </c>
      <c r="T149" s="305">
        <f t="shared" si="39"/>
        <v>0</v>
      </c>
      <c r="U149" s="59">
        <f t="shared" si="39"/>
        <v>24.687368284797159</v>
      </c>
      <c r="V149" s="305">
        <f t="shared" si="39"/>
        <v>33.689848160083443</v>
      </c>
      <c r="W149" s="306">
        <f t="shared" si="39"/>
        <v>13.535769123087027</v>
      </c>
    </row>
    <row r="150" spans="1:24" x14ac:dyDescent="0.2">
      <c r="A150" s="307" t="s">
        <v>448</v>
      </c>
      <c r="B150" s="330"/>
      <c r="C150" s="59">
        <f>SUM(B146:C149)</f>
        <v>106.96380670397434</v>
      </c>
      <c r="D150" s="330"/>
      <c r="E150" s="59">
        <f>SUM(D146:E149)</f>
        <v>107.24835486399135</v>
      </c>
      <c r="F150" s="330"/>
      <c r="G150" s="59">
        <f>SUM(F146:G149)</f>
        <v>85.998350202250947</v>
      </c>
      <c r="H150" s="330"/>
      <c r="I150" s="59">
        <f>SUM(H146:I149)</f>
        <v>81.95413366164108</v>
      </c>
      <c r="J150" s="330"/>
      <c r="K150" s="59">
        <f>SUM(J146:K149)</f>
        <v>86.935581834356668</v>
      </c>
      <c r="L150" s="330"/>
      <c r="M150" s="59">
        <f>SUM(L146:M149)</f>
        <v>113.49168758234902</v>
      </c>
      <c r="N150" s="330"/>
      <c r="O150" s="59">
        <f>SUM(N146:O149)</f>
        <v>77.283333507309408</v>
      </c>
      <c r="P150" s="330"/>
      <c r="Q150" s="59">
        <f>SUM(P146:Q149)</f>
        <v>100.06285933102612</v>
      </c>
      <c r="R150" s="330"/>
      <c r="S150" s="59">
        <f>SUM(R146:S149)</f>
        <v>79.925120234293814</v>
      </c>
      <c r="T150" s="330"/>
      <c r="U150" s="59">
        <f>SUM(T146:U149)</f>
        <v>86.809377386252947</v>
      </c>
      <c r="V150" s="330"/>
      <c r="W150" s="306">
        <f>SUM(V146:W149)</f>
        <v>107.47106516041336</v>
      </c>
    </row>
    <row r="151" spans="1:24" x14ac:dyDescent="0.2">
      <c r="A151" s="260"/>
      <c r="B151" s="272"/>
      <c r="D151" s="272"/>
      <c r="F151" s="272"/>
      <c r="H151" s="272"/>
      <c r="J151" s="272"/>
      <c r="L151" s="272"/>
      <c r="N151" s="272"/>
      <c r="P151" s="272"/>
      <c r="R151" s="272"/>
      <c r="T151" s="272"/>
      <c r="V151" s="272"/>
      <c r="W151" s="283"/>
    </row>
    <row r="152" spans="1:24" x14ac:dyDescent="0.2">
      <c r="A152" s="295" t="s">
        <v>449</v>
      </c>
      <c r="B152" s="305"/>
      <c r="C152" s="59"/>
      <c r="D152" s="305"/>
      <c r="E152" s="59"/>
      <c r="F152" s="305"/>
      <c r="G152" s="59"/>
      <c r="H152" s="305"/>
      <c r="I152" s="59"/>
      <c r="J152" s="305"/>
      <c r="K152" s="59"/>
      <c r="L152" s="305"/>
      <c r="M152" s="59"/>
      <c r="N152" s="305"/>
      <c r="O152" s="59"/>
      <c r="P152" s="305"/>
      <c r="Q152" s="59"/>
      <c r="R152" s="305"/>
      <c r="S152" s="59"/>
      <c r="T152" s="305"/>
      <c r="U152" s="59"/>
      <c r="V152" s="305"/>
      <c r="W152" s="306"/>
    </row>
    <row r="153" spans="1:24" x14ac:dyDescent="0.2">
      <c r="A153" s="285" t="s">
        <v>450</v>
      </c>
      <c r="B153" s="305"/>
      <c r="C153" s="59">
        <f>Excreted_N_after_losses_DK*'Parameters, country spec'!B81*44/28</f>
        <v>1.0085158917803294</v>
      </c>
      <c r="D153" s="305"/>
      <c r="E153" s="59">
        <f>Excreted_N_after_losses_FR*'Parameters, country spec'!C81*44/28</f>
        <v>1.0111987744319184</v>
      </c>
      <c r="F153" s="305"/>
      <c r="G153" s="59">
        <f>Excreted_N_after_losses_DE*'Parameters, country spec'!D81*44/28</f>
        <v>0.81084158762122338</v>
      </c>
      <c r="H153" s="305"/>
      <c r="I153" s="59">
        <f>Excreted_N_after_losses_GR*'Parameters, country spec'!E81*44/28</f>
        <v>1.2878506718257885</v>
      </c>
      <c r="J153" s="305"/>
      <c r="K153" s="59">
        <f>Excreted_N_after_losses_HU*'Parameters, country spec'!F81*44/28</f>
        <v>0.8196783430096487</v>
      </c>
      <c r="L153" s="305"/>
      <c r="M153" s="59">
        <f>Excreted_N_after_losses_IE*'Parameters, country spec'!G81*44/28</f>
        <v>1.0700644829192907</v>
      </c>
      <c r="N153" s="305"/>
      <c r="O153" s="59">
        <f>Excreted_N_after_losses_IT*'Parameters, country spec'!H81*44/28</f>
        <v>0.72867143021177438</v>
      </c>
      <c r="P153" s="305"/>
      <c r="Q153" s="59">
        <f>Excreted_N_after_losses_NL*'Parameters, country spec'!I81*44/28</f>
        <v>0.94344981654967486</v>
      </c>
      <c r="R153" s="305"/>
      <c r="S153" s="59">
        <f>Excreted_N_after_losses_PL*'Parameters, country spec'!J81*44/28</f>
        <v>0.75357970506619876</v>
      </c>
      <c r="T153" s="305"/>
      <c r="U153" s="59">
        <f>Excreted_N_after_losses_ES*'Parameters, country spec'!K81*44/28</f>
        <v>1.364147358926832</v>
      </c>
      <c r="V153" s="305"/>
      <c r="W153" s="306">
        <f>Excreted_N_after_losses_SE*'Parameters, country spec'!L81*44/28</f>
        <v>1.0132986143696117</v>
      </c>
    </row>
    <row r="154" spans="1:24" x14ac:dyDescent="0.2">
      <c r="A154" s="285"/>
      <c r="B154" s="305"/>
      <c r="C154" s="59"/>
      <c r="D154" s="305"/>
      <c r="E154" s="59"/>
      <c r="F154" s="305"/>
      <c r="G154" s="59"/>
      <c r="H154" s="305"/>
      <c r="I154" s="59"/>
      <c r="J154" s="305"/>
      <c r="K154" s="59"/>
      <c r="L154" s="305"/>
      <c r="M154" s="59"/>
      <c r="N154" s="305"/>
      <c r="O154" s="59"/>
      <c r="P154" s="305"/>
      <c r="Q154" s="59"/>
      <c r="R154" s="305"/>
      <c r="S154" s="59"/>
      <c r="T154" s="305"/>
      <c r="U154" s="59"/>
      <c r="V154" s="305"/>
      <c r="W154" s="306"/>
    </row>
    <row r="155" spans="1:24" x14ac:dyDescent="0.2">
      <c r="A155" s="295" t="s">
        <v>451</v>
      </c>
      <c r="B155" s="272"/>
      <c r="D155" s="272"/>
      <c r="F155" s="272"/>
      <c r="H155" s="272"/>
      <c r="J155" s="272"/>
      <c r="L155" s="272"/>
      <c r="N155" s="272"/>
      <c r="P155" s="272"/>
      <c r="R155" s="272"/>
      <c r="T155" s="272"/>
      <c r="V155" s="272"/>
      <c r="W155" s="283"/>
    </row>
    <row r="156" spans="1:24" x14ac:dyDescent="0.2">
      <c r="A156" s="285" t="s">
        <v>452</v>
      </c>
      <c r="B156" s="305">
        <f>C150</f>
        <v>106.96380670397434</v>
      </c>
      <c r="C156" s="59"/>
      <c r="D156" s="305">
        <f>E150</f>
        <v>107.24835486399135</v>
      </c>
      <c r="E156" s="59"/>
      <c r="F156" s="305">
        <f>G150</f>
        <v>85.998350202250947</v>
      </c>
      <c r="G156" s="59"/>
      <c r="H156" s="305">
        <f>I150</f>
        <v>81.95413366164108</v>
      </c>
      <c r="I156" s="59"/>
      <c r="J156" s="305">
        <f>K150</f>
        <v>86.935581834356668</v>
      </c>
      <c r="K156" s="59"/>
      <c r="L156" s="305">
        <f>M150</f>
        <v>113.49168758234902</v>
      </c>
      <c r="M156" s="59"/>
      <c r="N156" s="305">
        <f>O150</f>
        <v>77.283333507309408</v>
      </c>
      <c r="O156" s="59"/>
      <c r="P156" s="305">
        <f>Q150</f>
        <v>100.06285933102612</v>
      </c>
      <c r="Q156" s="59"/>
      <c r="R156" s="305">
        <f>S150</f>
        <v>79.925120234293814</v>
      </c>
      <c r="S156" s="59"/>
      <c r="T156" s="305">
        <f>U150</f>
        <v>86.809377386252947</v>
      </c>
      <c r="U156" s="59"/>
      <c r="V156" s="305">
        <f>W150</f>
        <v>107.47106516041336</v>
      </c>
      <c r="W156" s="306"/>
      <c r="X156" s="25"/>
    </row>
    <row r="157" spans="1:24" x14ac:dyDescent="0.2">
      <c r="A157" s="285"/>
      <c r="B157" s="305"/>
      <c r="C157" s="59"/>
      <c r="D157" s="305"/>
      <c r="E157" s="59"/>
      <c r="F157" s="305"/>
      <c r="G157" s="59"/>
      <c r="H157" s="305"/>
      <c r="I157" s="59"/>
      <c r="J157" s="305"/>
      <c r="K157" s="59"/>
      <c r="L157" s="305"/>
      <c r="M157" s="59"/>
      <c r="N157" s="305"/>
      <c r="O157" s="59"/>
      <c r="P157" s="305"/>
      <c r="Q157" s="59"/>
      <c r="R157" s="305"/>
      <c r="S157" s="59"/>
      <c r="T157" s="305"/>
      <c r="U157" s="59"/>
      <c r="V157" s="305"/>
      <c r="W157" s="306"/>
    </row>
    <row r="158" spans="1:24" x14ac:dyDescent="0.2">
      <c r="A158" s="295" t="s">
        <v>453</v>
      </c>
      <c r="B158" s="305"/>
      <c r="C158" s="59"/>
      <c r="D158" s="305"/>
      <c r="E158" s="59"/>
      <c r="F158" s="305"/>
      <c r="G158" s="59"/>
      <c r="H158" s="305"/>
      <c r="I158" s="59"/>
      <c r="J158" s="305"/>
      <c r="K158" s="59"/>
      <c r="L158" s="305"/>
      <c r="M158" s="59"/>
      <c r="N158" s="305"/>
      <c r="O158" s="59"/>
      <c r="P158" s="305"/>
      <c r="Q158" s="59"/>
      <c r="R158" s="305"/>
      <c r="S158" s="59"/>
      <c r="T158" s="305"/>
      <c r="U158" s="59"/>
      <c r="V158" s="305"/>
      <c r="W158" s="306"/>
    </row>
    <row r="159" spans="1:24" x14ac:dyDescent="0.2">
      <c r="A159" s="285" t="s">
        <v>454</v>
      </c>
      <c r="B159" s="305"/>
      <c r="C159" s="59">
        <f>(C58+C82+C117+C131)*17/14</f>
        <v>95.198507551675149</v>
      </c>
      <c r="D159" s="305"/>
      <c r="E159" s="59">
        <f>(E58+E82+E117+E131)*17/14</f>
        <v>48.172742927889985</v>
      </c>
      <c r="F159" s="305"/>
      <c r="G159" s="59">
        <f>(G58+G82+G117+G131)*17/14</f>
        <v>74.246505566195353</v>
      </c>
      <c r="H159" s="305"/>
      <c r="I159" s="59">
        <f>(I58+I82+I117+I131)*17/14</f>
        <v>60.689211226751866</v>
      </c>
      <c r="J159" s="305"/>
      <c r="K159" s="59">
        <f>(K58+K82+K117+K131)*17/14</f>
        <v>71.451506157785886</v>
      </c>
      <c r="L159" s="305"/>
      <c r="M159" s="59">
        <f>(M58+M82+M117+M131)*17/14</f>
        <v>33.234706884494813</v>
      </c>
      <c r="N159" s="305"/>
      <c r="O159" s="59">
        <f>(O58+O82+O117+O131)*17/14</f>
        <v>72.176980540906456</v>
      </c>
      <c r="P159" s="305"/>
      <c r="Q159" s="59">
        <f>(Q58+Q82+Q117+Q131)*17/14</f>
        <v>80.344693699921933</v>
      </c>
      <c r="R159" s="305"/>
      <c r="S159" s="59">
        <f>(S58+S82+S117+S131)*17/14</f>
        <v>63.421883993367082</v>
      </c>
      <c r="T159" s="305"/>
      <c r="U159" s="59">
        <f>(U58+U82+U117+U131)*17/14</f>
        <v>64.825460436497991</v>
      </c>
      <c r="V159" s="305"/>
      <c r="W159" s="306">
        <f>(W58+W82+W117+W131)*17/14</f>
        <v>69.422105592584614</v>
      </c>
    </row>
    <row r="160" spans="1:24" x14ac:dyDescent="0.2">
      <c r="A160" s="331"/>
      <c r="B160" s="332"/>
      <c r="C160" s="333"/>
      <c r="D160" s="332"/>
      <c r="E160" s="333"/>
      <c r="F160" s="332"/>
      <c r="G160" s="333"/>
      <c r="H160" s="332"/>
      <c r="I160" s="333"/>
      <c r="J160" s="332"/>
      <c r="K160" s="333"/>
      <c r="L160" s="332"/>
      <c r="M160" s="333"/>
      <c r="N160" s="332"/>
      <c r="O160" s="333"/>
      <c r="P160" s="332"/>
      <c r="Q160" s="333"/>
      <c r="R160" s="332"/>
      <c r="S160" s="333"/>
      <c r="T160" s="332"/>
      <c r="U160" s="333"/>
      <c r="V160" s="332"/>
      <c r="W160" s="334"/>
    </row>
    <row r="161" spans="1:22" x14ac:dyDescent="0.2">
      <c r="A161" s="335"/>
      <c r="B161" t="s">
        <v>39</v>
      </c>
      <c r="D161" t="s">
        <v>46</v>
      </c>
      <c r="F161" t="s">
        <v>48</v>
      </c>
      <c r="H161" t="s">
        <v>50</v>
      </c>
      <c r="J161" t="s">
        <v>52</v>
      </c>
      <c r="L161" t="s">
        <v>54</v>
      </c>
      <c r="N161" t="s">
        <v>56</v>
      </c>
      <c r="P161" t="s">
        <v>58</v>
      </c>
      <c r="R161" t="s">
        <v>60</v>
      </c>
      <c r="T161" t="s">
        <v>62</v>
      </c>
      <c r="V161" s="58" t="s">
        <v>64</v>
      </c>
    </row>
    <row r="162" spans="1:22" x14ac:dyDescent="0.2">
      <c r="B162" s="193"/>
      <c r="C162" s="193"/>
      <c r="L162" s="203"/>
      <c r="M162" s="203"/>
    </row>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DEEBF7"/>
  </sheetPr>
  <dimension ref="A1:U181"/>
  <sheetViews>
    <sheetView topLeftCell="A5" zoomScale="80" zoomScaleNormal="80" workbookViewId="0">
      <selection activeCell="G9" sqref="G9"/>
    </sheetView>
  </sheetViews>
  <sheetFormatPr baseColWidth="10" defaultColWidth="8.6640625" defaultRowHeight="15" x14ac:dyDescent="0.2"/>
  <cols>
    <col min="2" max="2" width="30.5" customWidth="1"/>
    <col min="3" max="3" width="19" customWidth="1"/>
    <col min="4" max="4" width="12.6640625" customWidth="1"/>
    <col min="5" max="5" width="10.33203125" customWidth="1"/>
    <col min="6" max="6" width="12.6640625" style="18" customWidth="1"/>
    <col min="7" max="11" width="12.6640625" customWidth="1"/>
    <col min="12" max="12" width="14.33203125" customWidth="1"/>
    <col min="13" max="18" width="12.6640625" customWidth="1"/>
    <col min="19" max="19" width="8.6640625" style="22" customWidth="1"/>
  </cols>
  <sheetData>
    <row r="1" spans="1:21" x14ac:dyDescent="0.2">
      <c r="F1" s="25"/>
    </row>
    <row r="2" spans="1:21" ht="21" customHeight="1" x14ac:dyDescent="0.25">
      <c r="A2" s="9" t="s">
        <v>455</v>
      </c>
      <c r="G2" t="s">
        <v>456</v>
      </c>
      <c r="Q2" t="s">
        <v>457</v>
      </c>
    </row>
    <row r="3" spans="1:21" x14ac:dyDescent="0.2">
      <c r="I3" s="26"/>
      <c r="J3" s="26"/>
      <c r="K3" s="26"/>
      <c r="L3" s="26"/>
      <c r="M3" s="26"/>
      <c r="N3" s="26"/>
      <c r="O3" s="26"/>
      <c r="P3" s="26"/>
    </row>
    <row r="4" spans="1:21" ht="28.5" customHeight="1" x14ac:dyDescent="0.2">
      <c r="A4" s="336" t="s">
        <v>458</v>
      </c>
      <c r="B4" s="337"/>
      <c r="C4" s="337"/>
      <c r="D4" s="337"/>
      <c r="E4" s="337"/>
      <c r="F4" s="338" t="s">
        <v>6</v>
      </c>
      <c r="G4" s="339" t="s">
        <v>7</v>
      </c>
      <c r="H4" s="340"/>
      <c r="I4" s="339" t="s">
        <v>8</v>
      </c>
      <c r="J4" s="341"/>
      <c r="K4" s="339" t="s">
        <v>9</v>
      </c>
      <c r="L4" s="341"/>
      <c r="M4" s="341"/>
      <c r="N4" s="341"/>
      <c r="O4" s="342" t="s">
        <v>10</v>
      </c>
      <c r="P4" s="342" t="s">
        <v>11</v>
      </c>
      <c r="Q4" s="343" t="s">
        <v>12</v>
      </c>
      <c r="R4" s="339" t="s">
        <v>459</v>
      </c>
      <c r="S4" s="344" t="s">
        <v>459</v>
      </c>
    </row>
    <row r="5" spans="1:21" ht="47.25" customHeight="1" x14ac:dyDescent="0.2">
      <c r="A5" s="345" t="s">
        <v>13</v>
      </c>
      <c r="B5" s="345" t="s">
        <v>458</v>
      </c>
      <c r="C5" s="345" t="s">
        <v>460</v>
      </c>
      <c r="D5" s="345" t="s">
        <v>16</v>
      </c>
      <c r="E5" s="346" t="s">
        <v>17</v>
      </c>
      <c r="F5" s="347"/>
      <c r="G5" s="348" t="s">
        <v>20</v>
      </c>
      <c r="H5" s="348" t="s">
        <v>21</v>
      </c>
      <c r="I5" s="348" t="s">
        <v>22</v>
      </c>
      <c r="J5" s="348" t="s">
        <v>461</v>
      </c>
      <c r="K5" s="348" t="s">
        <v>24</v>
      </c>
      <c r="L5" s="348" t="s">
        <v>25</v>
      </c>
      <c r="M5" s="348" t="s">
        <v>26</v>
      </c>
      <c r="N5" s="348" t="s">
        <v>27</v>
      </c>
      <c r="O5" s="348" t="s">
        <v>28</v>
      </c>
      <c r="P5" s="348" t="s">
        <v>11</v>
      </c>
      <c r="Q5" s="346" t="s">
        <v>462</v>
      </c>
      <c r="R5" s="348" t="s">
        <v>171</v>
      </c>
      <c r="S5" s="348" t="s">
        <v>357</v>
      </c>
    </row>
    <row r="6" spans="1:21" x14ac:dyDescent="0.2">
      <c r="B6" s="58" t="s">
        <v>264</v>
      </c>
      <c r="C6" s="18" t="s">
        <v>463</v>
      </c>
      <c r="D6" s="349" t="s">
        <v>38</v>
      </c>
      <c r="E6" s="349" t="s">
        <v>39</v>
      </c>
      <c r="F6" s="350">
        <f t="shared" ref="F6:F15" si="0">SUM(G6:Q6)</f>
        <v>4.4260648382568456E-2</v>
      </c>
      <c r="G6" s="83">
        <f>'Forage crops, CF'!F8</f>
        <v>7.1375990352365451E-3</v>
      </c>
      <c r="H6" s="83">
        <f>'Forage crops, CF'!G8</f>
        <v>2.7E-2</v>
      </c>
      <c r="I6" s="83">
        <f>'Forage crops, CF'!H8</f>
        <v>0</v>
      </c>
      <c r="J6" s="83">
        <f>'Forage crops, CF'!I8</f>
        <v>0</v>
      </c>
      <c r="K6" s="83">
        <f>'Forage crops, CF'!J8</f>
        <v>1.012304934733191E-2</v>
      </c>
      <c r="L6" s="83">
        <f>'Forage crops, CF'!K8</f>
        <v>0</v>
      </c>
      <c r="M6" s="83">
        <f>'Forage crops, CF'!L8</f>
        <v>0</v>
      </c>
      <c r="N6" s="83">
        <f>'Forage crops, CF'!M8</f>
        <v>0</v>
      </c>
      <c r="O6" s="83">
        <f>'Forage crops, CF'!N8</f>
        <v>0</v>
      </c>
      <c r="P6" s="83">
        <f>'Forage crops, CF'!O8</f>
        <v>0</v>
      </c>
      <c r="Q6" s="83">
        <f>'Forage crops, CF'!P8</f>
        <v>0</v>
      </c>
      <c r="R6" s="351">
        <f>'Parameters, country spec'!B17</f>
        <v>0</v>
      </c>
      <c r="S6" s="351">
        <f>'Parameters, country spec'!B35</f>
        <v>0.29561999999999999</v>
      </c>
      <c r="U6" s="351" t="s">
        <v>464</v>
      </c>
    </row>
    <row r="7" spans="1:21" x14ac:dyDescent="0.2">
      <c r="B7" s="58" t="s">
        <v>268</v>
      </c>
      <c r="C7" s="18" t="s">
        <v>463</v>
      </c>
      <c r="D7" s="349" t="s">
        <v>38</v>
      </c>
      <c r="E7" s="349" t="s">
        <v>39</v>
      </c>
      <c r="F7" s="352">
        <f t="shared" si="0"/>
        <v>9.8857574537958043E-2</v>
      </c>
      <c r="G7" s="83">
        <f>'Forage crops, CF'!F68</f>
        <v>9.3767986127770066E-3</v>
      </c>
      <c r="H7" s="83">
        <f>'Forage crops, CF'!G68</f>
        <v>2.7E-2</v>
      </c>
      <c r="I7" s="83">
        <f>'Forage crops, CF'!H68</f>
        <v>0</v>
      </c>
      <c r="J7" s="83">
        <f>'Forage crops, CF'!I68</f>
        <v>0</v>
      </c>
      <c r="K7" s="83">
        <f>'Forage crops, CF'!J68</f>
        <v>1.5780775925181026E-2</v>
      </c>
      <c r="L7" s="83">
        <f>'Forage crops, CF'!K68</f>
        <v>0</v>
      </c>
      <c r="M7" s="83">
        <f>'Forage crops, CF'!L68</f>
        <v>0</v>
      </c>
      <c r="N7" s="83">
        <f>'Forage crops, CF'!M68</f>
        <v>0</v>
      </c>
      <c r="O7" s="83">
        <f>'Forage crops, CF'!N68</f>
        <v>0</v>
      </c>
      <c r="P7" s="83">
        <f>'Forage crops, CF'!O68</f>
        <v>4.6700000000000005E-2</v>
      </c>
      <c r="Q7" s="83">
        <f>'Forage crops, CF'!P68</f>
        <v>0</v>
      </c>
      <c r="R7" s="351">
        <f>'Parameters, country spec'!B18</f>
        <v>0.31083</v>
      </c>
      <c r="S7" s="351">
        <f>'Parameters, country spec'!B36</f>
        <v>0.30657000000000001</v>
      </c>
    </row>
    <row r="8" spans="1:21" x14ac:dyDescent="0.2">
      <c r="B8" s="58" t="s">
        <v>465</v>
      </c>
      <c r="C8" s="18" t="s">
        <v>463</v>
      </c>
      <c r="D8" s="349" t="s">
        <v>38</v>
      </c>
      <c r="E8" s="349" t="s">
        <v>39</v>
      </c>
      <c r="F8" s="352">
        <f t="shared" si="0"/>
        <v>9.0957281778974233E-2</v>
      </c>
      <c r="G8" s="83">
        <f>'Forage crops, CF'!F128*'Forage, input data per ha'!$D$78+'Forage crops, CF'!F188*'Forage, input data per ha'!$E$78</f>
        <v>7.1343392425164435E-3</v>
      </c>
      <c r="H8" s="83">
        <f>'Forage crops, CF'!G128*'Forage, input data per ha'!$D$78+'Forage crops, CF'!G188*'Forage, input data per ha'!$E$78</f>
        <v>2.7E-2</v>
      </c>
      <c r="I8" s="83">
        <f>'Forage crops, CF'!H128*'Forage, input data per ha'!$D$78+'Forage crops, CF'!H188*'Forage, input data per ha'!$E$78</f>
        <v>0</v>
      </c>
      <c r="J8" s="83">
        <f>'Forage crops, CF'!I128*'Forage, input data per ha'!$D$78+'Forage crops, CF'!I188*'Forage, input data per ha'!$E$78</f>
        <v>0</v>
      </c>
      <c r="K8" s="83">
        <f>'Forage crops, CF'!J128*'Forage, input data per ha'!$D$78+'Forage crops, CF'!J188*'Forage, input data per ha'!$E$78</f>
        <v>1.0122942536457786E-2</v>
      </c>
      <c r="L8" s="83">
        <f>'Forage crops, CF'!K128*'Forage, input data per ha'!$D$78+'Forage crops, CF'!K188*'Forage, input data per ha'!$E$78</f>
        <v>0</v>
      </c>
      <c r="M8" s="83">
        <f>'Forage crops, CF'!L128*'Forage, input data per ha'!$D$78+'Forage crops, CF'!L188*'Forage, input data per ha'!$E$78</f>
        <v>0</v>
      </c>
      <c r="N8" s="83">
        <f>'Forage crops, CF'!M128*'Forage, input data per ha'!$D$78+'Forage crops, CF'!M188*'Forage, input data per ha'!$E$78</f>
        <v>0</v>
      </c>
      <c r="O8" s="83">
        <f>'Forage crops, CF'!N128*'Forage, input data per ha'!$D$78+'Forage crops, CF'!N188*'Forage, input data per ha'!$E$78</f>
        <v>0</v>
      </c>
      <c r="P8" s="83">
        <f>'Forage crops, CF'!O128*'Forage, input data per ha'!$D$78+'Forage crops, CF'!O188*'Forage, input data per ha'!$E$78</f>
        <v>4.6700000000000005E-2</v>
      </c>
      <c r="Q8" s="83">
        <f>'Forage crops, CF'!P128*'Forage, input data per ha'!$D$78+'Forage crops, CF'!P188*'Forage, input data per ha'!$E$78</f>
        <v>0</v>
      </c>
      <c r="R8" s="351">
        <f>'Parameters, country spec'!B19</f>
        <v>0.30336999999999997</v>
      </c>
      <c r="S8" s="351">
        <f>'Parameters, country spec'!B37</f>
        <v>0.25495000000000001</v>
      </c>
    </row>
    <row r="9" spans="1:21" x14ac:dyDescent="0.2">
      <c r="A9" s="353" t="s">
        <v>466</v>
      </c>
      <c r="B9" s="18" t="s">
        <v>274</v>
      </c>
      <c r="C9" s="18" t="s">
        <v>467</v>
      </c>
      <c r="D9" s="349" t="s">
        <v>38</v>
      </c>
      <c r="E9" s="349" t="s">
        <v>39</v>
      </c>
      <c r="F9" s="350">
        <f t="shared" si="0"/>
        <v>0.19835268831988837</v>
      </c>
      <c r="G9" s="236">
        <v>9.5923455349377004E-2</v>
      </c>
      <c r="H9" s="236">
        <v>2.7E-2</v>
      </c>
      <c r="I9" s="236">
        <v>0</v>
      </c>
      <c r="J9" s="236"/>
      <c r="K9" s="236">
        <v>3.3556503358935202E-2</v>
      </c>
      <c r="L9" s="236">
        <v>0</v>
      </c>
      <c r="M9" s="236">
        <v>0</v>
      </c>
      <c r="N9" s="236">
        <v>4.0440240704547999E-2</v>
      </c>
      <c r="O9" s="236">
        <v>1.43248890702816E-3</v>
      </c>
      <c r="P9" s="236"/>
      <c r="R9" s="351">
        <f>'Parameters, country spec'!B20</f>
        <v>0.12006</v>
      </c>
      <c r="S9" s="351">
        <f>'Parameters, country spec'!B38</f>
        <v>6.0999999999999999E-2</v>
      </c>
    </row>
    <row r="10" spans="1:21" x14ac:dyDescent="0.2">
      <c r="A10" s="353" t="s">
        <v>468</v>
      </c>
      <c r="B10" s="18" t="s">
        <v>276</v>
      </c>
      <c r="C10" s="18" t="s">
        <v>467</v>
      </c>
      <c r="D10" s="349" t="s">
        <v>38</v>
      </c>
      <c r="E10" s="349" t="s">
        <v>39</v>
      </c>
      <c r="F10" s="350">
        <f t="shared" si="0"/>
        <v>0.11879102667902652</v>
      </c>
      <c r="G10" s="236">
        <v>1.8958167491456901E-2</v>
      </c>
      <c r="H10" s="236">
        <v>2.7E-2</v>
      </c>
      <c r="I10" s="236">
        <v>0</v>
      </c>
      <c r="J10" s="236"/>
      <c r="K10" s="236">
        <v>2.4386625784786099E-2</v>
      </c>
      <c r="L10" s="236">
        <v>0</v>
      </c>
      <c r="M10" s="236">
        <v>0</v>
      </c>
      <c r="N10" s="236">
        <v>4.0440240704547999E-2</v>
      </c>
      <c r="O10" s="236">
        <v>8.0059926982355405E-3</v>
      </c>
      <c r="P10" s="236"/>
      <c r="R10" s="351">
        <f>'Parameters, country spec'!B21</f>
        <v>0</v>
      </c>
      <c r="S10" s="351">
        <f>'Parameters, country spec'!B39</f>
        <v>0</v>
      </c>
    </row>
    <row r="11" spans="1:21" x14ac:dyDescent="0.2">
      <c r="A11" s="353" t="s">
        <v>469</v>
      </c>
      <c r="B11" s="18" t="s">
        <v>278</v>
      </c>
      <c r="C11" s="18" t="s">
        <v>467</v>
      </c>
      <c r="D11" s="349" t="s">
        <v>38</v>
      </c>
      <c r="E11" s="349" t="s">
        <v>39</v>
      </c>
      <c r="F11" s="350">
        <f t="shared" si="0"/>
        <v>0.21014937397186484</v>
      </c>
      <c r="G11" s="236">
        <v>9.3216390865701701E-2</v>
      </c>
      <c r="H11" s="236">
        <v>2.7E-2</v>
      </c>
      <c r="I11" s="236">
        <v>0</v>
      </c>
      <c r="J11" s="236"/>
      <c r="K11" s="236">
        <v>3.6803932914955199E-2</v>
      </c>
      <c r="L11" s="236">
        <v>0</v>
      </c>
      <c r="M11" s="236">
        <v>4.9511763574970203E-7</v>
      </c>
      <c r="N11" s="236">
        <v>4.0440240704547999E-2</v>
      </c>
      <c r="O11" s="236">
        <v>1.2688314369024199E-2</v>
      </c>
      <c r="P11" s="236"/>
      <c r="R11" s="351">
        <f>'Parameters, country spec'!B22</f>
        <v>0</v>
      </c>
      <c r="S11" s="351">
        <f>'Parameters, country spec'!B40</f>
        <v>0</v>
      </c>
    </row>
    <row r="12" spans="1:21" x14ac:dyDescent="0.2">
      <c r="A12" s="353" t="s">
        <v>470</v>
      </c>
      <c r="B12" s="18" t="s">
        <v>280</v>
      </c>
      <c r="C12" s="18" t="s">
        <v>467</v>
      </c>
      <c r="D12" s="349" t="s">
        <v>38</v>
      </c>
      <c r="E12" s="349" t="s">
        <v>39</v>
      </c>
      <c r="F12" s="350">
        <f t="shared" si="0"/>
        <v>0.1902811689127652</v>
      </c>
      <c r="G12" s="236">
        <v>7.9062197914838997E-2</v>
      </c>
      <c r="H12" s="236">
        <v>2.7E-2</v>
      </c>
      <c r="I12" s="236">
        <v>0</v>
      </c>
      <c r="J12" s="236"/>
      <c r="K12" s="236">
        <v>3.2116032674916598E-2</v>
      </c>
      <c r="L12" s="236">
        <v>0</v>
      </c>
      <c r="M12" s="236">
        <v>1.8594204821412199E-4</v>
      </c>
      <c r="N12" s="236">
        <v>4.0440240704547999E-2</v>
      </c>
      <c r="O12" s="236">
        <v>1.14767555702475E-2</v>
      </c>
      <c r="P12" s="236"/>
      <c r="R12" s="351">
        <f>'Parameters, country spec'!B23</f>
        <v>0</v>
      </c>
      <c r="S12" s="351">
        <f>'Parameters, country spec'!B41</f>
        <v>0</v>
      </c>
    </row>
    <row r="13" spans="1:21" x14ac:dyDescent="0.2">
      <c r="A13" s="353" t="s">
        <v>471</v>
      </c>
      <c r="B13" s="18" t="s">
        <v>281</v>
      </c>
      <c r="C13" s="18" t="s">
        <v>467</v>
      </c>
      <c r="D13" s="349" t="s">
        <v>38</v>
      </c>
      <c r="E13" s="349" t="s">
        <v>39</v>
      </c>
      <c r="F13" s="350">
        <f t="shared" si="0"/>
        <v>0.17213603280221426</v>
      </c>
      <c r="G13" s="236">
        <v>7.8082582640392695E-2</v>
      </c>
      <c r="H13" s="236">
        <v>2.7E-2</v>
      </c>
      <c r="I13" s="236">
        <v>0</v>
      </c>
      <c r="J13" s="236"/>
      <c r="K13" s="236">
        <v>2.5110163258381502E-2</v>
      </c>
      <c r="L13" s="236">
        <v>0</v>
      </c>
      <c r="M13" s="236">
        <v>1.46976759244913E-4</v>
      </c>
      <c r="N13" s="236">
        <v>4.0440240704547999E-2</v>
      </c>
      <c r="O13" s="236">
        <v>1.3560694396471599E-3</v>
      </c>
      <c r="P13" s="236"/>
      <c r="R13" s="351">
        <f>'Parameters, country spec'!B24</f>
        <v>0</v>
      </c>
      <c r="S13" s="351">
        <f>'Parameters, country spec'!B42</f>
        <v>0</v>
      </c>
    </row>
    <row r="14" spans="1:21" x14ac:dyDescent="0.2">
      <c r="A14" s="353" t="s">
        <v>472</v>
      </c>
      <c r="B14" s="18" t="s">
        <v>282</v>
      </c>
      <c r="C14" s="18" t="s">
        <v>473</v>
      </c>
      <c r="D14" s="349" t="s">
        <v>38</v>
      </c>
      <c r="E14" s="349" t="s">
        <v>39</v>
      </c>
      <c r="F14" s="350">
        <f t="shared" si="0"/>
        <v>0.16649179682173021</v>
      </c>
      <c r="G14" s="236">
        <v>0</v>
      </c>
      <c r="H14" s="236">
        <v>2.7E-2</v>
      </c>
      <c r="I14" s="236">
        <v>0</v>
      </c>
      <c r="J14" s="236"/>
      <c r="K14" s="236">
        <v>4.9539466455450903E-2</v>
      </c>
      <c r="L14" s="236">
        <v>0</v>
      </c>
      <c r="M14" s="236">
        <v>1.42568630868594E-2</v>
      </c>
      <c r="N14" s="236">
        <v>4.0440240704547999E-2</v>
      </c>
      <c r="O14" s="236">
        <v>3.5255226574871901E-2</v>
      </c>
      <c r="P14" s="236"/>
      <c r="R14" s="351">
        <f>'Parameters, country spec'!B25</f>
        <v>0</v>
      </c>
      <c r="S14" s="351">
        <f>'Parameters, country spec'!B43</f>
        <v>0</v>
      </c>
    </row>
    <row r="15" spans="1:21" x14ac:dyDescent="0.2">
      <c r="A15" s="353" t="s">
        <v>474</v>
      </c>
      <c r="B15" s="18" t="s">
        <v>283</v>
      </c>
      <c r="C15" s="18" t="s">
        <v>473</v>
      </c>
      <c r="D15" s="349" t="s">
        <v>38</v>
      </c>
      <c r="E15" s="349" t="s">
        <v>39</v>
      </c>
      <c r="F15" s="350">
        <f t="shared" si="0"/>
        <v>0.2328017021900203</v>
      </c>
      <c r="G15" s="236">
        <v>0</v>
      </c>
      <c r="H15" s="236">
        <v>2.7E-2</v>
      </c>
      <c r="I15" s="236">
        <v>0</v>
      </c>
      <c r="J15" s="236"/>
      <c r="K15" s="236">
        <v>4.6022206218492699E-2</v>
      </c>
      <c r="L15" s="236">
        <v>0</v>
      </c>
      <c r="M15" s="236">
        <v>1.9421122100326E-2</v>
      </c>
      <c r="N15" s="236">
        <v>4.0440240704547999E-2</v>
      </c>
      <c r="O15" s="236">
        <v>9.99181331666536E-2</v>
      </c>
      <c r="P15" s="236"/>
      <c r="R15" s="351">
        <f>'Parameters, country spec'!B26</f>
        <v>0</v>
      </c>
      <c r="S15" s="351">
        <f>'Parameters, country spec'!B44</f>
        <v>0</v>
      </c>
    </row>
    <row r="16" spans="1:21" x14ac:dyDescent="0.2">
      <c r="B16" s="58" t="s">
        <v>284</v>
      </c>
      <c r="C16" s="18" t="s">
        <v>475</v>
      </c>
      <c r="D16" s="349" t="s">
        <v>38</v>
      </c>
      <c r="E16" s="349" t="s">
        <v>39</v>
      </c>
      <c r="F16" s="350">
        <f>SUM(G16:P16)</f>
        <v>0.26008755742228523</v>
      </c>
      <c r="G16" s="83">
        <f>'Off-farm feed'!$F$74</f>
        <v>0.15910156565543271</v>
      </c>
      <c r="H16" s="83">
        <f>'Off-farm feed'!$G$74</f>
        <v>1.3034482758620692E-2</v>
      </c>
      <c r="I16" s="83">
        <f>'Off-farm feed'!$H$74</f>
        <v>0</v>
      </c>
      <c r="J16" s="83"/>
      <c r="K16" s="83">
        <f>'Off-farm feed'!$J$74</f>
        <v>2.4688740026345465E-2</v>
      </c>
      <c r="L16" s="83"/>
      <c r="M16" s="55">
        <f>'Off-farm feed'!$L$74</f>
        <v>1.9317593037941337E-4</v>
      </c>
      <c r="N16" s="83">
        <f>'Off-farm feed'!$M$74</f>
        <v>3.6802128767029069E-2</v>
      </c>
      <c r="O16" s="83">
        <f>'Off-farm feed'!$N$74</f>
        <v>0</v>
      </c>
      <c r="P16" s="83">
        <f>'Off-farm feed'!$O$74</f>
        <v>2.6267464284477883E-2</v>
      </c>
      <c r="Q16" s="83">
        <f>'Off-farm feed'!$P$74</f>
        <v>1.6199999999999999E-2</v>
      </c>
      <c r="R16" s="351">
        <f>'Parameters, country spec'!B27</f>
        <v>0.14187</v>
      </c>
      <c r="S16" s="351">
        <f>'Parameters, country spec'!B45</f>
        <v>4.3799999999999999E-2</v>
      </c>
    </row>
    <row r="17" spans="1:20" x14ac:dyDescent="0.2">
      <c r="B17" s="58" t="s">
        <v>476</v>
      </c>
      <c r="C17" s="18" t="s">
        <v>475</v>
      </c>
      <c r="D17" s="349" t="s">
        <v>38</v>
      </c>
      <c r="E17" s="349" t="s">
        <v>39</v>
      </c>
      <c r="F17" s="350">
        <f>SUM(G17:P17)</f>
        <v>0.45511717059976015</v>
      </c>
      <c r="G17" s="83">
        <f>'Off-farm feed'!$F$23</f>
        <v>7.2632670993099079E-3</v>
      </c>
      <c r="H17" s="83">
        <f>'Off-farm feed'!$G$23</f>
        <v>2.1402439024390246E-2</v>
      </c>
      <c r="I17" s="83">
        <f>'Off-farm feed'!$H$23</f>
        <v>0</v>
      </c>
      <c r="J17" s="83"/>
      <c r="K17" s="83">
        <f>'Off-farm feed'!$J$23</f>
        <v>4.3083619664332357E-2</v>
      </c>
      <c r="L17" s="83"/>
      <c r="M17" s="55">
        <f>'Off-farm feed'!$L$23</f>
        <v>1.7842060425123844E-4</v>
      </c>
      <c r="N17" s="83">
        <f>'Off-farm feed'!$M$23</f>
        <v>3.0432604948959392E-2</v>
      </c>
      <c r="O17" s="83">
        <f>'Off-farm feed'!$N$23</f>
        <v>0.31761120248475611</v>
      </c>
      <c r="P17" s="83">
        <f>'Off-farm feed'!$O$23</f>
        <v>3.51456167737609E-2</v>
      </c>
      <c r="Q17" s="83">
        <f>'Off-farm feed'!$P$23</f>
        <v>0.251</v>
      </c>
      <c r="R17" s="351">
        <f>'Parameters, country spec'!B28</f>
        <v>5.1540000000000002E-2</v>
      </c>
      <c r="S17" s="351">
        <f>'Parameters, country spec'!B46</f>
        <v>0</v>
      </c>
    </row>
    <row r="18" spans="1:20" x14ac:dyDescent="0.2">
      <c r="B18" s="18" t="s">
        <v>286</v>
      </c>
      <c r="C18" s="18" t="s">
        <v>477</v>
      </c>
      <c r="D18" s="349" t="s">
        <v>38</v>
      </c>
      <c r="E18" s="349" t="s">
        <v>39</v>
      </c>
      <c r="F18" s="350">
        <f>SUM(G18:Q18)</f>
        <v>0.55277306375924962</v>
      </c>
      <c r="G18" s="239">
        <v>7.0274324376353404E-3</v>
      </c>
      <c r="H18" s="222">
        <v>2.4299999999999999E-3</v>
      </c>
      <c r="I18" s="222"/>
      <c r="J18" s="216"/>
      <c r="K18" s="239">
        <v>2.2599146932543398E-3</v>
      </c>
      <c r="L18" s="216">
        <v>0</v>
      </c>
      <c r="M18" s="216">
        <v>1.32279083320422E-5</v>
      </c>
      <c r="N18" s="239">
        <v>3.6396216634093201E-3</v>
      </c>
      <c r="O18" s="216">
        <v>1.22046249568244E-4</v>
      </c>
      <c r="P18" s="222">
        <v>0.52550926010708199</v>
      </c>
      <c r="Q18" s="222">
        <v>1.1771560699968301E-2</v>
      </c>
      <c r="R18" s="351">
        <f>'Parameters, country spec'!B29</f>
        <v>0</v>
      </c>
      <c r="S18" s="351">
        <f>'Parameters, country spec'!B47</f>
        <v>0</v>
      </c>
      <c r="T18" t="s">
        <v>373</v>
      </c>
    </row>
    <row r="19" spans="1:20" x14ac:dyDescent="0.2">
      <c r="A19" s="354"/>
      <c r="B19" s="18" t="s">
        <v>478</v>
      </c>
      <c r="C19" s="355" t="s">
        <v>479</v>
      </c>
      <c r="D19" s="349" t="s">
        <v>38</v>
      </c>
      <c r="E19" s="349" t="s">
        <v>39</v>
      </c>
      <c r="F19" s="350">
        <f>SUM(G19:Q19)</f>
        <v>9.9404418503897043E-2</v>
      </c>
      <c r="G19" s="356">
        <f t="shared" ref="G19:Q19" si="1">SUMPRODUCT(G9:G17,$R9:$R17)</f>
        <v>3.4462657955080876E-2</v>
      </c>
      <c r="H19" s="356">
        <f t="shared" si="1"/>
        <v>6.1939037762825909E-3</v>
      </c>
      <c r="I19" s="356">
        <f t="shared" si="1"/>
        <v>0</v>
      </c>
      <c r="J19" s="356">
        <f t="shared" si="1"/>
        <v>0</v>
      </c>
      <c r="K19" s="356">
        <f t="shared" si="1"/>
        <v>9.7519150983110814E-3</v>
      </c>
      <c r="L19" s="356">
        <f t="shared" si="1"/>
        <v>0</v>
      </c>
      <c r="M19" s="356">
        <f t="shared" si="1"/>
        <v>3.6601667186036206E-5</v>
      </c>
      <c r="N19" s="356">
        <f t="shared" si="1"/>
        <v>1.1644869766235813E-2</v>
      </c>
      <c r="O19" s="356">
        <f t="shared" si="1"/>
        <v>1.654166599424213E-2</v>
      </c>
      <c r="P19" s="356">
        <f t="shared" si="1"/>
        <v>5.5379702465585138E-3</v>
      </c>
      <c r="Q19" s="356">
        <f t="shared" si="1"/>
        <v>1.5234833999999999E-2</v>
      </c>
      <c r="R19" s="351">
        <f>'Parameters, country spec'!B30</f>
        <v>7.2330000000000005E-2</v>
      </c>
      <c r="S19" s="351">
        <f>'Parameters, country spec'!B48</f>
        <v>3.8059999999999997E-2</v>
      </c>
      <c r="T19" s="58"/>
    </row>
    <row r="20" spans="1:20" x14ac:dyDescent="0.2">
      <c r="A20" s="357"/>
      <c r="B20" s="358" t="s">
        <v>480</v>
      </c>
      <c r="C20" s="359"/>
      <c r="D20" s="360"/>
      <c r="E20" s="360"/>
      <c r="F20" s="361">
        <f>SUMPRODUCT(F6:F8,R6:R8)+SUMPRODUCT(F9:F19,R9:R19)/0.87</f>
        <v>0.16333253701207484</v>
      </c>
      <c r="G20" s="361">
        <f>SUMPRODUCT(G6:G8,R6:R8)+SUMPRODUCT(G9:G19,R9:R19)/0.87</f>
        <v>4.7556339412227644E-2</v>
      </c>
      <c r="H20" s="361">
        <f>SUMPRODUCT(H6:H8,R6:R8)+SUMPRODUCT(H9:H19,R9:R19)/0.87</f>
        <v>2.4217777972897828E-2</v>
      </c>
      <c r="I20" s="361">
        <f>SUMPRODUCT(I6:I8,R6:R8)+SUMPRODUCT(I9:I19,R9:R19)/0.87</f>
        <v>0</v>
      </c>
      <c r="J20" s="361">
        <f>SUMPRODUCT(J6:J8,R6:R8)+SUMPRODUCT(J9:J19,R9:R19)/0.87</f>
        <v>0</v>
      </c>
      <c r="K20" s="361">
        <f>SUMPRODUCT(K6:K8,R6:R8)+SUMPRODUCT(K9:K19,R9:R19)/0.87</f>
        <v>1.99959875171574E-2</v>
      </c>
      <c r="L20" s="361">
        <f>SUMPRODUCT(L6:L8,R6:R8)+SUMPRODUCT(L9:L19,R9:R19)/0.87</f>
        <v>0</v>
      </c>
      <c r="M20" s="361">
        <f>SUMPRODUCT(M6:M8,R6:R8)+SUMPRODUCT(M9:M19,R9:R19)/0.87</f>
        <v>4.5113868705289892E-5</v>
      </c>
      <c r="N20" s="361">
        <f>SUMPRODUCT(N6:N8,R6:R8)+SUMPRODUCT(N9:N19,R9:R19)/0.87</f>
        <v>1.4353038156813391E-2</v>
      </c>
      <c r="O20" s="361">
        <f>SUMPRODUCT(O6:O8,R6:R8)+SUMPRODUCT(O9:O19,R9:R19)/0.87</f>
        <v>2.0388649075408809E-2</v>
      </c>
      <c r="P20" s="361">
        <f>SUMPRODUCT(P6:P8,R6:R8)+SUMPRODUCT(P9:P19,R9:R19)/0.87</f>
        <v>3.5509038430450682E-2</v>
      </c>
      <c r="Q20" s="361">
        <f>SUMPRODUCT(Q6:Q8,R6:R8)+SUMPRODUCT(Q9:Q19,R9:R19)/0.87</f>
        <v>1.8777896026689653E-2</v>
      </c>
      <c r="R20" s="362"/>
      <c r="S20" s="362"/>
    </row>
    <row r="21" spans="1:20" x14ac:dyDescent="0.2">
      <c r="A21" s="363"/>
      <c r="B21" s="364" t="s">
        <v>481</v>
      </c>
      <c r="C21" s="365"/>
      <c r="D21" s="366"/>
      <c r="E21" s="366"/>
      <c r="F21" s="367">
        <f>SUMPRODUCT(F6:F8,S6:S8)+SUMPRODUCT(F9:F19,S9:S19)/0.87</f>
        <v>9.7930866732882718E-2</v>
      </c>
      <c r="G21" s="367">
        <f>SUMPRODUCT(G6:G8,S6:S8)+SUMPRODUCT(G9:G19,S9:S19)/0.87</f>
        <v>2.3046812672901366E-2</v>
      </c>
      <c r="H21" s="367">
        <f>SUMPRODUCT(H6:H8,S6:S8)+SUMPRODUCT(H9:H19,S9:S19)/0.87</f>
        <v>2.5963067727072301E-2</v>
      </c>
      <c r="I21" s="367">
        <f>SUMPRODUCT(I6:I8,S6:S8)+SUMPRODUCT(I9:I19,S9:S19)/0.87</f>
        <v>0</v>
      </c>
      <c r="J21" s="367">
        <f>SUMPRODUCT(J6:J8,S6:S8)+SUMPRODUCT(J9:J19,S9:S19)/0.87</f>
        <v>0</v>
      </c>
      <c r="K21" s="367">
        <f>SUMPRODUCT(K6:K8,S6:S8)+SUMPRODUCT(K9:K19,S9:S19)/0.87</f>
        <v>1.4433713450341609E-2</v>
      </c>
      <c r="L21" s="367">
        <f>SUMPRODUCT(L6:L8,S6:S8)+SUMPRODUCT(L9:L19,S9:S19)/0.87</f>
        <v>0</v>
      </c>
      <c r="M21" s="367">
        <f>SUMPRODUCT(M6:M8,S6:S8)+SUMPRODUCT(M9:M19,S9:S19)/0.87</f>
        <v>1.1326626670941198E-5</v>
      </c>
      <c r="N21" s="367">
        <f>SUMPRODUCT(N6:N8,S6:S8)+SUMPRODUCT(N9:N19,S9:S19)/0.87</f>
        <v>5.1976915704324556E-3</v>
      </c>
      <c r="O21" s="367">
        <f>SUMPRODUCT(O6:O8,S6:S8)+SUMPRODUCT(O9:O19,S9:S19)/0.87</f>
        <v>8.2408923111445197E-4</v>
      </c>
      <c r="P21" s="367">
        <f>SUMPRODUCT(P6:P8,S6:S8)+SUMPRODUCT(P9:P19,S9:S19)/0.87</f>
        <v>2.7787685245108221E-2</v>
      </c>
      <c r="Q21" s="367">
        <f>SUMPRODUCT(Q6:Q8,S6:S8)+SUMPRODUCT(Q9:Q19,S9:S19)/0.87</f>
        <v>1.482066416137931E-3</v>
      </c>
      <c r="R21" s="368"/>
      <c r="S21" s="368"/>
    </row>
    <row r="22" spans="1:20" x14ac:dyDescent="0.2">
      <c r="B22" s="58" t="s">
        <v>264</v>
      </c>
      <c r="C22" s="18" t="s">
        <v>463</v>
      </c>
      <c r="D22" s="349" t="s">
        <v>45</v>
      </c>
      <c r="E22" s="349" t="s">
        <v>46</v>
      </c>
      <c r="F22" s="350">
        <f t="shared" ref="F22:F35" si="2">SUM(G22:Q22)</f>
        <v>5.5332454299553323E-2</v>
      </c>
      <c r="G22" s="83">
        <f>'Forage crops, CF'!F13</f>
        <v>1.5227707011231065E-2</v>
      </c>
      <c r="H22" s="83">
        <f>'Forage crops, CF'!G13</f>
        <v>2.7E-2</v>
      </c>
      <c r="I22" s="83">
        <f>'Forage crops, CF'!H13</f>
        <v>0</v>
      </c>
      <c r="J22" s="83">
        <f>'Forage crops, CF'!I13</f>
        <v>0</v>
      </c>
      <c r="K22" s="83">
        <f>'Forage crops, CF'!J13</f>
        <v>1.3104747288322262E-2</v>
      </c>
      <c r="L22" s="83">
        <f>'Forage crops, CF'!K13</f>
        <v>0</v>
      </c>
      <c r="M22" s="83">
        <f>'Forage crops, CF'!L13</f>
        <v>0</v>
      </c>
      <c r="N22" s="83">
        <f>'Forage crops, CF'!M13</f>
        <v>0</v>
      </c>
      <c r="O22" s="83">
        <f>'Forage crops, CF'!N13</f>
        <v>0</v>
      </c>
      <c r="P22" s="83">
        <f>'Forage crops, CF'!O13</f>
        <v>0</v>
      </c>
      <c r="Q22" s="83">
        <f>'Forage crops, CF'!P13</f>
        <v>0</v>
      </c>
      <c r="R22" s="351">
        <f>'Parameters, country spec'!C17</f>
        <v>0.13769293067827201</v>
      </c>
      <c r="S22" s="351">
        <f>'Parameters, country spec'!C35</f>
        <v>0.18889688285610401</v>
      </c>
    </row>
    <row r="23" spans="1:20" x14ac:dyDescent="0.2">
      <c r="B23" s="58" t="s">
        <v>268</v>
      </c>
      <c r="C23" s="18" t="s">
        <v>463</v>
      </c>
      <c r="D23" s="349" t="s">
        <v>45</v>
      </c>
      <c r="E23" s="349" t="s">
        <v>46</v>
      </c>
      <c r="F23" s="352">
        <f t="shared" si="2"/>
        <v>0.10612429787083036</v>
      </c>
      <c r="G23" s="83">
        <f>'Forage crops, CF'!F73</f>
        <v>1.5444765261174446E-2</v>
      </c>
      <c r="H23" s="83">
        <f>'Forage crops, CF'!G73</f>
        <v>2.7E-2</v>
      </c>
      <c r="I23" s="83">
        <f>'Forage crops, CF'!H73</f>
        <v>0</v>
      </c>
      <c r="J23" s="83">
        <f>'Forage crops, CF'!I73</f>
        <v>0</v>
      </c>
      <c r="K23" s="83">
        <f>'Forage crops, CF'!J73</f>
        <v>1.6437442716420017E-2</v>
      </c>
      <c r="L23" s="83">
        <f>'Forage crops, CF'!K73</f>
        <v>0</v>
      </c>
      <c r="M23" s="83">
        <f>'Forage crops, CF'!L73</f>
        <v>5.420898932358973E-4</v>
      </c>
      <c r="N23" s="83">
        <f>'Forage crops, CF'!M73</f>
        <v>0</v>
      </c>
      <c r="O23" s="83">
        <f>'Forage crops, CF'!N73</f>
        <v>0</v>
      </c>
      <c r="P23" s="83">
        <f>'Forage crops, CF'!O73</f>
        <v>4.6700000000000005E-2</v>
      </c>
      <c r="Q23" s="83">
        <f>'Forage crops, CF'!P73</f>
        <v>0</v>
      </c>
      <c r="R23" s="351">
        <f>'Parameters, country spec'!C18</f>
        <v>0.26328982040576598</v>
      </c>
      <c r="S23" s="351">
        <f>'Parameters, country spec'!C36</f>
        <v>0.36965765773619202</v>
      </c>
    </row>
    <row r="24" spans="1:20" x14ac:dyDescent="0.2">
      <c r="B24" s="58" t="s">
        <v>465</v>
      </c>
      <c r="C24" s="18" t="s">
        <v>463</v>
      </c>
      <c r="D24" s="349" t="s">
        <v>45</v>
      </c>
      <c r="E24" s="349" t="s">
        <v>46</v>
      </c>
      <c r="F24" s="352">
        <f t="shared" si="2"/>
        <v>0.10057713411393437</v>
      </c>
      <c r="G24" s="83">
        <f>'Forage crops, CF'!F133*'Forage, input data per ha'!$D$79+'Forage crops, CF'!F193*'Forage, input data per ha'!$E$79</f>
        <v>1.3798370754647413E-2</v>
      </c>
      <c r="H24" s="83">
        <f>'Forage crops, CF'!G133*'Forage, input data per ha'!$D$79+'Forage crops, CF'!G193*'Forage, input data per ha'!$E$79</f>
        <v>2.7E-2</v>
      </c>
      <c r="I24" s="83">
        <f>'Forage crops, CF'!H133*'Forage, input data per ha'!$D$79+'Forage crops, CF'!H193*'Forage, input data per ha'!$E$79</f>
        <v>0</v>
      </c>
      <c r="J24" s="83">
        <f>'Forage crops, CF'!I133*'Forage, input data per ha'!$D$79+'Forage crops, CF'!I193*'Forage, input data per ha'!$E$79</f>
        <v>0</v>
      </c>
      <c r="K24" s="83">
        <f>'Forage crops, CF'!J133*'Forage, input data per ha'!$D$79+'Forage crops, CF'!J193*'Forage, input data per ha'!$E$79</f>
        <v>1.3078763359286946E-2</v>
      </c>
      <c r="L24" s="83">
        <f>'Forage crops, CF'!K133*'Forage, input data per ha'!$D$79+'Forage crops, CF'!K193*'Forage, input data per ha'!$E$79</f>
        <v>0</v>
      </c>
      <c r="M24" s="83">
        <f>'Forage crops, CF'!L133*'Forage, input data per ha'!$D$79+'Forage crops, CF'!L193*'Forage, input data per ha'!$E$79</f>
        <v>0</v>
      </c>
      <c r="N24" s="83">
        <f>'Forage crops, CF'!M133*'Forage, input data per ha'!$D$79+'Forage crops, CF'!M193*'Forage, input data per ha'!$E$79</f>
        <v>0</v>
      </c>
      <c r="O24" s="83">
        <f>'Forage crops, CF'!N133*'Forage, input data per ha'!$D$79+'Forage crops, CF'!N193*'Forage, input data per ha'!$E$79</f>
        <v>0</v>
      </c>
      <c r="P24" s="83">
        <f>'Forage crops, CF'!O133*'Forage, input data per ha'!$D$79+'Forage crops, CF'!O193*'Forage, input data per ha'!$E$79</f>
        <v>4.6700000000000012E-2</v>
      </c>
      <c r="Q24" s="83">
        <f>'Forage crops, CF'!P133*'Forage, input data per ha'!$D$79+'Forage crops, CF'!P193*'Forage, input data per ha'!$E$79</f>
        <v>0</v>
      </c>
      <c r="R24" s="351">
        <f>'Parameters, country spec'!C19</f>
        <v>0.218490339842211</v>
      </c>
      <c r="S24" s="351">
        <f>'Parameters, country spec'!C37</f>
        <v>0.23243726980023599</v>
      </c>
    </row>
    <row r="25" spans="1:20" x14ac:dyDescent="0.2">
      <c r="A25" s="353" t="s">
        <v>466</v>
      </c>
      <c r="B25" s="18" t="s">
        <v>274</v>
      </c>
      <c r="C25" s="18" t="s">
        <v>467</v>
      </c>
      <c r="D25" s="349" t="s">
        <v>45</v>
      </c>
      <c r="E25" s="349" t="s">
        <v>46</v>
      </c>
      <c r="F25" s="350">
        <f t="shared" si="2"/>
        <v>0.14554169956945451</v>
      </c>
      <c r="G25" s="239">
        <v>5.0091678279701103E-2</v>
      </c>
      <c r="H25" s="216">
        <v>2.7E-2</v>
      </c>
      <c r="I25" s="222">
        <v>0</v>
      </c>
      <c r="J25" s="216"/>
      <c r="K25" s="239">
        <v>3.2251149506205098E-2</v>
      </c>
      <c r="L25" s="216">
        <v>0</v>
      </c>
      <c r="M25" s="216">
        <v>2.14172233739949E-7</v>
      </c>
      <c r="N25" s="239">
        <v>3.4771853907349999E-2</v>
      </c>
      <c r="O25" s="216">
        <v>1.42680370396456E-3</v>
      </c>
      <c r="P25" s="216"/>
      <c r="R25" s="351">
        <f>'Parameters, country spec'!C20</f>
        <v>3.3308654791871999E-2</v>
      </c>
      <c r="S25" s="351">
        <f>'Parameters, country spec'!C38</f>
        <v>9.8050025013408596E-3</v>
      </c>
    </row>
    <row r="26" spans="1:20" x14ac:dyDescent="0.2">
      <c r="A26" s="353" t="s">
        <v>468</v>
      </c>
      <c r="B26" s="18" t="s">
        <v>276</v>
      </c>
      <c r="C26" s="18" t="s">
        <v>467</v>
      </c>
      <c r="D26" s="349" t="s">
        <v>45</v>
      </c>
      <c r="E26" s="349" t="s">
        <v>46</v>
      </c>
      <c r="F26" s="350">
        <f t="shared" si="2"/>
        <v>0.13477267534421772</v>
      </c>
      <c r="G26" s="239">
        <v>4.7382930338829898E-2</v>
      </c>
      <c r="H26" s="216">
        <v>2.7E-2</v>
      </c>
      <c r="I26" s="222">
        <v>0</v>
      </c>
      <c r="J26" s="216"/>
      <c r="K26" s="239">
        <v>1.8104396956838902E-2</v>
      </c>
      <c r="L26" s="216">
        <v>0</v>
      </c>
      <c r="M26" s="216">
        <v>3.20452980210324E-3</v>
      </c>
      <c r="N26" s="239">
        <v>3.4771853907349999E-2</v>
      </c>
      <c r="O26" s="216">
        <v>4.3089643390956597E-3</v>
      </c>
      <c r="P26" s="216"/>
      <c r="R26" s="351">
        <f>'Parameters, country spec'!C21</f>
        <v>5.4784880420094197E-2</v>
      </c>
      <c r="S26" s="351">
        <f>'Parameters, country spec'!C39</f>
        <v>1.6126916347682999E-2</v>
      </c>
    </row>
    <row r="27" spans="1:20" x14ac:dyDescent="0.2">
      <c r="A27" s="353" t="s">
        <v>469</v>
      </c>
      <c r="B27" s="18" t="s">
        <v>278</v>
      </c>
      <c r="C27" s="18" t="s">
        <v>467</v>
      </c>
      <c r="D27" s="349" t="s">
        <v>45</v>
      </c>
      <c r="E27" s="349" t="s">
        <v>46</v>
      </c>
      <c r="F27" s="350">
        <f t="shared" si="2"/>
        <v>0.17820546959520445</v>
      </c>
      <c r="G27" s="239">
        <v>5.5122444595226201E-2</v>
      </c>
      <c r="H27" s="216">
        <v>2.7E-2</v>
      </c>
      <c r="I27" s="222">
        <v>0</v>
      </c>
      <c r="J27" s="216"/>
      <c r="K27" s="239">
        <v>4.47731716871737E-2</v>
      </c>
      <c r="L27" s="216">
        <v>0</v>
      </c>
      <c r="M27" s="216">
        <v>1.2132968108574599E-3</v>
      </c>
      <c r="N27" s="239">
        <v>3.4771853907349999E-2</v>
      </c>
      <c r="O27" s="216">
        <v>1.53247025945971E-2</v>
      </c>
      <c r="P27" s="216"/>
      <c r="R27" s="351">
        <f>'Parameters, country spec'!C22</f>
        <v>3.7744392996760601E-3</v>
      </c>
      <c r="S27" s="351">
        <f>'Parameters, country spec'!C40</f>
        <v>1.1110741938309401E-3</v>
      </c>
    </row>
    <row r="28" spans="1:20" x14ac:dyDescent="0.2">
      <c r="A28" s="353" t="s">
        <v>470</v>
      </c>
      <c r="B28" s="18" t="s">
        <v>280</v>
      </c>
      <c r="C28" s="18" t="s">
        <v>467</v>
      </c>
      <c r="D28" s="349" t="s">
        <v>45</v>
      </c>
      <c r="E28" s="349" t="s">
        <v>46</v>
      </c>
      <c r="F28" s="350">
        <f t="shared" si="2"/>
        <v>0.23086931651797959</v>
      </c>
      <c r="G28" s="239">
        <v>7.3795450330937706E-2</v>
      </c>
      <c r="H28" s="216">
        <v>2.7E-2</v>
      </c>
      <c r="I28" s="216">
        <v>0</v>
      </c>
      <c r="J28" s="216"/>
      <c r="K28" s="239">
        <v>4.7010620238752597E-2</v>
      </c>
      <c r="L28" s="216">
        <v>0</v>
      </c>
      <c r="M28" s="216">
        <v>2.75986968179931E-5</v>
      </c>
      <c r="N28" s="239">
        <v>3.4771853907349999E-2</v>
      </c>
      <c r="O28" s="216">
        <v>4.82637933441213E-2</v>
      </c>
      <c r="P28" s="216"/>
      <c r="R28" s="351">
        <f>'Parameters, country spec'!C23</f>
        <v>5.7964160617321101E-4</v>
      </c>
      <c r="S28" s="351">
        <f>'Parameters, country spec'!C41</f>
        <v>1.7062794715375299E-4</v>
      </c>
    </row>
    <row r="29" spans="1:20" x14ac:dyDescent="0.2">
      <c r="A29" s="353" t="s">
        <v>471</v>
      </c>
      <c r="B29" s="18" t="s">
        <v>281</v>
      </c>
      <c r="C29" s="18" t="s">
        <v>467</v>
      </c>
      <c r="D29" s="349" t="s">
        <v>45</v>
      </c>
      <c r="E29" s="349" t="s">
        <v>46</v>
      </c>
      <c r="F29" s="350">
        <f t="shared" si="2"/>
        <v>0.16491186327352214</v>
      </c>
      <c r="G29" s="239">
        <v>7.2003559292666594E-2</v>
      </c>
      <c r="H29" s="216">
        <v>2.7E-2</v>
      </c>
      <c r="I29" s="216">
        <v>0</v>
      </c>
      <c r="J29" s="216"/>
      <c r="K29" s="239">
        <v>2.8481968630283801E-2</v>
      </c>
      <c r="L29" s="216">
        <v>0</v>
      </c>
      <c r="M29" s="216">
        <v>1.7811290586034401E-5</v>
      </c>
      <c r="N29" s="239">
        <v>3.4771853907349999E-2</v>
      </c>
      <c r="O29" s="216">
        <v>2.6366701526357099E-3</v>
      </c>
      <c r="P29" s="216"/>
      <c r="R29" s="351">
        <f>'Parameters, country spec'!C24</f>
        <v>8.1146523169746507E-2</v>
      </c>
      <c r="S29" s="351">
        <f>'Parameters, country spec'!C42</f>
        <v>2.38869407173746E-2</v>
      </c>
    </row>
    <row r="30" spans="1:20" x14ac:dyDescent="0.2">
      <c r="A30" s="353" t="s">
        <v>472</v>
      </c>
      <c r="B30" s="18" t="s">
        <v>282</v>
      </c>
      <c r="C30" s="18" t="s">
        <v>473</v>
      </c>
      <c r="D30" s="349" t="s">
        <v>45</v>
      </c>
      <c r="E30" s="349" t="s">
        <v>46</v>
      </c>
      <c r="F30" s="350">
        <f t="shared" si="2"/>
        <v>0.14636810260852107</v>
      </c>
      <c r="G30" s="239">
        <v>0</v>
      </c>
      <c r="H30" s="216">
        <v>2.7E-2</v>
      </c>
      <c r="I30" s="222">
        <v>0</v>
      </c>
      <c r="J30" s="216"/>
      <c r="K30" s="239">
        <v>5.9912817690818299E-2</v>
      </c>
      <c r="L30" s="222">
        <v>0</v>
      </c>
      <c r="M30" s="216">
        <v>4.6529167754077701E-3</v>
      </c>
      <c r="N30" s="239">
        <v>3.4771853907349999E-2</v>
      </c>
      <c r="O30" s="216">
        <v>2.0030514234945E-2</v>
      </c>
      <c r="P30" s="216"/>
      <c r="R30" s="351">
        <f>'Parameters, country spec'!C25</f>
        <v>0</v>
      </c>
      <c r="S30" s="351">
        <f>'Parameters, country spec'!C43</f>
        <v>0</v>
      </c>
    </row>
    <row r="31" spans="1:20" x14ac:dyDescent="0.2">
      <c r="A31" s="353" t="s">
        <v>474</v>
      </c>
      <c r="B31" s="18" t="s">
        <v>283</v>
      </c>
      <c r="C31" s="18" t="s">
        <v>473</v>
      </c>
      <c r="D31" s="349" t="s">
        <v>45</v>
      </c>
      <c r="E31" s="349" t="s">
        <v>46</v>
      </c>
      <c r="F31" s="350">
        <f t="shared" si="2"/>
        <v>0.17963284345534819</v>
      </c>
      <c r="G31" s="239">
        <v>2.6496130610184302E-3</v>
      </c>
      <c r="H31" s="216">
        <v>2.7E-2</v>
      </c>
      <c r="I31" s="222">
        <v>0</v>
      </c>
      <c r="J31" s="216"/>
      <c r="K31" s="239">
        <v>7.3497297252248101E-2</v>
      </c>
      <c r="L31" s="216">
        <v>0</v>
      </c>
      <c r="M31" s="216">
        <v>5.3099924240375502E-3</v>
      </c>
      <c r="N31" s="239">
        <v>3.4771853907349999E-2</v>
      </c>
      <c r="O31" s="216">
        <v>3.6404086810694097E-2</v>
      </c>
      <c r="P31" s="216"/>
      <c r="R31" s="351">
        <f>'Parameters, country spec'!C26</f>
        <v>0</v>
      </c>
      <c r="S31" s="351">
        <f>'Parameters, country spec'!C44</f>
        <v>0</v>
      </c>
    </row>
    <row r="32" spans="1:20" x14ac:dyDescent="0.2">
      <c r="B32" s="58" t="s">
        <v>284</v>
      </c>
      <c r="C32" s="18" t="s">
        <v>475</v>
      </c>
      <c r="D32" s="349" t="s">
        <v>45</v>
      </c>
      <c r="E32" s="349" t="s">
        <v>46</v>
      </c>
      <c r="F32" s="350">
        <f t="shared" si="2"/>
        <v>0.27628755742228522</v>
      </c>
      <c r="G32" s="83">
        <f>'Off-farm feed'!$F$74</f>
        <v>0.15910156565543271</v>
      </c>
      <c r="H32" s="83">
        <f>'Off-farm feed'!$G$74</f>
        <v>1.3034482758620692E-2</v>
      </c>
      <c r="I32" s="83">
        <f>'Off-farm feed'!$H$74</f>
        <v>0</v>
      </c>
      <c r="J32" s="83"/>
      <c r="K32" s="83">
        <f>'Off-farm feed'!$J$74</f>
        <v>2.4688740026345465E-2</v>
      </c>
      <c r="L32" s="83"/>
      <c r="M32" s="55">
        <f>'Off-farm feed'!$L$74</f>
        <v>1.9317593037941337E-4</v>
      </c>
      <c r="N32" s="83">
        <f>'Off-farm feed'!$M$74</f>
        <v>3.6802128767029069E-2</v>
      </c>
      <c r="O32" s="83">
        <f>'Off-farm feed'!$N$74</f>
        <v>0</v>
      </c>
      <c r="P32" s="83">
        <f>'Off-farm feed'!$O$74</f>
        <v>2.6267464284477883E-2</v>
      </c>
      <c r="Q32" s="83">
        <f>'Off-farm feed'!$P$74</f>
        <v>1.6199999999999999E-2</v>
      </c>
      <c r="R32" s="351">
        <f>'Parameters, country spec'!C27</f>
        <v>4.6898421015534798E-2</v>
      </c>
      <c r="S32" s="351">
        <f>'Parameters, country spec'!C45</f>
        <v>3.0917251771110502E-2</v>
      </c>
    </row>
    <row r="33" spans="1:19" x14ac:dyDescent="0.2">
      <c r="B33" s="58" t="s">
        <v>476</v>
      </c>
      <c r="C33" s="18" t="s">
        <v>475</v>
      </c>
      <c r="D33" s="349" t="s">
        <v>45</v>
      </c>
      <c r="E33" s="349" t="s">
        <v>46</v>
      </c>
      <c r="F33" s="350">
        <f t="shared" si="2"/>
        <v>0.7061171705997602</v>
      </c>
      <c r="G33" s="83">
        <f>'Off-farm feed'!$F$23</f>
        <v>7.2632670993099079E-3</v>
      </c>
      <c r="H33" s="83">
        <f>'Off-farm feed'!$G$23</f>
        <v>2.1402439024390246E-2</v>
      </c>
      <c r="I33" s="83">
        <f>'Off-farm feed'!$H$23</f>
        <v>0</v>
      </c>
      <c r="J33" s="83"/>
      <c r="K33" s="83">
        <f>'Off-farm feed'!$J$23</f>
        <v>4.3083619664332357E-2</v>
      </c>
      <c r="L33" s="83"/>
      <c r="M33" s="55">
        <f>'Off-farm feed'!$L$23</f>
        <v>1.7842060425123844E-4</v>
      </c>
      <c r="N33" s="83">
        <f>'Off-farm feed'!$M$23</f>
        <v>3.0432604948959392E-2</v>
      </c>
      <c r="O33" s="83">
        <f>'Off-farm feed'!$N$23</f>
        <v>0.31761120248475611</v>
      </c>
      <c r="P33" s="83">
        <f>'Off-farm feed'!$O$23</f>
        <v>3.51456167737609E-2</v>
      </c>
      <c r="Q33" s="83">
        <f>'Off-farm feed'!$P$23</f>
        <v>0.251</v>
      </c>
      <c r="R33" s="351">
        <f>'Parameters, country spec'!C28</f>
        <v>4.2253535396943397E-2</v>
      </c>
      <c r="S33" s="351">
        <f>'Parameters, country spec'!C46</f>
        <v>2.7855163642864798E-2</v>
      </c>
    </row>
    <row r="34" spans="1:19" x14ac:dyDescent="0.2">
      <c r="B34" s="18" t="s">
        <v>286</v>
      </c>
      <c r="C34" s="18" t="s">
        <v>477</v>
      </c>
      <c r="D34" s="349" t="s">
        <v>45</v>
      </c>
      <c r="E34" s="349" t="s">
        <v>46</v>
      </c>
      <c r="F34" s="350">
        <f t="shared" si="2"/>
        <v>0.12240806147995828</v>
      </c>
      <c r="G34" s="239">
        <v>6.4803203363399996E-3</v>
      </c>
      <c r="H34" s="222">
        <v>2.4299999999999999E-3</v>
      </c>
      <c r="I34" s="222"/>
      <c r="J34" s="216"/>
      <c r="K34" s="239">
        <v>2.5633771767255399E-3</v>
      </c>
      <c r="L34" s="216">
        <v>0</v>
      </c>
      <c r="M34" s="216">
        <v>1.6030161527431E-6</v>
      </c>
      <c r="N34" s="239">
        <v>3.1294668516615E-3</v>
      </c>
      <c r="O34" s="216">
        <v>2.3730031373721399E-4</v>
      </c>
      <c r="P34" s="222">
        <v>0.102505251885267</v>
      </c>
      <c r="Q34" s="222">
        <v>5.06074190007427E-3</v>
      </c>
      <c r="R34" s="351">
        <f>'Parameters, country spec'!C29</f>
        <v>9.1933196022350699E-2</v>
      </c>
      <c r="S34" s="351">
        <f>'Parameters, country spec'!C47</f>
        <v>5.64996941188496E-2</v>
      </c>
    </row>
    <row r="35" spans="1:19" x14ac:dyDescent="0.2">
      <c r="A35" s="354"/>
      <c r="B35" s="18" t="s">
        <v>478</v>
      </c>
      <c r="C35" s="355" t="s">
        <v>479</v>
      </c>
      <c r="D35" s="349" t="s">
        <v>45</v>
      </c>
      <c r="E35" s="349" t="s">
        <v>46</v>
      </c>
      <c r="F35" s="350">
        <f t="shared" si="2"/>
        <v>6.9213171706471913E-2</v>
      </c>
      <c r="G35" s="356">
        <f t="shared" ref="G35:Q35" si="3">SUMPRODUCT(G25:G33,$R25:$R33)</f>
        <v>1.8126535243127032E-2</v>
      </c>
      <c r="H35" s="356">
        <f t="shared" si="3"/>
        <v>6.2026671357956918E-3</v>
      </c>
      <c r="I35" s="356">
        <f t="shared" si="3"/>
        <v>0</v>
      </c>
      <c r="J35" s="356">
        <f t="shared" si="3"/>
        <v>0</v>
      </c>
      <c r="K35" s="356">
        <f t="shared" si="3"/>
        <v>7.5518434581024431E-3</v>
      </c>
      <c r="L35" s="356">
        <f t="shared" si="3"/>
        <v>0</v>
      </c>
      <c r="M35" s="356">
        <f t="shared" si="3"/>
        <v>1.9820630005237553E-4</v>
      </c>
      <c r="N35" s="356">
        <f t="shared" si="3"/>
        <v>9.0480369300953763E-3</v>
      </c>
      <c r="O35" s="356">
        <f t="shared" si="3"/>
        <v>1.400356167279305E-2</v>
      </c>
      <c r="P35" s="356">
        <f t="shared" si="3"/>
        <v>2.7169291614214811E-3</v>
      </c>
      <c r="Q35" s="356">
        <f t="shared" si="3"/>
        <v>1.1365391805084456E-2</v>
      </c>
      <c r="R35" s="351">
        <f>'Parameters, country spec'!C30</f>
        <v>2.5847617351359702E-2</v>
      </c>
      <c r="S35" s="351">
        <f>'Parameters, country spec'!C48</f>
        <v>4.2635518367259602E-2</v>
      </c>
    </row>
    <row r="36" spans="1:19" x14ac:dyDescent="0.2">
      <c r="A36" s="357"/>
      <c r="B36" s="358" t="s">
        <v>480</v>
      </c>
      <c r="C36" s="359"/>
      <c r="D36" s="360"/>
      <c r="E36" s="360"/>
      <c r="F36" s="361">
        <f>SUMPRODUCT(F22:F24,R22:R24)+SUMPRODUCT(F25:F35,R25:R35)/0.87</f>
        <v>0.15208205537455782</v>
      </c>
      <c r="G36" s="361">
        <f>SUMPRODUCT(G22:G24,R22:R24)+SUMPRODUCT(G25:G35,R25:R35)/0.87</f>
        <v>3.123642106875479E-2</v>
      </c>
      <c r="H36" s="361">
        <f>SUMPRODUCT(H22:H24,R22:R24)+SUMPRODUCT(H25:H35,R25:R35)/0.87</f>
        <v>2.4296335488128151E-2</v>
      </c>
      <c r="I36" s="361">
        <f>SUMPRODUCT(I22:I24,R22:R24)+SUMPRODUCT(I25:I35,R25:R35)/0.87</f>
        <v>0</v>
      </c>
      <c r="J36" s="361">
        <f>SUMPRODUCT(J22:J24,R22:R24)+SUMPRODUCT(J25:J35,R25:R35)/0.87</f>
        <v>0</v>
      </c>
      <c r="K36" s="361">
        <f>SUMPRODUCT(K22:K24,R22:R24)+SUMPRODUCT(K25:K35,R25:R35)/0.87</f>
        <v>1.8165343178844204E-2</v>
      </c>
      <c r="L36" s="361">
        <f>SUMPRODUCT(L22:L24,R22:R24)+SUMPRODUCT(L25:L35,R25:R35)/0.87</f>
        <v>0</v>
      </c>
      <c r="M36" s="361">
        <f>SUMPRODUCT(M22:M24,R22:R24)+SUMPRODUCT(M25:M35,R25:R35)/0.87</f>
        <v>3.7660816563495823E-4</v>
      </c>
      <c r="N36" s="361">
        <f>SUMPRODUCT(N22:N24,R22:R24)+SUMPRODUCT(N25:N35,R25:R35)/0.87</f>
        <v>1.0999550593062873E-2</v>
      </c>
      <c r="O36" s="361">
        <f>SUMPRODUCT(O22:O24,R22:R24)+SUMPRODUCT(O25:O35,R25:R35)/0.87</f>
        <v>1.6537167991639703E-2</v>
      </c>
      <c r="P36" s="361">
        <f>SUMPRODUCT(P22:P24,R22:R24)+SUMPRODUCT(P25:P35,R25:R35)/0.87</f>
        <v>3.6534525117655627E-2</v>
      </c>
      <c r="Q36" s="361">
        <f>SUMPRODUCT(Q22:Q24,R22:R24)+SUMPRODUCT(Q25:Q35,R25:R35)/0.87</f>
        <v>1.3936103770837484E-2</v>
      </c>
      <c r="R36" s="362"/>
      <c r="S36" s="369"/>
    </row>
    <row r="37" spans="1:19" x14ac:dyDescent="0.2">
      <c r="A37" s="363"/>
      <c r="B37" s="364" t="s">
        <v>481</v>
      </c>
      <c r="C37" s="365"/>
      <c r="D37" s="366"/>
      <c r="E37" s="366"/>
      <c r="F37" s="367">
        <f>SUMPRODUCT(F22:F24,S22:S24)+SUMPRODUCT(F25:F35,S25:S35)/0.87</f>
        <v>0.12576673708379574</v>
      </c>
      <c r="G37" s="367">
        <f>SUMPRODUCT(G22:G24,S22:S24)+SUMPRODUCT(G25:G35,S25:S35)/0.87</f>
        <v>2.2493393198736507E-2</v>
      </c>
      <c r="H37" s="367">
        <f>SUMPRODUCT(H22:H24,S22:S24)+SUMPRODUCT(H25:H35,S25:S35)/0.87</f>
        <v>2.4552896326503728E-2</v>
      </c>
      <c r="I37" s="367">
        <f>SUMPRODUCT(I22:I24,S22:S24)+SUMPRODUCT(I25:I35,S25:S35)/0.87</f>
        <v>0</v>
      </c>
      <c r="J37" s="367">
        <f>SUMPRODUCT(J22:J24,S22:S24)+SUMPRODUCT(J25:J35,S25:S35)/0.87</f>
        <v>0</v>
      </c>
      <c r="K37" s="367">
        <f>SUMPRODUCT(K22:K24,S22:S24)+SUMPRODUCT(K25:K35,S25:S35)/0.87</f>
        <v>1.5932493831851701E-2</v>
      </c>
      <c r="L37" s="367">
        <f>SUMPRODUCT(L22:L24,S22:S24)+SUMPRODUCT(L25:L35,S25:S35)/0.87</f>
        <v>0</v>
      </c>
      <c r="M37" s="367">
        <f>SUMPRODUCT(M22:M24,S22:S24)+SUMPRODUCT(M25:M35,S25:S35)/0.87</f>
        <v>2.8423034160891608E-4</v>
      </c>
      <c r="N37" s="367">
        <f>SUMPRODUCT(N22:N24,S22:S24)+SUMPRODUCT(N25:N35,S25:S35)/0.87</f>
        <v>4.9712285087382948E-3</v>
      </c>
      <c r="O37" s="367">
        <f>SUMPRODUCT(O22:O24,S22:S24)+SUMPRODUCT(O25:O35,S25:S35)/0.87</f>
        <v>1.1068152488027932E-2</v>
      </c>
      <c r="P37" s="367">
        <f>SUMPRODUCT(P22:P24,S22:S24)+SUMPRODUCT(P25:P35,S25:S35)/0.87</f>
        <v>3.6966635154447661E-2</v>
      </c>
      <c r="Q37" s="367">
        <f>SUMPRODUCT(Q22:Q24,S22:S24)+SUMPRODUCT(Q25:Q35,S25:S35)/0.87</f>
        <v>9.4977072338810076E-3</v>
      </c>
      <c r="R37" s="368"/>
      <c r="S37" s="368"/>
    </row>
    <row r="38" spans="1:19" x14ac:dyDescent="0.2">
      <c r="B38" s="58" t="s">
        <v>264</v>
      </c>
      <c r="C38" s="18" t="s">
        <v>463</v>
      </c>
      <c r="D38" s="349" t="s">
        <v>47</v>
      </c>
      <c r="E38" s="349" t="s">
        <v>48</v>
      </c>
      <c r="F38" s="350">
        <f t="shared" ref="F38:F51" si="4">SUM(G38:Q38)</f>
        <v>5.8168053171684664E-2</v>
      </c>
      <c r="G38" s="83">
        <f>'Forage crops, CF'!F18</f>
        <v>1.8004951859799098E-2</v>
      </c>
      <c r="H38" s="83">
        <f>'Forage crops, CF'!G18</f>
        <v>2.7E-2</v>
      </c>
      <c r="I38" s="83">
        <f>'Forage crops, CF'!H18</f>
        <v>0</v>
      </c>
      <c r="J38" s="83">
        <f>'Forage crops, CF'!I18</f>
        <v>0</v>
      </c>
      <c r="K38" s="83">
        <f>'Forage crops, CF'!J18</f>
        <v>1.3163101311885569E-2</v>
      </c>
      <c r="L38" s="83">
        <f>'Forage crops, CF'!K18</f>
        <v>0</v>
      </c>
      <c r="M38" s="83">
        <f>'Forage crops, CF'!L18</f>
        <v>0</v>
      </c>
      <c r="N38" s="83">
        <f>'Forage crops, CF'!M18</f>
        <v>0</v>
      </c>
      <c r="O38" s="83">
        <f>'Forage crops, CF'!N18</f>
        <v>0</v>
      </c>
      <c r="P38" s="83">
        <f>'Forage crops, CF'!O18</f>
        <v>0</v>
      </c>
      <c r="Q38" s="83">
        <f>'Forage crops, CF'!P18</f>
        <v>0</v>
      </c>
      <c r="R38" s="351">
        <f>'Parameters, country spec'!D17</f>
        <v>0.34769783444479402</v>
      </c>
      <c r="S38" s="351">
        <f>'Parameters, country spec'!D35</f>
        <v>0.26457370102986</v>
      </c>
    </row>
    <row r="39" spans="1:19" x14ac:dyDescent="0.2">
      <c r="B39" s="58" t="s">
        <v>268</v>
      </c>
      <c r="C39" s="18" t="s">
        <v>463</v>
      </c>
      <c r="D39" s="349" t="s">
        <v>47</v>
      </c>
      <c r="E39" s="349" t="s">
        <v>48</v>
      </c>
      <c r="F39" s="350">
        <f t="shared" si="4"/>
        <v>9.7532646200612319E-2</v>
      </c>
      <c r="G39" s="83">
        <f>'Forage crops, CF'!F78</f>
        <v>1.0438011342749713E-2</v>
      </c>
      <c r="H39" s="83">
        <f>'Forage crops, CF'!G78</f>
        <v>2.7E-2</v>
      </c>
      <c r="I39" s="83">
        <f>'Forage crops, CF'!H78</f>
        <v>0</v>
      </c>
      <c r="J39" s="83">
        <f>'Forage crops, CF'!I78</f>
        <v>0</v>
      </c>
      <c r="K39" s="83">
        <f>'Forage crops, CF'!J78</f>
        <v>1.3384776661816502E-2</v>
      </c>
      <c r="L39" s="83">
        <f>'Forage crops, CF'!K78</f>
        <v>0</v>
      </c>
      <c r="M39" s="83">
        <f>'Forage crops, CF'!L78</f>
        <v>9.8581960460989167E-6</v>
      </c>
      <c r="N39" s="83">
        <f>'Forage crops, CF'!M78</f>
        <v>0</v>
      </c>
      <c r="O39" s="83">
        <f>'Forage crops, CF'!N78</f>
        <v>0</v>
      </c>
      <c r="P39" s="83">
        <f>'Forage crops, CF'!O78</f>
        <v>4.6700000000000005E-2</v>
      </c>
      <c r="Q39" s="83">
        <f>'Forage crops, CF'!P78</f>
        <v>0</v>
      </c>
      <c r="R39" s="351">
        <f>'Parameters, country spec'!D18</f>
        <v>0.46608419293585401</v>
      </c>
      <c r="S39" s="351">
        <f>'Parameters, country spec'!D36</f>
        <v>0.47771254487501502</v>
      </c>
    </row>
    <row r="40" spans="1:19" x14ac:dyDescent="0.2">
      <c r="B40" s="58" t="s">
        <v>465</v>
      </c>
      <c r="C40" s="18" t="s">
        <v>463</v>
      </c>
      <c r="D40" s="349" t="s">
        <v>47</v>
      </c>
      <c r="E40" s="349" t="s">
        <v>48</v>
      </c>
      <c r="F40" s="350">
        <f t="shared" si="4"/>
        <v>0.10293283916344878</v>
      </c>
      <c r="G40" s="83">
        <f>'Forage crops, CF'!F138*'Forage, input data per ha'!$D$80+'Forage crops, CF'!F198*'Forage, input data per ha'!$E$80</f>
        <v>1.5563209308807849E-2</v>
      </c>
      <c r="H40" s="83">
        <f>'Forage crops, CF'!G138*'Forage, input data per ha'!$D$80+'Forage crops, CF'!G198*'Forage, input data per ha'!$E$80</f>
        <v>2.7000000000000003E-2</v>
      </c>
      <c r="I40" s="83">
        <f>'Forage crops, CF'!H138*'Forage, input data per ha'!$D$80+'Forage crops, CF'!H198*'Forage, input data per ha'!$E$80</f>
        <v>0</v>
      </c>
      <c r="J40" s="83">
        <f>'Forage crops, CF'!I138*'Forage, input data per ha'!$D$80+'Forage crops, CF'!I198*'Forage, input data per ha'!$E$80</f>
        <v>0</v>
      </c>
      <c r="K40" s="83">
        <f>'Forage crops, CF'!J138*'Forage, input data per ha'!$D$80+'Forage crops, CF'!J198*'Forage, input data per ha'!$E$80</f>
        <v>1.3669629854640913E-2</v>
      </c>
      <c r="L40" s="83">
        <f>'Forage crops, CF'!K138*'Forage, input data per ha'!$D$80+'Forage crops, CF'!K198*'Forage, input data per ha'!$E$80</f>
        <v>0</v>
      </c>
      <c r="M40" s="83">
        <f>'Forage crops, CF'!L138*'Forage, input data per ha'!$D$80+'Forage crops, CF'!L198*'Forage, input data per ha'!$E$80</f>
        <v>0</v>
      </c>
      <c r="N40" s="83">
        <f>'Forage crops, CF'!M138*'Forage, input data per ha'!$D$80+'Forage crops, CF'!M198*'Forage, input data per ha'!$E$80</f>
        <v>0</v>
      </c>
      <c r="O40" s="83">
        <f>'Forage crops, CF'!N138*'Forage, input data per ha'!$D$80+'Forage crops, CF'!N198*'Forage, input data per ha'!$E$80</f>
        <v>0</v>
      </c>
      <c r="P40" s="83">
        <f>'Forage crops, CF'!O138*'Forage, input data per ha'!$D$80+'Forage crops, CF'!O198*'Forage, input data per ha'!$E$80</f>
        <v>4.6700000000000012E-2</v>
      </c>
      <c r="Q40" s="83">
        <f>'Forage crops, CF'!P138*'Forage, input data per ha'!$D$80+'Forage crops, CF'!P198*'Forage, input data per ha'!$E$80</f>
        <v>0</v>
      </c>
      <c r="R40" s="351">
        <f>'Parameters, country spec'!D19</f>
        <v>2.0074092559238799E-2</v>
      </c>
      <c r="S40" s="351">
        <f>'Parameters, country spec'!D37</f>
        <v>0.13883749692306399</v>
      </c>
    </row>
    <row r="41" spans="1:19" x14ac:dyDescent="0.2">
      <c r="A41" s="353" t="s">
        <v>466</v>
      </c>
      <c r="B41" s="18" t="s">
        <v>274</v>
      </c>
      <c r="C41" s="18" t="s">
        <v>467</v>
      </c>
      <c r="D41" s="349" t="s">
        <v>47</v>
      </c>
      <c r="E41" s="349" t="s">
        <v>48</v>
      </c>
      <c r="F41" s="350">
        <f t="shared" si="4"/>
        <v>0.14473841159423895</v>
      </c>
      <c r="G41" s="239">
        <v>4.4980950411589199E-2</v>
      </c>
      <c r="H41" s="216">
        <v>2.7E-2</v>
      </c>
      <c r="I41" s="222">
        <v>0</v>
      </c>
      <c r="J41" s="216"/>
      <c r="K41" s="239">
        <v>2.87029909570167E-2</v>
      </c>
      <c r="L41" s="216">
        <v>0</v>
      </c>
      <c r="M41" s="216">
        <v>3.26422856216014E-5</v>
      </c>
      <c r="N41" s="239">
        <v>4.2299667932672001E-2</v>
      </c>
      <c r="O41" s="216">
        <v>1.7221600073394499E-3</v>
      </c>
      <c r="P41" s="216"/>
      <c r="R41" s="351">
        <f>'Parameters, country spec'!D20</f>
        <v>6.1781281889507905E-4</v>
      </c>
      <c r="S41" s="351">
        <f>'Parameters, country spec'!D38</f>
        <v>1.2989163562948001E-3</v>
      </c>
    </row>
    <row r="42" spans="1:19" x14ac:dyDescent="0.2">
      <c r="A42" s="353" t="s">
        <v>468</v>
      </c>
      <c r="B42" s="18" t="s">
        <v>276</v>
      </c>
      <c r="C42" s="18" t="s">
        <v>467</v>
      </c>
      <c r="D42" s="349" t="s">
        <v>47</v>
      </c>
      <c r="E42" s="349" t="s">
        <v>48</v>
      </c>
      <c r="F42" s="350">
        <f t="shared" si="4"/>
        <v>0.13403161558339008</v>
      </c>
      <c r="G42" s="239">
        <v>4.40602108280801E-2</v>
      </c>
      <c r="H42" s="216">
        <v>2.7E-2</v>
      </c>
      <c r="I42" s="222">
        <v>0</v>
      </c>
      <c r="J42" s="216"/>
      <c r="K42" s="239">
        <v>1.6685054495430798E-2</v>
      </c>
      <c r="L42" s="216">
        <v>0</v>
      </c>
      <c r="M42" s="216">
        <v>5.39925016942717E-4</v>
      </c>
      <c r="N42" s="239">
        <v>4.2299667932672001E-2</v>
      </c>
      <c r="O42" s="216">
        <v>3.44675731026444E-3</v>
      </c>
      <c r="P42" s="216"/>
      <c r="R42" s="351">
        <f>'Parameters, country spec'!D21</f>
        <v>9.1981189774538203E-4</v>
      </c>
      <c r="S42" s="351">
        <f>'Parameters, country spec'!D39</f>
        <v>1.9338522642941001E-3</v>
      </c>
    </row>
    <row r="43" spans="1:19" x14ac:dyDescent="0.2">
      <c r="A43" s="353" t="s">
        <v>469</v>
      </c>
      <c r="B43" s="18" t="s">
        <v>278</v>
      </c>
      <c r="C43" s="18" t="s">
        <v>467</v>
      </c>
      <c r="D43" s="349" t="s">
        <v>47</v>
      </c>
      <c r="E43" s="349" t="s">
        <v>48</v>
      </c>
      <c r="F43" s="350">
        <f t="shared" si="4"/>
        <v>0.21056371914571581</v>
      </c>
      <c r="G43" s="239">
        <v>5.3373617708358002E-2</v>
      </c>
      <c r="H43" s="216">
        <v>2.7E-2</v>
      </c>
      <c r="I43" s="222">
        <v>0</v>
      </c>
      <c r="J43" s="216"/>
      <c r="K43" s="239">
        <v>4.2966991135923699E-2</v>
      </c>
      <c r="L43" s="216">
        <v>0</v>
      </c>
      <c r="M43" s="216">
        <v>2.3078315408886199E-5</v>
      </c>
      <c r="N43" s="239">
        <v>4.2299667932672001E-2</v>
      </c>
      <c r="O43" s="216">
        <v>4.4900364053353202E-2</v>
      </c>
      <c r="P43" s="216"/>
      <c r="R43" s="351">
        <f>'Parameters, country spec'!D22</f>
        <v>1.2297794835772801E-7</v>
      </c>
      <c r="S43" s="351">
        <f>'Parameters, country spec'!D40</f>
        <v>2.58554211857813E-7</v>
      </c>
    </row>
    <row r="44" spans="1:19" x14ac:dyDescent="0.2">
      <c r="A44" s="353" t="s">
        <v>470</v>
      </c>
      <c r="B44" s="18" t="s">
        <v>280</v>
      </c>
      <c r="C44" s="18" t="s">
        <v>467</v>
      </c>
      <c r="D44" s="349" t="s">
        <v>47</v>
      </c>
      <c r="E44" s="349" t="s">
        <v>48</v>
      </c>
      <c r="F44" s="350">
        <f t="shared" si="4"/>
        <v>0.18078165437145743</v>
      </c>
      <c r="G44" s="239">
        <v>5.8746625069878398E-2</v>
      </c>
      <c r="H44" s="216">
        <v>2.7E-2</v>
      </c>
      <c r="I44" s="216">
        <v>0</v>
      </c>
      <c r="J44" s="216"/>
      <c r="K44" s="239">
        <v>3.7090973020071097E-2</v>
      </c>
      <c r="L44" s="216">
        <v>0</v>
      </c>
      <c r="M44" s="216">
        <v>1.0681729263934599E-9</v>
      </c>
      <c r="N44" s="239">
        <v>4.2299667932672001E-2</v>
      </c>
      <c r="O44" s="216">
        <v>1.5644387280662999E-2</v>
      </c>
      <c r="P44" s="216"/>
      <c r="R44" s="351">
        <f>'Parameters, country spec'!D23</f>
        <v>1.0091894798092701E-4</v>
      </c>
      <c r="S44" s="351">
        <f>'Parameters, country spec'!D41</f>
        <v>2.1217635552166401E-4</v>
      </c>
    </row>
    <row r="45" spans="1:19" x14ac:dyDescent="0.2">
      <c r="A45" s="353" t="s">
        <v>471</v>
      </c>
      <c r="B45" s="18" t="s">
        <v>281</v>
      </c>
      <c r="C45" s="18" t="s">
        <v>467</v>
      </c>
      <c r="D45" s="349" t="s">
        <v>47</v>
      </c>
      <c r="E45" s="349" t="s">
        <v>48</v>
      </c>
      <c r="F45" s="350">
        <f t="shared" si="4"/>
        <v>0.16349228978032743</v>
      </c>
      <c r="G45" s="239">
        <v>6.5941156527055095E-2</v>
      </c>
      <c r="H45" s="216">
        <v>2.7E-2</v>
      </c>
      <c r="I45" s="216">
        <v>0</v>
      </c>
      <c r="J45" s="216"/>
      <c r="K45" s="239">
        <v>2.5851842974340501E-2</v>
      </c>
      <c r="L45" s="216">
        <v>0</v>
      </c>
      <c r="M45" s="216">
        <v>7.1947622038905602E-10</v>
      </c>
      <c r="N45" s="239">
        <v>4.2299667932672001E-2</v>
      </c>
      <c r="O45" s="216">
        <v>2.39962162678361E-3</v>
      </c>
      <c r="P45" s="216"/>
      <c r="R45" s="351">
        <f>'Parameters, country spec'!D24</f>
        <v>2.06359990197024E-3</v>
      </c>
      <c r="S45" s="351">
        <f>'Parameters, country spec'!D42</f>
        <v>4.3386015699034596E-3</v>
      </c>
    </row>
    <row r="46" spans="1:19" x14ac:dyDescent="0.2">
      <c r="A46" s="353" t="s">
        <v>472</v>
      </c>
      <c r="B46" s="18" t="s">
        <v>282</v>
      </c>
      <c r="C46" s="18" t="s">
        <v>473</v>
      </c>
      <c r="D46" s="349" t="s">
        <v>47</v>
      </c>
      <c r="E46" s="349" t="s">
        <v>48</v>
      </c>
      <c r="F46" s="350">
        <f t="shared" si="4"/>
        <v>0.19853035044256107</v>
      </c>
      <c r="G46" s="239">
        <v>0</v>
      </c>
      <c r="H46" s="216">
        <v>2.7E-2</v>
      </c>
      <c r="I46" s="222">
        <v>0</v>
      </c>
      <c r="J46" s="216"/>
      <c r="K46" s="239">
        <v>5.9424727096304697E-2</v>
      </c>
      <c r="L46" s="222">
        <v>0</v>
      </c>
      <c r="M46" s="216">
        <v>3.67360914877965E-3</v>
      </c>
      <c r="N46" s="239">
        <v>4.2299667932672001E-2</v>
      </c>
      <c r="O46" s="216">
        <v>6.6132346264804701E-2</v>
      </c>
      <c r="P46" s="216"/>
      <c r="R46" s="351">
        <f>'Parameters, country spec'!D25</f>
        <v>6.4852934547689298E-4</v>
      </c>
      <c r="S46" s="351">
        <f>'Parameters, country spec'!D43</f>
        <v>2.7051994141606402E-4</v>
      </c>
    </row>
    <row r="47" spans="1:19" x14ac:dyDescent="0.2">
      <c r="A47" s="353" t="s">
        <v>474</v>
      </c>
      <c r="B47" s="18" t="s">
        <v>283</v>
      </c>
      <c r="C47" s="18" t="s">
        <v>473</v>
      </c>
      <c r="D47" s="349" t="s">
        <v>47</v>
      </c>
      <c r="E47" s="349" t="s">
        <v>48</v>
      </c>
      <c r="F47" s="350">
        <f t="shared" si="4"/>
        <v>0.14615124952666306</v>
      </c>
      <c r="G47" s="239">
        <v>1.7380422848296E-3</v>
      </c>
      <c r="H47" s="216">
        <v>2.7E-2</v>
      </c>
      <c r="I47" s="222">
        <v>0</v>
      </c>
      <c r="J47" s="216"/>
      <c r="K47" s="239">
        <v>4.7782422262316902E-2</v>
      </c>
      <c r="L47" s="216">
        <v>0</v>
      </c>
      <c r="M47" s="216">
        <v>2.27535607308224E-3</v>
      </c>
      <c r="N47" s="239">
        <v>4.2299667932672001E-2</v>
      </c>
      <c r="O47" s="216">
        <v>2.50557609737623E-2</v>
      </c>
      <c r="P47" s="216"/>
      <c r="R47" s="351">
        <f>'Parameters, country spec'!D26</f>
        <v>6.3706953318584203E-4</v>
      </c>
      <c r="S47" s="351">
        <f>'Parameters, country spec'!D44</f>
        <v>2.65739729627513E-4</v>
      </c>
    </row>
    <row r="48" spans="1:19" x14ac:dyDescent="0.2">
      <c r="B48" s="58" t="s">
        <v>284</v>
      </c>
      <c r="C48" s="18" t="s">
        <v>475</v>
      </c>
      <c r="D48" s="349" t="s">
        <v>47</v>
      </c>
      <c r="E48" s="349" t="s">
        <v>48</v>
      </c>
      <c r="F48" s="350">
        <f t="shared" si="4"/>
        <v>0.27628755742228522</v>
      </c>
      <c r="G48" s="83">
        <f>'Off-farm feed'!$F$74</f>
        <v>0.15910156565543271</v>
      </c>
      <c r="H48" s="83">
        <f>'Off-farm feed'!$G$74</f>
        <v>1.3034482758620692E-2</v>
      </c>
      <c r="I48" s="83">
        <f>'Off-farm feed'!$H$74</f>
        <v>0</v>
      </c>
      <c r="J48" s="83"/>
      <c r="K48" s="83">
        <f>'Off-farm feed'!$J$74</f>
        <v>2.4688740026345465E-2</v>
      </c>
      <c r="L48" s="83"/>
      <c r="M48" s="55">
        <f>'Off-farm feed'!$L$74</f>
        <v>1.9317593037941337E-4</v>
      </c>
      <c r="N48" s="83">
        <f>'Off-farm feed'!$M$74</f>
        <v>3.6802128767029069E-2</v>
      </c>
      <c r="O48" s="83">
        <f>'Off-farm feed'!$N$74</f>
        <v>0</v>
      </c>
      <c r="P48" s="83">
        <f>'Off-farm feed'!$O$74</f>
        <v>2.6267464284477883E-2</v>
      </c>
      <c r="Q48" s="83">
        <f>'Off-farm feed'!$P$74</f>
        <v>1.6199999999999999E-2</v>
      </c>
      <c r="R48" s="351">
        <f>'Parameters, country spec'!D27</f>
        <v>6.5581216657201596E-2</v>
      </c>
      <c r="S48" s="351">
        <f>'Parameters, country spec'!D45</f>
        <v>2.7355781220453599E-2</v>
      </c>
    </row>
    <row r="49" spans="1:19" x14ac:dyDescent="0.2">
      <c r="B49" s="58" t="s">
        <v>476</v>
      </c>
      <c r="C49" s="18" t="s">
        <v>475</v>
      </c>
      <c r="D49" s="349" t="s">
        <v>47</v>
      </c>
      <c r="E49" s="349" t="s">
        <v>48</v>
      </c>
      <c r="F49" s="350">
        <f t="shared" si="4"/>
        <v>0.7061171705997602</v>
      </c>
      <c r="G49" s="83">
        <f>'Off-farm feed'!$F$23</f>
        <v>7.2632670993099079E-3</v>
      </c>
      <c r="H49" s="83">
        <f>'Off-farm feed'!$G$23</f>
        <v>2.1402439024390246E-2</v>
      </c>
      <c r="I49" s="83">
        <f>'Off-farm feed'!$H$23</f>
        <v>0</v>
      </c>
      <c r="J49" s="83"/>
      <c r="K49" s="83">
        <f>'Off-farm feed'!$J$23</f>
        <v>4.3083619664332357E-2</v>
      </c>
      <c r="L49" s="83"/>
      <c r="M49" s="55">
        <f>'Off-farm feed'!$L$23</f>
        <v>1.7842060425123844E-4</v>
      </c>
      <c r="N49" s="83">
        <f>'Off-farm feed'!$M$23</f>
        <v>3.0432604948959392E-2</v>
      </c>
      <c r="O49" s="83">
        <f>'Off-farm feed'!$N$23</f>
        <v>0.31761120248475611</v>
      </c>
      <c r="P49" s="83">
        <f>'Off-farm feed'!$O$23</f>
        <v>3.51456167737609E-2</v>
      </c>
      <c r="Q49" s="83">
        <f>'Off-farm feed'!$P$23</f>
        <v>0.251</v>
      </c>
      <c r="R49" s="351">
        <f>'Parameters, country spec'!D28</f>
        <v>6.3014467773449101E-2</v>
      </c>
      <c r="S49" s="351">
        <f>'Parameters, country spec'!D46</f>
        <v>2.6285117627784502E-2</v>
      </c>
    </row>
    <row r="50" spans="1:19" x14ac:dyDescent="0.2">
      <c r="B50" s="18" t="s">
        <v>286</v>
      </c>
      <c r="C50" s="18" t="s">
        <v>477</v>
      </c>
      <c r="D50" s="349" t="s">
        <v>47</v>
      </c>
      <c r="E50" s="349" t="s">
        <v>48</v>
      </c>
      <c r="F50" s="350">
        <f t="shared" si="4"/>
        <v>0.55199512688727981</v>
      </c>
      <c r="G50" s="239">
        <v>5.9347040874349602E-3</v>
      </c>
      <c r="H50" s="222">
        <v>2.4299999999999999E-3</v>
      </c>
      <c r="I50" s="222"/>
      <c r="J50" s="216"/>
      <c r="K50" s="239">
        <v>2.3266658676906501E-3</v>
      </c>
      <c r="L50" s="216">
        <v>0</v>
      </c>
      <c r="M50" s="216">
        <v>6.4752859835014994E-11</v>
      </c>
      <c r="N50" s="239">
        <v>3.8069701139404801E-3</v>
      </c>
      <c r="O50" s="216">
        <v>2.1596594641052499E-4</v>
      </c>
      <c r="P50" s="222">
        <v>0.52550926010708199</v>
      </c>
      <c r="Q50" s="222">
        <v>1.1771560699968301E-2</v>
      </c>
      <c r="R50" s="351">
        <f>'Parameters, country spec'!D29</f>
        <v>2.8731677883857699E-2</v>
      </c>
      <c r="S50" s="351">
        <f>'Parameters, country spec'!D47</f>
        <v>4.2051693837096303E-2</v>
      </c>
    </row>
    <row r="51" spans="1:19" x14ac:dyDescent="0.2">
      <c r="A51" s="354"/>
      <c r="B51" s="18" t="s">
        <v>478</v>
      </c>
      <c r="C51" s="355" t="s">
        <v>479</v>
      </c>
      <c r="D51" s="349" t="s">
        <v>47</v>
      </c>
      <c r="E51" s="349" t="s">
        <v>48</v>
      </c>
      <c r="F51" s="350">
        <f t="shared" si="4"/>
        <v>6.3405091103566097E-2</v>
      </c>
      <c r="G51" s="356">
        <f t="shared" ref="G51:Q51" si="5">SUMPRODUCT(G41:G49,$R41:$R49)</f>
        <v>1.1103200701525109E-2</v>
      </c>
      <c r="H51" s="356">
        <f t="shared" si="5"/>
        <v>2.3381529084097845E-3</v>
      </c>
      <c r="I51" s="356">
        <f t="shared" si="5"/>
        <v>0</v>
      </c>
      <c r="J51" s="356">
        <f t="shared" si="5"/>
        <v>0</v>
      </c>
      <c r="K51" s="356">
        <f t="shared" si="5"/>
        <v>4.4931648903668419E-3</v>
      </c>
      <c r="L51" s="356">
        <f t="shared" si="5"/>
        <v>0</v>
      </c>
      <c r="M51" s="356">
        <f t="shared" si="5"/>
        <v>2.8260596035587019E-5</v>
      </c>
      <c r="N51" s="356">
        <f t="shared" si="5"/>
        <v>4.5422078350294062E-3</v>
      </c>
      <c r="O51" s="356">
        <f t="shared" si="5"/>
        <v>2.0083722449373179E-2</v>
      </c>
      <c r="P51" s="356">
        <f t="shared" si="5"/>
        <v>3.9373346018437977E-3</v>
      </c>
      <c r="Q51" s="356">
        <f t="shared" si="5"/>
        <v>1.6879047120982388E-2</v>
      </c>
      <c r="R51" s="351">
        <f>'Parameters, country spec'!D30</f>
        <v>3.8286523224026802E-3</v>
      </c>
      <c r="S51" s="351">
        <f>'Parameters, country spec'!D48</f>
        <v>1.48635997154565E-2</v>
      </c>
    </row>
    <row r="52" spans="1:19" x14ac:dyDescent="0.2">
      <c r="A52" s="357"/>
      <c r="B52" s="358" t="s">
        <v>480</v>
      </c>
      <c r="C52" s="359"/>
      <c r="D52" s="360"/>
      <c r="E52" s="360"/>
      <c r="F52" s="361">
        <f>SUMPRODUCT(F38:F40,R38:R40)+SUMPRODUCT(F41:F51,R41:R51)/0.87</f>
        <v>0.15913765246443579</v>
      </c>
      <c r="G52" s="361">
        <f>SUMPRODUCT(G38:G40,R38:R40)+SUMPRODUCT(G41:G51,R41:R51)/0.87</f>
        <v>2.444484734335297E-2</v>
      </c>
      <c r="H52" s="361">
        <f>SUMPRODUCT(H38:H40,R38:R40)+SUMPRODUCT(H41:H51,R41:R51)/0.87</f>
        <v>2.5292187491515416E-2</v>
      </c>
      <c r="I52" s="361">
        <f>SUMPRODUCT(I38:I40,R38:R40)+SUMPRODUCT(I41:I51,R41:R51)/0.87</f>
        <v>0</v>
      </c>
      <c r="J52" s="361">
        <f>SUMPRODUCT(J38:J40,R38:R40)+SUMPRODUCT(J41:J51,R41:R51)/0.87</f>
        <v>0</v>
      </c>
      <c r="K52" s="361">
        <f>SUMPRODUCT(K38:K40,R38:R40)+SUMPRODUCT(K41:K51,R41:R51)/0.87</f>
        <v>1.6350788650863569E-2</v>
      </c>
      <c r="L52" s="361">
        <f>SUMPRODUCT(L38:L40,R38:R40)+SUMPRODUCT(L41:L51,R41:R51)/0.87</f>
        <v>0</v>
      </c>
      <c r="M52" s="361">
        <f>SUMPRODUCT(M38:M40,R38:R40)+SUMPRODUCT(M41:M51,R41:R51)/0.87</f>
        <v>3.7202563017707441E-5</v>
      </c>
      <c r="N52" s="361">
        <f>SUMPRODUCT(N38:N40,R38:R40)+SUMPRODUCT(N41:N51,R41:R51)/0.87</f>
        <v>5.3666425386586641E-3</v>
      </c>
      <c r="O52" s="361">
        <f>SUMPRODUCT(O38:O40,R38:R40)+SUMPRODUCT(O41:O51,R41:R51)/0.87</f>
        <v>2.3180254142503003E-2</v>
      </c>
      <c r="P52" s="361">
        <f>SUMPRODUCT(P38:P40,R38:R40)+SUMPRODUCT(P41:P51,R41:R51)/0.87</f>
        <v>4.4601490867669458E-2</v>
      </c>
      <c r="Q52" s="361">
        <f>SUMPRODUCT(Q38:Q40,R38:R40)+SUMPRODUCT(Q41:Q51,R41:R51)/0.87</f>
        <v>1.9864238866855E-2</v>
      </c>
      <c r="R52" s="362"/>
      <c r="S52" s="369"/>
    </row>
    <row r="53" spans="1:19" x14ac:dyDescent="0.2">
      <c r="A53" s="363"/>
      <c r="B53" s="364" t="s">
        <v>481</v>
      </c>
      <c r="C53" s="365"/>
      <c r="D53" s="366"/>
      <c r="E53" s="366"/>
      <c r="F53" s="367">
        <f>SUMPRODUCT(F38:F40,S38:S40)+SUMPRODUCT(F41:F51,S41:S51)/0.87</f>
        <v>0.1355383903922345</v>
      </c>
      <c r="G53" s="367">
        <f>SUMPRODUCT(G38:G40,S38:S40)+SUMPRODUCT(G41:G51,S41:S51)/0.87</f>
        <v>1.8118264449143492E-2</v>
      </c>
      <c r="H53" s="367">
        <f>SUMPRODUCT(H38:H40,S38:S40)+SUMPRODUCT(H41:H51,S41:S51)/0.87</f>
        <v>2.5262427056005777E-2</v>
      </c>
      <c r="I53" s="367">
        <f>SUMPRODUCT(I38:I40,S38:S40)+SUMPRODUCT(I41:I51,S41:S51)/0.87</f>
        <v>0</v>
      </c>
      <c r="J53" s="367">
        <f>SUMPRODUCT(J38:J40,S38:S40)+SUMPRODUCT(J41:J51,S41:S51)/0.87</f>
        <v>0</v>
      </c>
      <c r="K53" s="367">
        <f>SUMPRODUCT(K38:K40,S38:S40)+SUMPRODUCT(K41:K51,S41:S51)/0.87</f>
        <v>1.4292735169137274E-2</v>
      </c>
      <c r="L53" s="367">
        <f>SUMPRODUCT(L38:L40,S38:S40)+SUMPRODUCT(L41:L51,S41:S51)/0.87</f>
        <v>0</v>
      </c>
      <c r="M53" s="367">
        <f>SUMPRODUCT(M38:M40,S38:S40)+SUMPRODUCT(M41:M51,S41:S51)/0.87</f>
        <v>1.9743088677890908E-5</v>
      </c>
      <c r="N53" s="367">
        <f>SUMPRODUCT(N38:N40,S38:S40)+SUMPRODUCT(N41:N51,S41:S51)/0.87</f>
        <v>2.7427754730653016E-3</v>
      </c>
      <c r="O53" s="367">
        <f>SUMPRODUCT(O38:O40,S38:S40)+SUMPRODUCT(O41:O51,S41:S51)/0.87</f>
        <v>1.0003722797221859E-2</v>
      </c>
      <c r="P53" s="367">
        <f>SUMPRODUCT(P38:P40,S38:S40)+SUMPRODUCT(P41:P51,S41:S51)/0.87</f>
        <v>5.6148577937293553E-2</v>
      </c>
      <c r="Q53" s="367">
        <f>SUMPRODUCT(Q38:Q40,S38:S40)+SUMPRODUCT(Q41:Q51,S41:S51)/0.87</f>
        <v>8.9501444216893468E-3</v>
      </c>
      <c r="R53" s="368"/>
      <c r="S53" s="368"/>
    </row>
    <row r="54" spans="1:19" x14ac:dyDescent="0.2">
      <c r="B54" s="58" t="s">
        <v>264</v>
      </c>
      <c r="C54" s="18" t="s">
        <v>463</v>
      </c>
      <c r="D54" s="349" t="s">
        <v>49</v>
      </c>
      <c r="E54" s="349" t="s">
        <v>50</v>
      </c>
      <c r="F54" s="350">
        <f t="shared" ref="F54:F67" si="6">SUM(G54:Q54)</f>
        <v>7.9008289925654507E-2</v>
      </c>
      <c r="G54" s="83">
        <f>'Forage crops, CF'!F23</f>
        <v>1.959130136383069E-2</v>
      </c>
      <c r="H54" s="83">
        <f>'Forage crops, CF'!G23</f>
        <v>2.7E-2</v>
      </c>
      <c r="I54" s="83">
        <f>'Forage crops, CF'!H23</f>
        <v>0</v>
      </c>
      <c r="J54" s="83">
        <f>'Forage crops, CF'!I23</f>
        <v>0</v>
      </c>
      <c r="K54" s="83">
        <f>'Forage crops, CF'!J23</f>
        <v>3.241698856182381E-2</v>
      </c>
      <c r="L54" s="83">
        <f>'Forage crops, CF'!K23</f>
        <v>0</v>
      </c>
      <c r="M54" s="83">
        <f>'Forage crops, CF'!L23</f>
        <v>0</v>
      </c>
      <c r="N54" s="83">
        <f>'Forage crops, CF'!M23</f>
        <v>0</v>
      </c>
      <c r="O54" s="83">
        <f>'Forage crops, CF'!N23</f>
        <v>0</v>
      </c>
      <c r="P54" s="83">
        <f>'Forage crops, CF'!O23</f>
        <v>0</v>
      </c>
      <c r="Q54" s="83">
        <f>'Forage crops, CF'!P23</f>
        <v>0</v>
      </c>
      <c r="R54" s="351">
        <f>'Parameters, country spec'!E17</f>
        <v>8.26774498415217E-2</v>
      </c>
      <c r="S54" s="351">
        <f>'Parameters, country spec'!E35</f>
        <v>0.37076972499536498</v>
      </c>
    </row>
    <row r="55" spans="1:19" x14ac:dyDescent="0.2">
      <c r="B55" s="58" t="s">
        <v>268</v>
      </c>
      <c r="C55" s="18" t="s">
        <v>463</v>
      </c>
      <c r="D55" s="349" t="s">
        <v>49</v>
      </c>
      <c r="E55" s="349" t="s">
        <v>50</v>
      </c>
      <c r="F55" s="350">
        <f t="shared" si="6"/>
        <v>0.19775040679045891</v>
      </c>
      <c r="G55" s="83">
        <f>'Forage crops, CF'!F83</f>
        <v>8.9994874637714592E-2</v>
      </c>
      <c r="H55" s="83">
        <f>'Forage crops, CF'!G83</f>
        <v>2.7E-2</v>
      </c>
      <c r="I55" s="83">
        <f>'Forage crops, CF'!H83</f>
        <v>0</v>
      </c>
      <c r="J55" s="83">
        <f>'Forage crops, CF'!I83</f>
        <v>0</v>
      </c>
      <c r="K55" s="83">
        <f>'Forage crops, CF'!J83</f>
        <v>3.0929259689320997E-2</v>
      </c>
      <c r="L55" s="83">
        <f>'Forage crops, CF'!K83</f>
        <v>0</v>
      </c>
      <c r="M55" s="83">
        <f>'Forage crops, CF'!L83</f>
        <v>3.1262724634233325E-3</v>
      </c>
      <c r="N55" s="83">
        <f>'Forage crops, CF'!M83</f>
        <v>0</v>
      </c>
      <c r="O55" s="83">
        <f>'Forage crops, CF'!N83</f>
        <v>0</v>
      </c>
      <c r="P55" s="83">
        <f>'Forage crops, CF'!O83</f>
        <v>4.6700000000000005E-2</v>
      </c>
      <c r="Q55" s="83">
        <f>'Forage crops, CF'!P83</f>
        <v>0</v>
      </c>
      <c r="R55" s="351">
        <f>'Parameters, country spec'!E18</f>
        <v>0.37327838127398499</v>
      </c>
      <c r="S55" s="351">
        <f>'Parameters, country spec'!E36</f>
        <v>0.135443882227997</v>
      </c>
    </row>
    <row r="56" spans="1:19" x14ac:dyDescent="0.2">
      <c r="B56" s="58" t="s">
        <v>465</v>
      </c>
      <c r="C56" s="18" t="s">
        <v>463</v>
      </c>
      <c r="D56" s="349" t="s">
        <v>49</v>
      </c>
      <c r="E56" s="349" t="s">
        <v>50</v>
      </c>
      <c r="F56" s="350">
        <f t="shared" si="6"/>
        <v>0.11084340019122016</v>
      </c>
      <c r="G56" s="83">
        <f>'Forage crops, CF'!F143*'Forage, input data per ha'!$D$81+'Forage crops, CF'!F203*'Forage, input data per ha'!$E$81</f>
        <v>8.235345363873034E-3</v>
      </c>
      <c r="H56" s="83">
        <f>'Forage crops, CF'!G143*'Forage, input data per ha'!$D$81+'Forage crops, CF'!G203*'Forage, input data per ha'!$E$81</f>
        <v>2.7E-2</v>
      </c>
      <c r="I56" s="83">
        <f>'Forage crops, CF'!H143*'Forage, input data per ha'!$D$81+'Forage crops, CF'!H203*'Forage, input data per ha'!$E$81</f>
        <v>0</v>
      </c>
      <c r="J56" s="83">
        <f>'Forage crops, CF'!I143*'Forage, input data per ha'!$D$81+'Forage crops, CF'!I203*'Forage, input data per ha'!$E$81</f>
        <v>0</v>
      </c>
      <c r="K56" s="83">
        <f>'Forage crops, CF'!J143*'Forage, input data per ha'!$D$81+'Forage crops, CF'!J203*'Forage, input data per ha'!$E$81</f>
        <v>2.8908054827347124E-2</v>
      </c>
      <c r="L56" s="83">
        <f>'Forage crops, CF'!K143*'Forage, input data per ha'!$D$81+'Forage crops, CF'!K203*'Forage, input data per ha'!$E$81</f>
        <v>0</v>
      </c>
      <c r="M56" s="83">
        <f>'Forage crops, CF'!L143*'Forage, input data per ha'!$D$81+'Forage crops, CF'!L203*'Forage, input data per ha'!$E$81</f>
        <v>0</v>
      </c>
      <c r="N56" s="83">
        <f>'Forage crops, CF'!M143*'Forage, input data per ha'!$D$81+'Forage crops, CF'!M203*'Forage, input data per ha'!$E$81</f>
        <v>0</v>
      </c>
      <c r="O56" s="83">
        <f>'Forage crops, CF'!N143*'Forage, input data per ha'!$D$81+'Forage crops, CF'!N203*'Forage, input data per ha'!$E$81</f>
        <v>0</v>
      </c>
      <c r="P56" s="83">
        <f>'Forage crops, CF'!O143*'Forage, input data per ha'!$D$81+'Forage crops, CF'!O203*'Forage, input data per ha'!$E$81</f>
        <v>4.6700000000000005E-2</v>
      </c>
      <c r="Q56" s="83">
        <f>'Forage crops, CF'!P143*'Forage, input data per ha'!$D$81+'Forage crops, CF'!P203*'Forage, input data per ha'!$E$81</f>
        <v>0</v>
      </c>
      <c r="R56" s="351">
        <f>'Parameters, country spec'!E19</f>
        <v>3.3371391200029701E-2</v>
      </c>
      <c r="S56" s="351">
        <f>'Parameters, country spec'!E37</f>
        <v>3.5518223853143398E-2</v>
      </c>
    </row>
    <row r="57" spans="1:19" x14ac:dyDescent="0.2">
      <c r="A57" s="353" t="s">
        <v>466</v>
      </c>
      <c r="B57" s="18" t="s">
        <v>274</v>
      </c>
      <c r="C57" s="18" t="s">
        <v>467</v>
      </c>
      <c r="D57" s="349" t="s">
        <v>49</v>
      </c>
      <c r="E57" s="349" t="s">
        <v>50</v>
      </c>
      <c r="F57" s="350">
        <f t="shared" si="6"/>
        <v>0.25451304867723556</v>
      </c>
      <c r="G57" s="239">
        <v>0.11185874155109</v>
      </c>
      <c r="H57" s="216">
        <v>2.7E-2</v>
      </c>
      <c r="I57" s="222">
        <v>0</v>
      </c>
      <c r="J57" s="216"/>
      <c r="K57" s="239">
        <v>6.7519492441362697E-2</v>
      </c>
      <c r="L57" s="216">
        <v>0</v>
      </c>
      <c r="M57" s="216">
        <v>0</v>
      </c>
      <c r="N57" s="239">
        <v>4.5828859604041997E-2</v>
      </c>
      <c r="O57" s="216">
        <v>2.3059550807408998E-3</v>
      </c>
      <c r="P57" s="216"/>
      <c r="R57" s="351">
        <f>'Parameters, country spec'!E20</f>
        <v>8.1233791668593805E-2</v>
      </c>
      <c r="S57" s="351">
        <f>'Parameters, country spec'!E38</f>
        <v>6.7240073264057107E-2</v>
      </c>
    </row>
    <row r="58" spans="1:19" x14ac:dyDescent="0.2">
      <c r="A58" s="353" t="s">
        <v>468</v>
      </c>
      <c r="B58" s="18" t="s">
        <v>276</v>
      </c>
      <c r="C58" s="18" t="s">
        <v>467</v>
      </c>
      <c r="D58" s="349" t="s">
        <v>49</v>
      </c>
      <c r="E58" s="349" t="s">
        <v>50</v>
      </c>
      <c r="F58" s="350">
        <f t="shared" si="6"/>
        <v>0.15043530566815122</v>
      </c>
      <c r="G58" s="239">
        <v>4.2682640226656403E-2</v>
      </c>
      <c r="H58" s="216">
        <v>2.7E-2</v>
      </c>
      <c r="I58" s="222">
        <v>0</v>
      </c>
      <c r="J58" s="216"/>
      <c r="K58" s="239">
        <v>1.5289491701264601E-2</v>
      </c>
      <c r="L58" s="216">
        <v>0</v>
      </c>
      <c r="M58" s="216">
        <v>1.17496484986656E-2</v>
      </c>
      <c r="N58" s="239">
        <v>4.5828859604041997E-2</v>
      </c>
      <c r="O58" s="216">
        <v>7.8846656375225997E-3</v>
      </c>
      <c r="P58" s="216"/>
      <c r="R58" s="351">
        <f>'Parameters, country spec'!E21</f>
        <v>0.24296307089861899</v>
      </c>
      <c r="S58" s="351">
        <f>'Parameters, country spec'!E39</f>
        <v>0.201109099496879</v>
      </c>
    </row>
    <row r="59" spans="1:19" x14ac:dyDescent="0.2">
      <c r="A59" s="353" t="s">
        <v>469</v>
      </c>
      <c r="B59" s="18" t="s">
        <v>278</v>
      </c>
      <c r="C59" s="18" t="s">
        <v>467</v>
      </c>
      <c r="D59" s="349" t="s">
        <v>49</v>
      </c>
      <c r="E59" s="349" t="s">
        <v>50</v>
      </c>
      <c r="F59" s="350">
        <f t="shared" si="6"/>
        <v>0.47128235421275838</v>
      </c>
      <c r="G59" s="239">
        <v>0.207906423369177</v>
      </c>
      <c r="H59" s="216">
        <v>2.7E-2</v>
      </c>
      <c r="I59" s="222">
        <v>0</v>
      </c>
      <c r="J59" s="216"/>
      <c r="K59" s="239">
        <v>0.15832041591101401</v>
      </c>
      <c r="L59" s="216">
        <v>0</v>
      </c>
      <c r="M59" s="216">
        <v>1.51442683263855E-4</v>
      </c>
      <c r="N59" s="239">
        <v>4.5828859604041997E-2</v>
      </c>
      <c r="O59" s="216">
        <v>3.20752126452616E-2</v>
      </c>
      <c r="P59" s="216"/>
      <c r="R59" s="351">
        <f>'Parameters, country spec'!E22</f>
        <v>2.2076768828459801E-2</v>
      </c>
      <c r="S59" s="351">
        <f>'Parameters, country spec'!E40</f>
        <v>1.82737198718744E-2</v>
      </c>
    </row>
    <row r="60" spans="1:19" x14ac:dyDescent="0.2">
      <c r="A60" s="353" t="s">
        <v>470</v>
      </c>
      <c r="B60" s="18" t="s">
        <v>280</v>
      </c>
      <c r="C60" s="18" t="s">
        <v>467</v>
      </c>
      <c r="D60" s="349" t="s">
        <v>49</v>
      </c>
      <c r="E60" s="349" t="s">
        <v>50</v>
      </c>
      <c r="F60" s="350">
        <f t="shared" si="6"/>
        <v>0.40386400928447763</v>
      </c>
      <c r="G60" s="239">
        <v>0.16799296124068799</v>
      </c>
      <c r="H60" s="216">
        <v>2.7E-2</v>
      </c>
      <c r="I60" s="216">
        <v>0</v>
      </c>
      <c r="J60" s="216"/>
      <c r="K60" s="239">
        <v>0.100331453362256</v>
      </c>
      <c r="L60" s="216">
        <v>0</v>
      </c>
      <c r="M60" s="216">
        <v>9.2555094180597395E-4</v>
      </c>
      <c r="N60" s="239">
        <v>4.5828859604041997E-2</v>
      </c>
      <c r="O60" s="216">
        <v>6.1785184135685699E-2</v>
      </c>
      <c r="P60" s="216"/>
      <c r="R60" s="351">
        <f>'Parameters, country spec'!E23</f>
        <v>4.8693567263410099E-3</v>
      </c>
      <c r="S60" s="351">
        <f>'Parameters, country spec'!E41</f>
        <v>4.0305382311056201E-3</v>
      </c>
    </row>
    <row r="61" spans="1:19" x14ac:dyDescent="0.2">
      <c r="A61" s="353" t="s">
        <v>471</v>
      </c>
      <c r="B61" s="18" t="s">
        <v>281</v>
      </c>
      <c r="C61" s="18" t="s">
        <v>467</v>
      </c>
      <c r="D61" s="349" t="s">
        <v>49</v>
      </c>
      <c r="E61" s="349" t="s">
        <v>50</v>
      </c>
      <c r="F61" s="350">
        <f t="shared" si="6"/>
        <v>0.3223575090577927</v>
      </c>
      <c r="G61" s="239">
        <v>0.173617725501517</v>
      </c>
      <c r="H61" s="216">
        <v>2.7E-2</v>
      </c>
      <c r="I61" s="216">
        <v>0</v>
      </c>
      <c r="J61" s="216"/>
      <c r="K61" s="239">
        <v>6.4385744975605799E-2</v>
      </c>
      <c r="L61" s="216">
        <v>0</v>
      </c>
      <c r="M61" s="216">
        <v>7.0103993031324298E-4</v>
      </c>
      <c r="N61" s="239">
        <v>4.5828859604041997E-2</v>
      </c>
      <c r="O61" s="216">
        <v>1.08241390463147E-2</v>
      </c>
      <c r="P61" s="216"/>
      <c r="R61" s="351">
        <f>'Parameters, country spec'!E24</f>
        <v>3.4919458703584899E-3</v>
      </c>
      <c r="S61" s="351">
        <f>'Parameters, country spec'!E42</f>
        <v>2.89040670515525E-3</v>
      </c>
    </row>
    <row r="62" spans="1:19" x14ac:dyDescent="0.2">
      <c r="A62" s="353" t="s">
        <v>472</v>
      </c>
      <c r="B62" s="18" t="s">
        <v>282</v>
      </c>
      <c r="C62" s="18" t="s">
        <v>473</v>
      </c>
      <c r="D62" s="349" t="s">
        <v>49</v>
      </c>
      <c r="E62" s="349" t="s">
        <v>50</v>
      </c>
      <c r="F62" s="350">
        <f t="shared" si="6"/>
        <v>0.71026464172261994</v>
      </c>
      <c r="G62" s="239">
        <v>0</v>
      </c>
      <c r="H62" s="216">
        <v>2.7E-2</v>
      </c>
      <c r="I62" s="222">
        <v>0</v>
      </c>
      <c r="J62" s="216"/>
      <c r="K62" s="239">
        <v>0.110267541918302</v>
      </c>
      <c r="L62" s="222">
        <v>0</v>
      </c>
      <c r="M62" s="216">
        <v>4.92852554943079E-2</v>
      </c>
      <c r="N62" s="239">
        <v>4.5828859604041997E-2</v>
      </c>
      <c r="O62" s="216">
        <v>0.47788298470596802</v>
      </c>
      <c r="P62" s="216"/>
      <c r="R62" s="351">
        <f>'Parameters, country spec'!E25</f>
        <v>3.4441220927794902E-4</v>
      </c>
      <c r="S62" s="351">
        <f>'Parameters, country spec'!E43</f>
        <v>2.7727022810161402E-4</v>
      </c>
    </row>
    <row r="63" spans="1:19" x14ac:dyDescent="0.2">
      <c r="A63" s="353" t="s">
        <v>474</v>
      </c>
      <c r="B63" s="18" t="s">
        <v>283</v>
      </c>
      <c r="C63" s="18" t="s">
        <v>473</v>
      </c>
      <c r="D63" s="349" t="s">
        <v>49</v>
      </c>
      <c r="E63" s="349" t="s">
        <v>50</v>
      </c>
      <c r="F63" s="350">
        <f t="shared" si="6"/>
        <v>0.32471646869837811</v>
      </c>
      <c r="G63" s="239">
        <v>2.4057723922364499E-3</v>
      </c>
      <c r="H63" s="216">
        <v>2.7E-2</v>
      </c>
      <c r="I63" s="222">
        <v>0</v>
      </c>
      <c r="J63" s="216"/>
      <c r="K63" s="239">
        <v>6.2563793470395507E-2</v>
      </c>
      <c r="L63" s="216">
        <v>0</v>
      </c>
      <c r="M63" s="216">
        <v>3.9600271687539199E-2</v>
      </c>
      <c r="N63" s="239">
        <v>4.5828859604041997E-2</v>
      </c>
      <c r="O63" s="216">
        <v>0.147317771544165</v>
      </c>
      <c r="P63" s="216"/>
      <c r="R63" s="351">
        <f>'Parameters, country spec'!E26</f>
        <v>3.3832628680436602E-4</v>
      </c>
      <c r="S63" s="351">
        <f>'Parameters, country spec'!E44</f>
        <v>2.7237073543291999E-4</v>
      </c>
    </row>
    <row r="64" spans="1:19" x14ac:dyDescent="0.2">
      <c r="B64" s="58" t="s">
        <v>284</v>
      </c>
      <c r="C64" s="18" t="s">
        <v>475</v>
      </c>
      <c r="D64" s="349" t="s">
        <v>49</v>
      </c>
      <c r="E64" s="349" t="s">
        <v>50</v>
      </c>
      <c r="F64" s="350">
        <f t="shared" si="6"/>
        <v>0.27628755742228522</v>
      </c>
      <c r="G64" s="83">
        <f>'Off-farm feed'!$F$74</f>
        <v>0.15910156565543271</v>
      </c>
      <c r="H64" s="83">
        <f>'Off-farm feed'!$G$74</f>
        <v>1.3034482758620692E-2</v>
      </c>
      <c r="I64" s="83">
        <f>'Off-farm feed'!$H$74</f>
        <v>0</v>
      </c>
      <c r="J64" s="83"/>
      <c r="K64" s="83">
        <f>'Off-farm feed'!$J$74</f>
        <v>2.4688740026345465E-2</v>
      </c>
      <c r="L64" s="83"/>
      <c r="M64" s="55">
        <f>'Off-farm feed'!$L$74</f>
        <v>1.9317593037941337E-4</v>
      </c>
      <c r="N64" s="83">
        <f>'Off-farm feed'!$M$74</f>
        <v>3.6802128767029069E-2</v>
      </c>
      <c r="O64" s="83">
        <f>'Off-farm feed'!$N$74</f>
        <v>0</v>
      </c>
      <c r="P64" s="83">
        <f>'Off-farm feed'!$O$74</f>
        <v>2.6267464284477883E-2</v>
      </c>
      <c r="Q64" s="83">
        <f>'Off-farm feed'!$P$74</f>
        <v>1.6199999999999999E-2</v>
      </c>
      <c r="R64" s="351">
        <f>'Parameters, country spec'!E27</f>
        <v>3.7586046391160401E-4</v>
      </c>
      <c r="S64" s="351">
        <f>'Parameters, country spec'!E45</f>
        <v>3.0258775338687599E-4</v>
      </c>
    </row>
    <row r="65" spans="1:19" x14ac:dyDescent="0.2">
      <c r="B65" s="58" t="s">
        <v>476</v>
      </c>
      <c r="C65" s="18" t="s">
        <v>475</v>
      </c>
      <c r="D65" s="349" t="s">
        <v>49</v>
      </c>
      <c r="E65" s="349" t="s">
        <v>50</v>
      </c>
      <c r="F65" s="350">
        <f t="shared" si="6"/>
        <v>0.7061171705997602</v>
      </c>
      <c r="G65" s="83">
        <f>'Off-farm feed'!$F$23</f>
        <v>7.2632670993099079E-3</v>
      </c>
      <c r="H65" s="83">
        <f>'Off-farm feed'!$G$23</f>
        <v>2.1402439024390246E-2</v>
      </c>
      <c r="I65" s="83">
        <f>'Off-farm feed'!$H$23</f>
        <v>0</v>
      </c>
      <c r="J65" s="83"/>
      <c r="K65" s="83">
        <f>'Off-farm feed'!$J$23</f>
        <v>4.3083619664332357E-2</v>
      </c>
      <c r="L65" s="83"/>
      <c r="M65" s="55">
        <f>'Off-farm feed'!$L$23</f>
        <v>1.7842060425123844E-4</v>
      </c>
      <c r="N65" s="83">
        <f>'Off-farm feed'!$M$23</f>
        <v>3.0432604948959392E-2</v>
      </c>
      <c r="O65" s="83">
        <f>'Off-farm feed'!$N$23</f>
        <v>0.31761120248475611</v>
      </c>
      <c r="P65" s="83">
        <f>'Off-farm feed'!$O$23</f>
        <v>3.51456167737609E-2</v>
      </c>
      <c r="Q65" s="83">
        <f>'Off-farm feed'!$P$23</f>
        <v>0.251</v>
      </c>
      <c r="R65" s="351">
        <f>'Parameters, country spec'!E28</f>
        <v>6.6229033989623307E-2</v>
      </c>
      <c r="S65" s="351">
        <f>'Parameters, country spec'!E46</f>
        <v>5.3317910590755302E-2</v>
      </c>
    </row>
    <row r="66" spans="1:19" x14ac:dyDescent="0.2">
      <c r="B66" s="18" t="s">
        <v>286</v>
      </c>
      <c r="C66" s="18" t="s">
        <v>477</v>
      </c>
      <c r="D66" s="349" t="s">
        <v>49</v>
      </c>
      <c r="E66" s="349" t="s">
        <v>50</v>
      </c>
      <c r="F66" s="350">
        <f t="shared" si="6"/>
        <v>0.78743380346145797</v>
      </c>
      <c r="G66" s="239">
        <v>1.5625595295136501E-2</v>
      </c>
      <c r="H66" s="222">
        <v>2.4299999999999999E-3</v>
      </c>
      <c r="K66" s="222">
        <v>5.7947170478045299E-3</v>
      </c>
      <c r="L66">
        <v>0</v>
      </c>
      <c r="M66">
        <v>6.3093593728191896E-5</v>
      </c>
      <c r="N66" s="370">
        <v>4.1245973643637803E-3</v>
      </c>
      <c r="O66" s="25">
        <v>9.7417251416832698E-4</v>
      </c>
      <c r="P66" s="222">
        <v>0.72382210600774899</v>
      </c>
      <c r="Q66" s="222">
        <v>3.4599521638507699E-2</v>
      </c>
      <c r="R66" s="351">
        <f>'Parameters, country spec'!E29</f>
        <v>4.7111416374646303E-2</v>
      </c>
      <c r="S66" s="351">
        <f>'Parameters, country spec'!E47</f>
        <v>4.6947510766466402E-2</v>
      </c>
    </row>
    <row r="67" spans="1:19" x14ac:dyDescent="0.2">
      <c r="A67" s="354"/>
      <c r="B67" s="18" t="s">
        <v>478</v>
      </c>
      <c r="C67" s="355" t="s">
        <v>479</v>
      </c>
      <c r="D67" s="349" t="s">
        <v>49</v>
      </c>
      <c r="E67" s="349" t="s">
        <v>50</v>
      </c>
      <c r="F67" s="350">
        <f t="shared" si="6"/>
        <v>0.11794567589280942</v>
      </c>
      <c r="G67" s="356">
        <f t="shared" ref="G67:Q67" si="7">SUMPRODUCT(G57:G65,$R57:$R65)</f>
        <v>2.6012851540968836E-2</v>
      </c>
      <c r="H67" s="356">
        <f t="shared" si="7"/>
        <v>1.1015939165531952E-2</v>
      </c>
      <c r="I67" s="356">
        <f t="shared" si="7"/>
        <v>0</v>
      </c>
      <c r="J67" s="356">
        <f t="shared" si="7"/>
        <v>0</v>
      </c>
      <c r="K67" s="356">
        <f t="shared" si="7"/>
        <v>1.6330041131314438E-2</v>
      </c>
      <c r="L67" s="356">
        <f t="shared" si="7"/>
        <v>0</v>
      </c>
      <c r="M67" s="356">
        <f t="shared" si="7"/>
        <v>2.9072903655823134E-3</v>
      </c>
      <c r="N67" s="356">
        <f t="shared" si="7"/>
        <v>1.8313158220057073E-2</v>
      </c>
      <c r="O67" s="356">
        <f t="shared" si="7"/>
        <v>2.4399285849236559E-2</v>
      </c>
      <c r="P67" s="356">
        <f t="shared" si="7"/>
        <v>2.3375331492074313E-3</v>
      </c>
      <c r="Q67" s="356">
        <f t="shared" si="7"/>
        <v>1.6629576470910821E-2</v>
      </c>
      <c r="R67" s="351">
        <f>'Parameters, country spec'!E30</f>
        <v>4.1638794367828399E-2</v>
      </c>
      <c r="S67" s="351">
        <f>'Parameters, country spec'!E48</f>
        <v>6.36066812802797E-2</v>
      </c>
    </row>
    <row r="68" spans="1:19" x14ac:dyDescent="0.2">
      <c r="A68" s="357"/>
      <c r="B68" s="358" t="s">
        <v>480</v>
      </c>
      <c r="C68" s="359"/>
      <c r="D68" s="360"/>
      <c r="E68" s="360"/>
      <c r="F68" s="361">
        <f>SUMPRODUCT(F54:F56,R54:R56)+SUMPRODUCT(F57:F67,R57:R67)/0.87</f>
        <v>0.26790222703694466</v>
      </c>
      <c r="G68" s="361">
        <f>SUMPRODUCT(G54:G56,R54:R56)+SUMPRODUCT(G57:G67,R57:R67)/0.87</f>
        <v>6.7478689542784229E-2</v>
      </c>
      <c r="H68" s="361">
        <f>SUMPRODUCT(H54:H56,R54:R56)+SUMPRODUCT(H57:H67,R57:R67)/0.87</f>
        <v>2.6532651477237219E-2</v>
      </c>
      <c r="I68" s="361">
        <f>SUMPRODUCT(I54:I56,R54:R56)+SUMPRODUCT(I57:I67,R57:R67)/0.87</f>
        <v>0</v>
      </c>
      <c r="J68" s="361">
        <f>SUMPRODUCT(J54:J56,R54:R56)+SUMPRODUCT(J57:J67,R57:R67)/0.87</f>
        <v>0</v>
      </c>
      <c r="K68" s="361">
        <f>SUMPRODUCT(K54:K56,R54:R56)+SUMPRODUCT(K57:K67,R57:R67)/0.87</f>
        <v>3.5055599119706418E-2</v>
      </c>
      <c r="L68" s="361">
        <f>SUMPRODUCT(L54:L56,R54:R56)+SUMPRODUCT(L57:L67,R57:R67)/0.87</f>
        <v>0</v>
      </c>
      <c r="M68" s="361">
        <f>SUMPRODUCT(M54:M56,R54:R56)+SUMPRODUCT(M57:M67,R57:R67)/0.87</f>
        <v>4.6512444761164463E-3</v>
      </c>
      <c r="N68" s="361">
        <f>SUMPRODUCT(N54:N56,R54:R56)+SUMPRODUCT(N57:N67,R57:R67)/0.87</f>
        <v>2.21494387048481E-2</v>
      </c>
      <c r="O68" s="361">
        <f>SUMPRODUCT(O54:O56,R54:R56)+SUMPRODUCT(O57:O67,R57:R67)/0.87</f>
        <v>2.9265675106172999E-2</v>
      </c>
      <c r="P68" s="361">
        <f>SUMPRODUCT(P54:P56,R54:R56)+SUMPRODUCT(P57:P67,R57:R67)/0.87</f>
        <v>6.0984969464926951E-2</v>
      </c>
      <c r="Q68" s="361">
        <f>SUMPRODUCT(Q54:Q56,R54:R56)+SUMPRODUCT(Q57:Q67,R57:R67)/0.87</f>
        <v>2.1783959145152271E-2</v>
      </c>
      <c r="R68" s="362"/>
      <c r="S68" s="369"/>
    </row>
    <row r="69" spans="1:19" x14ac:dyDescent="0.2">
      <c r="A69" s="363"/>
      <c r="B69" s="364" t="s">
        <v>481</v>
      </c>
      <c r="C69" s="365"/>
      <c r="D69" s="366"/>
      <c r="E69" s="366"/>
      <c r="F69" s="367">
        <f>SUMPRODUCT(F54:F56,S54:S56)+SUMPRODUCT(F57:F67,S57:S67)/0.87</f>
        <v>0.2221147669712617</v>
      </c>
      <c r="G69" s="367">
        <f>SUMPRODUCT(G54:G56,S54:S56)+SUMPRODUCT(G57:G67,S57:S67)/0.87</f>
        <v>4.7225670405307299E-2</v>
      </c>
      <c r="H69" s="367">
        <f>SUMPRODUCT(H54:H56,S54:S56)+SUMPRODUCT(H57:H67,S57:S67)/0.87</f>
        <v>2.6006496345075805E-2</v>
      </c>
      <c r="I69" s="367">
        <f>SUMPRODUCT(I54:I56,S54:S56)+SUMPRODUCT(I57:I67,S57:S67)/0.87</f>
        <v>0</v>
      </c>
      <c r="J69" s="367">
        <f>SUMPRODUCT(J54:J56,S54:S56)+SUMPRODUCT(J57:J67,S57:S67)/0.87</f>
        <v>0</v>
      </c>
      <c r="K69" s="367">
        <f>SUMPRODUCT(K54:K56,S54:S56)+SUMPRODUCT(K57:K67,S57:S67)/0.87</f>
        <v>3.4202336038297462E-2</v>
      </c>
      <c r="L69" s="367">
        <f>SUMPRODUCT(L54:L56,S54:S56)+SUMPRODUCT(L57:L67,S57:S67)/0.87</f>
        <v>0</v>
      </c>
      <c r="M69" s="367">
        <f>SUMPRODUCT(M54:M56,S54:S56)+SUMPRODUCT(M57:M67,S57:S67)/0.87</f>
        <v>3.4043463685535388E-3</v>
      </c>
      <c r="N69" s="367">
        <f>SUMPRODUCT(N54:N56,S54:S56)+SUMPRODUCT(N57:N67,S57:S67)/0.87</f>
        <v>1.8931248642092311E-2</v>
      </c>
      <c r="O69" s="367">
        <f>SUMPRODUCT(O54:O56,S54:S56)+SUMPRODUCT(O57:O67,S57:S67)/0.87</f>
        <v>2.4496395172488125E-2</v>
      </c>
      <c r="P69" s="367">
        <f>SUMPRODUCT(P54:P56,S54:S56)+SUMPRODUCT(P57:P67,S57:S67)/0.87</f>
        <v>4.9377226798373461E-2</v>
      </c>
      <c r="Q69" s="367">
        <f>SUMPRODUCT(Q54:Q56,S54:S56)+SUMPRODUCT(Q57:Q67,S57:S67)/0.87</f>
        <v>1.8471047201073721E-2</v>
      </c>
      <c r="R69" s="368"/>
      <c r="S69" s="368"/>
    </row>
    <row r="70" spans="1:19" x14ac:dyDescent="0.2">
      <c r="B70" s="58" t="s">
        <v>264</v>
      </c>
      <c r="C70" s="18" t="s">
        <v>463</v>
      </c>
      <c r="D70" s="349" t="s">
        <v>51</v>
      </c>
      <c r="E70" s="349" t="s">
        <v>52</v>
      </c>
      <c r="F70" s="350">
        <f t="shared" ref="F70:F83" si="8">SUM(G70:Q70)</f>
        <v>9.3909755702181436E-2</v>
      </c>
      <c r="G70" s="83">
        <f>'Forage crops, CF'!F28</f>
        <v>1.821157315870988E-2</v>
      </c>
      <c r="H70" s="83">
        <f>'Forage crops, CF'!G28</f>
        <v>2.7E-2</v>
      </c>
      <c r="I70" s="83">
        <f>'Forage crops, CF'!H28</f>
        <v>0</v>
      </c>
      <c r="J70" s="83">
        <f>'Forage crops, CF'!I28</f>
        <v>0</v>
      </c>
      <c r="K70" s="83">
        <f>'Forage crops, CF'!J28</f>
        <v>4.8698182543471559E-2</v>
      </c>
      <c r="L70" s="83">
        <f>'Forage crops, CF'!K28</f>
        <v>0</v>
      </c>
      <c r="M70" s="83">
        <f>'Forage crops, CF'!L28</f>
        <v>0</v>
      </c>
      <c r="N70" s="83">
        <f>'Forage crops, CF'!M28</f>
        <v>0</v>
      </c>
      <c r="O70" s="83">
        <f>'Forage crops, CF'!N28</f>
        <v>0</v>
      </c>
      <c r="P70" s="83">
        <f>'Forage crops, CF'!O28</f>
        <v>0</v>
      </c>
      <c r="Q70" s="83">
        <f>'Forage crops, CF'!P28</f>
        <v>0</v>
      </c>
      <c r="R70" s="351">
        <f>'Parameters, country spec'!F17</f>
        <v>5.3418699404756603E-2</v>
      </c>
      <c r="S70" s="351">
        <f>'Parameters, country spec'!F35</f>
        <v>7.7439143939213403E-2</v>
      </c>
    </row>
    <row r="71" spans="1:19" x14ac:dyDescent="0.2">
      <c r="B71" s="58" t="s">
        <v>268</v>
      </c>
      <c r="C71" s="18" t="s">
        <v>463</v>
      </c>
      <c r="D71" s="349" t="s">
        <v>51</v>
      </c>
      <c r="E71" s="349" t="s">
        <v>52</v>
      </c>
      <c r="F71" s="350">
        <f t="shared" si="8"/>
        <v>0.13390143698765208</v>
      </c>
      <c r="G71" s="83">
        <f>'Forage crops, CF'!F88</f>
        <v>3.8682670289812482E-2</v>
      </c>
      <c r="H71" s="83">
        <f>'Forage crops, CF'!G88</f>
        <v>2.7E-2</v>
      </c>
      <c r="I71" s="83">
        <f>'Forage crops, CF'!H88</f>
        <v>0</v>
      </c>
      <c r="J71" s="83">
        <f>'Forage crops, CF'!I88</f>
        <v>0</v>
      </c>
      <c r="K71" s="83">
        <f>'Forage crops, CF'!J88</f>
        <v>2.1510192970721386E-2</v>
      </c>
      <c r="L71" s="83">
        <f>'Forage crops, CF'!K88</f>
        <v>0</v>
      </c>
      <c r="M71" s="83">
        <f>'Forage crops, CF'!L88</f>
        <v>8.5737271182102404E-6</v>
      </c>
      <c r="N71" s="83">
        <f>'Forage crops, CF'!M88</f>
        <v>0</v>
      </c>
      <c r="O71" s="83">
        <f>'Forage crops, CF'!N88</f>
        <v>0</v>
      </c>
      <c r="P71" s="83">
        <f>'Forage crops, CF'!O88</f>
        <v>4.6700000000000005E-2</v>
      </c>
      <c r="Q71" s="83">
        <f>'Forage crops, CF'!P88</f>
        <v>0</v>
      </c>
      <c r="R71" s="351">
        <f>'Parameters, country spec'!F18</f>
        <v>0.25046523624431899</v>
      </c>
      <c r="S71" s="351">
        <f>'Parameters, country spec'!F36</f>
        <v>0.38082943222890397</v>
      </c>
    </row>
    <row r="72" spans="1:19" x14ac:dyDescent="0.2">
      <c r="B72" s="58" t="s">
        <v>465</v>
      </c>
      <c r="C72" s="18" t="s">
        <v>463</v>
      </c>
      <c r="D72" s="349" t="s">
        <v>51</v>
      </c>
      <c r="E72" s="349" t="s">
        <v>52</v>
      </c>
      <c r="F72" s="350">
        <f t="shared" si="8"/>
        <v>0.10773347809691061</v>
      </c>
      <c r="G72" s="83">
        <f>'Forage crops, CF'!F148*'Forage, input data per ha'!$D$82+'Forage crops, CF'!F208*'Forage, input data per ha'!$E$82</f>
        <v>2.9737920731766369E-3</v>
      </c>
      <c r="H72" s="83">
        <f>'Forage crops, CF'!G148*'Forage, input data per ha'!$D$82+'Forage crops, CF'!G208*'Forage, input data per ha'!$E$82</f>
        <v>2.7E-2</v>
      </c>
      <c r="I72" s="83">
        <f>'Forage crops, CF'!H148*'Forage, input data per ha'!$D$82+'Forage crops, CF'!H208*'Forage, input data per ha'!$E$82</f>
        <v>0</v>
      </c>
      <c r="J72" s="83">
        <f>'Forage crops, CF'!I148*'Forage, input data per ha'!$D$82+'Forage crops, CF'!I208*'Forage, input data per ha'!$E$82</f>
        <v>0</v>
      </c>
      <c r="K72" s="83">
        <f>'Forage crops, CF'!J148*'Forage, input data per ha'!$D$82+'Forage crops, CF'!J208*'Forage, input data per ha'!$E$82</f>
        <v>3.1059686023733973E-2</v>
      </c>
      <c r="L72" s="83">
        <f>'Forage crops, CF'!K148*'Forage, input data per ha'!$D$82+'Forage crops, CF'!K208*'Forage, input data per ha'!$E$82</f>
        <v>0</v>
      </c>
      <c r="M72" s="83">
        <f>'Forage crops, CF'!L148*'Forage, input data per ha'!$D$82+'Forage crops, CF'!L208*'Forage, input data per ha'!$E$82</f>
        <v>0</v>
      </c>
      <c r="N72" s="83">
        <f>'Forage crops, CF'!M148*'Forage, input data per ha'!$D$82+'Forage crops, CF'!M208*'Forage, input data per ha'!$E$82</f>
        <v>0</v>
      </c>
      <c r="O72" s="83">
        <f>'Forage crops, CF'!N148*'Forage, input data per ha'!$D$82+'Forage crops, CF'!N208*'Forage, input data per ha'!$E$82</f>
        <v>0</v>
      </c>
      <c r="P72" s="83">
        <f>'Forage crops, CF'!O148*'Forage, input data per ha'!$D$82+'Forage crops, CF'!O208*'Forage, input data per ha'!$E$82</f>
        <v>4.6700000000000005E-2</v>
      </c>
      <c r="Q72" s="83">
        <f>'Forage crops, CF'!P148*'Forage, input data per ha'!$D$82+'Forage crops, CF'!P208*'Forage, input data per ha'!$E$82</f>
        <v>0</v>
      </c>
      <c r="R72" s="351">
        <f>'Parameters, country spec'!F19</f>
        <v>9.7106054001350806E-2</v>
      </c>
      <c r="S72" s="351">
        <f>'Parameters, country spec'!F37</f>
        <v>0.18201404564523599</v>
      </c>
    </row>
    <row r="73" spans="1:19" x14ac:dyDescent="0.2">
      <c r="A73" s="353" t="s">
        <v>466</v>
      </c>
      <c r="B73" s="18" t="s">
        <v>274</v>
      </c>
      <c r="C73" s="18" t="s">
        <v>467</v>
      </c>
      <c r="D73" s="349" t="s">
        <v>51</v>
      </c>
      <c r="E73" s="349" t="s">
        <v>52</v>
      </c>
      <c r="F73" s="350">
        <f t="shared" si="8"/>
        <v>0.16331952151499937</v>
      </c>
      <c r="G73" s="239">
        <v>5.3517509155759403E-2</v>
      </c>
      <c r="H73" s="216">
        <v>2.7E-2</v>
      </c>
      <c r="I73" s="222">
        <v>0</v>
      </c>
      <c r="J73" s="216"/>
      <c r="K73" s="239">
        <v>3.4751291896792803E-2</v>
      </c>
      <c r="L73" s="216">
        <v>0</v>
      </c>
      <c r="M73" s="216">
        <v>0</v>
      </c>
      <c r="N73" s="239">
        <v>4.1772636956010002E-2</v>
      </c>
      <c r="O73" s="216">
        <v>6.2780835064371703E-3</v>
      </c>
      <c r="P73" s="216"/>
      <c r="R73" s="351">
        <f>'Parameters, country spec'!F20</f>
        <v>3.3128681692208201E-2</v>
      </c>
      <c r="S73" s="351">
        <f>'Parameters, country spec'!F38</f>
        <v>1.3777713958130201E-2</v>
      </c>
    </row>
    <row r="74" spans="1:19" x14ac:dyDescent="0.2">
      <c r="A74" s="353" t="s">
        <v>468</v>
      </c>
      <c r="B74" s="18" t="s">
        <v>276</v>
      </c>
      <c r="C74" s="18" t="s">
        <v>467</v>
      </c>
      <c r="D74" s="349" t="s">
        <v>51</v>
      </c>
      <c r="E74" s="349" t="s">
        <v>52</v>
      </c>
      <c r="F74" s="350">
        <f t="shared" si="8"/>
        <v>0.16765006836412538</v>
      </c>
      <c r="G74" s="239">
        <v>6.4801609246117706E-2</v>
      </c>
      <c r="H74" s="216">
        <v>2.7E-2</v>
      </c>
      <c r="I74" s="222">
        <v>0</v>
      </c>
      <c r="J74" s="216"/>
      <c r="K74" s="239">
        <v>2.49714283934428E-2</v>
      </c>
      <c r="L74" s="216">
        <v>0</v>
      </c>
      <c r="M74" s="216">
        <v>8.2736751041397505E-5</v>
      </c>
      <c r="N74" s="239">
        <v>4.1772636956010002E-2</v>
      </c>
      <c r="O74" s="216">
        <v>9.0216570175134791E-3</v>
      </c>
      <c r="P74" s="216"/>
      <c r="R74" s="351">
        <f>'Parameters, country spec'!F21</f>
        <v>0.196499875628766</v>
      </c>
      <c r="S74" s="351">
        <f>'Parameters, country spec'!F39</f>
        <v>8.1721304315358401E-2</v>
      </c>
    </row>
    <row r="75" spans="1:19" x14ac:dyDescent="0.2">
      <c r="A75" s="353" t="s">
        <v>469</v>
      </c>
      <c r="B75" s="18" t="s">
        <v>278</v>
      </c>
      <c r="C75" s="18" t="s">
        <v>467</v>
      </c>
      <c r="D75" s="349" t="s">
        <v>51</v>
      </c>
      <c r="E75" s="349" t="s">
        <v>52</v>
      </c>
      <c r="F75" s="350">
        <f t="shared" si="8"/>
        <v>0.23008300750098509</v>
      </c>
      <c r="G75" s="239">
        <v>7.9395983086191696E-2</v>
      </c>
      <c r="H75" s="216">
        <v>2.7E-2</v>
      </c>
      <c r="I75" s="222">
        <v>0</v>
      </c>
      <c r="J75" s="216"/>
      <c r="K75" s="239">
        <v>6.5040424601935695E-2</v>
      </c>
      <c r="L75" s="216">
        <v>0</v>
      </c>
      <c r="M75" s="216">
        <v>0</v>
      </c>
      <c r="N75" s="239">
        <v>4.1772636956010002E-2</v>
      </c>
      <c r="O75" s="216">
        <v>1.68739628568477E-2</v>
      </c>
      <c r="P75" s="216"/>
      <c r="R75" s="351">
        <f>'Parameters, country spec'!F22</f>
        <v>1.7743951673345099E-2</v>
      </c>
      <c r="S75" s="351">
        <f>'Parameters, country spec'!F40</f>
        <v>7.3794391499110096E-3</v>
      </c>
    </row>
    <row r="76" spans="1:19" x14ac:dyDescent="0.2">
      <c r="A76" s="353" t="s">
        <v>470</v>
      </c>
      <c r="B76" s="18" t="s">
        <v>280</v>
      </c>
      <c r="C76" s="18" t="s">
        <v>467</v>
      </c>
      <c r="D76" s="349" t="s">
        <v>51</v>
      </c>
      <c r="E76" s="349" t="s">
        <v>52</v>
      </c>
      <c r="F76" s="350">
        <f t="shared" si="8"/>
        <v>0.22458257739258536</v>
      </c>
      <c r="G76" s="239">
        <v>9.4845757046005702E-2</v>
      </c>
      <c r="H76" s="216">
        <v>2.7E-2</v>
      </c>
      <c r="I76" s="216">
        <v>0</v>
      </c>
      <c r="J76" s="216"/>
      <c r="K76" s="239">
        <v>6.0936814502337198E-2</v>
      </c>
      <c r="L76" s="216">
        <v>0</v>
      </c>
      <c r="M76" s="216">
        <v>0</v>
      </c>
      <c r="N76" s="239">
        <v>4.1772636956010002E-2</v>
      </c>
      <c r="O76" s="216">
        <v>2.73688882324494E-5</v>
      </c>
      <c r="P76" s="216"/>
      <c r="R76" s="351">
        <f>'Parameters, country spec'!F23</f>
        <v>6.8964610637078797E-3</v>
      </c>
      <c r="S76" s="351">
        <f>'Parameters, country spec'!F41</f>
        <v>2.8681330795635499E-3</v>
      </c>
    </row>
    <row r="77" spans="1:19" x14ac:dyDescent="0.2">
      <c r="A77" s="353" t="s">
        <v>471</v>
      </c>
      <c r="B77" s="18" t="s">
        <v>281</v>
      </c>
      <c r="C77" s="18" t="s">
        <v>467</v>
      </c>
      <c r="D77" s="349" t="s">
        <v>51</v>
      </c>
      <c r="E77" s="349" t="s">
        <v>52</v>
      </c>
      <c r="F77" s="350">
        <f t="shared" si="8"/>
        <v>0.1928250291602443</v>
      </c>
      <c r="G77" s="239">
        <v>8.8667749084816894E-2</v>
      </c>
      <c r="H77" s="216">
        <v>2.7E-2</v>
      </c>
      <c r="I77" s="216">
        <v>0</v>
      </c>
      <c r="J77" s="216"/>
      <c r="K77" s="239">
        <v>3.5373429617754797E-2</v>
      </c>
      <c r="L77" s="216">
        <v>0</v>
      </c>
      <c r="M77" s="216">
        <v>0</v>
      </c>
      <c r="N77" s="239">
        <v>4.1772636956010002E-2</v>
      </c>
      <c r="O77" s="216">
        <v>1.1213501662600699E-5</v>
      </c>
      <c r="P77" s="216"/>
      <c r="R77" s="351">
        <f>'Parameters, country spec'!F24</f>
        <v>3.10248353470601E-2</v>
      </c>
      <c r="S77" s="351">
        <f>'Parameters, country spec'!F42</f>
        <v>1.29027563161922E-2</v>
      </c>
    </row>
    <row r="78" spans="1:19" x14ac:dyDescent="0.2">
      <c r="A78" s="353" t="s">
        <v>472</v>
      </c>
      <c r="B78" s="18" t="s">
        <v>282</v>
      </c>
      <c r="C78" s="18" t="s">
        <v>473</v>
      </c>
      <c r="D78" s="349" t="s">
        <v>51</v>
      </c>
      <c r="E78" s="349" t="s">
        <v>52</v>
      </c>
      <c r="F78" s="350">
        <f t="shared" si="8"/>
        <v>0.17814967754875929</v>
      </c>
      <c r="G78" s="239">
        <v>0</v>
      </c>
      <c r="H78" s="216">
        <v>2.7E-2</v>
      </c>
      <c r="I78" s="222">
        <v>0</v>
      </c>
      <c r="J78" s="216"/>
      <c r="K78" s="239">
        <v>7.5868402171388294E-2</v>
      </c>
      <c r="L78" s="222">
        <v>0</v>
      </c>
      <c r="M78" s="216">
        <v>2.5612929536489099E-2</v>
      </c>
      <c r="N78" s="239">
        <v>4.1772636956010002E-2</v>
      </c>
      <c r="O78" s="216">
        <v>7.8957088848718993E-3</v>
      </c>
      <c r="P78" s="216"/>
      <c r="R78" s="351">
        <f>'Parameters, country spec'!F25</f>
        <v>1.11577561574704E-3</v>
      </c>
      <c r="S78" s="351">
        <f>'Parameters, country spec'!F43</f>
        <v>9.2331122908701499E-4</v>
      </c>
    </row>
    <row r="79" spans="1:19" x14ac:dyDescent="0.2">
      <c r="A79" s="353" t="s">
        <v>474</v>
      </c>
      <c r="B79" s="18" t="s">
        <v>283</v>
      </c>
      <c r="C79" s="18" t="s">
        <v>473</v>
      </c>
      <c r="D79" s="349" t="s">
        <v>51</v>
      </c>
      <c r="E79" s="349" t="s">
        <v>52</v>
      </c>
      <c r="F79" s="350">
        <f t="shared" si="8"/>
        <v>0.88309240535499323</v>
      </c>
      <c r="G79" s="239">
        <v>4.2783747869422697E-3</v>
      </c>
      <c r="H79" s="216">
        <v>2.7E-2</v>
      </c>
      <c r="I79" s="222">
        <v>0</v>
      </c>
      <c r="J79" s="216"/>
      <c r="K79" s="239">
        <v>0.119691465798046</v>
      </c>
      <c r="L79" s="216">
        <v>0</v>
      </c>
      <c r="M79" s="216">
        <v>3.2454409978343902E-2</v>
      </c>
      <c r="N79" s="239">
        <v>4.1772636956010002E-2</v>
      </c>
      <c r="O79" s="216">
        <v>0.65789551783565103</v>
      </c>
      <c r="P79" s="216"/>
      <c r="R79" s="351">
        <f>'Parameters, country spec'!F26</f>
        <v>1.09605934664696E-3</v>
      </c>
      <c r="S79" s="351">
        <f>'Parameters, country spec'!F44</f>
        <v>9.0699589423403595E-4</v>
      </c>
    </row>
    <row r="80" spans="1:19" x14ac:dyDescent="0.2">
      <c r="B80" s="58" t="s">
        <v>284</v>
      </c>
      <c r="C80" s="18" t="s">
        <v>475</v>
      </c>
      <c r="D80" s="349" t="s">
        <v>51</v>
      </c>
      <c r="E80" s="349" t="s">
        <v>52</v>
      </c>
      <c r="F80" s="350">
        <f t="shared" si="8"/>
        <v>0.27628755742228522</v>
      </c>
      <c r="G80" s="83">
        <f>'Off-farm feed'!$F$74</f>
        <v>0.15910156565543271</v>
      </c>
      <c r="H80" s="83">
        <f>'Off-farm feed'!$G$74</f>
        <v>1.3034482758620692E-2</v>
      </c>
      <c r="I80" s="83">
        <f>'Off-farm feed'!$H$74</f>
        <v>0</v>
      </c>
      <c r="J80" s="83"/>
      <c r="K80" s="83">
        <f>'Off-farm feed'!$J$74</f>
        <v>2.4688740026345465E-2</v>
      </c>
      <c r="L80" s="83"/>
      <c r="M80" s="55">
        <f>'Off-farm feed'!$L$74</f>
        <v>1.9317593037941337E-4</v>
      </c>
      <c r="N80" s="83">
        <f>'Off-farm feed'!$M$74</f>
        <v>3.6802128767029069E-2</v>
      </c>
      <c r="O80" s="83">
        <f>'Off-farm feed'!$N$74</f>
        <v>0</v>
      </c>
      <c r="P80" s="83">
        <f>'Off-farm feed'!$O$74</f>
        <v>2.6267464284477883E-2</v>
      </c>
      <c r="Q80" s="83">
        <f>'Off-farm feed'!$P$74</f>
        <v>1.6199999999999999E-2</v>
      </c>
      <c r="R80" s="351">
        <f>'Parameters, country spec'!F27</f>
        <v>4.8155919990539102E-4</v>
      </c>
      <c r="S80" s="351">
        <f>'Parameters, country spec'!F45</f>
        <v>3.9849321881062699E-4</v>
      </c>
    </row>
    <row r="81" spans="1:19" x14ac:dyDescent="0.2">
      <c r="B81" s="58" t="s">
        <v>476</v>
      </c>
      <c r="C81" s="18" t="s">
        <v>475</v>
      </c>
      <c r="D81" s="349" t="s">
        <v>51</v>
      </c>
      <c r="E81" s="349" t="s">
        <v>52</v>
      </c>
      <c r="F81" s="350">
        <f t="shared" si="8"/>
        <v>0.7061171705997602</v>
      </c>
      <c r="G81" s="83">
        <f>'Off-farm feed'!$F$23</f>
        <v>7.2632670993099079E-3</v>
      </c>
      <c r="H81" s="83">
        <f>'Off-farm feed'!$G$23</f>
        <v>2.1402439024390246E-2</v>
      </c>
      <c r="I81" s="83">
        <f>'Off-farm feed'!$H$23</f>
        <v>0</v>
      </c>
      <c r="J81" s="83"/>
      <c r="K81" s="83">
        <f>'Off-farm feed'!$J$23</f>
        <v>4.3083619664332357E-2</v>
      </c>
      <c r="L81" s="83"/>
      <c r="M81" s="55">
        <f>'Off-farm feed'!$L$23</f>
        <v>1.7842060425123844E-4</v>
      </c>
      <c r="N81" s="83">
        <f>'Off-farm feed'!$M$23</f>
        <v>3.0432604948959392E-2</v>
      </c>
      <c r="O81" s="83">
        <f>'Off-farm feed'!$N$23</f>
        <v>0.31761120248475611</v>
      </c>
      <c r="P81" s="83">
        <f>'Off-farm feed'!$O$23</f>
        <v>3.51456167737609E-2</v>
      </c>
      <c r="Q81" s="83">
        <f>'Off-farm feed'!$P$23</f>
        <v>0.251</v>
      </c>
      <c r="R81" s="351">
        <f>'Parameters, country spec'!F28</f>
        <v>9.1823937462469196E-2</v>
      </c>
      <c r="S81" s="351">
        <f>'Parameters, country spec'!F46</f>
        <v>7.5984876674379795E-2</v>
      </c>
    </row>
    <row r="82" spans="1:19" x14ac:dyDescent="0.2">
      <c r="B82" s="18" t="s">
        <v>286</v>
      </c>
      <c r="C82" s="18" t="s">
        <v>477</v>
      </c>
      <c r="D82" s="349" t="s">
        <v>51</v>
      </c>
      <c r="E82" s="349" t="s">
        <v>52</v>
      </c>
      <c r="F82" s="350">
        <f t="shared" si="8"/>
        <v>0.51672853709651922</v>
      </c>
      <c r="G82" s="239">
        <v>7.98009741763352E-3</v>
      </c>
      <c r="H82" s="222">
        <v>2.4299999999999999E-3</v>
      </c>
      <c r="K82" s="222">
        <v>3.1836086655979302E-3</v>
      </c>
      <c r="L82">
        <v>0</v>
      </c>
      <c r="M82">
        <v>0</v>
      </c>
      <c r="N82" s="370">
        <v>3.7595373260408999E-3</v>
      </c>
      <c r="O82" s="25">
        <v>1.00921514963407E-6</v>
      </c>
      <c r="P82" s="222">
        <v>0.49589425967864798</v>
      </c>
      <c r="Q82" s="222">
        <v>3.4800247934492399E-3</v>
      </c>
      <c r="R82" s="351">
        <f>'Parameters, country spec'!F29</f>
        <v>0.15922163374012799</v>
      </c>
      <c r="S82" s="351">
        <f>'Parameters, country spec'!F47</f>
        <v>9.4871367549450705E-2</v>
      </c>
    </row>
    <row r="83" spans="1:19" x14ac:dyDescent="0.2">
      <c r="A83" s="354"/>
      <c r="B83" s="18" t="s">
        <v>478</v>
      </c>
      <c r="C83" s="355" t="s">
        <v>479</v>
      </c>
      <c r="D83" s="349" t="s">
        <v>51</v>
      </c>
      <c r="E83" s="349" t="s">
        <v>52</v>
      </c>
      <c r="F83" s="350">
        <f t="shared" si="8"/>
        <v>0.11610575405254661</v>
      </c>
      <c r="G83" s="356">
        <f t="shared" ref="G83:Q83" si="9">SUMPRODUCT(G73:G81,$R73:$R81)</f>
        <v>2.006852151583734E-2</v>
      </c>
      <c r="H83" s="356">
        <f t="shared" si="9"/>
        <v>9.734185387530337E-3</v>
      </c>
      <c r="I83" s="356">
        <f t="shared" si="9"/>
        <v>0</v>
      </c>
      <c r="J83" s="356">
        <f t="shared" si="9"/>
        <v>0</v>
      </c>
      <c r="K83" s="356">
        <f t="shared" si="9"/>
        <v>1.291376216084859E-2</v>
      </c>
      <c r="L83" s="356">
        <f t="shared" si="9"/>
        <v>0</v>
      </c>
      <c r="M83" s="356">
        <f t="shared" si="9"/>
        <v>9.6884310964156825E-5</v>
      </c>
      <c r="N83" s="356">
        <f t="shared" si="9"/>
        <v>1.4822032755213111E-2</v>
      </c>
      <c r="O83" s="356">
        <f t="shared" si="9"/>
        <v>3.2174900104236737E-2</v>
      </c>
      <c r="P83" s="356">
        <f t="shared" si="9"/>
        <v>3.2398582557981058E-3</v>
      </c>
      <c r="Q83" s="356">
        <f t="shared" si="9"/>
        <v>2.3055609562118235E-2</v>
      </c>
      <c r="R83" s="351">
        <f>'Parameters, country spec'!F30</f>
        <v>5.9977239579590301E-2</v>
      </c>
      <c r="S83" s="351">
        <f>'Parameters, country spec'!F48</f>
        <v>6.7982986801529102E-2</v>
      </c>
    </row>
    <row r="84" spans="1:19" x14ac:dyDescent="0.2">
      <c r="A84" s="357"/>
      <c r="B84" s="358" t="s">
        <v>480</v>
      </c>
      <c r="C84" s="359"/>
      <c r="D84" s="360"/>
      <c r="E84" s="360"/>
      <c r="F84" s="361">
        <f>SUMPRODUCT(F70:F72,R70:R72)+SUMPRODUCT(F73:F83,R73:R83)/0.87</f>
        <v>0.28504314265266756</v>
      </c>
      <c r="G84" s="361">
        <f>SUMPRODUCT(G70:G72,R70:R72)+SUMPRODUCT(G73:G83,R73:R83)/0.87</f>
        <v>3.6861517512899511E-2</v>
      </c>
      <c r="H84" s="361">
        <f>SUMPRODUCT(H70:H72,R70:R72)+SUMPRODUCT(H73:H83,R73:R83)/0.87</f>
        <v>2.3131239521272898E-2</v>
      </c>
      <c r="I84" s="361">
        <f>SUMPRODUCT(I70:I72,R70:R72)+SUMPRODUCT(I73:I83,R73:R83)/0.87</f>
        <v>0</v>
      </c>
      <c r="J84" s="361">
        <f>SUMPRODUCT(J70:J72,R70:R72)+SUMPRODUCT(J73:J83,R73:R83)/0.87</f>
        <v>0</v>
      </c>
      <c r="K84" s="361">
        <f>SUMPRODUCT(K70:K72,R70:R72)+SUMPRODUCT(K73:K83,R73:R83)/0.87</f>
        <v>2.73213468719984E-2</v>
      </c>
      <c r="L84" s="361">
        <f>SUMPRODUCT(L70:L72,R70:R72)+SUMPRODUCT(L73:L83,R73:R83)/0.87</f>
        <v>0</v>
      </c>
      <c r="M84" s="361">
        <f>SUMPRODUCT(M70:M72,R70:R72)+SUMPRODUCT(M73:M83,R73:R83)/0.87</f>
        <v>1.2018783954718857E-4</v>
      </c>
      <c r="N84" s="361">
        <f>SUMPRODUCT(N70:N72,R70:R72)+SUMPRODUCT(N73:N83,R73:R83)/0.87</f>
        <v>1.8746686252860099E-2</v>
      </c>
      <c r="O84" s="361">
        <f>SUMPRODUCT(O70:O72,R70:R72)+SUMPRODUCT(O73:O83,R73:R83)/0.87</f>
        <v>3.9200945385198679E-2</v>
      </c>
      <c r="P84" s="361">
        <f>SUMPRODUCT(P70:P72,R70:R72)+SUMPRODUCT(P73:P83,R73:R83)/0.87</f>
        <v>0.11093418867860569</v>
      </c>
      <c r="Q84" s="361">
        <f>SUMPRODUCT(Q70:Q72,R70:R72)+SUMPRODUCT(Q73:Q83,R73:R83)/0.87</f>
        <v>2.8727030590285092E-2</v>
      </c>
      <c r="R84" s="362"/>
      <c r="S84" s="369"/>
    </row>
    <row r="85" spans="1:19" x14ac:dyDescent="0.2">
      <c r="A85" s="363"/>
      <c r="B85" s="364" t="s">
        <v>481</v>
      </c>
      <c r="C85" s="365"/>
      <c r="D85" s="366"/>
      <c r="E85" s="366"/>
      <c r="F85" s="367">
        <f>SUMPRODUCT(F70:F72,S70:S72)+SUMPRODUCT(F73:F83,S73:S83)/0.87</f>
        <v>0.23008924468505265</v>
      </c>
      <c r="G85" s="367">
        <f>SUMPRODUCT(G70:G72,S70:S72)+SUMPRODUCT(G73:G83,S73:S83)/0.87</f>
        <v>2.9068793267033537E-2</v>
      </c>
      <c r="H85" s="367">
        <f>SUMPRODUCT(H70:H72,S70:S72)+SUMPRODUCT(H73:H83,S73:S83)/0.87</f>
        <v>2.3927519201725346E-2</v>
      </c>
      <c r="I85" s="367">
        <f>SUMPRODUCT(I70:I72,S70:S72)+SUMPRODUCT(I73:I83,S73:S83)/0.87</f>
        <v>0</v>
      </c>
      <c r="J85" s="367">
        <f>SUMPRODUCT(J70:J72,S70:S72)+SUMPRODUCT(J73:J83,S73:S83)/0.87</f>
        <v>0</v>
      </c>
      <c r="K85" s="367">
        <f>SUMPRODUCT(K70:K72,S70:S72)+SUMPRODUCT(K73:K83,S73:S83)/0.87</f>
        <v>2.7125059964095213E-2</v>
      </c>
      <c r="L85" s="367">
        <f>SUMPRODUCT(L70:L72,S70:S72)+SUMPRODUCT(L73:L83,S73:S83)/0.87</f>
        <v>0</v>
      </c>
      <c r="M85" s="367">
        <f>SUMPRODUCT(M70:M72,S70:S72)+SUMPRODUCT(M73:M83,S73:S83)/0.87</f>
        <v>9.5295942576447844E-5</v>
      </c>
      <c r="N85" s="367">
        <f>SUMPRODUCT(N70:N72,S70:S72)+SUMPRODUCT(N73:N83,S73:S83)/0.87</f>
        <v>1.0027763772468086E-2</v>
      </c>
      <c r="O85" s="367">
        <f>SUMPRODUCT(O70:O72,S70:S72)+SUMPRODUCT(O73:O83,S73:S83)/0.87</f>
        <v>3.2038610480767622E-2</v>
      </c>
      <c r="P85" s="367">
        <f>SUMPRODUCT(P70:P72,S70:S72)+SUMPRODUCT(P73:P83,S73:S83)/0.87</f>
        <v>8.3695623266458505E-2</v>
      </c>
      <c r="Q85" s="367">
        <f>SUMPRODUCT(Q70:Q72,S70:S72)+SUMPRODUCT(Q73:Q83,S73:S83)/0.87</f>
        <v>2.4110578789927901E-2</v>
      </c>
      <c r="R85" s="368"/>
      <c r="S85" s="368"/>
    </row>
    <row r="86" spans="1:19" x14ac:dyDescent="0.2">
      <c r="B86" s="58" t="s">
        <v>264</v>
      </c>
      <c r="C86" s="18" t="s">
        <v>463</v>
      </c>
      <c r="D86" s="349" t="s">
        <v>89</v>
      </c>
      <c r="E86" s="349" t="s">
        <v>54</v>
      </c>
      <c r="F86" s="350">
        <f>SUM(G86:Q86)</f>
        <v>6.021629269149173E-2</v>
      </c>
      <c r="G86" s="83">
        <f>'Forage crops, CF'!F33</f>
        <v>1.8504782820098535E-2</v>
      </c>
      <c r="H86" s="83">
        <f>'Forage crops, CF'!G33</f>
        <v>2.7E-2</v>
      </c>
      <c r="I86" s="83">
        <f>'Forage crops, CF'!H33</f>
        <v>0</v>
      </c>
      <c r="J86" s="83">
        <f>'Forage crops, CF'!I33</f>
        <v>0</v>
      </c>
      <c r="K86" s="83">
        <f>'Forage crops, CF'!J33</f>
        <v>1.4711509871393195E-2</v>
      </c>
      <c r="L86" s="83">
        <f>'Forage crops, CF'!K33</f>
        <v>0</v>
      </c>
      <c r="M86" s="83">
        <f>'Forage crops, CF'!L33</f>
        <v>0</v>
      </c>
      <c r="N86" s="83">
        <f>'Forage crops, CF'!M33</f>
        <v>0</v>
      </c>
      <c r="O86" s="83">
        <f>'Forage crops, CF'!N33</f>
        <v>0</v>
      </c>
      <c r="P86" s="83">
        <f>'Forage crops, CF'!O33</f>
        <v>0</v>
      </c>
      <c r="Q86" s="83">
        <f>'Forage crops, CF'!P33</f>
        <v>0</v>
      </c>
      <c r="R86" s="351">
        <f>'Parameters, country spec'!G17</f>
        <v>0.88396763790970601</v>
      </c>
      <c r="S86" s="351">
        <f>'Parameters, country spec'!G35</f>
        <v>0.75114991922794205</v>
      </c>
    </row>
    <row r="87" spans="1:19" x14ac:dyDescent="0.2">
      <c r="B87" s="58" t="s">
        <v>268</v>
      </c>
      <c r="C87" s="18" t="s">
        <v>463</v>
      </c>
      <c r="D87" s="349" t="s">
        <v>89</v>
      </c>
      <c r="E87" s="349" t="s">
        <v>54</v>
      </c>
      <c r="F87" s="350">
        <f>SUM(G87:Q87)</f>
        <v>0.11447202424789135</v>
      </c>
      <c r="G87" s="83">
        <f>'Forage crops, CF'!F93</f>
        <v>2.7777331144635573E-2</v>
      </c>
      <c r="H87" s="83">
        <f>'Forage crops, CF'!G93</f>
        <v>2.7E-2</v>
      </c>
      <c r="I87" s="83">
        <f>'Forage crops, CF'!H93</f>
        <v>0</v>
      </c>
      <c r="J87" s="83">
        <f>'Forage crops, CF'!I93</f>
        <v>0</v>
      </c>
      <c r="K87" s="83">
        <f>'Forage crops, CF'!J93</f>
        <v>1.2994693103255774E-2</v>
      </c>
      <c r="L87" s="83">
        <f>'Forage crops, CF'!K93</f>
        <v>0</v>
      </c>
      <c r="M87" s="83">
        <f>'Forage crops, CF'!L93</f>
        <v>0</v>
      </c>
      <c r="N87" s="83">
        <f>'Forage crops, CF'!M93</f>
        <v>0</v>
      </c>
      <c r="O87" s="83">
        <f>'Forage crops, CF'!N93</f>
        <v>0</v>
      </c>
      <c r="P87" s="83">
        <f>'Forage crops, CF'!O93</f>
        <v>4.6700000000000005E-2</v>
      </c>
      <c r="Q87" s="83">
        <f>'Forage crops, CF'!P93</f>
        <v>0</v>
      </c>
      <c r="R87" s="351">
        <f>'Parameters, country spec'!G18</f>
        <v>2.2255993489188101E-3</v>
      </c>
      <c r="S87" s="351">
        <f>'Parameters, country spec'!G36</f>
        <v>1.9608947623101902E-2</v>
      </c>
    </row>
    <row r="88" spans="1:19" x14ac:dyDescent="0.2">
      <c r="B88" s="58" t="s">
        <v>465</v>
      </c>
      <c r="C88" s="18" t="s">
        <v>463</v>
      </c>
      <c r="D88" s="349" t="s">
        <v>89</v>
      </c>
      <c r="E88" s="349" t="s">
        <v>54</v>
      </c>
      <c r="F88" s="350">
        <f>SUM(G88:Q88)</f>
        <v>0.10691473836959511</v>
      </c>
      <c r="G88" s="83">
        <f>'Forage crops, CF'!F153*'Forage, input data per ha'!$D$83+'Forage crops, CF'!F213*'Forage, input data per ha'!$E$83</f>
        <v>1.8503208849160981E-2</v>
      </c>
      <c r="H88" s="83">
        <f>'Forage crops, CF'!G153*'Forage, input data per ha'!$D$83+'Forage crops, CF'!G213*'Forage, input data per ha'!$E$83</f>
        <v>2.7E-2</v>
      </c>
      <c r="I88" s="83">
        <f>'Forage crops, CF'!H153*'Forage, input data per ha'!$D$83+'Forage crops, CF'!H213*'Forage, input data per ha'!$E$83</f>
        <v>0</v>
      </c>
      <c r="J88" s="83">
        <f>'Forage crops, CF'!I153*'Forage, input data per ha'!$D$83+'Forage crops, CF'!I213*'Forage, input data per ha'!$E$83</f>
        <v>0</v>
      </c>
      <c r="K88" s="83">
        <f>'Forage crops, CF'!J153*'Forage, input data per ha'!$D$83+'Forage crops, CF'!J213*'Forage, input data per ha'!$E$83</f>
        <v>1.4711529520434115E-2</v>
      </c>
      <c r="L88" s="83">
        <f>'Forage crops, CF'!K153*'Forage, input data per ha'!$D$83+'Forage crops, CF'!K213*'Forage, input data per ha'!$E$83</f>
        <v>0</v>
      </c>
      <c r="M88" s="83">
        <f>'Forage crops, CF'!L153*'Forage, input data per ha'!$D$83+'Forage crops, CF'!L213*'Forage, input data per ha'!$E$83</f>
        <v>0</v>
      </c>
      <c r="N88" s="83">
        <f>'Forage crops, CF'!M153*'Forage, input data per ha'!$D$83+'Forage crops, CF'!M213*'Forage, input data per ha'!$E$83</f>
        <v>0</v>
      </c>
      <c r="O88" s="83">
        <f>'Forage crops, CF'!N153*'Forage, input data per ha'!$D$83+'Forage crops, CF'!N213*'Forage, input data per ha'!$E$83</f>
        <v>0</v>
      </c>
      <c r="P88" s="83">
        <f>'Forage crops, CF'!O153*'Forage, input data per ha'!$D$83+'Forage crops, CF'!O213*'Forage, input data per ha'!$E$83</f>
        <v>4.6700000000000012E-2</v>
      </c>
      <c r="Q88" s="83">
        <f>'Forage crops, CF'!P153*'Forage, input data per ha'!$D$83+'Forage crops, CF'!P213*'Forage, input data per ha'!$E$83</f>
        <v>0</v>
      </c>
      <c r="R88" s="351">
        <f>'Parameters, country spec'!G19</f>
        <v>3.8602337218792001E-4</v>
      </c>
      <c r="S88" s="351">
        <f>'Parameters, country spec'!G37</f>
        <v>4.0112374212542402E-4</v>
      </c>
    </row>
    <row r="89" spans="1:19" x14ac:dyDescent="0.2">
      <c r="A89" s="353" t="s">
        <v>466</v>
      </c>
      <c r="B89" s="18" t="s">
        <v>274</v>
      </c>
      <c r="C89" s="18" t="s">
        <v>467</v>
      </c>
      <c r="D89" s="349" t="s">
        <v>89</v>
      </c>
      <c r="E89" s="349" t="s">
        <v>54</v>
      </c>
      <c r="F89" s="350">
        <f>SUM(G89:Q89)</f>
        <v>0.13899539970355879</v>
      </c>
      <c r="G89" s="239">
        <v>4.0744992936689602E-2</v>
      </c>
      <c r="H89" s="216">
        <v>2.7E-2</v>
      </c>
      <c r="I89" s="222">
        <v>0</v>
      </c>
      <c r="J89" s="216"/>
      <c r="K89" s="239">
        <v>2.6038309182143501E-2</v>
      </c>
      <c r="L89" s="216">
        <v>0</v>
      </c>
      <c r="M89" s="216">
        <v>0</v>
      </c>
      <c r="N89" s="239">
        <v>4.0867040202494799E-2</v>
      </c>
      <c r="O89" s="216">
        <v>4.34505738223088E-3</v>
      </c>
      <c r="P89" s="216"/>
      <c r="R89" s="351">
        <f>'Parameters, country spec'!G20</f>
        <v>4.7677794309569303E-2</v>
      </c>
      <c r="S89" s="351">
        <f>'Parameters, country spec'!G38</f>
        <v>9.7140944486754505E-2</v>
      </c>
    </row>
    <row r="90" spans="1:19" x14ac:dyDescent="0.2">
      <c r="A90" s="353" t="s">
        <v>468</v>
      </c>
      <c r="B90" s="18" t="s">
        <v>276</v>
      </c>
      <c r="C90" s="18" t="s">
        <v>467</v>
      </c>
      <c r="D90" s="349" t="s">
        <v>89</v>
      </c>
      <c r="E90" s="349" t="s">
        <v>54</v>
      </c>
      <c r="F90" s="350"/>
      <c r="G90" s="239">
        <v>4.7382930338829898E-2</v>
      </c>
      <c r="H90" s="216">
        <v>2.7E-2</v>
      </c>
      <c r="I90" s="222"/>
      <c r="J90" s="216"/>
      <c r="K90" s="239">
        <v>1.8104396956838902E-2</v>
      </c>
      <c r="L90" s="216">
        <v>0</v>
      </c>
      <c r="M90" s="216">
        <v>3.20452980210324E-3</v>
      </c>
      <c r="N90" s="239">
        <v>3.4771853907349999E-2</v>
      </c>
      <c r="O90" s="216">
        <v>4.3089643390956597E-3</v>
      </c>
      <c r="P90" s="216"/>
      <c r="R90" s="351">
        <f>'Parameters, country spec'!G21</f>
        <v>1.3140930176321799E-2</v>
      </c>
      <c r="S90" s="351">
        <f>'Parameters, country spec'!G39</f>
        <v>2.6773939262145899E-2</v>
      </c>
    </row>
    <row r="91" spans="1:19" x14ac:dyDescent="0.2">
      <c r="A91" s="353" t="s">
        <v>469</v>
      </c>
      <c r="B91" s="18" t="s">
        <v>278</v>
      </c>
      <c r="C91" s="18" t="s">
        <v>467</v>
      </c>
      <c r="D91" s="349" t="s">
        <v>89</v>
      </c>
      <c r="E91" s="349" t="s">
        <v>54</v>
      </c>
      <c r="F91" s="350">
        <f t="shared" ref="F91:F99" si="10">SUM(G91:Q91)</f>
        <v>0.1552540990960054</v>
      </c>
      <c r="G91" s="239">
        <v>2.97198252686579E-2</v>
      </c>
      <c r="H91" s="216">
        <v>2.7E-2</v>
      </c>
      <c r="I91" s="222">
        <v>0</v>
      </c>
      <c r="J91" s="216"/>
      <c r="K91" s="239">
        <v>2.3960427332777399E-2</v>
      </c>
      <c r="L91" s="216">
        <v>0</v>
      </c>
      <c r="M91" s="216">
        <v>0</v>
      </c>
      <c r="N91" s="239">
        <v>4.0867040202494799E-2</v>
      </c>
      <c r="O91" s="216">
        <v>3.37068062920753E-2</v>
      </c>
      <c r="P91" s="216"/>
      <c r="R91" s="351">
        <f>'Parameters, country spec'!G22</f>
        <v>2.7481478125062899E-3</v>
      </c>
      <c r="S91" s="351">
        <f>'Parameters, country spec'!G40</f>
        <v>5.5992035288690298E-3</v>
      </c>
    </row>
    <row r="92" spans="1:19" x14ac:dyDescent="0.2">
      <c r="A92" s="353" t="s">
        <v>470</v>
      </c>
      <c r="B92" s="18" t="s">
        <v>280</v>
      </c>
      <c r="C92" s="18" t="s">
        <v>467</v>
      </c>
      <c r="D92" s="349" t="s">
        <v>89</v>
      </c>
      <c r="E92" s="349" t="s">
        <v>54</v>
      </c>
      <c r="F92" s="350">
        <f t="shared" si="10"/>
        <v>0.23086931651797959</v>
      </c>
      <c r="G92" s="239">
        <v>7.3795450330937706E-2</v>
      </c>
      <c r="H92" s="216">
        <v>2.7E-2</v>
      </c>
      <c r="I92" s="216">
        <v>0</v>
      </c>
      <c r="J92" s="216"/>
      <c r="K92" s="239">
        <v>4.7010620238752597E-2</v>
      </c>
      <c r="L92" s="216">
        <v>0</v>
      </c>
      <c r="M92" s="216">
        <v>2.75986968179931E-5</v>
      </c>
      <c r="N92" s="239">
        <v>3.4771853907349999E-2</v>
      </c>
      <c r="O92" s="216">
        <v>4.82637933441213E-2</v>
      </c>
      <c r="P92" s="216"/>
      <c r="R92" s="351">
        <f>'Parameters, country spec'!G23</f>
        <v>0</v>
      </c>
      <c r="S92" s="351">
        <f>'Parameters, country spec'!G41</f>
        <v>0</v>
      </c>
    </row>
    <row r="93" spans="1:19" x14ac:dyDescent="0.2">
      <c r="A93" s="353" t="s">
        <v>471</v>
      </c>
      <c r="B93" s="18" t="s">
        <v>281</v>
      </c>
      <c r="C93" s="18" t="s">
        <v>467</v>
      </c>
      <c r="D93" s="349" t="s">
        <v>89</v>
      </c>
      <c r="E93" s="349" t="s">
        <v>54</v>
      </c>
      <c r="F93" s="350">
        <f t="shared" si="10"/>
        <v>0.15433738131583741</v>
      </c>
      <c r="G93" s="239">
        <v>5.4362852263661499E-2</v>
      </c>
      <c r="H93" s="216">
        <v>2.7E-2</v>
      </c>
      <c r="I93" s="216">
        <v>0</v>
      </c>
      <c r="J93" s="216"/>
      <c r="K93" s="239">
        <v>2.1344067728924599E-2</v>
      </c>
      <c r="L93" s="216">
        <v>0</v>
      </c>
      <c r="M93" s="216">
        <v>0</v>
      </c>
      <c r="N93" s="239">
        <v>4.0867040202494799E-2</v>
      </c>
      <c r="O93" s="216">
        <v>1.0763421120756501E-2</v>
      </c>
      <c r="P93" s="216"/>
      <c r="R93" s="351">
        <f>'Parameters, country spec'!G24</f>
        <v>2.0477632235899601E-2</v>
      </c>
      <c r="S93" s="351">
        <f>'Parameters, country spec'!G42</f>
        <v>4.17220755624313E-2</v>
      </c>
    </row>
    <row r="94" spans="1:19" x14ac:dyDescent="0.2">
      <c r="A94" s="353" t="s">
        <v>472</v>
      </c>
      <c r="B94" s="18" t="s">
        <v>282</v>
      </c>
      <c r="C94" s="18" t="s">
        <v>473</v>
      </c>
      <c r="D94" s="349" t="s">
        <v>89</v>
      </c>
      <c r="E94" s="349" t="s">
        <v>54</v>
      </c>
      <c r="F94" s="350">
        <f t="shared" si="10"/>
        <v>0.16414133778056922</v>
      </c>
      <c r="G94" s="239">
        <v>0</v>
      </c>
      <c r="H94" s="216">
        <v>2.7E-2</v>
      </c>
      <c r="I94" s="222">
        <v>0</v>
      </c>
      <c r="J94" s="216"/>
      <c r="K94" s="239">
        <v>3.8482609473523402E-2</v>
      </c>
      <c r="L94" s="222">
        <v>0</v>
      </c>
      <c r="M94" s="216">
        <v>0</v>
      </c>
      <c r="N94" s="239">
        <v>4.0867040202494799E-2</v>
      </c>
      <c r="O94" s="216">
        <v>5.7791688104551001E-2</v>
      </c>
      <c r="P94" s="216"/>
      <c r="R94" s="351">
        <f>'Parameters, country spec'!G25</f>
        <v>2.8121535473625199E-5</v>
      </c>
      <c r="S94" s="351">
        <f>'Parameters, country spec'!G43</f>
        <v>8.7938670638632895E-5</v>
      </c>
    </row>
    <row r="95" spans="1:19" x14ac:dyDescent="0.2">
      <c r="A95" s="353" t="s">
        <v>474</v>
      </c>
      <c r="B95" s="18" t="s">
        <v>283</v>
      </c>
      <c r="C95" s="18" t="s">
        <v>473</v>
      </c>
      <c r="D95" s="349" t="s">
        <v>89</v>
      </c>
      <c r="E95" s="349" t="s">
        <v>54</v>
      </c>
      <c r="F95" s="350">
        <f t="shared" si="10"/>
        <v>0.13212813840286639</v>
      </c>
      <c r="G95" s="239">
        <v>1.30084565805609E-3</v>
      </c>
      <c r="H95" s="216">
        <v>2.7E-2</v>
      </c>
      <c r="I95" s="222">
        <v>0</v>
      </c>
      <c r="J95" s="216"/>
      <c r="K95" s="239">
        <v>3.5815713015120099E-2</v>
      </c>
      <c r="L95" s="216">
        <v>0</v>
      </c>
      <c r="M95" s="216">
        <v>0</v>
      </c>
      <c r="N95" s="239">
        <v>4.0867040202494799E-2</v>
      </c>
      <c r="O95" s="216">
        <v>2.7144539527195401E-2</v>
      </c>
      <c r="P95" s="216"/>
      <c r="R95" s="351">
        <f>'Parameters, country spec'!G26</f>
        <v>2.76246147491182E-5</v>
      </c>
      <c r="S95" s="351">
        <f>'Parameters, country spec'!G44</f>
        <v>8.6384753409677397E-5</v>
      </c>
    </row>
    <row r="96" spans="1:19" x14ac:dyDescent="0.2">
      <c r="B96" s="58" t="s">
        <v>284</v>
      </c>
      <c r="C96" s="18" t="s">
        <v>475</v>
      </c>
      <c r="D96" s="349" t="s">
        <v>89</v>
      </c>
      <c r="E96" s="349" t="s">
        <v>54</v>
      </c>
      <c r="F96" s="350">
        <f t="shared" si="10"/>
        <v>0.27628755742228522</v>
      </c>
      <c r="G96" s="83">
        <f>'Off-farm feed'!$F$74</f>
        <v>0.15910156565543271</v>
      </c>
      <c r="H96" s="83">
        <f>'Off-farm feed'!$G$74</f>
        <v>1.3034482758620692E-2</v>
      </c>
      <c r="I96" s="83">
        <f>'Off-farm feed'!$H$74</f>
        <v>0</v>
      </c>
      <c r="J96" s="83"/>
      <c r="K96" s="83">
        <f>'Off-farm feed'!$J$74</f>
        <v>2.4688740026345465E-2</v>
      </c>
      <c r="L96" s="83"/>
      <c r="M96" s="55">
        <f>'Off-farm feed'!$L$74</f>
        <v>1.9317593037941337E-4</v>
      </c>
      <c r="N96" s="83">
        <f>'Off-farm feed'!$M$74</f>
        <v>3.6802128767029069E-2</v>
      </c>
      <c r="O96" s="83">
        <f>'Off-farm feed'!$N$74</f>
        <v>0</v>
      </c>
      <c r="P96" s="83">
        <f>'Off-farm feed'!$O$74</f>
        <v>2.6267464284477883E-2</v>
      </c>
      <c r="Q96" s="83">
        <f>'Off-farm feed'!$P$74</f>
        <v>1.6199999999999999E-2</v>
      </c>
      <c r="R96" s="351">
        <f>'Parameters, country spec'!G27</f>
        <v>1.50556518569814E-3</v>
      </c>
      <c r="S96" s="351">
        <f>'Parameters, country spec'!G45</f>
        <v>4.70804310319847E-3</v>
      </c>
    </row>
    <row r="97" spans="1:19" x14ac:dyDescent="0.2">
      <c r="B97" s="58" t="s">
        <v>476</v>
      </c>
      <c r="C97" s="18" t="s">
        <v>475</v>
      </c>
      <c r="D97" s="349" t="s">
        <v>89</v>
      </c>
      <c r="E97" s="349" t="s">
        <v>54</v>
      </c>
      <c r="F97" s="350">
        <f t="shared" si="10"/>
        <v>0.7061171705997602</v>
      </c>
      <c r="G97" s="83">
        <f>'Off-farm feed'!$F$23</f>
        <v>7.2632670993099079E-3</v>
      </c>
      <c r="H97" s="83">
        <f>'Off-farm feed'!$G$23</f>
        <v>2.1402439024390246E-2</v>
      </c>
      <c r="I97" s="83">
        <f>'Off-farm feed'!$H$23</f>
        <v>0</v>
      </c>
      <c r="J97" s="83"/>
      <c r="K97" s="83">
        <f>'Off-farm feed'!$J$23</f>
        <v>4.3083619664332357E-2</v>
      </c>
      <c r="L97" s="83"/>
      <c r="M97" s="55">
        <f>'Off-farm feed'!$L$23</f>
        <v>1.7842060425123844E-4</v>
      </c>
      <c r="N97" s="83">
        <f>'Off-farm feed'!$M$23</f>
        <v>3.0432604948959392E-2</v>
      </c>
      <c r="O97" s="83">
        <f>'Off-farm feed'!$N$23</f>
        <v>0.31761120248475611</v>
      </c>
      <c r="P97" s="83">
        <f>'Off-farm feed'!$O$23</f>
        <v>3.51456167737609E-2</v>
      </c>
      <c r="Q97" s="83">
        <f>'Off-farm feed'!$P$23</f>
        <v>0.251</v>
      </c>
      <c r="R97" s="351">
        <f>'Parameters, country spec'!G28</f>
        <v>2.86495692625428E-3</v>
      </c>
      <c r="S97" s="351">
        <f>'Parameters, country spec'!G46</f>
        <v>8.9589881795904807E-3</v>
      </c>
    </row>
    <row r="98" spans="1:19" x14ac:dyDescent="0.2">
      <c r="B98" s="18" t="s">
        <v>286</v>
      </c>
      <c r="C98" s="18" t="s">
        <v>477</v>
      </c>
      <c r="D98" s="349" t="s">
        <v>89</v>
      </c>
      <c r="E98" s="349" t="s">
        <v>54</v>
      </c>
      <c r="F98" s="350">
        <f t="shared" si="10"/>
        <v>0.48845036407378517</v>
      </c>
      <c r="G98" s="239">
        <v>4.8926567037295299E-3</v>
      </c>
      <c r="H98" s="222">
        <v>2.4299999999999999E-3</v>
      </c>
      <c r="K98" s="222">
        <v>1.9209660956032101E-3</v>
      </c>
      <c r="L98">
        <v>0</v>
      </c>
      <c r="M98">
        <v>0</v>
      </c>
      <c r="N98" s="370">
        <v>3.67803361822453E-3</v>
      </c>
      <c r="O98" s="25">
        <v>9.6870790086808301E-4</v>
      </c>
      <c r="P98" s="222">
        <v>0.44500683667895402</v>
      </c>
      <c r="Q98" s="222">
        <v>2.9553163076405799E-2</v>
      </c>
      <c r="R98" s="351">
        <f>'Parameters, country spec'!G29</f>
        <v>1.02158904527991E-2</v>
      </c>
      <c r="S98" s="351">
        <f>'Parameters, country spec'!G47</f>
        <v>1.74137385912514E-2</v>
      </c>
    </row>
    <row r="99" spans="1:19" x14ac:dyDescent="0.2">
      <c r="A99" s="354"/>
      <c r="B99" s="18" t="s">
        <v>478</v>
      </c>
      <c r="C99" s="355" t="s">
        <v>479</v>
      </c>
      <c r="D99" s="349" t="s">
        <v>89</v>
      </c>
      <c r="E99" s="349" t="s">
        <v>54</v>
      </c>
      <c r="F99" s="350">
        <f t="shared" si="10"/>
        <v>1.4432387842795349E-2</v>
      </c>
      <c r="G99" s="356">
        <f t="shared" ref="G99:Q99" si="11">SUMPRODUCT(G89:G97,$R89:$R97)</f>
        <v>4.0205668012467987E-3</v>
      </c>
      <c r="H99" s="356">
        <f t="shared" si="11"/>
        <v>2.351648097858657E-3</v>
      </c>
      <c r="I99" s="356">
        <f t="shared" si="11"/>
        <v>0</v>
      </c>
      <c r="J99" s="356">
        <f t="shared" si="11"/>
        <v>0</v>
      </c>
      <c r="K99" s="356">
        <f t="shared" si="11"/>
        <v>2.1449553383510664E-3</v>
      </c>
      <c r="L99" s="356">
        <f t="shared" si="11"/>
        <v>0</v>
      </c>
      <c r="M99" s="356">
        <f t="shared" si="11"/>
        <v>4.2912508678811141E-5</v>
      </c>
      <c r="N99" s="356">
        <f t="shared" si="11"/>
        <v>3.4994280144116882E-3</v>
      </c>
      <c r="O99" s="356">
        <f t="shared" si="11"/>
        <v>1.4891446798034485E-3</v>
      </c>
      <c r="P99" s="356">
        <f t="shared" si="11"/>
        <v>1.4023805794674408E-4</v>
      </c>
      <c r="Q99" s="356">
        <f t="shared" si="11"/>
        <v>7.4349434449813416E-4</v>
      </c>
      <c r="R99" s="351">
        <f>'Parameters, country spec'!G30</f>
        <v>1.4734076119915901E-2</v>
      </c>
      <c r="S99" s="351">
        <f>'Parameters, country spec'!G48</f>
        <v>2.6348753268541001E-2</v>
      </c>
    </row>
    <row r="100" spans="1:19" x14ac:dyDescent="0.2">
      <c r="A100" s="357"/>
      <c r="B100" s="358" t="s">
        <v>480</v>
      </c>
      <c r="C100" s="359"/>
      <c r="D100" s="360"/>
      <c r="E100" s="360"/>
      <c r="F100" s="361">
        <f>SUMPRODUCT(F86:F88,R86:R88)+SUMPRODUCT(F89:F99,R89:R99)/0.87</f>
        <v>7.4058573589363519E-2</v>
      </c>
      <c r="G100" s="361">
        <f>SUMPRODUCT(G86:G88,R86:R88)+SUMPRODUCT(G89:G99,R89:R99)/0.87</f>
        <v>2.1173476929724089E-2</v>
      </c>
      <c r="H100" s="361">
        <f>SUMPRODUCT(H86:H88,R86:R88)+SUMPRODUCT(H89:H99,R89:R99)/0.87</f>
        <v>2.6709044719491787E-2</v>
      </c>
      <c r="I100" s="361">
        <f>SUMPRODUCT(I86:I88,R86:R88)+SUMPRODUCT(I89:I99,R89:R99)/0.87</f>
        <v>0</v>
      </c>
      <c r="J100" s="361">
        <f>SUMPRODUCT(J86:J88,R86:R88)+SUMPRODUCT(J89:J99,R89:R99)/0.87</f>
        <v>0</v>
      </c>
      <c r="K100" s="361">
        <f>SUMPRODUCT(K86:K88,R86:R88)+SUMPRODUCT(K89:K99,R89:R99)/0.87</f>
        <v>1.5563447632026033E-2</v>
      </c>
      <c r="L100" s="361">
        <f>SUMPRODUCT(L86:L88,R86:R88)+SUMPRODUCT(L89:L99,R89:R99)/0.87</f>
        <v>0</v>
      </c>
      <c r="M100" s="361">
        <f>SUMPRODUCT(M86:M88,R86:R88)+SUMPRODUCT(M89:M99,R89:R99)/0.87</f>
        <v>5.005147683698999E-5</v>
      </c>
      <c r="N100" s="361">
        <f>SUMPRODUCT(N86:N88,R86:R88)+SUMPRODUCT(N89:N99,R89:R99)/0.87</f>
        <v>4.1247853352617131E-3</v>
      </c>
      <c r="O100" s="361">
        <f>SUMPRODUCT(O86:O88,R86:R88)+SUMPRODUCT(O89:O99,R89:R99)/0.87</f>
        <v>1.7482552467416894E-3</v>
      </c>
      <c r="P100" s="361">
        <f>SUMPRODUCT(P86:P88,R86:R88)+SUMPRODUCT(P89:P99,R89:R99)/0.87</f>
        <v>5.5109805171978631E-3</v>
      </c>
      <c r="Q100" s="361">
        <f>SUMPRODUCT(Q86:Q88,R86:R88)+SUMPRODUCT(Q89:Q99,R89:R99)/0.87</f>
        <v>1.2142079578011096E-3</v>
      </c>
      <c r="R100" s="362"/>
      <c r="S100" s="369"/>
    </row>
    <row r="101" spans="1:19" x14ac:dyDescent="0.2">
      <c r="A101" s="363"/>
      <c r="B101" s="364" t="s">
        <v>481</v>
      </c>
      <c r="C101" s="365"/>
      <c r="D101" s="366"/>
      <c r="E101" s="366"/>
      <c r="F101" s="367">
        <f>SUMPRODUCT(F86:F88,S86:S88)+SUMPRODUCT(F89:F99,S89:S99)/0.87</f>
        <v>9.0449438364057638E-2</v>
      </c>
      <c r="G101" s="367">
        <f>SUMPRODUCT(G86:G88,S86:S88)+SUMPRODUCT(G89:G99,S89:S99)/0.87</f>
        <v>2.4413524693028373E-2</v>
      </c>
      <c r="H101" s="367">
        <f>SUMPRODUCT(H86:H88,S86:S88)+SUMPRODUCT(H89:H99,S89:S99)/0.87</f>
        <v>2.6551748038321065E-2</v>
      </c>
      <c r="I101" s="367">
        <f>SUMPRODUCT(I86:I88,S86:S88)+SUMPRODUCT(I89:I99,S89:S99)/0.87</f>
        <v>0</v>
      </c>
      <c r="J101" s="367">
        <f>SUMPRODUCT(J86:J88,S86:S88)+SUMPRODUCT(J89:J99,S89:S99)/0.87</f>
        <v>0</v>
      </c>
      <c r="K101" s="367">
        <f>SUMPRODUCT(K86:K88,S86:S88)+SUMPRODUCT(K89:K99,S89:S99)/0.87</f>
        <v>1.6641673794529941E-2</v>
      </c>
      <c r="L101" s="367">
        <f>SUMPRODUCT(L86:L88,S86:S88)+SUMPRODUCT(L89:L99,S89:S99)/0.87</f>
        <v>0</v>
      </c>
      <c r="M101" s="367">
        <f>SUMPRODUCT(M86:M88,S86:S88)+SUMPRODUCT(M89:M99,S89:S99)/0.87</f>
        <v>1.0280060468939042E-4</v>
      </c>
      <c r="N101" s="367">
        <f>SUMPRODUCT(N86:N88,S86:S88)+SUMPRODUCT(N89:N99,S89:S99)/0.87</f>
        <v>8.5563360039763638E-3</v>
      </c>
      <c r="O101" s="367">
        <f>SUMPRODUCT(O86:O88,S86:S88)+SUMPRODUCT(O89:O99,S89:S99)/0.87</f>
        <v>4.6945544882262269E-3</v>
      </c>
      <c r="P101" s="367">
        <f>SUMPRODUCT(P86:P88,S86:S88)+SUMPRODUCT(P89:P99,S89:S99)/0.87</f>
        <v>1.0349947737972551E-2</v>
      </c>
      <c r="Q101" s="367">
        <f>SUMPRODUCT(Q86:Q88,S86:S88)+SUMPRODUCT(Q89:Q99,S89:S99)/0.87</f>
        <v>3.2864339502826625E-3</v>
      </c>
      <c r="R101" s="368"/>
      <c r="S101" s="368"/>
    </row>
    <row r="102" spans="1:19" x14ac:dyDescent="0.2">
      <c r="B102" s="58" t="s">
        <v>264</v>
      </c>
      <c r="C102" s="18" t="s">
        <v>463</v>
      </c>
      <c r="D102" s="349" t="s">
        <v>55</v>
      </c>
      <c r="E102" s="349" t="s">
        <v>56</v>
      </c>
      <c r="F102" s="350">
        <f t="shared" ref="F102:F115" si="12">SUM(G102:Q102)</f>
        <v>5.9118664534281662E-2</v>
      </c>
      <c r="G102" s="83">
        <f>'Forage crops, CF'!F38</f>
        <v>1.9993061902755585E-2</v>
      </c>
      <c r="H102" s="83">
        <f>'Forage crops, CF'!G38</f>
        <v>2.7E-2</v>
      </c>
      <c r="I102" s="83">
        <f>'Forage crops, CF'!H38</f>
        <v>0</v>
      </c>
      <c r="J102" s="83">
        <f>'Forage crops, CF'!I38</f>
        <v>0</v>
      </c>
      <c r="K102" s="83">
        <f>'Forage crops, CF'!J38</f>
        <v>1.2125602631526081E-2</v>
      </c>
      <c r="L102" s="83">
        <f>'Forage crops, CF'!K38</f>
        <v>0</v>
      </c>
      <c r="M102" s="83">
        <f>'Forage crops, CF'!L38</f>
        <v>0</v>
      </c>
      <c r="N102" s="83">
        <f>'Forage crops, CF'!M38</f>
        <v>0</v>
      </c>
      <c r="O102" s="83">
        <f>'Forage crops, CF'!N38</f>
        <v>0</v>
      </c>
      <c r="P102" s="83">
        <f>'Forage crops, CF'!O38</f>
        <v>0</v>
      </c>
      <c r="Q102" s="83">
        <f>'Forage crops, CF'!P38</f>
        <v>0</v>
      </c>
      <c r="R102" s="351">
        <f>'Parameters, country spec'!H17</f>
        <v>0.23110601329913999</v>
      </c>
      <c r="S102" s="351">
        <f>'Parameters, country spec'!H35</f>
        <v>0.40067105954621901</v>
      </c>
    </row>
    <row r="103" spans="1:19" x14ac:dyDescent="0.2">
      <c r="B103" s="58" t="s">
        <v>268</v>
      </c>
      <c r="C103" s="18" t="s">
        <v>463</v>
      </c>
      <c r="D103" s="349" t="s">
        <v>55</v>
      </c>
      <c r="E103" s="349" t="s">
        <v>56</v>
      </c>
      <c r="F103" s="350">
        <f t="shared" si="12"/>
        <v>0.11145859066325235</v>
      </c>
      <c r="G103" s="83">
        <f>'Forage crops, CF'!F98</f>
        <v>2.654992644195291E-2</v>
      </c>
      <c r="H103" s="83">
        <f>'Forage crops, CF'!G98</f>
        <v>2.7E-2</v>
      </c>
      <c r="I103" s="83">
        <f>'Forage crops, CF'!H98</f>
        <v>0</v>
      </c>
      <c r="J103" s="83">
        <f>'Forage crops, CF'!I98</f>
        <v>0</v>
      </c>
      <c r="K103" s="83">
        <f>'Forage crops, CF'!J98</f>
        <v>1.0792283582048078E-2</v>
      </c>
      <c r="L103" s="83">
        <f>'Forage crops, CF'!K98</f>
        <v>0</v>
      </c>
      <c r="M103" s="83">
        <f>'Forage crops, CF'!L98</f>
        <v>4.1638063925135963E-4</v>
      </c>
      <c r="N103" s="83">
        <f>'Forage crops, CF'!M98</f>
        <v>0</v>
      </c>
      <c r="O103" s="83">
        <f>'Forage crops, CF'!N98</f>
        <v>0</v>
      </c>
      <c r="P103" s="83">
        <f>'Forage crops, CF'!O98</f>
        <v>4.6700000000000005E-2</v>
      </c>
      <c r="Q103" s="83">
        <f>'Forage crops, CF'!P98</f>
        <v>0</v>
      </c>
      <c r="R103" s="351">
        <f>'Parameters, country spec'!H18</f>
        <v>0.356828284731325</v>
      </c>
      <c r="S103" s="351">
        <f>'Parameters, country spec'!H36</f>
        <v>0.27744597499526502</v>
      </c>
    </row>
    <row r="104" spans="1:19" x14ac:dyDescent="0.2">
      <c r="B104" s="58" t="s">
        <v>465</v>
      </c>
      <c r="C104" s="18" t="s">
        <v>463</v>
      </c>
      <c r="D104" s="349" t="s">
        <v>55</v>
      </c>
      <c r="E104" s="349" t="s">
        <v>56</v>
      </c>
      <c r="F104" s="350">
        <f t="shared" si="12"/>
        <v>9.8356072819653612E-2</v>
      </c>
      <c r="G104" s="83">
        <f>'Forage crops, CF'!F158*'Forage, input data per ha'!$D$84+'Forage crops, CF'!F218*'Forage, input data per ha'!$E$84</f>
        <v>1.0841997099762907E-2</v>
      </c>
      <c r="H104" s="83">
        <f>'Forage crops, CF'!G158*'Forage, input data per ha'!$D$84+'Forage crops, CF'!G218*'Forage, input data per ha'!$E$84</f>
        <v>2.7E-2</v>
      </c>
      <c r="I104" s="83">
        <f>'Forage crops, CF'!H158*'Forage, input data per ha'!$D$84+'Forage crops, CF'!H218*'Forage, input data per ha'!$E$84</f>
        <v>0</v>
      </c>
      <c r="J104" s="83">
        <f>'Forage crops, CF'!I158*'Forage, input data per ha'!$D$84+'Forage crops, CF'!I218*'Forage, input data per ha'!$E$84</f>
        <v>0</v>
      </c>
      <c r="K104" s="83">
        <f>'Forage crops, CF'!J158*'Forage, input data per ha'!$D$84+'Forage crops, CF'!J218*'Forage, input data per ha'!$E$84</f>
        <v>1.3814075719890699E-2</v>
      </c>
      <c r="L104" s="83">
        <f>'Forage crops, CF'!K158*'Forage, input data per ha'!$D$84+'Forage crops, CF'!K218*'Forage, input data per ha'!$E$84</f>
        <v>0</v>
      </c>
      <c r="M104" s="83">
        <f>'Forage crops, CF'!L158*'Forage, input data per ha'!$D$84+'Forage crops, CF'!L218*'Forage, input data per ha'!$E$84</f>
        <v>0</v>
      </c>
      <c r="N104" s="83">
        <f>'Forage crops, CF'!M158*'Forage, input data per ha'!$D$84+'Forage crops, CF'!M218*'Forage, input data per ha'!$E$84</f>
        <v>0</v>
      </c>
      <c r="O104" s="83">
        <f>'Forage crops, CF'!N158*'Forage, input data per ha'!$D$84+'Forage crops, CF'!N218*'Forage, input data per ha'!$E$84</f>
        <v>0</v>
      </c>
      <c r="P104" s="83">
        <f>'Forage crops, CF'!O158*'Forage, input data per ha'!$D$84+'Forage crops, CF'!O218*'Forage, input data per ha'!$E$84</f>
        <v>4.6700000000000005E-2</v>
      </c>
      <c r="Q104" s="83">
        <f>'Forage crops, CF'!P158*'Forage, input data per ha'!$D$84+'Forage crops, CF'!P218*'Forage, input data per ha'!$E$84</f>
        <v>0</v>
      </c>
      <c r="R104" s="351">
        <f>'Parameters, country spec'!H19</f>
        <v>3.5685456379476198E-2</v>
      </c>
      <c r="S104" s="351">
        <f>'Parameters, country spec'!H37</f>
        <v>7.1895313213819104E-2</v>
      </c>
    </row>
    <row r="105" spans="1:19" x14ac:dyDescent="0.2">
      <c r="A105" s="353" t="s">
        <v>466</v>
      </c>
      <c r="B105" s="18" t="s">
        <v>274</v>
      </c>
      <c r="C105" s="18" t="s">
        <v>467</v>
      </c>
      <c r="D105" s="349" t="s">
        <v>55</v>
      </c>
      <c r="E105" s="349" t="s">
        <v>56</v>
      </c>
      <c r="F105" s="350">
        <f t="shared" si="12"/>
        <v>0.21010835271971048</v>
      </c>
      <c r="G105" s="239">
        <v>7.7894511100415106E-2</v>
      </c>
      <c r="H105" s="216">
        <v>2.7E-2</v>
      </c>
      <c r="I105" s="222">
        <v>0</v>
      </c>
      <c r="J105" s="216"/>
      <c r="K105" s="239">
        <v>4.6073379627412502E-2</v>
      </c>
      <c r="L105" s="216">
        <v>0</v>
      </c>
      <c r="M105" s="216">
        <v>0</v>
      </c>
      <c r="N105" s="239">
        <v>4.0589126687164002E-2</v>
      </c>
      <c r="O105" s="216">
        <v>1.8551335304718902E-2</v>
      </c>
      <c r="P105" s="216"/>
      <c r="R105" s="351">
        <f>'Parameters, country spec'!H20</f>
        <v>2.0715426785277101E-3</v>
      </c>
      <c r="S105" s="351">
        <f>'Parameters, country spec'!H38</f>
        <v>3.0038264722936601E-3</v>
      </c>
    </row>
    <row r="106" spans="1:19" x14ac:dyDescent="0.2">
      <c r="A106" s="353" t="s">
        <v>468</v>
      </c>
      <c r="B106" s="18" t="s">
        <v>276</v>
      </c>
      <c r="C106" s="18" t="s">
        <v>467</v>
      </c>
      <c r="D106" s="349" t="s">
        <v>55</v>
      </c>
      <c r="E106" s="349" t="s">
        <v>56</v>
      </c>
      <c r="F106" s="350">
        <f t="shared" si="12"/>
        <v>0.13129895998357821</v>
      </c>
      <c r="G106" s="239">
        <v>4.51070489112637E-2</v>
      </c>
      <c r="H106" s="216">
        <v>2.7E-2</v>
      </c>
      <c r="I106" s="222">
        <v>0</v>
      </c>
      <c r="J106" s="216"/>
      <c r="K106" s="239">
        <v>1.5833253348974698E-2</v>
      </c>
      <c r="L106" s="216">
        <v>0</v>
      </c>
      <c r="M106" s="216">
        <v>2.7675134446790901E-3</v>
      </c>
      <c r="N106" s="239">
        <v>4.0589126687164002E-2</v>
      </c>
      <c r="O106" s="216">
        <v>2.01759149672033E-6</v>
      </c>
      <c r="P106" s="216"/>
      <c r="R106" s="351">
        <f>'Parameters, country spec'!H21</f>
        <v>1.3545550548587301E-2</v>
      </c>
      <c r="S106" s="351">
        <f>'Parameters, country spec'!H39</f>
        <v>1.9641634105452999E-2</v>
      </c>
    </row>
    <row r="107" spans="1:19" x14ac:dyDescent="0.2">
      <c r="A107" s="353" t="s">
        <v>469</v>
      </c>
      <c r="B107" s="18" t="s">
        <v>278</v>
      </c>
      <c r="C107" s="18" t="s">
        <v>467</v>
      </c>
      <c r="D107" s="349" t="s">
        <v>55</v>
      </c>
      <c r="E107" s="349" t="s">
        <v>56</v>
      </c>
      <c r="F107" s="350">
        <f t="shared" si="12"/>
        <v>0.25293210451323705</v>
      </c>
      <c r="G107" s="239">
        <v>0.104941269604442</v>
      </c>
      <c r="H107" s="216">
        <v>2.7E-2</v>
      </c>
      <c r="I107" s="222">
        <v>0</v>
      </c>
      <c r="J107" s="216"/>
      <c r="K107" s="239">
        <v>7.8306768726079806E-2</v>
      </c>
      <c r="L107" s="216">
        <v>0</v>
      </c>
      <c r="M107" s="216">
        <v>0</v>
      </c>
      <c r="N107" s="239">
        <v>4.0589126687164002E-2</v>
      </c>
      <c r="O107" s="216">
        <v>2.0949394955512199E-3</v>
      </c>
      <c r="P107" s="216"/>
      <c r="R107" s="351">
        <f>'Parameters, country spec'!H22</f>
        <v>4.3020459338475702E-4</v>
      </c>
      <c r="S107" s="351">
        <f>'Parameters, country spec'!H40</f>
        <v>6.2381526525205101E-4</v>
      </c>
    </row>
    <row r="108" spans="1:19" x14ac:dyDescent="0.2">
      <c r="A108" s="353" t="s">
        <v>470</v>
      </c>
      <c r="B108" s="18" t="s">
        <v>280</v>
      </c>
      <c r="C108" s="18" t="s">
        <v>467</v>
      </c>
      <c r="D108" s="349" t="s">
        <v>55</v>
      </c>
      <c r="E108" s="349" t="s">
        <v>56</v>
      </c>
      <c r="F108" s="350">
        <f t="shared" si="12"/>
        <v>0.23098021053624562</v>
      </c>
      <c r="G108" s="239">
        <v>0.10252301427971</v>
      </c>
      <c r="H108" s="216">
        <v>2.7E-2</v>
      </c>
      <c r="I108" s="216">
        <v>0</v>
      </c>
      <c r="J108" s="216"/>
      <c r="K108" s="239">
        <v>6.0000014967912497E-2</v>
      </c>
      <c r="L108" s="216">
        <v>0</v>
      </c>
      <c r="M108" s="216">
        <v>8.5266518907149398E-4</v>
      </c>
      <c r="N108" s="239">
        <v>4.0589126687164002E-2</v>
      </c>
      <c r="O108" s="216">
        <v>1.5389412387661699E-5</v>
      </c>
      <c r="P108" s="216"/>
      <c r="R108" s="351">
        <f>'Parameters, country spec'!H23</f>
        <v>3.4277130847484903E-5</v>
      </c>
      <c r="S108" s="351">
        <f>'Parameters, country spec'!H41</f>
        <v>4.9703321891174897E-5</v>
      </c>
    </row>
    <row r="109" spans="1:19" x14ac:dyDescent="0.2">
      <c r="A109" s="353" t="s">
        <v>471</v>
      </c>
      <c r="B109" s="18" t="s">
        <v>281</v>
      </c>
      <c r="C109" s="18" t="s">
        <v>467</v>
      </c>
      <c r="D109" s="349" t="s">
        <v>55</v>
      </c>
      <c r="E109" s="349" t="s">
        <v>56</v>
      </c>
      <c r="F109" s="350">
        <f t="shared" si="12"/>
        <v>0.25729159901647192</v>
      </c>
      <c r="G109" s="239">
        <v>0.137735454905831</v>
      </c>
      <c r="H109" s="216">
        <v>2.7E-2</v>
      </c>
      <c r="I109" s="216">
        <v>0</v>
      </c>
      <c r="J109" s="216"/>
      <c r="K109" s="239">
        <v>5.0052455127204597E-2</v>
      </c>
      <c r="L109" s="216">
        <v>0</v>
      </c>
      <c r="M109" s="216">
        <v>6.8496619331236098E-4</v>
      </c>
      <c r="N109" s="239">
        <v>4.0589126687164002E-2</v>
      </c>
      <c r="O109" s="216">
        <v>1.2295961029599499E-3</v>
      </c>
      <c r="P109" s="216"/>
      <c r="R109" s="351">
        <f>'Parameters, country spec'!H24</f>
        <v>1.9621876036942901E-3</v>
      </c>
      <c r="S109" s="351">
        <f>'Parameters, country spec'!H42</f>
        <v>2.8451429826063701E-3</v>
      </c>
    </row>
    <row r="110" spans="1:19" x14ac:dyDescent="0.2">
      <c r="A110" s="353" t="s">
        <v>472</v>
      </c>
      <c r="B110" s="18" t="s">
        <v>282</v>
      </c>
      <c r="C110" s="18" t="s">
        <v>473</v>
      </c>
      <c r="D110" s="349" t="s">
        <v>55</v>
      </c>
      <c r="E110" s="349" t="s">
        <v>56</v>
      </c>
      <c r="F110" s="350">
        <f t="shared" si="12"/>
        <v>0.27382788366606919</v>
      </c>
      <c r="G110" s="239">
        <v>0</v>
      </c>
      <c r="H110" s="216">
        <v>2.7E-2</v>
      </c>
      <c r="I110" s="222">
        <v>0</v>
      </c>
      <c r="J110" s="216"/>
      <c r="K110" s="239">
        <v>6.2984260482655693E-2</v>
      </c>
      <c r="L110" s="222">
        <v>0</v>
      </c>
      <c r="M110" s="216">
        <v>1.02082282460499E-4</v>
      </c>
      <c r="N110" s="239">
        <v>4.0589126687164002E-2</v>
      </c>
      <c r="O110" s="216">
        <v>0.14315241421378899</v>
      </c>
      <c r="P110" s="216"/>
      <c r="R110" s="351">
        <f>'Parameters, country spec'!H25</f>
        <v>2.2097674164487098E-3</v>
      </c>
      <c r="S110" s="351">
        <f>'Parameters, country spec'!H43</f>
        <v>7.8267619629309002E-4</v>
      </c>
    </row>
    <row r="111" spans="1:19" x14ac:dyDescent="0.2">
      <c r="A111" s="353" t="s">
        <v>474</v>
      </c>
      <c r="B111" s="18" t="s">
        <v>283</v>
      </c>
      <c r="C111" s="18" t="s">
        <v>473</v>
      </c>
      <c r="D111" s="349" t="s">
        <v>55</v>
      </c>
      <c r="E111" s="349" t="s">
        <v>56</v>
      </c>
      <c r="F111" s="350">
        <f t="shared" si="12"/>
        <v>0.42216039934343069</v>
      </c>
      <c r="G111" s="239">
        <v>3.5018880441687302E-3</v>
      </c>
      <c r="H111" s="216">
        <v>2.7E-2</v>
      </c>
      <c r="I111" s="222">
        <v>0</v>
      </c>
      <c r="J111" s="216"/>
      <c r="K111" s="239">
        <v>8.9239015209009995E-2</v>
      </c>
      <c r="L111" s="216">
        <v>0</v>
      </c>
      <c r="M111" s="216">
        <v>1.4196643495394999E-4</v>
      </c>
      <c r="N111" s="239">
        <v>4.0589126687164002E-2</v>
      </c>
      <c r="O111" s="216">
        <v>0.261688402968134</v>
      </c>
      <c r="P111" s="216"/>
      <c r="R111" s="351">
        <f>'Parameters, country spec'!H26</f>
        <v>2.1707198077583999E-3</v>
      </c>
      <c r="S111" s="351">
        <f>'Parameters, country spec'!H44</f>
        <v>7.6884594730627497E-4</v>
      </c>
    </row>
    <row r="112" spans="1:19" x14ac:dyDescent="0.2">
      <c r="B112" s="58" t="s">
        <v>284</v>
      </c>
      <c r="C112" s="18" t="s">
        <v>475</v>
      </c>
      <c r="D112" s="349" t="s">
        <v>55</v>
      </c>
      <c r="E112" s="349" t="s">
        <v>56</v>
      </c>
      <c r="F112" s="350">
        <f t="shared" si="12"/>
        <v>0.27628755742228522</v>
      </c>
      <c r="G112" s="83">
        <f>'Off-farm feed'!$F$74</f>
        <v>0.15910156565543271</v>
      </c>
      <c r="H112" s="83">
        <f>'Off-farm feed'!$G$74</f>
        <v>1.3034482758620692E-2</v>
      </c>
      <c r="I112" s="83">
        <f>'Off-farm feed'!$H$74</f>
        <v>0</v>
      </c>
      <c r="J112" s="83"/>
      <c r="K112" s="83">
        <f>'Off-farm feed'!$J$74</f>
        <v>2.4688740026345465E-2</v>
      </c>
      <c r="L112" s="83"/>
      <c r="M112" s="55">
        <f>'Off-farm feed'!$L$74</f>
        <v>1.9317593037941337E-4</v>
      </c>
      <c r="N112" s="83">
        <f>'Off-farm feed'!$M$74</f>
        <v>3.6802128767029069E-2</v>
      </c>
      <c r="O112" s="83">
        <f>'Off-farm feed'!$N$74</f>
        <v>0</v>
      </c>
      <c r="P112" s="83">
        <f>'Off-farm feed'!$O$74</f>
        <v>2.6267464284477883E-2</v>
      </c>
      <c r="Q112" s="83">
        <f>'Off-farm feed'!$P$74</f>
        <v>1.6199999999999999E-2</v>
      </c>
      <c r="R112" s="351">
        <f>'Parameters, country spec'!H27</f>
        <v>3.7222010695302202E-3</v>
      </c>
      <c r="S112" s="351">
        <f>'Parameters, country spec'!H45</f>
        <v>1.3183641649379199E-3</v>
      </c>
    </row>
    <row r="113" spans="1:19" x14ac:dyDescent="0.2">
      <c r="B113" s="58" t="s">
        <v>476</v>
      </c>
      <c r="C113" s="18" t="s">
        <v>475</v>
      </c>
      <c r="D113" s="349" t="s">
        <v>55</v>
      </c>
      <c r="E113" s="349" t="s">
        <v>56</v>
      </c>
      <c r="F113" s="350">
        <f t="shared" si="12"/>
        <v>0.7061171705997602</v>
      </c>
      <c r="G113" s="83">
        <f>'Off-farm feed'!$F$23</f>
        <v>7.2632670993099079E-3</v>
      </c>
      <c r="H113" s="83">
        <f>'Off-farm feed'!$G$23</f>
        <v>2.1402439024390246E-2</v>
      </c>
      <c r="I113" s="83">
        <f>'Off-farm feed'!$H$23</f>
        <v>0</v>
      </c>
      <c r="J113" s="83"/>
      <c r="K113" s="83">
        <f>'Off-farm feed'!$J$23</f>
        <v>4.3083619664332357E-2</v>
      </c>
      <c r="L113" s="83"/>
      <c r="M113" s="55">
        <f>'Off-farm feed'!$L$23</f>
        <v>1.7842060425123844E-4</v>
      </c>
      <c r="N113" s="83">
        <f>'Off-farm feed'!$M$23</f>
        <v>3.0432604948959392E-2</v>
      </c>
      <c r="O113" s="83">
        <f>'Off-farm feed'!$N$23</f>
        <v>0.31761120248475611</v>
      </c>
      <c r="P113" s="83">
        <f>'Off-farm feed'!$O$23</f>
        <v>3.51456167737609E-2</v>
      </c>
      <c r="Q113" s="83">
        <f>'Off-farm feed'!$P$23</f>
        <v>0.251</v>
      </c>
      <c r="R113" s="351">
        <f>'Parameters, country spec'!H28</f>
        <v>9.1896848360344105E-2</v>
      </c>
      <c r="S113" s="351">
        <f>'Parameters, country spec'!H46</f>
        <v>3.25488896268918E-2</v>
      </c>
    </row>
    <row r="114" spans="1:19" x14ac:dyDescent="0.2">
      <c r="B114" s="18" t="s">
        <v>286</v>
      </c>
      <c r="C114" s="18" t="s">
        <v>477</v>
      </c>
      <c r="D114" s="349" t="s">
        <v>55</v>
      </c>
      <c r="E114" s="349" t="s">
        <v>56</v>
      </c>
      <c r="F114" s="350">
        <f t="shared" si="12"/>
        <v>0.48727386522204608</v>
      </c>
      <c r="G114" s="239">
        <v>1.23961909415248E-2</v>
      </c>
      <c r="H114" s="222">
        <v>2.4299999999999999E-3</v>
      </c>
      <c r="K114" s="222">
        <v>4.5047209614484203E-3</v>
      </c>
      <c r="L114">
        <v>0</v>
      </c>
      <c r="M114">
        <v>6.1646957398112502E-5</v>
      </c>
      <c r="N114">
        <v>3.6530214018447599E-3</v>
      </c>
      <c r="O114">
        <v>1.10663649266396E-4</v>
      </c>
      <c r="P114" s="222">
        <v>0.429390280461106</v>
      </c>
      <c r="Q114" s="222">
        <v>3.4727340849457597E-2</v>
      </c>
      <c r="R114" s="351">
        <f>'Parameters, country spec'!H29</f>
        <v>0.113060071774995</v>
      </c>
      <c r="S114" s="351">
        <f>'Parameters, country spec'!H47</f>
        <v>7.1183592363716103E-2</v>
      </c>
    </row>
    <row r="115" spans="1:19" x14ac:dyDescent="0.2">
      <c r="A115" s="354"/>
      <c r="B115" s="18" t="s">
        <v>478</v>
      </c>
      <c r="C115" s="355" t="s">
        <v>479</v>
      </c>
      <c r="D115" s="349" t="s">
        <v>55</v>
      </c>
      <c r="E115" s="349" t="s">
        <v>56</v>
      </c>
      <c r="F115" s="350">
        <f t="shared" si="12"/>
        <v>7.0275177666332012E-2</v>
      </c>
      <c r="G115" s="356">
        <f t="shared" ref="G115:Q115" si="13">SUMPRODUCT(G105:G113,$R105:$R113)</f>
        <v>2.3585658193074743E-3</v>
      </c>
      <c r="H115" s="356">
        <f t="shared" si="13"/>
        <v>2.6207884032705261E-3</v>
      </c>
      <c r="I115" s="356">
        <f t="shared" si="13"/>
        <v>0</v>
      </c>
      <c r="J115" s="356">
        <f t="shared" si="13"/>
        <v>0</v>
      </c>
      <c r="K115" s="356">
        <f t="shared" si="13"/>
        <v>4.8279087549194175E-3</v>
      </c>
      <c r="L115" s="356">
        <f t="shared" si="13"/>
        <v>0</v>
      </c>
      <c r="M115" s="356">
        <f t="shared" si="13"/>
        <v>5.6509830670389743E-5</v>
      </c>
      <c r="N115" s="356">
        <f t="shared" si="13"/>
        <v>3.8438261204169367E-3</v>
      </c>
      <c r="O115" s="356">
        <f t="shared" si="13"/>
        <v>3.0113625943131907E-2</v>
      </c>
      <c r="P115" s="356">
        <f t="shared" si="13"/>
        <v>3.3275441988426021E-3</v>
      </c>
      <c r="Q115" s="356">
        <f t="shared" si="13"/>
        <v>2.3126408595772762E-2</v>
      </c>
      <c r="R115" s="351">
        <f>'Parameters, country spec'!H30</f>
        <v>0.14527687460593999</v>
      </c>
      <c r="S115" s="351">
        <f>'Parameters, country spec'!H48</f>
        <v>0.117221161798055</v>
      </c>
    </row>
    <row r="116" spans="1:19" x14ac:dyDescent="0.2">
      <c r="A116" s="357"/>
      <c r="B116" s="358" t="s">
        <v>480</v>
      </c>
      <c r="C116" s="359"/>
      <c r="D116" s="360"/>
      <c r="E116" s="360"/>
      <c r="F116" s="361">
        <f>SUMPRODUCT(F102:F104,R102:R104)+SUMPRODUCT(F105:F115,R105:R115)/0.87</f>
        <v>0.21277833796186063</v>
      </c>
      <c r="G116" s="361">
        <f>SUMPRODUCT(G102:G104,R102:R104)+SUMPRODUCT(G105:G115,R105:R115)/0.87</f>
        <v>1.9196959165404582E-2</v>
      </c>
      <c r="H116" s="361">
        <f>SUMPRODUCT(H102:H104,R102:R104)+SUMPRODUCT(H105:H115,R105:R115)/0.87</f>
        <v>2.0603554433337834E-2</v>
      </c>
      <c r="I116" s="361">
        <f>SUMPRODUCT(I102:I104,R102:R104)+SUMPRODUCT(I105:I115,R105:R115)/0.87</f>
        <v>0</v>
      </c>
      <c r="J116" s="361">
        <f>SUMPRODUCT(J102:J104,R102:R104)+SUMPRODUCT(J105:J115,R105:R115)/0.87</f>
        <v>0</v>
      </c>
      <c r="K116" s="361">
        <f>SUMPRODUCT(K102:K104,R102:R104)+SUMPRODUCT(K105:K115,R105:R115)/0.87</f>
        <v>1.4087168634490851E-2</v>
      </c>
      <c r="L116" s="361">
        <f>SUMPRODUCT(L102:L104,R102:R104)+SUMPRODUCT(L105:L115,R105:R115)/0.87</f>
        <v>0</v>
      </c>
      <c r="M116" s="361">
        <f>SUMPRODUCT(M102:M104,R102:R104)+SUMPRODUCT(M105:M115,R105:R115)/0.87</f>
        <v>2.3097778203828666E-4</v>
      </c>
      <c r="N116" s="361">
        <f>SUMPRODUCT(N102:N104,R102:R104)+SUMPRODUCT(N105:N115,R105:R115)/0.87</f>
        <v>5.5347770432275251E-3</v>
      </c>
      <c r="O116" s="361">
        <f>SUMPRODUCT(O102:O104,R102:R104)+SUMPRODUCT(O105:O115,R105:R115)/0.87</f>
        <v>3.9656265567047592E-2</v>
      </c>
      <c r="P116" s="361">
        <f>SUMPRODUCT(P102:P104,R102:R104)+SUMPRODUCT(P105:P115,R105:R115)/0.87</f>
        <v>7.8511834639278383E-2</v>
      </c>
      <c r="Q116" s="361">
        <f>SUMPRODUCT(Q102:Q104,R102:R104)+SUMPRODUCT(Q105:Q115,R105:R115)/0.87</f>
        <v>3.4956800697035592E-2</v>
      </c>
      <c r="R116" s="362"/>
      <c r="S116" s="369"/>
    </row>
    <row r="117" spans="1:19" x14ac:dyDescent="0.2">
      <c r="A117" s="363"/>
      <c r="B117" s="364" t="s">
        <v>481</v>
      </c>
      <c r="C117" s="365"/>
      <c r="D117" s="366"/>
      <c r="E117" s="366"/>
      <c r="F117" s="367">
        <f>SUMPRODUCT(F102:F104,S102:S104)+SUMPRODUCT(F105:F115,S105:S115)/0.87</f>
        <v>0.14320114063021611</v>
      </c>
      <c r="G117" s="367">
        <f>SUMPRODUCT(G102:G104,S102:S104)+SUMPRODUCT(G105:G115,S105:S115)/0.87</f>
        <v>1.982311780786223E-2</v>
      </c>
      <c r="H117" s="367">
        <f>SUMPRODUCT(H102:H104,S102:S104)+SUMPRODUCT(H105:H115,S105:S115)/0.87</f>
        <v>2.2482885351795805E-2</v>
      </c>
      <c r="I117" s="367">
        <f>SUMPRODUCT(I102:I104,S102:S104)+SUMPRODUCT(I105:I115,S105:S115)/0.87</f>
        <v>0</v>
      </c>
      <c r="J117" s="367">
        <f>SUMPRODUCT(J102:J104,S102:S104)+SUMPRODUCT(J105:J115,S105:S115)/0.87</f>
        <v>0</v>
      </c>
      <c r="K117" s="367">
        <f>SUMPRODUCT(K102:K104,S102:S104)+SUMPRODUCT(K105:K115,S105:S115)/0.87</f>
        <v>1.2389499521308266E-2</v>
      </c>
      <c r="L117" s="367">
        <f>SUMPRODUCT(L102:L104,S102:S104)+SUMPRODUCT(L105:L115,S105:S115)/0.87</f>
        <v>0</v>
      </c>
      <c r="M117" s="367">
        <f>SUMPRODUCT(M102:M104,S102:S104)+SUMPRODUCT(M105:M115,S105:S115)/0.87</f>
        <v>2.0013601733747202E-4</v>
      </c>
      <c r="N117" s="367">
        <f>SUMPRODUCT(N102:N104,S102:S104)+SUMPRODUCT(N105:N115,S105:S115)/0.87</f>
        <v>3.304175694942354E-3</v>
      </c>
      <c r="O117" s="367">
        <f>SUMPRODUCT(O102:O104,S102:S104)+SUMPRODUCT(O105:O115,S105:S115)/0.87</f>
        <v>1.6378775059673709E-2</v>
      </c>
      <c r="P117" s="367">
        <f>SUMPRODUCT(P102:P104,S102:S104)+SUMPRODUCT(P105:P115,S105:S115)/0.87</f>
        <v>5.3250079735298071E-2</v>
      </c>
      <c r="Q117" s="367">
        <f>SUMPRODUCT(Q102:Q104,S102:S104)+SUMPRODUCT(Q105:Q115,S105:S115)/0.87</f>
        <v>1.5372471441998232E-2</v>
      </c>
      <c r="R117" s="368"/>
      <c r="S117" s="368"/>
    </row>
    <row r="118" spans="1:19" x14ac:dyDescent="0.2">
      <c r="B118" s="58" t="s">
        <v>264</v>
      </c>
      <c r="C118" s="18" t="s">
        <v>463</v>
      </c>
      <c r="D118" s="349" t="s">
        <v>87</v>
      </c>
      <c r="E118" s="349" t="s">
        <v>58</v>
      </c>
      <c r="F118" s="350">
        <f t="shared" ref="F118:F131" si="14">SUM(G118:Q118)</f>
        <v>0.12925516593972919</v>
      </c>
      <c r="G118" s="83">
        <f>'Forage crops, CF'!F43</f>
        <v>8.1653146112385361E-2</v>
      </c>
      <c r="H118" s="83">
        <f>'Forage crops, CF'!G43</f>
        <v>2.7E-2</v>
      </c>
      <c r="I118" s="83">
        <f>'Forage crops, CF'!H43</f>
        <v>0</v>
      </c>
      <c r="J118" s="83">
        <f>'Forage crops, CF'!I43</f>
        <v>0</v>
      </c>
      <c r="K118" s="83">
        <f>'Forage crops, CF'!J43</f>
        <v>2.0602019827343845E-2</v>
      </c>
      <c r="L118" s="83">
        <f>'Forage crops, CF'!K43</f>
        <v>0</v>
      </c>
      <c r="M118" s="83">
        <f>'Forage crops, CF'!L43</f>
        <v>0</v>
      </c>
      <c r="N118" s="83">
        <f>'Forage crops, CF'!M43</f>
        <v>0</v>
      </c>
      <c r="O118" s="83">
        <f>'Forage crops, CF'!N43</f>
        <v>0</v>
      </c>
      <c r="P118" s="83">
        <f>'Forage crops, CF'!O43</f>
        <v>0</v>
      </c>
      <c r="Q118" s="83">
        <f>'Forage crops, CF'!P43</f>
        <v>0</v>
      </c>
      <c r="R118" s="351">
        <f>'Parameters, country spec'!I17</f>
        <v>0.373167232002376</v>
      </c>
      <c r="S118" s="351">
        <f>'Parameters, country spec'!I35</f>
        <v>0.47949543012015899</v>
      </c>
    </row>
    <row r="119" spans="1:19" x14ac:dyDescent="0.2">
      <c r="B119" s="58" t="s">
        <v>268</v>
      </c>
      <c r="C119" s="18" t="s">
        <v>463</v>
      </c>
      <c r="D119" s="349" t="s">
        <v>87</v>
      </c>
      <c r="E119" s="349" t="s">
        <v>58</v>
      </c>
      <c r="F119" s="350">
        <f t="shared" si="14"/>
        <v>8.7668909243320992E-2</v>
      </c>
      <c r="G119" s="83">
        <f>'Forage crops, CF'!F103</f>
        <v>9.9201952974812971E-4</v>
      </c>
      <c r="H119" s="83">
        <f>'Forage crops, CF'!G103</f>
        <v>2.7E-2</v>
      </c>
      <c r="I119" s="83">
        <f>'Forage crops, CF'!H103</f>
        <v>0</v>
      </c>
      <c r="J119" s="83">
        <f>'Forage crops, CF'!I103</f>
        <v>0</v>
      </c>
      <c r="K119" s="83">
        <f>'Forage crops, CF'!J103</f>
        <v>1.2901809267049398E-2</v>
      </c>
      <c r="L119" s="83">
        <f>'Forage crops, CF'!K103</f>
        <v>0</v>
      </c>
      <c r="M119" s="83">
        <f>'Forage crops, CF'!L103</f>
        <v>7.5080446523445761E-5</v>
      </c>
      <c r="N119" s="83">
        <f>'Forage crops, CF'!M103</f>
        <v>0</v>
      </c>
      <c r="O119" s="83">
        <f>'Forage crops, CF'!N103</f>
        <v>0</v>
      </c>
      <c r="P119" s="83">
        <f>'Forage crops, CF'!O103</f>
        <v>4.6700000000000005E-2</v>
      </c>
      <c r="Q119" s="83">
        <f>'Forage crops, CF'!P103</f>
        <v>0</v>
      </c>
      <c r="R119" s="351">
        <f>'Parameters, country spec'!I18</f>
        <v>0.25760749577042003</v>
      </c>
      <c r="S119" s="351">
        <f>'Parameters, country spec'!I36</f>
        <v>0.16379583021525301</v>
      </c>
    </row>
    <row r="120" spans="1:19" x14ac:dyDescent="0.2">
      <c r="B120" s="58" t="s">
        <v>465</v>
      </c>
      <c r="C120" s="18" t="s">
        <v>463</v>
      </c>
      <c r="D120" s="349" t="s">
        <v>87</v>
      </c>
      <c r="E120" s="349" t="s">
        <v>58</v>
      </c>
      <c r="F120" s="350">
        <f t="shared" si="14"/>
        <v>0.16430407321416543</v>
      </c>
      <c r="G120" s="83">
        <f>'Forage crops, CF'!F163*'Forage, input data per ha'!$D$85+'Forage crops, CF'!F223*'Forage, input data per ha'!$E$85</f>
        <v>7.057975014679671E-2</v>
      </c>
      <c r="H120" s="83">
        <f>'Forage crops, CF'!G163*'Forage, input data per ha'!$D$85+'Forage crops, CF'!G223*'Forage, input data per ha'!$E$85</f>
        <v>2.7000000000000003E-2</v>
      </c>
      <c r="I120" s="83">
        <f>'Forage crops, CF'!H163*'Forage, input data per ha'!$D$85+'Forage crops, CF'!H223*'Forage, input data per ha'!$E$85</f>
        <v>0</v>
      </c>
      <c r="J120" s="83">
        <f>'Forage crops, CF'!I163*'Forage, input data per ha'!$D$85+'Forage crops, CF'!I223*'Forage, input data per ha'!$E$85</f>
        <v>0</v>
      </c>
      <c r="K120" s="83">
        <f>'Forage crops, CF'!J163*'Forage, input data per ha'!$D$85+'Forage crops, CF'!J223*'Forage, input data per ha'!$E$85</f>
        <v>2.0024323067368701E-2</v>
      </c>
      <c r="L120" s="83">
        <f>'Forage crops, CF'!K163*'Forage, input data per ha'!$D$85+'Forage crops, CF'!K223*'Forage, input data per ha'!$E$85</f>
        <v>0</v>
      </c>
      <c r="M120" s="83">
        <f>'Forage crops, CF'!L163*'Forage, input data per ha'!$D$85+'Forage crops, CF'!L223*'Forage, input data per ha'!$E$85</f>
        <v>0</v>
      </c>
      <c r="N120" s="83">
        <f>'Forage crops, CF'!M163*'Forage, input data per ha'!$D$85+'Forage crops, CF'!M223*'Forage, input data per ha'!$E$85</f>
        <v>0</v>
      </c>
      <c r="O120" s="83">
        <f>'Forage crops, CF'!N163*'Forage, input data per ha'!$D$85+'Forage crops, CF'!N223*'Forage, input data per ha'!$E$85</f>
        <v>0</v>
      </c>
      <c r="P120" s="83">
        <f>'Forage crops, CF'!O163*'Forage, input data per ha'!$D$85+'Forage crops, CF'!O223*'Forage, input data per ha'!$E$85</f>
        <v>4.6700000000000012E-2</v>
      </c>
      <c r="Q120" s="83">
        <f>'Forage crops, CF'!P163*'Forage, input data per ha'!$D$85+'Forage crops, CF'!P223*'Forage, input data per ha'!$E$85</f>
        <v>0</v>
      </c>
      <c r="R120" s="351">
        <f>'Parameters, country spec'!I19</f>
        <v>3.5613863046085999E-2</v>
      </c>
      <c r="S120" s="351">
        <f>'Parameters, country spec'!I37</f>
        <v>0.17110749103346001</v>
      </c>
    </row>
    <row r="121" spans="1:19" x14ac:dyDescent="0.2">
      <c r="A121" s="353" t="s">
        <v>466</v>
      </c>
      <c r="B121" s="18" t="s">
        <v>274</v>
      </c>
      <c r="C121" s="18" t="s">
        <v>467</v>
      </c>
      <c r="D121" s="349" t="s">
        <v>87</v>
      </c>
      <c r="E121" s="349" t="s">
        <v>58</v>
      </c>
      <c r="F121" s="350">
        <f t="shared" si="14"/>
        <v>0.1431111373616365</v>
      </c>
      <c r="G121" s="239">
        <v>4.4406099320232699E-2</v>
      </c>
      <c r="H121" s="216">
        <v>2.7E-2</v>
      </c>
      <c r="I121" s="222">
        <v>0</v>
      </c>
      <c r="J121" s="216"/>
      <c r="K121" s="239">
        <v>2.8739432176656199E-2</v>
      </c>
      <c r="L121" s="216">
        <v>0</v>
      </c>
      <c r="M121" s="216">
        <v>1.36800051961635E-6</v>
      </c>
      <c r="N121" s="239">
        <v>4.2964237864227997E-2</v>
      </c>
      <c r="O121" s="216">
        <v>0</v>
      </c>
      <c r="P121" s="216"/>
      <c r="R121" s="351">
        <f>'Parameters, country spec'!I20</f>
        <v>1.3879724923939201E-2</v>
      </c>
      <c r="S121" s="351">
        <f>'Parameters, country spec'!I38</f>
        <v>3.7649623151768401E-3</v>
      </c>
    </row>
    <row r="122" spans="1:19" x14ac:dyDescent="0.2">
      <c r="A122" s="353" t="s">
        <v>468</v>
      </c>
      <c r="B122" s="18" t="s">
        <v>276</v>
      </c>
      <c r="C122" s="18" t="s">
        <v>467</v>
      </c>
      <c r="D122" s="349" t="s">
        <v>87</v>
      </c>
      <c r="E122" s="349" t="s">
        <v>58</v>
      </c>
      <c r="F122" s="350">
        <f t="shared" si="14"/>
        <v>0.13349668018929536</v>
      </c>
      <c r="G122" s="239">
        <v>4.5357172887487598E-2</v>
      </c>
      <c r="H122" s="216">
        <v>2.7E-2</v>
      </c>
      <c r="I122" s="222">
        <v>0</v>
      </c>
      <c r="J122" s="216"/>
      <c r="K122" s="239">
        <v>1.7420638404206799E-2</v>
      </c>
      <c r="L122" s="216">
        <v>0</v>
      </c>
      <c r="M122" s="216">
        <v>7.5463103337298197E-4</v>
      </c>
      <c r="N122" s="239">
        <v>4.2964237864227997E-2</v>
      </c>
      <c r="O122" s="216">
        <v>0</v>
      </c>
      <c r="P122" s="216"/>
      <c r="R122" s="351">
        <f>'Parameters, country spec'!I21</f>
        <v>4.1683562538490301E-2</v>
      </c>
      <c r="S122" s="351">
        <f>'Parameters, country spec'!I39</f>
        <v>1.13069274080103E-2</v>
      </c>
    </row>
    <row r="123" spans="1:19" x14ac:dyDescent="0.2">
      <c r="A123" s="353" t="s">
        <v>469</v>
      </c>
      <c r="B123" s="18" t="s">
        <v>278</v>
      </c>
      <c r="C123" s="18" t="s">
        <v>467</v>
      </c>
      <c r="D123" s="349" t="s">
        <v>87</v>
      </c>
      <c r="E123" s="349" t="s">
        <v>58</v>
      </c>
      <c r="F123" s="350">
        <f t="shared" si="14"/>
        <v>0.15534923816677168</v>
      </c>
      <c r="G123" s="239">
        <v>4.6682126200482899E-2</v>
      </c>
      <c r="H123" s="216">
        <v>2.7E-2</v>
      </c>
      <c r="I123" s="222">
        <v>0</v>
      </c>
      <c r="J123" s="216"/>
      <c r="K123" s="239">
        <v>3.8115003201796303E-2</v>
      </c>
      <c r="L123" s="216">
        <v>0</v>
      </c>
      <c r="M123" s="216">
        <v>5.8787090026448405E-4</v>
      </c>
      <c r="N123" s="239">
        <v>4.2964237864227997E-2</v>
      </c>
      <c r="O123" s="216">
        <v>0</v>
      </c>
      <c r="P123" s="216"/>
      <c r="R123" s="351">
        <f>'Parameters, country spec'!I22</f>
        <v>4.55917367778715E-4</v>
      </c>
      <c r="S123" s="351">
        <f>'Parameters, country spec'!I40</f>
        <v>1.2367044164683099E-4</v>
      </c>
    </row>
    <row r="124" spans="1:19" x14ac:dyDescent="0.2">
      <c r="A124" s="353" t="s">
        <v>470</v>
      </c>
      <c r="B124" s="18" t="s">
        <v>280</v>
      </c>
      <c r="C124" s="18" t="s">
        <v>467</v>
      </c>
      <c r="D124" s="349" t="s">
        <v>87</v>
      </c>
      <c r="E124" s="349" t="s">
        <v>58</v>
      </c>
      <c r="F124" s="350">
        <f t="shared" si="14"/>
        <v>0.20760760089613001</v>
      </c>
      <c r="G124" s="239">
        <v>8.3910600877136393E-2</v>
      </c>
      <c r="H124" s="216">
        <v>2.7E-2</v>
      </c>
      <c r="I124" s="216">
        <v>0</v>
      </c>
      <c r="J124" s="216"/>
      <c r="K124" s="239">
        <v>5.37327621547656E-2</v>
      </c>
      <c r="L124" s="216">
        <v>0</v>
      </c>
      <c r="M124" s="216">
        <v>0</v>
      </c>
      <c r="N124" s="239">
        <v>4.2964237864227997E-2</v>
      </c>
      <c r="O124" s="216">
        <v>0</v>
      </c>
      <c r="P124" s="216"/>
      <c r="R124" s="351">
        <f>'Parameters, country spec'!I23</f>
        <v>1.71561062458586E-3</v>
      </c>
      <c r="S124" s="351">
        <f>'Parameters, country spec'!I41</f>
        <v>4.6537012747958797E-4</v>
      </c>
    </row>
    <row r="125" spans="1:19" x14ac:dyDescent="0.2">
      <c r="A125" s="353" t="s">
        <v>471</v>
      </c>
      <c r="B125" s="18" t="s">
        <v>281</v>
      </c>
      <c r="C125" s="18" t="s">
        <v>467</v>
      </c>
      <c r="D125" s="349" t="s">
        <v>87</v>
      </c>
      <c r="E125" s="349" t="s">
        <v>58</v>
      </c>
      <c r="F125" s="350">
        <f t="shared" si="14"/>
        <v>0.15163483331060859</v>
      </c>
      <c r="G125" s="239">
        <v>5.8435336021816997E-2</v>
      </c>
      <c r="H125" s="216">
        <v>2.7E-2</v>
      </c>
      <c r="I125" s="216">
        <v>0</v>
      </c>
      <c r="J125" s="216"/>
      <c r="K125" s="239">
        <v>2.3235259424563601E-2</v>
      </c>
      <c r="L125" s="216">
        <v>0</v>
      </c>
      <c r="M125" s="216">
        <v>0</v>
      </c>
      <c r="N125" s="239">
        <v>4.2964237864227997E-2</v>
      </c>
      <c r="O125" s="216">
        <v>0</v>
      </c>
      <c r="P125" s="216"/>
      <c r="R125" s="351">
        <f>'Parameters, country spec'!I24</f>
        <v>4.6964740317371599E-2</v>
      </c>
      <c r="S125" s="351">
        <f>'Parameters, country spec'!I42</f>
        <v>1.2739490248206E-2</v>
      </c>
    </row>
    <row r="126" spans="1:19" x14ac:dyDescent="0.2">
      <c r="A126" s="353" t="s">
        <v>472</v>
      </c>
      <c r="B126" s="18" t="s">
        <v>282</v>
      </c>
      <c r="C126" s="18" t="s">
        <v>473</v>
      </c>
      <c r="D126" s="349" t="s">
        <v>87</v>
      </c>
      <c r="E126" s="349" t="s">
        <v>58</v>
      </c>
      <c r="F126" s="350">
        <f t="shared" si="14"/>
        <v>0.14636810260852107</v>
      </c>
      <c r="G126" s="239">
        <v>0</v>
      </c>
      <c r="H126" s="216">
        <v>2.7E-2</v>
      </c>
      <c r="I126" s="222">
        <v>0</v>
      </c>
      <c r="J126" s="216"/>
      <c r="K126" s="239">
        <v>5.9912817690818299E-2</v>
      </c>
      <c r="L126" s="222">
        <v>0</v>
      </c>
      <c r="M126" s="216">
        <v>4.6529167754077701E-3</v>
      </c>
      <c r="N126" s="239">
        <v>3.4771853907349999E-2</v>
      </c>
      <c r="O126" s="216">
        <v>2.0030514234945E-2</v>
      </c>
      <c r="P126" s="216"/>
      <c r="R126" s="351">
        <f>'Parameters, country spec'!I25</f>
        <v>0</v>
      </c>
      <c r="S126" s="351">
        <f>'Parameters, country spec'!I43</f>
        <v>0</v>
      </c>
    </row>
    <row r="127" spans="1:19" x14ac:dyDescent="0.2">
      <c r="A127" s="353" t="s">
        <v>474</v>
      </c>
      <c r="B127" s="18" t="s">
        <v>283</v>
      </c>
      <c r="C127" s="18" t="s">
        <v>473</v>
      </c>
      <c r="D127" s="349" t="s">
        <v>87</v>
      </c>
      <c r="E127" s="349" t="s">
        <v>58</v>
      </c>
      <c r="F127" s="350">
        <f t="shared" si="14"/>
        <v>0.12189748854700576</v>
      </c>
      <c r="G127" s="239">
        <v>1.7980343901417999E-3</v>
      </c>
      <c r="H127" s="216">
        <v>2.7E-2</v>
      </c>
      <c r="I127" s="222">
        <v>0</v>
      </c>
      <c r="J127" s="216"/>
      <c r="K127" s="239">
        <v>5.0135211150169098E-2</v>
      </c>
      <c r="L127" s="216">
        <v>0</v>
      </c>
      <c r="M127" s="216">
        <v>5.1424668685509601E-9</v>
      </c>
      <c r="N127" s="239">
        <v>4.2964237864227997E-2</v>
      </c>
      <c r="O127" s="216">
        <v>0</v>
      </c>
      <c r="P127" s="216"/>
      <c r="R127" s="351">
        <f>'Parameters, country spec'!I26</f>
        <v>0</v>
      </c>
      <c r="S127" s="351">
        <f>'Parameters, country spec'!I44</f>
        <v>0</v>
      </c>
    </row>
    <row r="128" spans="1:19" x14ac:dyDescent="0.2">
      <c r="B128" s="58" t="s">
        <v>284</v>
      </c>
      <c r="C128" s="18" t="s">
        <v>475</v>
      </c>
      <c r="D128" s="349" t="s">
        <v>87</v>
      </c>
      <c r="E128" s="349" t="s">
        <v>58</v>
      </c>
      <c r="F128" s="350">
        <f t="shared" si="14"/>
        <v>0.27628755742228522</v>
      </c>
      <c r="G128" s="83">
        <f>'Off-farm feed'!$F$74</f>
        <v>0.15910156565543271</v>
      </c>
      <c r="H128" s="83">
        <f>'Off-farm feed'!$G$74</f>
        <v>1.3034482758620692E-2</v>
      </c>
      <c r="I128" s="83">
        <f>'Off-farm feed'!$H$74</f>
        <v>0</v>
      </c>
      <c r="J128" s="83"/>
      <c r="K128" s="83">
        <f>'Off-farm feed'!$J$74</f>
        <v>2.4688740026345465E-2</v>
      </c>
      <c r="L128" s="83"/>
      <c r="M128" s="55">
        <f>'Off-farm feed'!$L$74</f>
        <v>1.9317593037941337E-4</v>
      </c>
      <c r="N128" s="83">
        <f>'Off-farm feed'!$M$74</f>
        <v>3.6802128767029069E-2</v>
      </c>
      <c r="O128" s="83">
        <f>'Off-farm feed'!$N$74</f>
        <v>0</v>
      </c>
      <c r="P128" s="83">
        <f>'Off-farm feed'!$O$74</f>
        <v>2.6267464284477883E-2</v>
      </c>
      <c r="Q128" s="83">
        <f>'Off-farm feed'!$P$74</f>
        <v>1.6199999999999999E-2</v>
      </c>
      <c r="R128" s="351">
        <f>'Parameters, country spec'!I27</f>
        <v>8.6279293190231102E-2</v>
      </c>
      <c r="S128" s="351">
        <f>'Parameters, country spec'!I45</f>
        <v>4.3197597637154403E-2</v>
      </c>
    </row>
    <row r="129" spans="1:20" x14ac:dyDescent="0.2">
      <c r="B129" s="58" t="s">
        <v>476</v>
      </c>
      <c r="C129" s="18" t="s">
        <v>475</v>
      </c>
      <c r="D129" s="349" t="s">
        <v>87</v>
      </c>
      <c r="E129" s="349" t="s">
        <v>58</v>
      </c>
      <c r="F129" s="350">
        <f t="shared" si="14"/>
        <v>0.7061171705997602</v>
      </c>
      <c r="G129" s="83">
        <f>'Off-farm feed'!$F$23</f>
        <v>7.2632670993099079E-3</v>
      </c>
      <c r="H129" s="83">
        <f>'Off-farm feed'!$G$23</f>
        <v>2.1402439024390246E-2</v>
      </c>
      <c r="I129" s="83">
        <f>'Off-farm feed'!$H$23</f>
        <v>0</v>
      </c>
      <c r="J129" s="83"/>
      <c r="K129" s="83">
        <f>'Off-farm feed'!$J$23</f>
        <v>4.3083619664332357E-2</v>
      </c>
      <c r="L129" s="83"/>
      <c r="M129" s="55">
        <f>'Off-farm feed'!$L$23</f>
        <v>1.7842060425123844E-4</v>
      </c>
      <c r="N129" s="83">
        <f>'Off-farm feed'!$M$23</f>
        <v>3.0432604948959392E-2</v>
      </c>
      <c r="O129" s="83">
        <f>'Off-farm feed'!$N$23</f>
        <v>0.31761120248475611</v>
      </c>
      <c r="P129" s="83">
        <f>'Off-farm feed'!$O$23</f>
        <v>3.51456167737609E-2</v>
      </c>
      <c r="Q129" s="83">
        <f>'Off-farm feed'!$P$23</f>
        <v>0.251</v>
      </c>
      <c r="R129" s="351">
        <f>'Parameters, country spec'!I28</f>
        <v>0.111425490586606</v>
      </c>
      <c r="S129" s="351">
        <f>'Parameters, country spec'!I46</f>
        <v>5.5787586237705702E-2</v>
      </c>
    </row>
    <row r="130" spans="1:20" x14ac:dyDescent="0.2">
      <c r="B130" s="18" t="s">
        <v>286</v>
      </c>
      <c r="C130" s="18" t="s">
        <v>477</v>
      </c>
      <c r="D130" s="349" t="s">
        <v>87</v>
      </c>
      <c r="E130" s="349" t="s">
        <v>58</v>
      </c>
      <c r="F130" s="350">
        <f t="shared" si="14"/>
        <v>0.55092795580500509</v>
      </c>
      <c r="G130" s="239">
        <v>5.2591802419635304E-3</v>
      </c>
      <c r="H130" s="222">
        <v>2.4299999999999999E-3</v>
      </c>
      <c r="I130" s="222"/>
      <c r="J130" s="216"/>
      <c r="K130" s="239">
        <v>2.0911733482107302E-3</v>
      </c>
      <c r="L130" s="216">
        <v>0</v>
      </c>
      <c r="M130" s="216">
        <v>0</v>
      </c>
      <c r="N130" s="239">
        <v>3.86678140778052E-3</v>
      </c>
      <c r="O130" s="216">
        <v>0</v>
      </c>
      <c r="P130" s="222">
        <v>0.52550926010708199</v>
      </c>
      <c r="Q130" s="222">
        <v>1.1771560699968301E-2</v>
      </c>
      <c r="R130" s="351">
        <f>'Parameters, country spec'!I29</f>
        <v>1.38916945292026E-2</v>
      </c>
      <c r="S130" s="351">
        <f>'Parameters, country spec'!I47</f>
        <v>3.9631874829556102E-2</v>
      </c>
      <c r="T130" t="s">
        <v>373</v>
      </c>
    </row>
    <row r="131" spans="1:20" x14ac:dyDescent="0.2">
      <c r="A131" s="354"/>
      <c r="B131" s="18" t="s">
        <v>478</v>
      </c>
      <c r="C131" s="355" t="s">
        <v>479</v>
      </c>
      <c r="D131" s="349" t="s">
        <v>87</v>
      </c>
      <c r="E131" s="349" t="s">
        <v>58</v>
      </c>
      <c r="F131" s="350">
        <f t="shared" si="14"/>
        <v>0.11761679854593178</v>
      </c>
      <c r="G131" s="356">
        <f t="shared" ref="G131:Q131" si="15">SUMPRODUCT(G121:G129,$R121:$R129)</f>
        <v>1.9953118218249525E-2</v>
      </c>
      <c r="H131" s="356">
        <f t="shared" si="15"/>
        <v>6.3362712334051243E-3</v>
      </c>
      <c r="I131" s="356">
        <f t="shared" si="15"/>
        <v>0</v>
      </c>
      <c r="J131" s="356">
        <f t="shared" si="15"/>
        <v>0</v>
      </c>
      <c r="K131" s="356">
        <f t="shared" si="15"/>
        <v>9.2565898946948989E-3</v>
      </c>
      <c r="L131" s="356">
        <f t="shared" si="15"/>
        <v>0</v>
      </c>
      <c r="M131" s="356">
        <f t="shared" si="15"/>
        <v>6.8290403991392624E-5</v>
      </c>
      <c r="N131" s="356">
        <f t="shared" si="15"/>
        <v>1.1064566212655644E-2</v>
      </c>
      <c r="O131" s="356">
        <f t="shared" si="15"/>
        <v>3.5389984052665802E-2</v>
      </c>
      <c r="P131" s="356">
        <f t="shared" si="15"/>
        <v>6.1824558433495481E-3</v>
      </c>
      <c r="Q131" s="356">
        <f t="shared" si="15"/>
        <v>2.9365522686919849E-2</v>
      </c>
      <c r="R131" s="351">
        <f>'Parameters, country spec'!I30</f>
        <v>1.73153751029133E-2</v>
      </c>
      <c r="S131" s="351">
        <f>'Parameters, country spec'!I48</f>
        <v>1.8583769386191801E-2</v>
      </c>
    </row>
    <row r="132" spans="1:20" x14ac:dyDescent="0.2">
      <c r="A132" s="357"/>
      <c r="B132" s="358" t="s">
        <v>480</v>
      </c>
      <c r="C132" s="359"/>
      <c r="D132" s="360"/>
      <c r="E132" s="360"/>
      <c r="F132" s="361">
        <f>SUMPRODUCT(F118:F120,R118:R120)+SUMPRODUCT(F121:F131,R121:R131)/0.87</f>
        <v>0.22299900411477025</v>
      </c>
      <c r="G132" s="361">
        <f>SUMPRODUCT(G118:G120,R118:R120)+SUMPRODUCT(G121:G131,R121:R131)/0.87</f>
        <v>5.6655163684018531E-2</v>
      </c>
      <c r="H132" s="361">
        <f>SUMPRODUCT(H118:H120,R118:R120)+SUMPRODUCT(H121:H131,R121:R131)/0.87</f>
        <v>2.5440472370812456E-2</v>
      </c>
      <c r="I132" s="361">
        <f>SUMPRODUCT(I118:I120,R118:R120)+SUMPRODUCT(I121:I131,R121:R131)/0.87</f>
        <v>0</v>
      </c>
      <c r="J132" s="361">
        <f>SUMPRODUCT(J118:J120,R118:R120)+SUMPRODUCT(J121:J131,R121:R131)/0.87</f>
        <v>0</v>
      </c>
      <c r="K132" s="361">
        <f>SUMPRODUCT(K118:K120,R118:R120)+SUMPRODUCT(K121:K131,R121:R131)/0.87</f>
        <v>2.2582125634403656E-2</v>
      </c>
      <c r="L132" s="361">
        <f>SUMPRODUCT(L118:L120,R118:R120)+SUMPRODUCT(L121:L131,R121:R131)/0.87</f>
        <v>0</v>
      </c>
      <c r="M132" s="361">
        <f>SUMPRODUCT(M118:M120,R118:R120)+SUMPRODUCT(M121:M131,R121:R131)/0.87</f>
        <v>9.9195168514175868E-5</v>
      </c>
      <c r="N132" s="361">
        <f>SUMPRODUCT(N118:N120,R118:R120)+SUMPRODUCT(N121:N131,R121:R131)/0.87</f>
        <v>1.2999849969088375E-2</v>
      </c>
      <c r="O132" s="361">
        <f>SUMPRODUCT(O118:O120,R118:R120)+SUMPRODUCT(O121:O131,R121:R131)/0.87</f>
        <v>4.1382499886694062E-2</v>
      </c>
      <c r="P132" s="361">
        <f>SUMPRODUCT(P118:P120,R118:R120)+SUMPRODUCT(P121:P131,R121:R131)/0.87</f>
        <v>2.9313806995821867E-2</v>
      </c>
      <c r="Q132" s="361">
        <f>SUMPRODUCT(Q118:Q120,R118:R120)+SUMPRODUCT(Q121:Q131,R121:R131)/0.87</f>
        <v>3.4525890405417134E-2</v>
      </c>
      <c r="R132" s="362"/>
      <c r="S132" s="369"/>
    </row>
    <row r="133" spans="1:20" x14ac:dyDescent="0.2">
      <c r="A133" s="363"/>
      <c r="B133" s="364" t="s">
        <v>481</v>
      </c>
      <c r="C133" s="365"/>
      <c r="D133" s="366"/>
      <c r="E133" s="366"/>
      <c r="F133" s="367">
        <f>SUMPRODUCT(F118:F120,S118:S120)+SUMPRODUCT(F121:F131,S121:S131)/0.87</f>
        <v>0.19576500228284927</v>
      </c>
      <c r="G133" s="367">
        <f>SUMPRODUCT(G118:G120,S118:S120)+SUMPRODUCT(G121:G131,S121:S131)/0.87</f>
        <v>6.2111681099101507E-2</v>
      </c>
      <c r="H133" s="367">
        <f>SUMPRODUCT(H118:H120,S118:S120)+SUMPRODUCT(H121:H131,S121:S131)/0.87</f>
        <v>2.513579774464408E-2</v>
      </c>
      <c r="I133" s="367">
        <f>SUMPRODUCT(I118:I120,S118:S120)+SUMPRODUCT(I121:I131,S121:S131)/0.87</f>
        <v>0</v>
      </c>
      <c r="J133" s="367">
        <f>SUMPRODUCT(J118:J120,S118:S120)+SUMPRODUCT(J121:J131,S121:S131)/0.87</f>
        <v>0</v>
      </c>
      <c r="K133" s="367">
        <f>SUMPRODUCT(K118:K120,S118:S120)+SUMPRODUCT(K121:K131,S121:S131)/0.87</f>
        <v>2.0424845509850471E-2</v>
      </c>
      <c r="L133" s="367">
        <f>SUMPRODUCT(L118:L120,S118:S120)+SUMPRODUCT(L121:L131,S121:S131)/0.87</f>
        <v>0</v>
      </c>
      <c r="M133" s="367">
        <f>SUMPRODUCT(M118:M120,S118:S120)+SUMPRODUCT(M121:M131,S121:S131)/0.87</f>
        <v>4.4686249263744206E-5</v>
      </c>
      <c r="N133" s="367">
        <f>SUMPRODUCT(N118:N120,S118:S120)+SUMPRODUCT(N121:N131,S121:S131)/0.87</f>
        <v>5.5937892998213926E-3</v>
      </c>
      <c r="O133" s="367">
        <f>SUMPRODUCT(O118:O120,S118:S120)+SUMPRODUCT(O121:O131,S121:S131)/0.87</f>
        <v>2.1122346725167225E-2</v>
      </c>
      <c r="P133" s="367">
        <f>SUMPRODUCT(P118:P120,S118:S120)+SUMPRODUCT(P121:P131,S121:S131)/0.87</f>
        <v>4.3268940311191197E-2</v>
      </c>
      <c r="Q133" s="367">
        <f>SUMPRODUCT(Q118:Q120,S118:S120)+SUMPRODUCT(Q121:Q131,S121:S131)/0.87</f>
        <v>1.8062915343809657E-2</v>
      </c>
      <c r="R133" s="368"/>
      <c r="S133" s="368"/>
    </row>
    <row r="134" spans="1:20" x14ac:dyDescent="0.2">
      <c r="B134" s="58" t="s">
        <v>264</v>
      </c>
      <c r="C134" s="18" t="s">
        <v>463</v>
      </c>
      <c r="D134" s="349" t="s">
        <v>59</v>
      </c>
      <c r="E134" s="349" t="s">
        <v>60</v>
      </c>
      <c r="F134" s="350">
        <f t="shared" ref="F134:F147" si="16">SUM(G134:Q134)</f>
        <v>5.990491175098922E-2</v>
      </c>
      <c r="G134" s="83">
        <f>'Forage crops, CF'!F48</f>
        <v>1.768209421188895E-2</v>
      </c>
      <c r="H134" s="83">
        <f>'Forage crops, CF'!G48</f>
        <v>2.7E-2</v>
      </c>
      <c r="I134" s="83">
        <f>'Forage crops, CF'!H48</f>
        <v>0</v>
      </c>
      <c r="J134" s="83">
        <f>'Forage crops, CF'!I48</f>
        <v>0</v>
      </c>
      <c r="K134" s="83">
        <f>'Forage crops, CF'!J48</f>
        <v>1.5222817539100274E-2</v>
      </c>
      <c r="L134" s="83">
        <f>'Forage crops, CF'!K48</f>
        <v>0</v>
      </c>
      <c r="M134" s="83">
        <f>'Forage crops, CF'!L48</f>
        <v>0</v>
      </c>
      <c r="N134" s="83">
        <f>'Forage crops, CF'!M48</f>
        <v>0</v>
      </c>
      <c r="O134" s="83">
        <f>'Forage crops, CF'!N48</f>
        <v>0</v>
      </c>
      <c r="P134" s="83">
        <f>'Forage crops, CF'!O48</f>
        <v>0</v>
      </c>
      <c r="Q134" s="83">
        <f>'Forage crops, CF'!P48</f>
        <v>0</v>
      </c>
      <c r="R134" s="351">
        <f>'Parameters, country spec'!J17</f>
        <v>0.25455862443412097</v>
      </c>
      <c r="S134" s="351">
        <f>'Parameters, country spec'!J35</f>
        <v>0.26557017524746102</v>
      </c>
    </row>
    <row r="135" spans="1:20" x14ac:dyDescent="0.2">
      <c r="B135" s="58" t="s">
        <v>268</v>
      </c>
      <c r="C135" s="18" t="s">
        <v>463</v>
      </c>
      <c r="D135" s="349" t="s">
        <v>59</v>
      </c>
      <c r="E135" s="349" t="s">
        <v>60</v>
      </c>
      <c r="F135" s="350">
        <f t="shared" si="16"/>
        <v>0.11144499238135221</v>
      </c>
      <c r="G135" s="83">
        <f>'Forage crops, CF'!F108</f>
        <v>2.4435031530597069E-2</v>
      </c>
      <c r="H135" s="83">
        <f>'Forage crops, CF'!G108</f>
        <v>2.7E-2</v>
      </c>
      <c r="I135" s="83">
        <f>'Forage crops, CF'!H108</f>
        <v>0</v>
      </c>
      <c r="J135" s="83">
        <f>'Forage crops, CF'!I108</f>
        <v>0</v>
      </c>
      <c r="K135" s="83">
        <f>'Forage crops, CF'!J108</f>
        <v>1.3292179501069723E-2</v>
      </c>
      <c r="L135" s="83">
        <f>'Forage crops, CF'!K108</f>
        <v>0</v>
      </c>
      <c r="M135" s="83">
        <f>'Forage crops, CF'!L108</f>
        <v>1.7781349685403072E-5</v>
      </c>
      <c r="N135" s="83">
        <f>'Forage crops, CF'!M108</f>
        <v>0</v>
      </c>
      <c r="O135" s="83">
        <f>'Forage crops, CF'!N108</f>
        <v>0</v>
      </c>
      <c r="P135" s="83">
        <f>'Forage crops, CF'!O108</f>
        <v>4.6700000000000005E-2</v>
      </c>
      <c r="Q135" s="83">
        <f>'Forage crops, CF'!P108</f>
        <v>0</v>
      </c>
      <c r="R135" s="351">
        <f>'Parameters, country spec'!J18</f>
        <v>0.33395684495061101</v>
      </c>
      <c r="S135" s="351">
        <f>'Parameters, country spec'!J36</f>
        <v>0.30897238471141197</v>
      </c>
    </row>
    <row r="136" spans="1:20" x14ac:dyDescent="0.2">
      <c r="B136" s="58" t="s">
        <v>465</v>
      </c>
      <c r="C136" s="18" t="s">
        <v>463</v>
      </c>
      <c r="D136" s="349" t="s">
        <v>59</v>
      </c>
      <c r="E136" s="349" t="s">
        <v>60</v>
      </c>
      <c r="F136" s="350">
        <f t="shared" si="16"/>
        <v>0.1027469847558973</v>
      </c>
      <c r="G136" s="83">
        <f>'Forage crops, CF'!F168*'Forage, input data per ha'!$D$86+'Forage crops, CF'!F228*'Forage, input data per ha'!$E$86</f>
        <v>1.3929948470609028E-2</v>
      </c>
      <c r="H136" s="83">
        <f>'Forage crops, CF'!G168*'Forage, input data per ha'!$D$86+'Forage crops, CF'!G228*'Forage, input data per ha'!$E$86</f>
        <v>2.7E-2</v>
      </c>
      <c r="I136" s="83">
        <f>'Forage crops, CF'!H168*'Forage, input data per ha'!$D$86+'Forage crops, CF'!H228*'Forage, input data per ha'!$E$86</f>
        <v>0</v>
      </c>
      <c r="J136" s="83">
        <f>'Forage crops, CF'!I168*'Forage, input data per ha'!$D$86+'Forage crops, CF'!I228*'Forage, input data per ha'!$E$86</f>
        <v>0</v>
      </c>
      <c r="K136" s="83">
        <f>'Forage crops, CF'!J168*'Forage, input data per ha'!$D$86+'Forage crops, CF'!J228*'Forage, input data per ha'!$E$86</f>
        <v>1.5117036285288269E-2</v>
      </c>
      <c r="L136" s="83">
        <f>'Forage crops, CF'!K168*'Forage, input data per ha'!$D$86+'Forage crops, CF'!K228*'Forage, input data per ha'!$E$86</f>
        <v>0</v>
      </c>
      <c r="M136" s="83">
        <f>'Forage crops, CF'!L168*'Forage, input data per ha'!$D$86+'Forage crops, CF'!L228*'Forage, input data per ha'!$E$86</f>
        <v>0</v>
      </c>
      <c r="N136" s="83">
        <f>'Forage crops, CF'!M168*'Forage, input data per ha'!$D$86+'Forage crops, CF'!M228*'Forage, input data per ha'!$E$86</f>
        <v>0</v>
      </c>
      <c r="O136" s="83">
        <f>'Forage crops, CF'!N168*'Forage, input data per ha'!$D$86+'Forage crops, CF'!N228*'Forage, input data per ha'!$E$86</f>
        <v>0</v>
      </c>
      <c r="P136" s="83">
        <f>'Forage crops, CF'!O168*'Forage, input data per ha'!$D$86+'Forage crops, CF'!O228*'Forage, input data per ha'!$E$86</f>
        <v>4.6700000000000005E-2</v>
      </c>
      <c r="Q136" s="83">
        <f>'Forage crops, CF'!P168*'Forage, input data per ha'!$D$86+'Forage crops, CF'!P228*'Forage, input data per ha'!$E$86</f>
        <v>0</v>
      </c>
      <c r="R136" s="351">
        <f>'Parameters, country spec'!J19</f>
        <v>1.15898887697602E-2</v>
      </c>
      <c r="S136" s="351">
        <f>'Parameters, country spec'!J37</f>
        <v>0.152808046794979</v>
      </c>
    </row>
    <row r="137" spans="1:20" x14ac:dyDescent="0.2">
      <c r="A137" s="353" t="s">
        <v>466</v>
      </c>
      <c r="B137" s="18" t="s">
        <v>274</v>
      </c>
      <c r="C137" s="18" t="s">
        <v>467</v>
      </c>
      <c r="D137" s="349" t="s">
        <v>59</v>
      </c>
      <c r="E137" s="349" t="s">
        <v>60</v>
      </c>
      <c r="F137" s="350">
        <f t="shared" si="16"/>
        <v>0.19778401533184728</v>
      </c>
      <c r="G137" s="239">
        <v>6.6974674658077701E-2</v>
      </c>
      <c r="H137" s="216">
        <v>2.7E-2</v>
      </c>
      <c r="I137" s="222">
        <v>0</v>
      </c>
      <c r="J137" s="216"/>
      <c r="K137" s="239">
        <v>4.479189511323E-2</v>
      </c>
      <c r="L137" s="216">
        <v>0</v>
      </c>
      <c r="M137" s="216">
        <v>9.414416162111999E-10</v>
      </c>
      <c r="N137" s="239">
        <v>5.2538621212229998E-2</v>
      </c>
      <c r="O137" s="216">
        <v>6.4788234068679897E-3</v>
      </c>
      <c r="P137" s="216"/>
      <c r="R137" s="351">
        <f>'Parameters, country spec'!J20</f>
        <v>4.8218892985114399E-2</v>
      </c>
      <c r="S137" s="351">
        <f>'Parameters, country spec'!J38</f>
        <v>1.4852072857038301E-2</v>
      </c>
    </row>
    <row r="138" spans="1:20" x14ac:dyDescent="0.2">
      <c r="A138" s="353" t="s">
        <v>468</v>
      </c>
      <c r="B138" s="18" t="s">
        <v>276</v>
      </c>
      <c r="C138" s="18" t="s">
        <v>467</v>
      </c>
      <c r="D138" s="349" t="s">
        <v>59</v>
      </c>
      <c r="E138" s="349" t="s">
        <v>60</v>
      </c>
      <c r="F138" s="350">
        <f t="shared" si="16"/>
        <v>0.21676807042422677</v>
      </c>
      <c r="G138" s="239">
        <v>5.6481038667633099E-2</v>
      </c>
      <c r="H138" s="216">
        <v>2.7E-2</v>
      </c>
      <c r="I138" s="222">
        <v>0</v>
      </c>
      <c r="J138" s="216"/>
      <c r="K138" s="239">
        <v>2.24168213846326E-2</v>
      </c>
      <c r="L138" s="216">
        <v>0</v>
      </c>
      <c r="M138" s="216">
        <v>7.8565565286555606E-5</v>
      </c>
      <c r="N138" s="239">
        <v>5.2538621212229998E-2</v>
      </c>
      <c r="O138" s="216">
        <v>5.8253023594444502E-2</v>
      </c>
      <c r="P138" s="216"/>
      <c r="R138" s="351">
        <f>'Parameters, country spec'!J21</f>
        <v>6.6054588822439503E-2</v>
      </c>
      <c r="S138" s="351">
        <f>'Parameters, country spec'!J39</f>
        <v>2.0345709016517801E-2</v>
      </c>
    </row>
    <row r="139" spans="1:20" x14ac:dyDescent="0.2">
      <c r="A139" s="353" t="s">
        <v>469</v>
      </c>
      <c r="B139" s="18" t="s">
        <v>278</v>
      </c>
      <c r="C139" s="18" t="s">
        <v>467</v>
      </c>
      <c r="D139" s="349" t="s">
        <v>59</v>
      </c>
      <c r="E139" s="349" t="s">
        <v>60</v>
      </c>
      <c r="F139" s="350">
        <f t="shared" si="16"/>
        <v>0.22833778477683531</v>
      </c>
      <c r="G139" s="239">
        <v>6.9247588887104E-2</v>
      </c>
      <c r="H139" s="216">
        <v>2.7E-2</v>
      </c>
      <c r="I139" s="222">
        <v>0</v>
      </c>
      <c r="J139" s="216"/>
      <c r="K139" s="239">
        <v>5.84256101167712E-2</v>
      </c>
      <c r="L139" s="216">
        <v>0</v>
      </c>
      <c r="M139" s="216">
        <v>4.1031532346544501E-9</v>
      </c>
      <c r="N139" s="239">
        <v>5.2538621212229998E-2</v>
      </c>
      <c r="O139" s="216">
        <v>2.1125960457576899E-2</v>
      </c>
      <c r="P139" s="216"/>
      <c r="R139" s="351">
        <f>'Parameters, country spec'!J22</f>
        <v>1.4441270481012601E-3</v>
      </c>
      <c r="S139" s="351">
        <f>'Parameters, country spec'!J40</f>
        <v>4.4481071240192398E-4</v>
      </c>
    </row>
    <row r="140" spans="1:20" x14ac:dyDescent="0.2">
      <c r="A140" s="353" t="s">
        <v>470</v>
      </c>
      <c r="B140" s="18" t="s">
        <v>280</v>
      </c>
      <c r="C140" s="18" t="s">
        <v>467</v>
      </c>
      <c r="D140" s="349" t="s">
        <v>59</v>
      </c>
      <c r="E140" s="349" t="s">
        <v>60</v>
      </c>
      <c r="F140" s="350">
        <f t="shared" si="16"/>
        <v>0.22905734672402878</v>
      </c>
      <c r="G140" s="239">
        <v>8.4491992987339795E-2</v>
      </c>
      <c r="H140" s="216">
        <v>2.7E-2</v>
      </c>
      <c r="I140" s="216">
        <v>0</v>
      </c>
      <c r="J140" s="216"/>
      <c r="K140" s="239">
        <v>5.5910214328885599E-2</v>
      </c>
      <c r="L140" s="216">
        <v>0</v>
      </c>
      <c r="M140" s="216">
        <v>3.0569525446393402E-10</v>
      </c>
      <c r="N140" s="239">
        <v>5.2538621212229998E-2</v>
      </c>
      <c r="O140" s="216">
        <v>9.1165178898781202E-3</v>
      </c>
      <c r="P140" s="216"/>
      <c r="R140" s="351">
        <f>'Parameters, country spec'!J23</f>
        <v>1.8855002677230601E-2</v>
      </c>
      <c r="S140" s="351">
        <f>'Parameters, country spec'!J41</f>
        <v>5.80759649035195E-3</v>
      </c>
    </row>
    <row r="141" spans="1:20" x14ac:dyDescent="0.2">
      <c r="A141" s="353" t="s">
        <v>471</v>
      </c>
      <c r="B141" s="18" t="s">
        <v>281</v>
      </c>
      <c r="C141" s="18" t="s">
        <v>467</v>
      </c>
      <c r="D141" s="349" t="s">
        <v>59</v>
      </c>
      <c r="E141" s="349" t="s">
        <v>60</v>
      </c>
      <c r="F141" s="350">
        <f t="shared" si="16"/>
        <v>0.20938329626454633</v>
      </c>
      <c r="G141" s="239">
        <v>9.0625939340276698E-2</v>
      </c>
      <c r="H141" s="216">
        <v>2.7E-2</v>
      </c>
      <c r="I141" s="216">
        <v>0</v>
      </c>
      <c r="J141" s="216"/>
      <c r="K141" s="239">
        <v>3.7237264426631202E-2</v>
      </c>
      <c r="L141" s="216">
        <v>0</v>
      </c>
      <c r="M141" s="216">
        <v>1.8815089803987399E-10</v>
      </c>
      <c r="N141" s="239">
        <v>5.2538621212229998E-2</v>
      </c>
      <c r="O141" s="216">
        <v>1.98147109725751E-3</v>
      </c>
      <c r="P141" s="216"/>
      <c r="R141" s="351">
        <f>'Parameters, country spec'!J24</f>
        <v>7.5812285069041793E-2</v>
      </c>
      <c r="S141" s="351">
        <f>'Parameters, country spec'!J42</f>
        <v>2.3351211772125801E-2</v>
      </c>
    </row>
    <row r="142" spans="1:20" x14ac:dyDescent="0.2">
      <c r="A142" s="353" t="s">
        <v>472</v>
      </c>
      <c r="B142" s="18" t="s">
        <v>282</v>
      </c>
      <c r="C142" s="18" t="s">
        <v>473</v>
      </c>
      <c r="D142" s="349" t="s">
        <v>59</v>
      </c>
      <c r="E142" s="349" t="s">
        <v>60</v>
      </c>
      <c r="F142" s="350">
        <f t="shared" si="16"/>
        <v>0.17634972946846228</v>
      </c>
      <c r="G142" s="239">
        <v>0</v>
      </c>
      <c r="H142" s="216">
        <v>2.7E-2</v>
      </c>
      <c r="I142" s="222">
        <v>0</v>
      </c>
      <c r="J142" s="216"/>
      <c r="K142" s="239">
        <v>8.3714945321992695E-2</v>
      </c>
      <c r="L142" s="222">
        <v>0</v>
      </c>
      <c r="M142" s="216">
        <v>2.4148435539825202E-6</v>
      </c>
      <c r="N142" s="239">
        <v>5.2538621212229998E-2</v>
      </c>
      <c r="O142" s="216">
        <v>1.30937480906856E-2</v>
      </c>
      <c r="P142" s="216"/>
      <c r="R142" s="351">
        <f>'Parameters, country spec'!J25</f>
        <v>2.6118274940683198E-3</v>
      </c>
      <c r="S142" s="351">
        <f>'Parameters, country spec'!J43</f>
        <v>2.6962503550840601E-3</v>
      </c>
    </row>
    <row r="143" spans="1:20" x14ac:dyDescent="0.2">
      <c r="A143" s="353" t="s">
        <v>474</v>
      </c>
      <c r="B143" s="18" t="s">
        <v>283</v>
      </c>
      <c r="C143" s="18" t="s">
        <v>473</v>
      </c>
      <c r="D143" s="349" t="s">
        <v>59</v>
      </c>
      <c r="E143" s="349" t="s">
        <v>60</v>
      </c>
      <c r="F143" s="350">
        <f t="shared" si="16"/>
        <v>0.18407428350603985</v>
      </c>
      <c r="G143" s="239">
        <v>2.25145992179658E-3</v>
      </c>
      <c r="H143" s="216">
        <v>2.7E-2</v>
      </c>
      <c r="I143" s="222">
        <v>0</v>
      </c>
      <c r="J143" s="216"/>
      <c r="K143" s="239">
        <v>6.48727550922827E-2</v>
      </c>
      <c r="L143" s="216">
        <v>0</v>
      </c>
      <c r="M143" s="216">
        <v>1.6757553987597499E-6</v>
      </c>
      <c r="N143" s="239">
        <v>5.2538621212229998E-2</v>
      </c>
      <c r="O143" s="216">
        <v>3.7409771524331802E-2</v>
      </c>
      <c r="P143" s="216"/>
      <c r="R143" s="351">
        <f>'Parameters, country spec'!J26</f>
        <v>2.5656753005735599E-3</v>
      </c>
      <c r="S143" s="351">
        <f>'Parameters, country spec'!J44</f>
        <v>2.6486063692714198E-3</v>
      </c>
    </row>
    <row r="144" spans="1:20" x14ac:dyDescent="0.2">
      <c r="B144" s="58" t="s">
        <v>284</v>
      </c>
      <c r="C144" s="18" t="s">
        <v>475</v>
      </c>
      <c r="D144" s="349" t="s">
        <v>59</v>
      </c>
      <c r="E144" s="349" t="s">
        <v>60</v>
      </c>
      <c r="F144" s="350">
        <f t="shared" si="16"/>
        <v>0.27628755742228522</v>
      </c>
      <c r="G144" s="83">
        <f>'Off-farm feed'!$F$74</f>
        <v>0.15910156565543271</v>
      </c>
      <c r="H144" s="83">
        <f>'Off-farm feed'!$G$74</f>
        <v>1.3034482758620692E-2</v>
      </c>
      <c r="I144" s="83">
        <f>'Off-farm feed'!$H$74</f>
        <v>0</v>
      </c>
      <c r="J144" s="83"/>
      <c r="K144" s="83">
        <f>'Off-farm feed'!$J$74</f>
        <v>2.4688740026345465E-2</v>
      </c>
      <c r="L144" s="83"/>
      <c r="M144" s="55">
        <f>'Off-farm feed'!$L$74</f>
        <v>1.9317593037941337E-4</v>
      </c>
      <c r="N144" s="83">
        <f>'Off-farm feed'!$M$74</f>
        <v>3.6802128767029069E-2</v>
      </c>
      <c r="O144" s="83">
        <f>'Off-farm feed'!$N$74</f>
        <v>0</v>
      </c>
      <c r="P144" s="83">
        <f>'Off-farm feed'!$O$74</f>
        <v>2.6267464284477883E-2</v>
      </c>
      <c r="Q144" s="83">
        <f>'Off-farm feed'!$P$74</f>
        <v>1.6199999999999999E-2</v>
      </c>
      <c r="R144" s="351">
        <f>'Parameters, country spec'!J27</f>
        <v>1.8824856081612201E-2</v>
      </c>
      <c r="S144" s="351">
        <f>'Parameters, country spec'!J45</f>
        <v>1.94333373800013E-2</v>
      </c>
    </row>
    <row r="145" spans="1:19" x14ac:dyDescent="0.2">
      <c r="B145" s="58" t="s">
        <v>476</v>
      </c>
      <c r="C145" s="18" t="s">
        <v>475</v>
      </c>
      <c r="D145" s="349" t="s">
        <v>59</v>
      </c>
      <c r="E145" s="349" t="s">
        <v>60</v>
      </c>
      <c r="F145" s="350">
        <f t="shared" si="16"/>
        <v>0.7061171705997602</v>
      </c>
      <c r="G145" s="83">
        <f>'Off-farm feed'!$F$23</f>
        <v>7.2632670993099079E-3</v>
      </c>
      <c r="H145" s="83">
        <f>'Off-farm feed'!$G$23</f>
        <v>2.1402439024390246E-2</v>
      </c>
      <c r="I145" s="83">
        <f>'Off-farm feed'!$H$23</f>
        <v>0</v>
      </c>
      <c r="J145" s="83"/>
      <c r="K145" s="83">
        <f>'Off-farm feed'!$J$23</f>
        <v>4.3083619664332357E-2</v>
      </c>
      <c r="L145" s="83"/>
      <c r="M145" s="55">
        <f>'Off-farm feed'!$L$23</f>
        <v>1.7842060425123844E-4</v>
      </c>
      <c r="N145" s="83">
        <f>'Off-farm feed'!$M$23</f>
        <v>3.0432604948959392E-2</v>
      </c>
      <c r="O145" s="83">
        <f>'Off-farm feed'!$N$23</f>
        <v>0.31761120248475611</v>
      </c>
      <c r="P145" s="83">
        <f>'Off-farm feed'!$O$23</f>
        <v>3.51456167737609E-2</v>
      </c>
      <c r="Q145" s="83">
        <f>'Off-farm feed'!$P$23</f>
        <v>0.251</v>
      </c>
      <c r="R145" s="351">
        <f>'Parameters, country spec'!J28</f>
        <v>6.5660448709878402E-2</v>
      </c>
      <c r="S145" s="351">
        <f>'Parameters, country spec'!J46</f>
        <v>6.7782810502236002E-2</v>
      </c>
    </row>
    <row r="146" spans="1:19" x14ac:dyDescent="0.2">
      <c r="B146" s="18" t="s">
        <v>286</v>
      </c>
      <c r="C146" s="18" t="s">
        <v>477</v>
      </c>
      <c r="D146" s="349" t="s">
        <v>59</v>
      </c>
      <c r="E146" s="349" t="s">
        <v>60</v>
      </c>
      <c r="F146" s="350">
        <f t="shared" si="16"/>
        <v>1.1238832732952029</v>
      </c>
      <c r="G146" s="239">
        <v>8.1563345406249002E-3</v>
      </c>
      <c r="H146" s="222">
        <v>2.4299999999999999E-3</v>
      </c>
      <c r="K146" s="222">
        <v>3.3513537983968001E-3</v>
      </c>
      <c r="L146">
        <v>0</v>
      </c>
      <c r="M146">
        <v>1.6933580823588599E-11</v>
      </c>
      <c r="N146" s="370">
        <v>4.7284759091007003E-3</v>
      </c>
      <c r="O146" s="25">
        <v>1.78332398753176E-4</v>
      </c>
      <c r="P146" s="222">
        <v>1.10085799516881</v>
      </c>
      <c r="Q146" s="222">
        <v>4.1807814625837696E-3</v>
      </c>
      <c r="R146" s="351">
        <f>'Parameters, country spec'!J29</f>
        <v>5.9455463626576097E-2</v>
      </c>
      <c r="S146" s="351">
        <f>'Parameters, country spec'!J47</f>
        <v>4.7732591070968902E-2</v>
      </c>
    </row>
    <row r="147" spans="1:19" x14ac:dyDescent="0.2">
      <c r="A147" s="354"/>
      <c r="B147" s="18" t="s">
        <v>478</v>
      </c>
      <c r="C147" s="355" t="s">
        <v>479</v>
      </c>
      <c r="D147" s="349" t="s">
        <v>59</v>
      </c>
      <c r="E147" s="349" t="s">
        <v>60</v>
      </c>
      <c r="F147" s="350">
        <f t="shared" si="16"/>
        <v>9.687581751668671E-2</v>
      </c>
      <c r="G147" s="356">
        <f t="shared" ref="G147:Q147" si="17">SUMPRODUCT(G137:G145,$R137:$R145)</f>
        <v>1.900168504130343E-2</v>
      </c>
      <c r="H147" s="356">
        <f t="shared" si="17"/>
        <v>7.4708507955639405E-3</v>
      </c>
      <c r="I147" s="356">
        <f t="shared" si="17"/>
        <v>0</v>
      </c>
      <c r="J147" s="356">
        <f t="shared" si="17"/>
        <v>0</v>
      </c>
      <c r="K147" s="356">
        <f t="shared" si="17"/>
        <v>1.1280896065278385E-2</v>
      </c>
      <c r="L147" s="356">
        <f t="shared" si="17"/>
        <v>0</v>
      </c>
      <c r="M147" s="356">
        <f t="shared" si="17"/>
        <v>2.0551980080459945E-5</v>
      </c>
      <c r="N147" s="356">
        <f t="shared" si="17"/>
        <v>1.4016364523391219E-2</v>
      </c>
      <c r="O147" s="356">
        <f t="shared" si="17"/>
        <v>2.5497575614032916E-2</v>
      </c>
      <c r="P147" s="356">
        <f t="shared" si="17"/>
        <v>2.8021582023347543E-3</v>
      </c>
      <c r="Q147" s="356">
        <f t="shared" si="17"/>
        <v>1.6785735294701596E-2</v>
      </c>
      <c r="R147" s="351">
        <f>'Parameters, country spec'!J30</f>
        <v>4.0391474030872003E-2</v>
      </c>
      <c r="S147" s="351">
        <f>'Parameters, country spec'!J48</f>
        <v>6.7554396720150997E-2</v>
      </c>
    </row>
    <row r="148" spans="1:19" x14ac:dyDescent="0.2">
      <c r="A148" s="357"/>
      <c r="B148" s="358" t="s">
        <v>480</v>
      </c>
      <c r="C148" s="359"/>
      <c r="D148" s="360"/>
      <c r="E148" s="360"/>
      <c r="F148" s="361">
        <f>SUMPRODUCT(F134:F136,R134:R136)+SUMPRODUCT(F137:F147,R137:R147)/0.87</f>
        <v>0.2463128706499331</v>
      </c>
      <c r="G148" s="361">
        <f>SUMPRODUCT(G134:G136,R134:R136)+SUMPRODUCT(G137:G147,R137:R147)/0.87</f>
        <v>3.6103431089720611E-2</v>
      </c>
      <c r="H148" s="361">
        <f>SUMPRODUCT(H134:H136,R134:R136)+SUMPRODUCT(H137:H147,R137:R147)/0.87</f>
        <v>2.53029438058886E-2</v>
      </c>
      <c r="I148" s="361">
        <f>SUMPRODUCT(I134:I136,R134:R136)+SUMPRODUCT(I137:I147,R137:R147)/0.87</f>
        <v>0</v>
      </c>
      <c r="J148" s="361">
        <f>SUMPRODUCT(J134:J136,R134:R136)+SUMPRODUCT(J137:J147,R137:R147)/0.87</f>
        <v>0</v>
      </c>
      <c r="K148" s="361">
        <f>SUMPRODUCT(K134:K136,R134:R136)+SUMPRODUCT(K137:K147,R137:R147)/0.87</f>
        <v>2.2208633969389976E-2</v>
      </c>
      <c r="L148" s="361">
        <f>SUMPRODUCT(L134:L136,R134:R136)+SUMPRODUCT(L137:L147,R137:R147)/0.87</f>
        <v>0</v>
      </c>
      <c r="M148" s="361">
        <f>SUMPRODUCT(M134:M136,R134:R136)+SUMPRODUCT(M137:M147,R137:R147)/0.87</f>
        <v>3.0515336608816543E-5</v>
      </c>
      <c r="N148" s="361">
        <f>SUMPRODUCT(N134:N136,R134:R136)+SUMPRODUCT(N137:N147,R137:R147)/0.87</f>
        <v>1.7084643533870909E-2</v>
      </c>
      <c r="O148" s="361">
        <f>SUMPRODUCT(O134:O136,R134:R136)+SUMPRODUCT(O137:O147,R137:R147)/0.87</f>
        <v>3.0503520819246933E-2</v>
      </c>
      <c r="P148" s="361">
        <f>SUMPRODUCT(P134:P136,R134:R136)+SUMPRODUCT(P137:P147,R137:R147)/0.87</f>
        <v>9.4720209467476321E-2</v>
      </c>
      <c r="Q148" s="361">
        <f>SUMPRODUCT(Q134:Q136,R134:R136)+SUMPRODUCT(Q137:Q147,R137:R147)/0.87</f>
        <v>2.0358972627730964E-2</v>
      </c>
      <c r="R148" s="362"/>
      <c r="S148" s="369"/>
    </row>
    <row r="149" spans="1:19" x14ac:dyDescent="0.2">
      <c r="A149" s="363"/>
      <c r="B149" s="364" t="s">
        <v>481</v>
      </c>
      <c r="C149" s="365"/>
      <c r="D149" s="366"/>
      <c r="E149" s="366"/>
      <c r="F149" s="367">
        <f>SUMPRODUCT(F134:F136,S134:S136)+SUMPRODUCT(F137:F147,S137:S147)/0.87</f>
        <v>0.21323152747327279</v>
      </c>
      <c r="G149" s="367">
        <f>SUMPRODUCT(G134:G136,S134:S136)+SUMPRODUCT(G137:G147,S137:S147)/0.87</f>
        <v>2.5919844625767057E-2</v>
      </c>
      <c r="H149" s="367">
        <f>SUMPRODUCT(H134:H136,S134:S136)+SUMPRODUCT(H137:H147,S137:S147)/0.87</f>
        <v>2.44874881512579E-2</v>
      </c>
      <c r="I149" s="367">
        <f>SUMPRODUCT(I134:I136,S134:S136)+SUMPRODUCT(I137:I147,S137:S147)/0.87</f>
        <v>0</v>
      </c>
      <c r="J149" s="367">
        <f>SUMPRODUCT(J134:J136,S134:S136)+SUMPRODUCT(J137:J147,S137:S147)/0.87</f>
        <v>0</v>
      </c>
      <c r="K149" s="367">
        <f>SUMPRODUCT(K134:K136,S134:S136)+SUMPRODUCT(K137:K147,S137:S147)/0.87</f>
        <v>1.8576039896214026E-2</v>
      </c>
      <c r="L149" s="367">
        <f>SUMPRODUCT(L134:L136,S134:S136)+SUMPRODUCT(L137:L147,S137:S147)/0.87</f>
        <v>0</v>
      </c>
      <c r="M149" s="367">
        <f>SUMPRODUCT(M134:M136,S134:S136)+SUMPRODUCT(M137:M147,S137:S147)/0.87</f>
        <v>2.7155697746814858E-5</v>
      </c>
      <c r="N149" s="367">
        <f>SUMPRODUCT(N134:N136,S134:S136)+SUMPRODUCT(N137:N147,S137:S147)/0.87</f>
        <v>8.7769572317178204E-3</v>
      </c>
      <c r="O149" s="367">
        <f>SUMPRODUCT(O134:O136,S134:S136)+SUMPRODUCT(O137:O147,S137:S147)/0.87</f>
        <v>2.8487342788582046E-2</v>
      </c>
      <c r="P149" s="367">
        <f>SUMPRODUCT(P134:P136,S134:S136)+SUMPRODUCT(P137:P147,S137:S147)/0.87</f>
        <v>8.5506336720072657E-2</v>
      </c>
      <c r="Q149" s="367">
        <f>SUMPRODUCT(Q134:Q136,S134:S136)+SUMPRODUCT(Q137:Q147,S137:S147)/0.87</f>
        <v>2.1450362361914447E-2</v>
      </c>
      <c r="R149" s="368"/>
      <c r="S149" s="368"/>
    </row>
    <row r="150" spans="1:19" x14ac:dyDescent="0.2">
      <c r="B150" s="58" t="s">
        <v>264</v>
      </c>
      <c r="C150" s="18" t="s">
        <v>463</v>
      </c>
      <c r="D150" s="349" t="s">
        <v>61</v>
      </c>
      <c r="E150" s="349" t="s">
        <v>62</v>
      </c>
      <c r="F150" s="350">
        <f t="shared" ref="F150:F163" si="18">SUM(G150:Q150)</f>
        <v>6.8191583909847545E-2</v>
      </c>
      <c r="G150" s="83">
        <f>'Forage crops, CF'!F53</f>
        <v>1.9272470698109442E-2</v>
      </c>
      <c r="H150" s="83">
        <f>'Forage crops, CF'!G53</f>
        <v>2.7E-2</v>
      </c>
      <c r="I150" s="83">
        <f>'Forage crops, CF'!H53</f>
        <v>0</v>
      </c>
      <c r="J150" s="83">
        <f>'Forage crops, CF'!I53</f>
        <v>0</v>
      </c>
      <c r="K150" s="83">
        <f>'Forage crops, CF'!J53</f>
        <v>2.1919113211738103E-2</v>
      </c>
      <c r="L150" s="83">
        <f>'Forage crops, CF'!K53</f>
        <v>0</v>
      </c>
      <c r="M150" s="83">
        <f>'Forage crops, CF'!L53</f>
        <v>0</v>
      </c>
      <c r="N150" s="83">
        <f>'Forage crops, CF'!M53</f>
        <v>0</v>
      </c>
      <c r="O150" s="83">
        <f>'Forage crops, CF'!N53</f>
        <v>0</v>
      </c>
      <c r="P150" s="83">
        <f>'Forage crops, CF'!O53</f>
        <v>0</v>
      </c>
      <c r="Q150" s="83">
        <f>'Forage crops, CF'!P53</f>
        <v>0</v>
      </c>
      <c r="R150" s="351">
        <f>'Parameters, country spec'!K17</f>
        <v>0.19304395433532501</v>
      </c>
      <c r="S150" s="351">
        <f>'Parameters, country spec'!K35</f>
        <v>0.42695226222969901</v>
      </c>
    </row>
    <row r="151" spans="1:19" x14ac:dyDescent="0.2">
      <c r="B151" s="58" t="s">
        <v>268</v>
      </c>
      <c r="C151" s="18" t="s">
        <v>463</v>
      </c>
      <c r="D151" s="349" t="s">
        <v>61</v>
      </c>
      <c r="E151" s="349" t="s">
        <v>62</v>
      </c>
      <c r="F151" s="350">
        <f t="shared" si="18"/>
        <v>0.11712923983725834</v>
      </c>
      <c r="G151" s="83">
        <f>'Forage crops, CF'!F113</f>
        <v>1.8806556043431105E-2</v>
      </c>
      <c r="H151" s="83">
        <f>'Forage crops, CF'!G113</f>
        <v>2.7E-2</v>
      </c>
      <c r="I151" s="83">
        <f>'Forage crops, CF'!H113</f>
        <v>0</v>
      </c>
      <c r="J151" s="83">
        <f>'Forage crops, CF'!I113</f>
        <v>0</v>
      </c>
      <c r="K151" s="83">
        <f>'Forage crops, CF'!J113</f>
        <v>2.150288478884789E-2</v>
      </c>
      <c r="L151" s="83">
        <f>'Forage crops, CF'!K113</f>
        <v>0</v>
      </c>
      <c r="M151" s="83">
        <f>'Forage crops, CF'!L113</f>
        <v>3.1197990049793398E-3</v>
      </c>
      <c r="N151" s="83">
        <f>'Forage crops, CF'!M113</f>
        <v>0</v>
      </c>
      <c r="O151" s="83">
        <f>'Forage crops, CF'!N113</f>
        <v>0</v>
      </c>
      <c r="P151" s="83">
        <f>'Forage crops, CF'!O113</f>
        <v>4.6700000000000005E-2</v>
      </c>
      <c r="Q151" s="83">
        <f>'Forage crops, CF'!P113</f>
        <v>0</v>
      </c>
      <c r="R151" s="351">
        <f>'Parameters, country spec'!K18</f>
        <v>9.1177256039855006E-2</v>
      </c>
      <c r="S151" s="351">
        <f>'Parameters, country spec'!K36</f>
        <v>8.4238508213965599E-2</v>
      </c>
    </row>
    <row r="152" spans="1:19" x14ac:dyDescent="0.2">
      <c r="B152" s="58" t="s">
        <v>465</v>
      </c>
      <c r="C152" s="18" t="s">
        <v>463</v>
      </c>
      <c r="D152" s="349" t="s">
        <v>61</v>
      </c>
      <c r="E152" s="349" t="s">
        <v>62</v>
      </c>
      <c r="F152" s="350">
        <f t="shared" si="18"/>
        <v>0.10161638850450129</v>
      </c>
      <c r="G152" s="83">
        <f>'Forage crops, CF'!F173*'Forage, input data per ha'!$D$87+'Forage crops, CF'!F233*'Forage, input data per ha'!$E$87</f>
        <v>1.0050745399916048E-2</v>
      </c>
      <c r="H152" s="83">
        <f>'Forage crops, CF'!G173*'Forage, input data per ha'!$D$87+'Forage crops, CF'!G233*'Forage, input data per ha'!$E$87</f>
        <v>2.6999999999999996E-2</v>
      </c>
      <c r="I152" s="83">
        <f>'Forage crops, CF'!H173*'Forage, input data per ha'!$D$87+'Forage crops, CF'!H233*'Forage, input data per ha'!$E$87</f>
        <v>0</v>
      </c>
      <c r="J152" s="83">
        <f>'Forage crops, CF'!I173*'Forage, input data per ha'!$D$87+'Forage crops, CF'!I233*'Forage, input data per ha'!$E$87</f>
        <v>0</v>
      </c>
      <c r="K152" s="83">
        <f>'Forage crops, CF'!J173*'Forage, input data per ha'!$D$87+'Forage crops, CF'!J233*'Forage, input data per ha'!$E$87</f>
        <v>1.786564310458524E-2</v>
      </c>
      <c r="L152" s="83">
        <f>'Forage crops, CF'!K173*'Forage, input data per ha'!$D$87+'Forage crops, CF'!K233*'Forage, input data per ha'!$E$87</f>
        <v>0</v>
      </c>
      <c r="M152" s="83">
        <f>'Forage crops, CF'!L173*'Forage, input data per ha'!$D$87+'Forage crops, CF'!L233*'Forage, input data per ha'!$E$87</f>
        <v>0</v>
      </c>
      <c r="N152" s="83">
        <f>'Forage crops, CF'!M173*'Forage, input data per ha'!$D$87+'Forage crops, CF'!M233*'Forage, input data per ha'!$E$87</f>
        <v>0</v>
      </c>
      <c r="O152" s="83">
        <f>'Forage crops, CF'!N173*'Forage, input data per ha'!$D$87+'Forage crops, CF'!N233*'Forage, input data per ha'!$E$87</f>
        <v>0</v>
      </c>
      <c r="P152" s="83">
        <f>'Forage crops, CF'!O173*'Forage, input data per ha'!$D$87+'Forage crops, CF'!O233*'Forage, input data per ha'!$E$87</f>
        <v>4.6700000000000005E-2</v>
      </c>
      <c r="Q152" s="83">
        <f>'Forage crops, CF'!P173*'Forage, input data per ha'!$D$87+'Forage crops, CF'!P233*'Forage, input data per ha'!$E$87</f>
        <v>0</v>
      </c>
      <c r="R152" s="351">
        <f>'Parameters, country spec'!K19</f>
        <v>0.15964203619207701</v>
      </c>
      <c r="S152" s="351">
        <f>'Parameters, country spec'!K37</f>
        <v>6.2955748563960107E-2</v>
      </c>
    </row>
    <row r="153" spans="1:19" x14ac:dyDescent="0.2">
      <c r="A153" s="353" t="s">
        <v>466</v>
      </c>
      <c r="B153" s="18" t="s">
        <v>274</v>
      </c>
      <c r="C153" s="18" t="s">
        <v>467</v>
      </c>
      <c r="D153" s="349" t="s">
        <v>61</v>
      </c>
      <c r="E153" s="349" t="s">
        <v>62</v>
      </c>
      <c r="F153" s="350">
        <f t="shared" si="18"/>
        <v>0.22941747708670257</v>
      </c>
      <c r="G153" s="239">
        <v>9.9982930263453701E-2</v>
      </c>
      <c r="H153" s="216">
        <v>2.7E-2</v>
      </c>
      <c r="I153" s="222">
        <v>0</v>
      </c>
      <c r="J153" s="216"/>
      <c r="K153" s="239">
        <v>6.1349494949495001E-2</v>
      </c>
      <c r="L153" s="216">
        <v>0</v>
      </c>
      <c r="M153" s="216">
        <v>9.4126417879238501E-4</v>
      </c>
      <c r="N153" s="239">
        <v>3.8391901627918001E-2</v>
      </c>
      <c r="O153" s="216">
        <v>1.7518860670434899E-3</v>
      </c>
      <c r="P153" s="216"/>
      <c r="R153" s="351">
        <f>'Parameters, country spec'!K20</f>
        <v>0.103733368710492</v>
      </c>
      <c r="S153" s="351">
        <f>'Parameters, country spec'!K38</f>
        <v>7.4482644340220006E-2</v>
      </c>
    </row>
    <row r="154" spans="1:19" x14ac:dyDescent="0.2">
      <c r="A154" s="353" t="s">
        <v>468</v>
      </c>
      <c r="B154" s="18" t="s">
        <v>276</v>
      </c>
      <c r="C154" s="18" t="s">
        <v>467</v>
      </c>
      <c r="D154" s="349" t="s">
        <v>61</v>
      </c>
      <c r="E154" s="349" t="s">
        <v>62</v>
      </c>
      <c r="F154" s="350">
        <f t="shared" si="18"/>
        <v>0.1397596159422505</v>
      </c>
      <c r="G154" s="239">
        <v>3.6422323265829101E-2</v>
      </c>
      <c r="H154" s="216">
        <v>2.7E-2</v>
      </c>
      <c r="I154" s="222">
        <v>0</v>
      </c>
      <c r="J154" s="216"/>
      <c r="K154" s="239">
        <v>1.32628026548263E-2</v>
      </c>
      <c r="L154" s="216">
        <v>0</v>
      </c>
      <c r="M154" s="216">
        <v>2.30959332519068E-2</v>
      </c>
      <c r="N154" s="239">
        <v>3.8391901627918001E-2</v>
      </c>
      <c r="O154" s="216">
        <v>1.5866551417703101E-3</v>
      </c>
      <c r="P154" s="216"/>
      <c r="R154" s="351">
        <f>'Parameters, country spec'!K21</f>
        <v>0.136815021023385</v>
      </c>
      <c r="S154" s="351">
        <f>'Parameters, country spec'!K39</f>
        <v>9.8235935846622893E-2</v>
      </c>
    </row>
    <row r="155" spans="1:19" x14ac:dyDescent="0.2">
      <c r="A155" s="353" t="s">
        <v>469</v>
      </c>
      <c r="B155" s="18" t="s">
        <v>278</v>
      </c>
      <c r="C155" s="18" t="s">
        <v>467</v>
      </c>
      <c r="D155" s="349" t="s">
        <v>61</v>
      </c>
      <c r="E155" s="349" t="s">
        <v>62</v>
      </c>
      <c r="F155" s="350">
        <f t="shared" si="18"/>
        <v>0.27809828671256548</v>
      </c>
      <c r="G155" s="239">
        <v>0.115661066806918</v>
      </c>
      <c r="H155" s="216">
        <v>2.7E-2</v>
      </c>
      <c r="I155" s="222">
        <v>0</v>
      </c>
      <c r="J155" s="216"/>
      <c r="K155" s="239">
        <v>8.9532786215923199E-2</v>
      </c>
      <c r="L155" s="216">
        <v>0</v>
      </c>
      <c r="M155" s="216">
        <v>1.3686923606236899E-3</v>
      </c>
      <c r="N155" s="239">
        <v>3.8391901627918001E-2</v>
      </c>
      <c r="O155" s="216">
        <v>6.1438397011825399E-3</v>
      </c>
      <c r="P155" s="216"/>
      <c r="R155" s="351">
        <f>'Parameters, country spec'!K22</f>
        <v>1.6173849728810901E-2</v>
      </c>
      <c r="S155" s="351">
        <f>'Parameters, country spec'!K40</f>
        <v>1.1613149284971799E-2</v>
      </c>
    </row>
    <row r="156" spans="1:19" x14ac:dyDescent="0.2">
      <c r="A156" s="353" t="s">
        <v>470</v>
      </c>
      <c r="B156" s="18" t="s">
        <v>280</v>
      </c>
      <c r="C156" s="18" t="s">
        <v>467</v>
      </c>
      <c r="D156" s="349" t="s">
        <v>61</v>
      </c>
      <c r="E156" s="349" t="s">
        <v>62</v>
      </c>
      <c r="F156" s="350">
        <f t="shared" si="18"/>
        <v>0.29893090047224069</v>
      </c>
      <c r="G156" s="239">
        <v>0.14048313981866201</v>
      </c>
      <c r="H156" s="216">
        <v>2.7E-2</v>
      </c>
      <c r="I156" s="216">
        <v>0</v>
      </c>
      <c r="J156" s="216"/>
      <c r="K156" s="239">
        <v>8.5289607177368595E-2</v>
      </c>
      <c r="L156" s="216">
        <v>0</v>
      </c>
      <c r="M156" s="216">
        <v>1.7956752415814799E-3</v>
      </c>
      <c r="N156" s="239">
        <v>3.8391901627918001E-2</v>
      </c>
      <c r="O156" s="216">
        <v>5.9705766067106401E-3</v>
      </c>
      <c r="P156" s="216"/>
      <c r="R156" s="351">
        <f>'Parameters, country spec'!K23</f>
        <v>4.2692009524630597E-3</v>
      </c>
      <c r="S156" s="351">
        <f>'Parameters, country spec'!K41</f>
        <v>3.06537211910275E-3</v>
      </c>
    </row>
    <row r="157" spans="1:19" x14ac:dyDescent="0.2">
      <c r="A157" s="353" t="s">
        <v>471</v>
      </c>
      <c r="B157" s="18" t="s">
        <v>281</v>
      </c>
      <c r="C157" s="18" t="s">
        <v>467</v>
      </c>
      <c r="D157" s="349" t="s">
        <v>61</v>
      </c>
      <c r="E157" s="349" t="s">
        <v>62</v>
      </c>
      <c r="F157" s="350">
        <f t="shared" si="18"/>
        <v>0.27707357530941978</v>
      </c>
      <c r="G157" s="239">
        <v>0.15016151486392401</v>
      </c>
      <c r="H157" s="216">
        <v>2.7E-2</v>
      </c>
      <c r="I157" s="216">
        <v>0</v>
      </c>
      <c r="J157" s="216"/>
      <c r="K157" s="239">
        <v>5.6608310679611702E-2</v>
      </c>
      <c r="L157" s="216">
        <v>0</v>
      </c>
      <c r="M157" s="216">
        <v>1.14595040621167E-3</v>
      </c>
      <c r="N157" s="239">
        <v>3.8391901627918001E-2</v>
      </c>
      <c r="O157" s="216">
        <v>3.76589773175438E-3</v>
      </c>
      <c r="P157" s="216"/>
      <c r="R157" s="351">
        <f>'Parameters, country spec'!K24</f>
        <v>8.7872786881358494E-2</v>
      </c>
      <c r="S157" s="351">
        <f>'Parameters, country spec'!K42</f>
        <v>6.3094427706240894E-2</v>
      </c>
    </row>
    <row r="158" spans="1:19" x14ac:dyDescent="0.2">
      <c r="A158" s="353" t="s">
        <v>472</v>
      </c>
      <c r="B158" s="18" t="s">
        <v>282</v>
      </c>
      <c r="C158" s="18" t="s">
        <v>473</v>
      </c>
      <c r="D158" s="349" t="s">
        <v>61</v>
      </c>
      <c r="E158" s="349" t="s">
        <v>62</v>
      </c>
      <c r="F158" s="350">
        <f t="shared" si="18"/>
        <v>0.21283404448058676</v>
      </c>
      <c r="G158" s="239">
        <v>0</v>
      </c>
      <c r="H158" s="216">
        <v>2.7E-2</v>
      </c>
      <c r="I158" s="222">
        <v>0</v>
      </c>
      <c r="J158" s="216"/>
      <c r="K158" s="239">
        <v>0.13295843685924499</v>
      </c>
      <c r="L158" s="222">
        <v>0</v>
      </c>
      <c r="M158" s="216">
        <v>1.10406453723893E-2</v>
      </c>
      <c r="N158" s="239">
        <v>3.8391901627918001E-2</v>
      </c>
      <c r="O158" s="216">
        <v>3.4430606210344599E-3</v>
      </c>
      <c r="P158" s="216"/>
      <c r="R158" s="351">
        <f>'Parameters, country spec'!K25</f>
        <v>3.9767845041291496E-3</v>
      </c>
      <c r="S158" s="351">
        <f>'Parameters, country spec'!K43</f>
        <v>2.7198099192756102E-3</v>
      </c>
    </row>
    <row r="159" spans="1:19" x14ac:dyDescent="0.2">
      <c r="A159" s="353" t="s">
        <v>474</v>
      </c>
      <c r="B159" s="18" t="s">
        <v>283</v>
      </c>
      <c r="C159" s="18" t="s">
        <v>473</v>
      </c>
      <c r="D159" s="349" t="s">
        <v>61</v>
      </c>
      <c r="E159" s="349" t="s">
        <v>62</v>
      </c>
      <c r="F159" s="350">
        <f t="shared" si="18"/>
        <v>0.23344472687066423</v>
      </c>
      <c r="G159" s="239">
        <v>5.3800295208884302E-3</v>
      </c>
      <c r="H159" s="216">
        <v>2.7E-2</v>
      </c>
      <c r="I159" s="222">
        <v>0</v>
      </c>
      <c r="J159" s="216"/>
      <c r="K159" s="239">
        <v>0.14222602973905801</v>
      </c>
      <c r="L159" s="216">
        <v>0</v>
      </c>
      <c r="M159" s="216">
        <v>1.18753181517716E-2</v>
      </c>
      <c r="N159" s="239">
        <v>3.8391901627918001E-2</v>
      </c>
      <c r="O159" s="216">
        <v>8.5714478310281901E-3</v>
      </c>
      <c r="P159" s="216"/>
      <c r="R159" s="351">
        <f>'Parameters, country spec'!K26</f>
        <v>3.9065128907304902E-3</v>
      </c>
      <c r="S159" s="351">
        <f>'Parameters, country spec'!K44</f>
        <v>2.67174962512282E-3</v>
      </c>
    </row>
    <row r="160" spans="1:19" x14ac:dyDescent="0.2">
      <c r="B160" s="58" t="s">
        <v>284</v>
      </c>
      <c r="C160" s="18" t="s">
        <v>475</v>
      </c>
      <c r="D160" s="349" t="s">
        <v>61</v>
      </c>
      <c r="E160" s="349" t="s">
        <v>62</v>
      </c>
      <c r="F160" s="350">
        <f t="shared" si="18"/>
        <v>0.27628755742228522</v>
      </c>
      <c r="G160" s="83">
        <f>'Off-farm feed'!$F$74</f>
        <v>0.15910156565543271</v>
      </c>
      <c r="H160" s="83">
        <f>'Off-farm feed'!$G$74</f>
        <v>1.3034482758620692E-2</v>
      </c>
      <c r="I160" s="83">
        <f>'Off-farm feed'!$H$74</f>
        <v>0</v>
      </c>
      <c r="J160" s="83"/>
      <c r="K160" s="83">
        <f>'Off-farm feed'!$J$74</f>
        <v>2.4688740026345465E-2</v>
      </c>
      <c r="L160" s="83"/>
      <c r="M160" s="55">
        <f>'Off-farm feed'!$L$74</f>
        <v>1.9317593037941337E-4</v>
      </c>
      <c r="N160" s="83">
        <f>'Off-farm feed'!$M$74</f>
        <v>3.6802128767029069E-2</v>
      </c>
      <c r="O160" s="83">
        <f>'Off-farm feed'!$N$74</f>
        <v>0</v>
      </c>
      <c r="P160" s="83">
        <f>'Off-farm feed'!$O$74</f>
        <v>2.6267464284477883E-2</v>
      </c>
      <c r="Q160" s="83">
        <f>'Off-farm feed'!$P$74</f>
        <v>1.6199999999999999E-2</v>
      </c>
      <c r="R160" s="351">
        <f>'Parameters, country spec'!K27</f>
        <v>1.15171449475378E-2</v>
      </c>
      <c r="S160" s="351">
        <f>'Parameters, country spec'!K45</f>
        <v>7.8768273776592904E-3</v>
      </c>
    </row>
    <row r="161" spans="1:19" x14ac:dyDescent="0.2">
      <c r="B161" s="58" t="s">
        <v>476</v>
      </c>
      <c r="C161" s="18" t="s">
        <v>475</v>
      </c>
      <c r="D161" s="349" t="s">
        <v>61</v>
      </c>
      <c r="E161" s="349" t="s">
        <v>62</v>
      </c>
      <c r="F161" s="350">
        <f t="shared" si="18"/>
        <v>0.7061171705997602</v>
      </c>
      <c r="G161" s="83">
        <f>'Off-farm feed'!$F$23</f>
        <v>7.2632670993099079E-3</v>
      </c>
      <c r="H161" s="83">
        <f>'Off-farm feed'!$G$23</f>
        <v>2.1402439024390246E-2</v>
      </c>
      <c r="I161" s="83">
        <f>'Off-farm feed'!$H$23</f>
        <v>0</v>
      </c>
      <c r="J161" s="83"/>
      <c r="K161" s="83">
        <f>'Off-farm feed'!$J$23</f>
        <v>4.3083619664332357E-2</v>
      </c>
      <c r="L161" s="83"/>
      <c r="M161" s="55">
        <f>'Off-farm feed'!$L$23</f>
        <v>1.7842060425123844E-4</v>
      </c>
      <c r="N161" s="83">
        <f>'Off-farm feed'!$M$23</f>
        <v>3.0432604948959392E-2</v>
      </c>
      <c r="O161" s="83">
        <f>'Off-farm feed'!$N$23</f>
        <v>0.31761120248475611</v>
      </c>
      <c r="P161" s="83">
        <f>'Off-farm feed'!$O$23</f>
        <v>3.51456167737609E-2</v>
      </c>
      <c r="Q161" s="83">
        <f>'Off-farm feed'!$P$23</f>
        <v>0.251</v>
      </c>
      <c r="R161" s="351">
        <f>'Parameters, country spec'!K28</f>
        <v>9.8452568021241901E-2</v>
      </c>
      <c r="S161" s="351">
        <f>'Parameters, country spec'!K46</f>
        <v>6.7333865050956496E-2</v>
      </c>
    </row>
    <row r="162" spans="1:19" x14ac:dyDescent="0.2">
      <c r="B162" s="18" t="s">
        <v>286</v>
      </c>
      <c r="C162" s="18" t="s">
        <v>477</v>
      </c>
      <c r="D162" s="349" t="s">
        <v>61</v>
      </c>
      <c r="E162" s="349" t="s">
        <v>62</v>
      </c>
      <c r="F162" s="350">
        <f t="shared" si="18"/>
        <v>0.42805643342083843</v>
      </c>
      <c r="G162" s="239">
        <v>1.3514536337753199E-2</v>
      </c>
      <c r="H162" s="222">
        <v>2.4299999999999999E-3</v>
      </c>
      <c r="K162" s="222">
        <v>5.0947479611650496E-3</v>
      </c>
      <c r="L162">
        <v>0</v>
      </c>
      <c r="M162">
        <v>1.0313553655905001E-4</v>
      </c>
      <c r="N162" s="370">
        <v>3.45527114651262E-3</v>
      </c>
      <c r="O162" s="25">
        <v>3.38930795857894E-4</v>
      </c>
      <c r="P162" s="222">
        <v>0.30592349396770402</v>
      </c>
      <c r="Q162" s="222">
        <v>9.7196317675286595E-2</v>
      </c>
      <c r="R162" s="351">
        <f>'Parameters, country spec'!K29</f>
        <v>7.0975010538760902E-2</v>
      </c>
      <c r="S162" s="351">
        <f>'Parameters, country spec'!K47</f>
        <v>6.2556425026192006E-2</v>
      </c>
    </row>
    <row r="163" spans="1:19" x14ac:dyDescent="0.2">
      <c r="A163" s="354"/>
      <c r="B163" s="18" t="s">
        <v>478</v>
      </c>
      <c r="C163" s="355" t="s">
        <v>479</v>
      </c>
      <c r="D163" s="349" t="s">
        <v>61</v>
      </c>
      <c r="E163" s="349" t="s">
        <v>62</v>
      </c>
      <c r="F163" s="350">
        <f t="shared" si="18"/>
        <v>0.14750024833069944</v>
      </c>
      <c r="G163" s="356">
        <f t="shared" ref="G163:Q163" si="19">SUMPRODUCT(G153:G161,$R153:$R161)</f>
        <v>3.3588733600717548E-2</v>
      </c>
      <c r="H163" s="356">
        <f t="shared" si="19"/>
        <v>1.1889428277783446E-2</v>
      </c>
      <c r="I163" s="356">
        <f t="shared" si="19"/>
        <v>0</v>
      </c>
      <c r="J163" s="356">
        <f t="shared" si="19"/>
        <v>0</v>
      </c>
      <c r="K163" s="356">
        <f t="shared" si="19"/>
        <v>2.0575470389193287E-2</v>
      </c>
      <c r="L163" s="356">
        <f t="shared" si="19"/>
        <v>0</v>
      </c>
      <c r="M163" s="356">
        <f t="shared" si="19"/>
        <v>3.4981002291069076E-3</v>
      </c>
      <c r="N163" s="356">
        <f t="shared" si="19"/>
        <v>1.7116239434143123E-2</v>
      </c>
      <c r="O163" s="356">
        <f t="shared" si="19"/>
        <v>3.2171401658637487E-2</v>
      </c>
      <c r="P163" s="356">
        <f t="shared" si="19"/>
        <v>3.7627024196357998E-3</v>
      </c>
      <c r="Q163" s="356">
        <f t="shared" si="19"/>
        <v>2.489817232148183E-2</v>
      </c>
      <c r="R163" s="351">
        <f>'Parameters, country spec'!K30</f>
        <v>1.8444505233833501E-2</v>
      </c>
      <c r="S163" s="351">
        <f>'Parameters, country spec'!K48</f>
        <v>3.2203274696010503E-2</v>
      </c>
    </row>
    <row r="164" spans="1:19" x14ac:dyDescent="0.2">
      <c r="A164" s="357"/>
      <c r="B164" s="358" t="s">
        <v>480</v>
      </c>
      <c r="C164" s="359"/>
      <c r="D164" s="360"/>
      <c r="E164" s="360"/>
      <c r="F164" s="361">
        <f>SUMPRODUCT(F150:F152,R150:R152)+SUMPRODUCT(F153:F163,R153:R163)/0.87</f>
        <v>0.24765439494824046</v>
      </c>
      <c r="G164" s="361">
        <f>SUMPRODUCT(G150:G152,R150:R152)+SUMPRODUCT(G153:G163,R153:R163)/0.87</f>
        <v>4.746204827079898E-2</v>
      </c>
      <c r="H164" s="361">
        <f>SUMPRODUCT(H150:H152,R150:R152)+SUMPRODUCT(H153:H163,R153:R163)/0.87</f>
        <v>2.6100620502706166E-2</v>
      </c>
      <c r="I164" s="361">
        <f>SUMPRODUCT(I150:I152,R150:R152)+SUMPRODUCT(I153:I163,R153:R163)/0.87</f>
        <v>0</v>
      </c>
      <c r="J164" s="361">
        <f>SUMPRODUCT(J150:J152,R150:R152)+SUMPRODUCT(J153:J163,R153:R163)/0.87</f>
        <v>0</v>
      </c>
      <c r="K164" s="361">
        <f>SUMPRODUCT(K150:K152,R150:R152)+SUMPRODUCT(K153:K163,R153:R163)/0.87</f>
        <v>3.3545843793406679E-2</v>
      </c>
      <c r="L164" s="361">
        <f>SUMPRODUCT(L150:L152,R150:R152)+SUMPRODUCT(L153:L163,R153:R163)/0.87</f>
        <v>0</v>
      </c>
      <c r="M164" s="361">
        <f>SUMPRODUCT(M150:M152,R150:R152)+SUMPRODUCT(M153:M163,R153:R163)/0.87</f>
        <v>4.3878351757564871E-3</v>
      </c>
      <c r="N164" s="361">
        <f>SUMPRODUCT(N150:N152,R150:R152)+SUMPRODUCT(N153:N163,R153:R163)/0.87</f>
        <v>2.0318595296560615E-2</v>
      </c>
      <c r="O164" s="361">
        <f>SUMPRODUCT(O150:O152,R150:R152)+SUMPRODUCT(O153:O163,R153:R163)/0.87</f>
        <v>3.7688325128411394E-2</v>
      </c>
      <c r="P164" s="361">
        <f>SUMPRODUCT(P150:P152,R150:R152)+SUMPRODUCT(P153:P163,R153:R163)/0.87</f>
        <v>4.1075360731737523E-2</v>
      </c>
      <c r="Q164" s="361">
        <f>SUMPRODUCT(Q150:Q152,R150:R152)+SUMPRODUCT(Q153:Q163,R153:R163)/0.87</f>
        <v>3.7075766048862646E-2</v>
      </c>
      <c r="R164" s="362"/>
      <c r="S164" s="369"/>
    </row>
    <row r="165" spans="1:19" x14ac:dyDescent="0.2">
      <c r="A165" s="363"/>
      <c r="B165" s="364" t="s">
        <v>481</v>
      </c>
      <c r="C165" s="365"/>
      <c r="D165" s="366"/>
      <c r="E165" s="366"/>
      <c r="F165" s="367">
        <f>SUMPRODUCT(F150:F152,S150:S152)+SUMPRODUCT(F153:F163,S153:S163)/0.87</f>
        <v>0.20043256422742489</v>
      </c>
      <c r="G165" s="367">
        <f>SUMPRODUCT(G150:G152,S150:S152)+SUMPRODUCT(G153:G163,S153:S163)/0.87</f>
        <v>4.0280922615205911E-2</v>
      </c>
      <c r="H165" s="367">
        <f>SUMPRODUCT(H150:H152,S150:S152)+SUMPRODUCT(H153:H163,S153:S163)/0.87</f>
        <v>2.5832431125872538E-2</v>
      </c>
      <c r="I165" s="367">
        <f>SUMPRODUCT(I150:I152,S150:S152)+SUMPRODUCT(I153:I163,S153:S163)/0.87</f>
        <v>0</v>
      </c>
      <c r="J165" s="367">
        <f>SUMPRODUCT(J150:J152,S150:S152)+SUMPRODUCT(J153:J163,S153:S163)/0.87</f>
        <v>0</v>
      </c>
      <c r="K165" s="367">
        <f>SUMPRODUCT(K150:K152,S150:S152)+SUMPRODUCT(K153:K163,S153:S163)/0.87</f>
        <v>3.0183730547392845E-2</v>
      </c>
      <c r="L165" s="367">
        <f>SUMPRODUCT(L150:L152,S150:S152)+SUMPRODUCT(L153:L163,S153:S163)/0.87</f>
        <v>0</v>
      </c>
      <c r="M165" s="367">
        <f>SUMPRODUCT(M150:M152,S150:S152)+SUMPRODUCT(M153:M163,S153:S163)/0.87</f>
        <v>3.2824101542429564E-3</v>
      </c>
      <c r="N165" s="367">
        <f>SUMPRODUCT(N150:N152,S150:S152)+SUMPRODUCT(N153:N163,S153:S163)/0.87</f>
        <v>1.4862316868903231E-2</v>
      </c>
      <c r="O165" s="367">
        <f>SUMPRODUCT(O150:O152,S150:S152)+SUMPRODUCT(O153:O163,S153:S163)/0.87</f>
        <v>2.653918626676513E-2</v>
      </c>
      <c r="P165" s="367">
        <f>SUMPRODUCT(P150:P152,S150:S152)+SUMPRODUCT(P153:P163,S153:S163)/0.87</f>
        <v>3.1968277484121045E-2</v>
      </c>
      <c r="Q165" s="367">
        <f>SUMPRODUCT(Q150:Q152,S150:S152)+SUMPRODUCT(Q153:Q163,S153:S163)/0.87</f>
        <v>2.7483289164921206E-2</v>
      </c>
      <c r="R165" s="368"/>
      <c r="S165" s="368"/>
    </row>
    <row r="166" spans="1:19" x14ac:dyDescent="0.2">
      <c r="B166" s="58" t="s">
        <v>264</v>
      </c>
      <c r="C166" s="18" t="s">
        <v>463</v>
      </c>
      <c r="D166" s="349" t="s">
        <v>63</v>
      </c>
      <c r="E166" s="349" t="s">
        <v>64</v>
      </c>
      <c r="F166" s="350">
        <f t="shared" ref="F166:F179" si="20">SUM(G166:Q166)</f>
        <v>6.0039825186889023E-2</v>
      </c>
      <c r="G166" s="83">
        <f>'Forage crops, CF'!F58</f>
        <v>0</v>
      </c>
      <c r="H166" s="83">
        <f>'Forage crops, CF'!G58</f>
        <v>2.7E-2</v>
      </c>
      <c r="I166" s="83">
        <f>'Forage crops, CF'!H58</f>
        <v>0</v>
      </c>
      <c r="J166" s="83">
        <f>'Forage crops, CF'!I58</f>
        <v>0</v>
      </c>
      <c r="K166" s="83">
        <f>'Forage crops, CF'!J58</f>
        <v>3.303982518688902E-2</v>
      </c>
      <c r="L166" s="83">
        <f>'Forage crops, CF'!K58</f>
        <v>0</v>
      </c>
      <c r="M166" s="83">
        <f>'Forage crops, CF'!L58</f>
        <v>0</v>
      </c>
      <c r="N166" s="83">
        <f>'Forage crops, CF'!M58</f>
        <v>0</v>
      </c>
      <c r="O166" s="83">
        <f>'Forage crops, CF'!N58</f>
        <v>0</v>
      </c>
      <c r="P166" s="83">
        <f>'Forage crops, CF'!O58</f>
        <v>0</v>
      </c>
      <c r="Q166" s="83">
        <f>'Forage crops, CF'!P58</f>
        <v>0</v>
      </c>
      <c r="R166" s="351">
        <f>'Parameters, country spec'!L17</f>
        <v>0</v>
      </c>
      <c r="S166" s="351">
        <f>'Parameters, country spec'!L35</f>
        <v>8.1492728375395507E-2</v>
      </c>
    </row>
    <row r="167" spans="1:19" x14ac:dyDescent="0.2">
      <c r="B167" s="58" t="s">
        <v>268</v>
      </c>
      <c r="C167" s="18" t="s">
        <v>463</v>
      </c>
      <c r="D167" s="349" t="s">
        <v>63</v>
      </c>
      <c r="E167" s="349" t="s">
        <v>64</v>
      </c>
      <c r="F167" s="352">
        <f t="shared" si="20"/>
        <v>0.11254853214380041</v>
      </c>
      <c r="G167" s="83">
        <f>'Forage crops, CF'!F118</f>
        <v>1.9669863391906319E-2</v>
      </c>
      <c r="H167" s="83">
        <f>'Forage crops, CF'!G118</f>
        <v>2.7E-2</v>
      </c>
      <c r="I167" s="83">
        <f>'Forage crops, CF'!H118</f>
        <v>0</v>
      </c>
      <c r="J167" s="83">
        <f>'Forage crops, CF'!I118</f>
        <v>0</v>
      </c>
      <c r="K167" s="83">
        <f>'Forage crops, CF'!J118</f>
        <v>1.9178668751894078E-2</v>
      </c>
      <c r="L167" s="83">
        <f>'Forage crops, CF'!K118</f>
        <v>0</v>
      </c>
      <c r="M167" s="83">
        <f>'Forage crops, CF'!L118</f>
        <v>0</v>
      </c>
      <c r="N167" s="83">
        <f>'Forage crops, CF'!M118</f>
        <v>0</v>
      </c>
      <c r="O167" s="83">
        <f>'Forage crops, CF'!N118</f>
        <v>0</v>
      </c>
      <c r="P167" s="83">
        <f>'Forage crops, CF'!O118</f>
        <v>4.6700000000000005E-2</v>
      </c>
      <c r="Q167" s="83">
        <f>'Forage crops, CF'!P118</f>
        <v>0</v>
      </c>
      <c r="R167" s="351">
        <f>'Parameters, country spec'!L18</f>
        <v>5.6833997339727403E-2</v>
      </c>
      <c r="S167" s="351">
        <f>'Parameters, country spec'!L36</f>
        <v>2.0132302839190298E-2</v>
      </c>
    </row>
    <row r="168" spans="1:19" x14ac:dyDescent="0.2">
      <c r="B168" s="58" t="s">
        <v>465</v>
      </c>
      <c r="C168" s="18" t="s">
        <v>463</v>
      </c>
      <c r="D168" s="349" t="s">
        <v>63</v>
      </c>
      <c r="E168" s="349" t="s">
        <v>64</v>
      </c>
      <c r="F168" s="352">
        <f t="shared" si="20"/>
        <v>0.11644831720232106</v>
      </c>
      <c r="G168" s="83">
        <f>'Forage crops, CF'!F178*'Forage, input data per ha'!$D$88+'Forage crops, CF'!F238*'Forage, input data per ha'!$E$88</f>
        <v>2.1287675524492185E-2</v>
      </c>
      <c r="H168" s="83">
        <f>'Forage crops, CF'!G178*'Forage, input data per ha'!$D$88+'Forage crops, CF'!G238*'Forage, input data per ha'!$E$88</f>
        <v>2.7E-2</v>
      </c>
      <c r="I168" s="83">
        <f>'Forage crops, CF'!H178*'Forage, input data per ha'!$D$88+'Forage crops, CF'!H238*'Forage, input data per ha'!$E$88</f>
        <v>0</v>
      </c>
      <c r="J168" s="83">
        <f>'Forage crops, CF'!I178*'Forage, input data per ha'!$D$88+'Forage crops, CF'!I238*'Forage, input data per ha'!$E$88</f>
        <v>0</v>
      </c>
      <c r="K168" s="83">
        <f>'Forage crops, CF'!J178*'Forage, input data per ha'!$D$88+'Forage crops, CF'!J238*'Forage, input data per ha'!$E$88</f>
        <v>2.1460641677828858E-2</v>
      </c>
      <c r="L168" s="83">
        <f>'Forage crops, CF'!K178*'Forage, input data per ha'!$D$88+'Forage crops, CF'!K238*'Forage, input data per ha'!$E$88</f>
        <v>0</v>
      </c>
      <c r="M168" s="83">
        <f>'Forage crops, CF'!L178*'Forage, input data per ha'!$D$88+'Forage crops, CF'!L238*'Forage, input data per ha'!$E$88</f>
        <v>0</v>
      </c>
      <c r="N168" s="83">
        <f>'Forage crops, CF'!M178*'Forage, input data per ha'!$D$88+'Forage crops, CF'!M238*'Forage, input data per ha'!$E$88</f>
        <v>0</v>
      </c>
      <c r="O168" s="83">
        <f>'Forage crops, CF'!N178*'Forage, input data per ha'!$D$88+'Forage crops, CF'!N238*'Forage, input data per ha'!$E$88</f>
        <v>0</v>
      </c>
      <c r="P168" s="83">
        <f>'Forage crops, CF'!O178*'Forage, input data per ha'!$D$88+'Forage crops, CF'!O238*'Forage, input data per ha'!$E$88</f>
        <v>4.6700000000000005E-2</v>
      </c>
      <c r="Q168" s="83">
        <f>'Forage crops, CF'!P178*'Forage, input data per ha'!$D$88+'Forage crops, CF'!P238*'Forage, input data per ha'!$E$88</f>
        <v>0</v>
      </c>
      <c r="R168" s="351">
        <f>'Parameters, country spec'!L19</f>
        <v>0.64451256332731</v>
      </c>
      <c r="S168" s="351">
        <f>'Parameters, country spec'!L37</f>
        <v>0.72922483150746598</v>
      </c>
    </row>
    <row r="169" spans="1:19" x14ac:dyDescent="0.2">
      <c r="A169" s="353" t="s">
        <v>466</v>
      </c>
      <c r="B169" s="18" t="s">
        <v>274</v>
      </c>
      <c r="C169" s="18" t="s">
        <v>467</v>
      </c>
      <c r="D169" s="349" t="s">
        <v>63</v>
      </c>
      <c r="E169" s="349" t="s">
        <v>64</v>
      </c>
      <c r="F169" s="352">
        <f t="shared" si="20"/>
        <v>0.17740753224089859</v>
      </c>
      <c r="G169" s="239">
        <v>6.4707685331096707E-2</v>
      </c>
      <c r="H169" s="216">
        <v>2.7E-2</v>
      </c>
      <c r="I169" s="222">
        <v>0</v>
      </c>
      <c r="J169" s="216"/>
      <c r="K169" s="239">
        <v>4.3092928170856297E-2</v>
      </c>
      <c r="L169" s="216">
        <v>0</v>
      </c>
      <c r="M169" s="216">
        <v>9.7648302092659699E-7</v>
      </c>
      <c r="N169" s="239">
        <v>3.4798606794569198E-2</v>
      </c>
      <c r="O169" s="216">
        <v>7.8073354613554897E-3</v>
      </c>
      <c r="P169" s="216"/>
      <c r="R169" s="351">
        <f>'Parameters, country spec'!L20</f>
        <v>2.1854503836809602E-2</v>
      </c>
      <c r="S169" s="351">
        <f>'Parameters, country spec'!L38</f>
        <v>7.1251912744116604E-3</v>
      </c>
    </row>
    <row r="170" spans="1:19" x14ac:dyDescent="0.2">
      <c r="A170" s="353" t="s">
        <v>468</v>
      </c>
      <c r="B170" s="18" t="s">
        <v>276</v>
      </c>
      <c r="C170" s="18" t="s">
        <v>467</v>
      </c>
      <c r="D170" s="349" t="s">
        <v>63</v>
      </c>
      <c r="E170" s="349" t="s">
        <v>64</v>
      </c>
      <c r="F170" s="352">
        <f t="shared" si="20"/>
        <v>0.35998073385997809</v>
      </c>
      <c r="G170" s="239">
        <v>5.4898894569621E-2</v>
      </c>
      <c r="H170" s="216">
        <v>2.7E-2</v>
      </c>
      <c r="I170" s="222">
        <v>0</v>
      </c>
      <c r="J170" s="216"/>
      <c r="K170" s="239">
        <v>2.16968292973359E-2</v>
      </c>
      <c r="L170" s="216">
        <v>0</v>
      </c>
      <c r="M170" s="216">
        <v>0</v>
      </c>
      <c r="N170" s="239">
        <v>3.4798606794569198E-2</v>
      </c>
      <c r="O170" s="216">
        <v>0.22158640319845199</v>
      </c>
      <c r="P170" s="216"/>
      <c r="R170" s="351">
        <f>'Parameters, country spec'!L21</f>
        <v>9.7224227215628796E-4</v>
      </c>
      <c r="S170" s="351">
        <f>'Parameters, country spec'!L39</f>
        <v>3.1697869732220902E-4</v>
      </c>
    </row>
    <row r="171" spans="1:19" x14ac:dyDescent="0.2">
      <c r="A171" s="353" t="s">
        <v>469</v>
      </c>
      <c r="B171" s="18" t="s">
        <v>278</v>
      </c>
      <c r="C171" s="18" t="s">
        <v>467</v>
      </c>
      <c r="D171" s="349" t="s">
        <v>63</v>
      </c>
      <c r="E171" s="349" t="s">
        <v>64</v>
      </c>
      <c r="F171" s="352">
        <f t="shared" si="20"/>
        <v>0.21424851038583509</v>
      </c>
      <c r="G171" s="239">
        <v>5.5883302587627401E-2</v>
      </c>
      <c r="H171" s="216">
        <v>2.7E-2</v>
      </c>
      <c r="I171" s="222">
        <v>0</v>
      </c>
      <c r="J171" s="216"/>
      <c r="K171" s="239">
        <v>4.6950690050811303E-2</v>
      </c>
      <c r="L171" s="216">
        <v>0</v>
      </c>
      <c r="M171" s="216">
        <v>1.1717330995727201E-6</v>
      </c>
      <c r="N171" s="239">
        <v>3.4798606794569198E-2</v>
      </c>
      <c r="O171" s="216">
        <v>4.9614739219727602E-2</v>
      </c>
      <c r="P171" s="216"/>
      <c r="R171" s="351">
        <f>'Parameters, country spec'!L22</f>
        <v>2.3774415383034798E-2</v>
      </c>
      <c r="S171" s="351">
        <f>'Parameters, country spec'!L40</f>
        <v>7.7511371696115704E-3</v>
      </c>
    </row>
    <row r="172" spans="1:19" x14ac:dyDescent="0.2">
      <c r="A172" s="353" t="s">
        <v>470</v>
      </c>
      <c r="B172" s="18" t="s">
        <v>280</v>
      </c>
      <c r="C172" s="18" t="s">
        <v>467</v>
      </c>
      <c r="D172" s="349" t="s">
        <v>63</v>
      </c>
      <c r="E172" s="349" t="s">
        <v>64</v>
      </c>
      <c r="F172" s="352">
        <f t="shared" si="20"/>
        <v>0.24420370598103047</v>
      </c>
      <c r="G172" s="239">
        <v>5.0338186409046998E-2</v>
      </c>
      <c r="H172" s="216">
        <v>2.7E-2</v>
      </c>
      <c r="I172" s="216">
        <v>0</v>
      </c>
      <c r="J172" s="216"/>
      <c r="K172" s="239">
        <v>3.3169160753811502E-2</v>
      </c>
      <c r="L172" s="216">
        <v>0</v>
      </c>
      <c r="M172" s="216">
        <v>0</v>
      </c>
      <c r="N172" s="239">
        <v>3.4798606794569198E-2</v>
      </c>
      <c r="O172" s="216">
        <v>9.8897752023602806E-2</v>
      </c>
      <c r="P172" s="216"/>
      <c r="R172" s="351">
        <f>'Parameters, country spec'!L23</f>
        <v>1.50302170309128E-5</v>
      </c>
      <c r="S172" s="351">
        <f>'Parameters, country spec'!L41</f>
        <v>4.9002790875207401E-6</v>
      </c>
    </row>
    <row r="173" spans="1:19" x14ac:dyDescent="0.2">
      <c r="A173" s="353" t="s">
        <v>471</v>
      </c>
      <c r="B173" s="18" t="s">
        <v>281</v>
      </c>
      <c r="C173" s="18" t="s">
        <v>467</v>
      </c>
      <c r="D173" s="349" t="s">
        <v>63</v>
      </c>
      <c r="E173" s="349" t="s">
        <v>64</v>
      </c>
      <c r="F173" s="352">
        <f t="shared" si="20"/>
        <v>0.18080986700633911</v>
      </c>
      <c r="G173" s="239">
        <v>7.3263598411408906E-2</v>
      </c>
      <c r="H173" s="216">
        <v>2.7E-2</v>
      </c>
      <c r="I173" s="216">
        <v>0</v>
      </c>
      <c r="J173" s="216"/>
      <c r="K173" s="239">
        <v>2.9976077920621201E-2</v>
      </c>
      <c r="L173" s="216">
        <v>0</v>
      </c>
      <c r="M173" s="216">
        <v>0</v>
      </c>
      <c r="N173" s="239">
        <v>3.4798606794569198E-2</v>
      </c>
      <c r="O173" s="216">
        <v>1.5771583879739801E-2</v>
      </c>
      <c r="P173" s="216"/>
      <c r="R173" s="351">
        <f>'Parameters, country spec'!L24</f>
        <v>9.4799230366266196E-2</v>
      </c>
      <c r="S173" s="351">
        <f>'Parameters, country spec'!L42</f>
        <v>3.0907251607613699E-2</v>
      </c>
    </row>
    <row r="174" spans="1:19" x14ac:dyDescent="0.2">
      <c r="A174" s="353" t="s">
        <v>472</v>
      </c>
      <c r="B174" s="18" t="s">
        <v>282</v>
      </c>
      <c r="C174" s="18" t="s">
        <v>473</v>
      </c>
      <c r="D174" s="349" t="s">
        <v>63</v>
      </c>
      <c r="E174" s="349" t="s">
        <v>64</v>
      </c>
      <c r="F174" s="352">
        <f t="shared" si="20"/>
        <v>0.18857160448604016</v>
      </c>
      <c r="G174" s="239">
        <v>0</v>
      </c>
      <c r="H174" s="216">
        <v>2.7E-2</v>
      </c>
      <c r="I174" s="222">
        <v>0</v>
      </c>
      <c r="J174" s="216"/>
      <c r="K174" s="239">
        <v>6.1915464004380999E-2</v>
      </c>
      <c r="L174" s="222">
        <v>0</v>
      </c>
      <c r="M174" s="216">
        <v>3.46110222394324E-3</v>
      </c>
      <c r="N174" s="239">
        <v>3.4798606794569198E-2</v>
      </c>
      <c r="O174" s="216">
        <v>6.1396431463146703E-2</v>
      </c>
      <c r="P174" s="216"/>
      <c r="R174" s="351">
        <f>'Parameters, country spec'!L25</f>
        <v>8.4440367067629904E-3</v>
      </c>
      <c r="S174" s="351">
        <f>'Parameters, country spec'!L43</f>
        <v>1.47849500760987E-3</v>
      </c>
    </row>
    <row r="175" spans="1:19" x14ac:dyDescent="0.2">
      <c r="A175" s="353" t="s">
        <v>474</v>
      </c>
      <c r="B175" s="18" t="s">
        <v>283</v>
      </c>
      <c r="C175" s="18" t="s">
        <v>473</v>
      </c>
      <c r="D175" s="349" t="s">
        <v>63</v>
      </c>
      <c r="E175" s="349" t="s">
        <v>64</v>
      </c>
      <c r="F175" s="352">
        <f t="shared" si="20"/>
        <v>0.25743797241278388</v>
      </c>
      <c r="G175" s="239">
        <v>2.1386473524115401E-3</v>
      </c>
      <c r="H175" s="216">
        <v>2.7E-2</v>
      </c>
      <c r="I175" s="222">
        <v>0</v>
      </c>
      <c r="J175" s="216"/>
      <c r="K175" s="239">
        <v>6.1361874212873702E-2</v>
      </c>
      <c r="L175" s="216">
        <v>0</v>
      </c>
      <c r="M175" s="216">
        <v>1.8203397236044301E-3</v>
      </c>
      <c r="N175" s="239">
        <v>3.4798606794569198E-2</v>
      </c>
      <c r="O175" s="216">
        <v>0.13031850432932501</v>
      </c>
      <c r="P175" s="216"/>
      <c r="R175" s="351">
        <f>'Parameters, country spec'!L26</f>
        <v>8.2948266885816205E-3</v>
      </c>
      <c r="S175" s="351">
        <f>'Parameters, country spec'!L44</f>
        <v>1.4523693197724E-3</v>
      </c>
    </row>
    <row r="176" spans="1:19" x14ac:dyDescent="0.2">
      <c r="B176" s="58" t="s">
        <v>284</v>
      </c>
      <c r="C176" s="18" t="s">
        <v>475</v>
      </c>
      <c r="D176" s="349" t="s">
        <v>63</v>
      </c>
      <c r="E176" s="349" t="s">
        <v>64</v>
      </c>
      <c r="F176" s="352">
        <f t="shared" si="20"/>
        <v>0.27628755742228522</v>
      </c>
      <c r="G176" s="83">
        <f>'Off-farm feed'!$F$74</f>
        <v>0.15910156565543271</v>
      </c>
      <c r="H176" s="83">
        <f>'Off-farm feed'!$G$74</f>
        <v>1.3034482758620692E-2</v>
      </c>
      <c r="I176" s="83">
        <f>'Off-farm feed'!$H$74</f>
        <v>0</v>
      </c>
      <c r="J176" s="83"/>
      <c r="K176" s="83">
        <f>'Off-farm feed'!$J$74</f>
        <v>2.4688740026345465E-2</v>
      </c>
      <c r="L176" s="83"/>
      <c r="M176" s="55">
        <f>'Off-farm feed'!$L$74</f>
        <v>1.9317593037941337E-4</v>
      </c>
      <c r="N176" s="83">
        <f>'Off-farm feed'!$M$74</f>
        <v>3.6802128767029069E-2</v>
      </c>
      <c r="O176" s="83">
        <f>'Off-farm feed'!$N$74</f>
        <v>0</v>
      </c>
      <c r="P176" s="83">
        <f>'Off-farm feed'!$O$74</f>
        <v>2.6267464284477883E-2</v>
      </c>
      <c r="Q176" s="83">
        <f>'Off-farm feed'!$P$74</f>
        <v>1.6199999999999999E-2</v>
      </c>
      <c r="R176" s="351">
        <f>'Parameters, country spec'!L27</f>
        <v>3.7274865300959803E-2</v>
      </c>
      <c r="S176" s="351">
        <f>'Parameters, country spec'!L45</f>
        <v>6.52658250496908E-3</v>
      </c>
    </row>
    <row r="177" spans="1:19" x14ac:dyDescent="0.2">
      <c r="B177" s="58" t="s">
        <v>476</v>
      </c>
      <c r="C177" s="18" t="s">
        <v>475</v>
      </c>
      <c r="D177" s="349" t="s">
        <v>63</v>
      </c>
      <c r="E177" s="349" t="s">
        <v>64</v>
      </c>
      <c r="F177" s="352">
        <f t="shared" si="20"/>
        <v>0.7061171705997602</v>
      </c>
      <c r="G177" s="83">
        <f>'Off-farm feed'!$F$23</f>
        <v>7.2632670993099079E-3</v>
      </c>
      <c r="H177" s="83">
        <f>'Off-farm feed'!$G$23</f>
        <v>2.1402439024390246E-2</v>
      </c>
      <c r="I177" s="83">
        <f>'Off-farm feed'!$H$23</f>
        <v>0</v>
      </c>
      <c r="J177" s="83"/>
      <c r="K177" s="83">
        <f>'Off-farm feed'!$J$23</f>
        <v>4.3083619664332357E-2</v>
      </c>
      <c r="L177" s="83"/>
      <c r="M177" s="55">
        <f>'Off-farm feed'!$L$23</f>
        <v>1.7842060425123844E-4</v>
      </c>
      <c r="N177" s="83">
        <f>'Off-farm feed'!$M$23</f>
        <v>3.0432604948959392E-2</v>
      </c>
      <c r="O177" s="83">
        <f>'Off-farm feed'!$N$23</f>
        <v>0.31761120248475611</v>
      </c>
      <c r="P177" s="83">
        <f>'Off-farm feed'!$O$23</f>
        <v>3.51456167737609E-2</v>
      </c>
      <c r="Q177" s="83">
        <f>'Off-farm feed'!$P$23</f>
        <v>0.251</v>
      </c>
      <c r="R177" s="351">
        <f>'Parameters, country spec'!L28</f>
        <v>5.8079615438750398E-2</v>
      </c>
      <c r="S177" s="351">
        <f>'Parameters, country spec'!L46</f>
        <v>1.0169356726881599E-2</v>
      </c>
    </row>
    <row r="178" spans="1:19" x14ac:dyDescent="0.2">
      <c r="B178" s="18" t="s">
        <v>286</v>
      </c>
      <c r="C178" s="18" t="s">
        <v>477</v>
      </c>
      <c r="D178" s="349" t="s">
        <v>63</v>
      </c>
      <c r="E178" s="349" t="s">
        <v>64</v>
      </c>
      <c r="F178" s="350">
        <f t="shared" si="20"/>
        <v>0.13915930282130612</v>
      </c>
      <c r="G178" s="239">
        <v>6.5937238570268003E-3</v>
      </c>
      <c r="H178" s="222">
        <v>2.4299999999999999E-3</v>
      </c>
      <c r="K178" s="222">
        <v>2.6978470128559101E-3</v>
      </c>
      <c r="L178">
        <v>0</v>
      </c>
      <c r="M178">
        <v>0</v>
      </c>
      <c r="N178" s="370">
        <v>3.1318746115112299E-3</v>
      </c>
      <c r="O178" s="25">
        <v>1.41944254917658E-3</v>
      </c>
      <c r="P178" s="222">
        <v>0.104008553970993</v>
      </c>
      <c r="Q178" s="222">
        <v>1.88778608197426E-2</v>
      </c>
      <c r="R178" s="351">
        <f>'Parameters, country spec'!L29</f>
        <v>0.02</v>
      </c>
      <c r="S178" s="351">
        <f>'Parameters, country spec'!L47</f>
        <v>8.8227403013349595E-2</v>
      </c>
    </row>
    <row r="179" spans="1:19" x14ac:dyDescent="0.2">
      <c r="A179" s="354"/>
      <c r="B179" s="18" t="s">
        <v>478</v>
      </c>
      <c r="C179" s="355" t="s">
        <v>479</v>
      </c>
      <c r="D179" s="349" t="s">
        <v>63</v>
      </c>
      <c r="E179" s="349" t="s">
        <v>64</v>
      </c>
      <c r="F179" s="352">
        <f t="shared" si="20"/>
        <v>8.1502385956032666E-2</v>
      </c>
      <c r="G179" s="356">
        <f t="shared" ref="G179:Q179" si="21">SUMPRODUCT(G169:G177,$R169:$R177)</f>
        <v>1.6112288467231433E-2</v>
      </c>
      <c r="H179" s="356">
        <f t="shared" si="21"/>
        <v>5.9990697247905046E-3</v>
      </c>
      <c r="I179" s="356">
        <f t="shared" si="21"/>
        <v>0</v>
      </c>
      <c r="J179" s="356">
        <f t="shared" si="21"/>
        <v>0</v>
      </c>
      <c r="K179" s="356">
        <f t="shared" si="21"/>
        <v>9.3756540858088919E-3</v>
      </c>
      <c r="L179" s="356">
        <f t="shared" si="21"/>
        <v>0</v>
      </c>
      <c r="M179" s="356">
        <f t="shared" si="21"/>
        <v>6.19374814333714E-5</v>
      </c>
      <c r="N179" s="356">
        <f t="shared" si="21"/>
        <v>8.6428571777834931E-3</v>
      </c>
      <c r="O179" s="356">
        <f t="shared" si="21"/>
        <v>2.3108382626403648E-2</v>
      </c>
      <c r="P179" s="356">
        <f t="shared" si="21"/>
        <v>3.0203600995794139E-3</v>
      </c>
      <c r="Q179" s="356">
        <f t="shared" si="21"/>
        <v>1.5181836293001899E-2</v>
      </c>
      <c r="R179" s="351">
        <f>'Parameters, country spec'!L30</f>
        <v>2.9429009738894001E-2</v>
      </c>
      <c r="S179" s="351">
        <f>'Parameters, country spec'!L48</f>
        <v>1.51904716773185E-2</v>
      </c>
    </row>
    <row r="180" spans="1:19" x14ac:dyDescent="0.2">
      <c r="A180" s="357"/>
      <c r="B180" s="358" t="s">
        <v>480</v>
      </c>
      <c r="C180" s="359"/>
      <c r="D180" s="360"/>
      <c r="E180" s="360"/>
      <c r="F180" s="361">
        <f>SUMPRODUCT(F166:F168,R166:R168)+SUMPRODUCT(F169:F179,R169:R179)/0.87</f>
        <v>0.18108589044052342</v>
      </c>
      <c r="G180" s="361">
        <f>SUMPRODUCT(G166:G168,R166:R168)+SUMPRODUCT(G169:G179,R169:R179)/0.87</f>
        <v>3.4054564431063493E-2</v>
      </c>
      <c r="H180" s="361">
        <f>SUMPRODUCT(H166:H168,R166:R168)+SUMPRODUCT(H169:H179,R169:R179)/0.87</f>
        <v>2.6090628869211926E-2</v>
      </c>
      <c r="I180" s="361">
        <f>SUMPRODUCT(I166:I168,R166:R168)+SUMPRODUCT(I169:I179,R169:R179)/0.87</f>
        <v>0</v>
      </c>
      <c r="J180" s="361">
        <f>SUMPRODUCT(J166:J168,R166:R168)+SUMPRODUCT(J169:J179,R169:R179)/0.87</f>
        <v>0</v>
      </c>
      <c r="K180" s="361">
        <f>SUMPRODUCT(K166:K168,R166:R168)+SUMPRODUCT(K169:K179,R169:R179)/0.87</f>
        <v>2.6077432025717457E-2</v>
      </c>
      <c r="L180" s="361">
        <f>SUMPRODUCT(L166:L168,R166:R168)+SUMPRODUCT(L169:L179,R169:R179)/0.87</f>
        <v>0</v>
      </c>
      <c r="M180" s="361">
        <f>SUMPRODUCT(M166:M168,R166:R168)+SUMPRODUCT(M169:M179,R169:R179)/0.87</f>
        <v>7.3287632388134092E-5</v>
      </c>
      <c r="N180" s="361">
        <f>SUMPRODUCT(N166:N168,R166:R168)+SUMPRODUCT(N169:N179,R169:R179)/0.87</f>
        <v>1.0298672871345491E-2</v>
      </c>
      <c r="O180" s="361">
        <f>SUMPRODUCT(O166:O168,R166:R168)+SUMPRODUCT(O169:O179,R169:R179)/0.87</f>
        <v>2.7375664706608852E-2</v>
      </c>
      <c r="P180" s="361">
        <f>SUMPRODUCT(P166:P168,R166:R168)+SUMPRODUCT(P169:P179,R169:R179)/0.87</f>
        <v>3.8717731953018197E-2</v>
      </c>
      <c r="Q180" s="361">
        <f>SUMPRODUCT(Q166:Q168,R166:R168)+SUMPRODUCT(Q169:Q179,R169:R179)/0.87</f>
        <v>1.8397907951169884E-2</v>
      </c>
      <c r="R180" s="362"/>
      <c r="S180" s="362"/>
    </row>
    <row r="181" spans="1:19" x14ac:dyDescent="0.2">
      <c r="A181" s="363"/>
      <c r="B181" s="364" t="s">
        <v>481</v>
      </c>
      <c r="C181" s="365"/>
      <c r="D181" s="366"/>
      <c r="E181" s="366"/>
      <c r="F181" s="367">
        <f>SUMPRODUCT(F166:F168,S166:S168)+SUMPRODUCT(F169:F179,S169:S179)/0.87</f>
        <v>0.12860528725087794</v>
      </c>
      <c r="G181" s="367">
        <f>SUMPRODUCT(G166:G168,S166:S168)+SUMPRODUCT(G169:G179,S169:S179)/0.87</f>
        <v>2.1802371874433023E-2</v>
      </c>
      <c r="H181" s="367">
        <f>SUMPRODUCT(H166:H168,S166:S168)+SUMPRODUCT(H169:H179,S169:S179)/0.87</f>
        <v>2.4653890756784824E-2</v>
      </c>
      <c r="I181" s="367">
        <f>SUMPRODUCT(I166:I168,S166:S168)+SUMPRODUCT(I169:I179,S169:S179)/0.87</f>
        <v>0</v>
      </c>
      <c r="J181" s="367">
        <f>SUMPRODUCT(J166:J168,S166:S168)+SUMPRODUCT(J169:J179,S169:S179)/0.87</f>
        <v>0</v>
      </c>
      <c r="K181" s="367">
        <f>SUMPRODUCT(K166:K168,S166:S168)+SUMPRODUCT(K169:K179,S169:S179)/0.87</f>
        <v>2.1906245625055047E-2</v>
      </c>
      <c r="L181" s="367">
        <f>SUMPRODUCT(L166:L168,S166:S168)+SUMPRODUCT(L169:L179,S169:S179)/0.87</f>
        <v>0</v>
      </c>
      <c r="M181" s="367">
        <f>SUMPRODUCT(M166:M168,S166:S168)+SUMPRODUCT(M169:M179,S169:S179)/0.87</f>
        <v>1.355532045340794E-5</v>
      </c>
      <c r="N181" s="367">
        <f>SUMPRODUCT(N166:N168,S166:S168)+SUMPRODUCT(N169:N179,S169:S179)/0.87</f>
        <v>3.0616943924310015E-3</v>
      </c>
      <c r="O181" s="367">
        <f>SUMPRODUCT(O166:O168,S166:S168)+SUMPRODUCT(O169:O179,S169:S179)/0.87</f>
        <v>5.7294092070308833E-3</v>
      </c>
      <c r="P181" s="367">
        <f>SUMPRODUCT(P166:P168,S166:S168)+SUMPRODUCT(P169:P179,S169:S179)/0.87</f>
        <v>4.6203174024322308E-2</v>
      </c>
      <c r="Q181" s="367">
        <f>SUMPRODUCT(Q166:Q168,S166:S168)+SUMPRODUCT(Q169:Q179,S169:S179)/0.87</f>
        <v>5.2349460503674306E-3</v>
      </c>
      <c r="R181" s="368"/>
      <c r="S181" s="368"/>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DEEBF7"/>
  </sheetPr>
  <dimension ref="A1:U181"/>
  <sheetViews>
    <sheetView zoomScale="74" zoomScaleNormal="74" workbookViewId="0">
      <selection activeCell="O23" sqref="O23"/>
    </sheetView>
  </sheetViews>
  <sheetFormatPr baseColWidth="10" defaultColWidth="8.6640625" defaultRowHeight="15" x14ac:dyDescent="0.2"/>
  <cols>
    <col min="2" max="2" width="30.5" customWidth="1"/>
    <col min="3" max="3" width="19" customWidth="1"/>
    <col min="4" max="4" width="12.6640625" customWidth="1"/>
    <col min="5" max="5" width="11.33203125" customWidth="1"/>
    <col min="6" max="6" width="12.6640625" style="18" customWidth="1"/>
    <col min="7" max="10" width="12.6640625" customWidth="1"/>
    <col min="11" max="11" width="14.33203125" customWidth="1"/>
    <col min="12" max="17" width="12.6640625" customWidth="1"/>
    <col min="19" max="19" width="8.6640625" style="22" customWidth="1"/>
  </cols>
  <sheetData>
    <row r="1" spans="1:21" x14ac:dyDescent="0.2">
      <c r="F1" s="25"/>
    </row>
    <row r="2" spans="1:21" ht="21" customHeight="1" x14ac:dyDescent="0.25">
      <c r="A2" s="9" t="s">
        <v>482</v>
      </c>
      <c r="F2" s="18" t="s">
        <v>456</v>
      </c>
      <c r="O2" t="s">
        <v>457</v>
      </c>
    </row>
    <row r="3" spans="1:21" x14ac:dyDescent="0.2">
      <c r="H3" s="26"/>
      <c r="I3" s="26"/>
      <c r="J3" s="26"/>
      <c r="K3" s="26"/>
      <c r="L3" s="26"/>
      <c r="M3" s="26"/>
      <c r="N3" s="26"/>
    </row>
    <row r="4" spans="1:21" ht="28.5" customHeight="1" x14ac:dyDescent="0.2">
      <c r="A4" s="336" t="s">
        <v>458</v>
      </c>
      <c r="B4" s="337"/>
      <c r="C4" s="337"/>
      <c r="D4" s="337"/>
      <c r="E4" s="337"/>
      <c r="F4" s="338" t="s">
        <v>6</v>
      </c>
      <c r="G4" s="339" t="s">
        <v>7</v>
      </c>
      <c r="H4" s="340"/>
      <c r="I4" s="339" t="s">
        <v>8</v>
      </c>
      <c r="J4" s="341"/>
      <c r="K4" s="339" t="s">
        <v>9</v>
      </c>
      <c r="L4" s="341"/>
      <c r="M4" s="341"/>
      <c r="N4" s="341"/>
      <c r="O4" s="342" t="s">
        <v>10</v>
      </c>
      <c r="P4" s="342" t="s">
        <v>11</v>
      </c>
      <c r="Q4" s="343" t="s">
        <v>12</v>
      </c>
      <c r="R4" s="339" t="s">
        <v>459</v>
      </c>
      <c r="S4" s="344" t="s">
        <v>459</v>
      </c>
    </row>
    <row r="5" spans="1:21" ht="57" customHeight="1" x14ac:dyDescent="0.2">
      <c r="A5" s="345" t="s">
        <v>13</v>
      </c>
      <c r="B5" s="345" t="s">
        <v>458</v>
      </c>
      <c r="C5" s="345" t="s">
        <v>460</v>
      </c>
      <c r="D5" s="345" t="s">
        <v>16</v>
      </c>
      <c r="E5" s="346" t="s">
        <v>17</v>
      </c>
      <c r="F5" s="347"/>
      <c r="G5" s="348" t="s">
        <v>20</v>
      </c>
      <c r="H5" s="348" t="s">
        <v>21</v>
      </c>
      <c r="I5" s="348" t="s">
        <v>22</v>
      </c>
      <c r="J5" s="348" t="s">
        <v>461</v>
      </c>
      <c r="K5" s="348" t="s">
        <v>24</v>
      </c>
      <c r="L5" s="348" t="s">
        <v>25</v>
      </c>
      <c r="M5" s="348" t="s">
        <v>26</v>
      </c>
      <c r="N5" s="348" t="s">
        <v>27</v>
      </c>
      <c r="O5" s="348" t="s">
        <v>28</v>
      </c>
      <c r="P5" s="348" t="s">
        <v>11</v>
      </c>
      <c r="Q5" s="346" t="s">
        <v>462</v>
      </c>
      <c r="R5" s="348" t="s">
        <v>171</v>
      </c>
      <c r="S5" s="348" t="s">
        <v>357</v>
      </c>
    </row>
    <row r="6" spans="1:21" x14ac:dyDescent="0.2">
      <c r="B6" s="58" t="s">
        <v>264</v>
      </c>
      <c r="C6" s="18" t="s">
        <v>463</v>
      </c>
      <c r="D6" s="349" t="s">
        <v>38</v>
      </c>
      <c r="E6" s="349" t="s">
        <v>39</v>
      </c>
      <c r="F6" s="371">
        <f t="shared" ref="F6:F19" si="0">SUM(G6:Q6)</f>
        <v>9.9484169514630833E-5</v>
      </c>
      <c r="G6" s="372">
        <f>'Forage crops, CF'!F9</f>
        <v>0</v>
      </c>
      <c r="H6" s="372">
        <f>'Forage crops, CF'!G9</f>
        <v>9.5000000000000005E-5</v>
      </c>
      <c r="I6" s="372"/>
      <c r="J6" s="372"/>
      <c r="K6" s="372">
        <f>'Forage crops, CF'!J9</f>
        <v>4.4841695146308248E-6</v>
      </c>
      <c r="L6" s="372"/>
      <c r="M6" s="372">
        <f>'Forage crops, CF'!L9</f>
        <v>0</v>
      </c>
      <c r="N6" s="372">
        <f>'Forage crops, CF'!M9</f>
        <v>0</v>
      </c>
      <c r="O6" s="372"/>
      <c r="P6" s="372">
        <f>'Forage crops, CF'!O9</f>
        <v>0</v>
      </c>
      <c r="Q6" s="372"/>
      <c r="R6" s="351">
        <f>'Parameters, country spec'!B17</f>
        <v>0</v>
      </c>
      <c r="S6" s="351">
        <f>'Parameters, country spec'!B35</f>
        <v>0.29561999999999999</v>
      </c>
      <c r="U6" s="351" t="s">
        <v>464</v>
      </c>
    </row>
    <row r="7" spans="1:21" x14ac:dyDescent="0.2">
      <c r="B7" s="58" t="s">
        <v>268</v>
      </c>
      <c r="C7" s="18" t="s">
        <v>463</v>
      </c>
      <c r="D7" s="349" t="s">
        <v>38</v>
      </c>
      <c r="E7" s="349" t="s">
        <v>39</v>
      </c>
      <c r="F7" s="371">
        <f t="shared" si="0"/>
        <v>8.0999035161174711E-4</v>
      </c>
      <c r="G7" s="372">
        <f>'Forage crops, CF'!F69</f>
        <v>0</v>
      </c>
      <c r="H7" s="372">
        <f>'Forage crops, CF'!G69</f>
        <v>9.5000000000000005E-5</v>
      </c>
      <c r="I7" s="372"/>
      <c r="J7" s="372"/>
      <c r="K7" s="372">
        <f>'Forage crops, CF'!J69</f>
        <v>6.9903516117470754E-6</v>
      </c>
      <c r="L7" s="372"/>
      <c r="M7" s="372">
        <f>'Forage crops, CF'!L69</f>
        <v>0</v>
      </c>
      <c r="N7" s="372">
        <f>'Forage crops, CF'!M69</f>
        <v>0</v>
      </c>
      <c r="O7" s="372"/>
      <c r="P7" s="372">
        <f>'Forage crops, CF'!O69</f>
        <v>7.0799999999999997E-4</v>
      </c>
      <c r="Q7" s="372"/>
      <c r="R7" s="351">
        <f>'Parameters, country spec'!B18</f>
        <v>0.31083</v>
      </c>
      <c r="S7" s="351">
        <f>'Parameters, country spec'!B36</f>
        <v>0.30657000000000001</v>
      </c>
    </row>
    <row r="8" spans="1:21" x14ac:dyDescent="0.2">
      <c r="B8" s="58" t="s">
        <v>465</v>
      </c>
      <c r="C8" s="18" t="s">
        <v>463</v>
      </c>
      <c r="D8" s="349" t="s">
        <v>38</v>
      </c>
      <c r="E8" s="349" t="s">
        <v>39</v>
      </c>
      <c r="F8" s="371">
        <f t="shared" si="0"/>
        <v>8.0748412220101517E-4</v>
      </c>
      <c r="G8" s="372">
        <f>'Forage crops, CF'!F129*'Forage, input data per ha'!$D$78+'Forage crops, CF'!F189*'Forage, input data per ha'!$E$78</f>
        <v>0</v>
      </c>
      <c r="H8" s="372">
        <f>'Forage crops, CF'!G129*'Forage, input data per ha'!$D$78+'Forage crops, CF'!G189*'Forage, input data per ha'!$E$78</f>
        <v>9.5000000000000005E-5</v>
      </c>
      <c r="I8" s="372"/>
      <c r="J8" s="372"/>
      <c r="K8" s="372">
        <f>'Forage crops, CF'!J129*'Forage, input data per ha'!$D$78+'Forage crops, CF'!J189*'Forage, input data per ha'!$E$78</f>
        <v>4.484122201015219E-6</v>
      </c>
      <c r="L8" s="372"/>
      <c r="M8" s="372">
        <f>'Forage crops, CF'!L129*'Forage, input data per ha'!$D$78+'Forage crops, CF'!L189*'Forage, input data per ha'!$E$78</f>
        <v>0</v>
      </c>
      <c r="N8" s="372">
        <f>'Forage crops, CF'!M129*'Forage, input data per ha'!$D$78+'Forage crops, CF'!M189*'Forage, input data per ha'!$E$78</f>
        <v>0</v>
      </c>
      <c r="O8" s="372"/>
      <c r="P8" s="372">
        <f>'Forage crops, CF'!O129*'Forage, input data per ha'!$D$78+'Forage crops, CF'!O189*'Forage, input data per ha'!$E$78</f>
        <v>7.0799999999999997E-4</v>
      </c>
      <c r="Q8" s="372"/>
      <c r="R8" s="351">
        <f>'Parameters, country spec'!B19</f>
        <v>0.30336999999999997</v>
      </c>
      <c r="S8" s="351">
        <f>'Parameters, country spec'!B37</f>
        <v>0.25495000000000001</v>
      </c>
    </row>
    <row r="9" spans="1:21" x14ac:dyDescent="0.2">
      <c r="A9" s="353" t="s">
        <v>466</v>
      </c>
      <c r="B9" s="18" t="s">
        <v>274</v>
      </c>
      <c r="C9" s="18" t="s">
        <v>467</v>
      </c>
      <c r="D9" s="349" t="s">
        <v>38</v>
      </c>
      <c r="E9" s="349" t="s">
        <v>39</v>
      </c>
      <c r="F9" s="371">
        <f t="shared" si="0"/>
        <v>1.3263188780202382E-4</v>
      </c>
      <c r="G9" s="373">
        <v>0</v>
      </c>
      <c r="H9" s="373">
        <v>9.5000000000000005E-5</v>
      </c>
      <c r="I9" s="373">
        <v>0</v>
      </c>
      <c r="J9" s="373"/>
      <c r="K9" s="373">
        <v>1.4864399472615801E-5</v>
      </c>
      <c r="L9" s="373">
        <v>0</v>
      </c>
      <c r="M9" s="373">
        <v>0</v>
      </c>
      <c r="N9" s="373">
        <v>2.2767488329407998E-5</v>
      </c>
      <c r="O9" s="373"/>
      <c r="P9" s="373"/>
      <c r="Q9" s="373"/>
      <c r="R9" s="351">
        <f>'Parameters, country spec'!B20</f>
        <v>0.12006</v>
      </c>
      <c r="S9" s="351">
        <f>'Parameters, country spec'!B38</f>
        <v>6.0999999999999999E-2</v>
      </c>
    </row>
    <row r="10" spans="1:21" x14ac:dyDescent="0.2">
      <c r="A10" s="353" t="s">
        <v>468</v>
      </c>
      <c r="B10" s="18" t="s">
        <v>276</v>
      </c>
      <c r="C10" s="18" t="s">
        <v>467</v>
      </c>
      <c r="D10" s="349" t="s">
        <v>38</v>
      </c>
      <c r="E10" s="349" t="s">
        <v>39</v>
      </c>
      <c r="F10" s="371">
        <f t="shared" si="0"/>
        <v>1.2856994124224201E-4</v>
      </c>
      <c r="G10" s="373">
        <v>0</v>
      </c>
      <c r="H10" s="373">
        <v>9.5000000000000005E-5</v>
      </c>
      <c r="I10" s="373">
        <v>0</v>
      </c>
      <c r="J10" s="373"/>
      <c r="K10" s="373">
        <v>1.0802452912833999E-5</v>
      </c>
      <c r="L10" s="373">
        <v>0</v>
      </c>
      <c r="M10" s="373">
        <v>0</v>
      </c>
      <c r="N10" s="373">
        <v>2.2767488329407998E-5</v>
      </c>
      <c r="O10" s="373"/>
      <c r="P10" s="373"/>
      <c r="Q10" s="373"/>
      <c r="R10" s="351">
        <f>'Parameters, country spec'!B21</f>
        <v>0</v>
      </c>
      <c r="S10" s="351">
        <f>'Parameters, country spec'!B39</f>
        <v>0</v>
      </c>
    </row>
    <row r="11" spans="1:21" x14ac:dyDescent="0.2">
      <c r="A11" s="353" t="s">
        <v>469</v>
      </c>
      <c r="B11" s="18" t="s">
        <v>278</v>
      </c>
      <c r="C11" s="18" t="s">
        <v>467</v>
      </c>
      <c r="D11" s="349" t="s">
        <v>38</v>
      </c>
      <c r="E11" s="349" t="s">
        <v>39</v>
      </c>
      <c r="F11" s="371">
        <f t="shared" si="0"/>
        <v>1.3407185237155131E-4</v>
      </c>
      <c r="G11" s="373">
        <v>0</v>
      </c>
      <c r="H11" s="373">
        <v>9.5000000000000005E-5</v>
      </c>
      <c r="I11" s="373">
        <v>0</v>
      </c>
      <c r="J11" s="373"/>
      <c r="K11" s="373">
        <v>1.6302901263566199E-5</v>
      </c>
      <c r="L11" s="373">
        <v>0</v>
      </c>
      <c r="M11" s="373">
        <v>1.4627785770931999E-9</v>
      </c>
      <c r="N11" s="373">
        <v>2.2767488329407998E-5</v>
      </c>
      <c r="O11" s="373"/>
      <c r="P11" s="373"/>
      <c r="Q11" s="373"/>
      <c r="R11" s="351">
        <f>'Parameters, country spec'!B22</f>
        <v>0</v>
      </c>
      <c r="S11" s="351">
        <f>'Parameters, country spec'!B40</f>
        <v>0</v>
      </c>
    </row>
    <row r="12" spans="1:21" x14ac:dyDescent="0.2">
      <c r="A12" s="353" t="s">
        <v>470</v>
      </c>
      <c r="B12" s="18" t="s">
        <v>280</v>
      </c>
      <c r="C12" s="18" t="s">
        <v>467</v>
      </c>
      <c r="D12" s="349" t="s">
        <v>38</v>
      </c>
      <c r="E12" s="349" t="s">
        <v>39</v>
      </c>
      <c r="F12" s="371">
        <f t="shared" si="0"/>
        <v>1.3254315618792918E-4</v>
      </c>
      <c r="G12" s="373">
        <v>0</v>
      </c>
      <c r="H12" s="373">
        <v>9.5000000000000005E-5</v>
      </c>
      <c r="I12" s="373">
        <v>0</v>
      </c>
      <c r="J12" s="373"/>
      <c r="K12" s="373">
        <v>1.4226319531841999E-5</v>
      </c>
      <c r="L12" s="373">
        <v>0</v>
      </c>
      <c r="M12" s="373">
        <v>5.4934832667917605E-7</v>
      </c>
      <c r="N12" s="373">
        <v>2.2767488329407998E-5</v>
      </c>
      <c r="O12" s="373"/>
      <c r="P12" s="373"/>
      <c r="Q12" s="373"/>
      <c r="R12" s="351">
        <f>'Parameters, country spec'!B23</f>
        <v>0</v>
      </c>
      <c r="S12" s="351">
        <f>'Parameters, country spec'!B41</f>
        <v>0</v>
      </c>
    </row>
    <row r="13" spans="1:21" x14ac:dyDescent="0.2">
      <c r="A13" s="353" t="s">
        <v>471</v>
      </c>
      <c r="B13" s="18" t="s">
        <v>281</v>
      </c>
      <c r="C13" s="18" t="s">
        <v>467</v>
      </c>
      <c r="D13" s="349" t="s">
        <v>38</v>
      </c>
      <c r="E13" s="349" t="s">
        <v>39</v>
      </c>
      <c r="F13" s="371">
        <f t="shared" si="0"/>
        <v>1.2932467298374753E-4</v>
      </c>
      <c r="G13" s="373">
        <v>0</v>
      </c>
      <c r="H13" s="373">
        <v>9.5000000000000005E-5</v>
      </c>
      <c r="I13" s="373">
        <v>0</v>
      </c>
      <c r="J13" s="373"/>
      <c r="K13" s="373">
        <v>1.11229556161666E-5</v>
      </c>
      <c r="L13" s="373">
        <v>0</v>
      </c>
      <c r="M13" s="373">
        <v>4.3422903817292198E-7</v>
      </c>
      <c r="N13" s="373">
        <v>2.2767488329407998E-5</v>
      </c>
      <c r="O13" s="373"/>
      <c r="P13" s="373"/>
      <c r="Q13" s="373"/>
      <c r="R13" s="351">
        <f>'Parameters, country spec'!B24</f>
        <v>0</v>
      </c>
      <c r="S13" s="351">
        <f>'Parameters, country spec'!B42</f>
        <v>0</v>
      </c>
    </row>
    <row r="14" spans="1:21" x14ac:dyDescent="0.2">
      <c r="A14" s="353" t="s">
        <v>472</v>
      </c>
      <c r="B14" s="18" t="s">
        <v>282</v>
      </c>
      <c r="C14" s="18" t="s">
        <v>473</v>
      </c>
      <c r="D14" s="349" t="s">
        <v>38</v>
      </c>
      <c r="E14" s="349" t="s">
        <v>39</v>
      </c>
      <c r="F14" s="371">
        <f t="shared" si="0"/>
        <v>1.818323651815133E-4</v>
      </c>
      <c r="G14" s="373">
        <v>0</v>
      </c>
      <c r="H14" s="373">
        <v>9.5000000000000005E-5</v>
      </c>
      <c r="I14" s="373">
        <v>0</v>
      </c>
      <c r="J14" s="373"/>
      <c r="K14" s="373">
        <v>2.19443131835724E-5</v>
      </c>
      <c r="L14" s="373">
        <v>0</v>
      </c>
      <c r="M14" s="373">
        <v>4.21205636685329E-5</v>
      </c>
      <c r="N14" s="373">
        <v>2.2767488329407998E-5</v>
      </c>
      <c r="O14" s="373"/>
      <c r="P14" s="373"/>
      <c r="Q14" s="373"/>
      <c r="R14" s="351">
        <f>'Parameters, country spec'!B25</f>
        <v>0</v>
      </c>
      <c r="S14" s="351">
        <f>'Parameters, country spec'!B43</f>
        <v>0</v>
      </c>
    </row>
    <row r="15" spans="1:21" x14ac:dyDescent="0.2">
      <c r="A15" s="353" t="s">
        <v>474</v>
      </c>
      <c r="B15" s="18" t="s">
        <v>283</v>
      </c>
      <c r="C15" s="18" t="s">
        <v>473</v>
      </c>
      <c r="D15" s="349" t="s">
        <v>38</v>
      </c>
      <c r="E15" s="349" t="s">
        <v>39</v>
      </c>
      <c r="F15" s="371">
        <f t="shared" si="0"/>
        <v>1.9553165597299701E-4</v>
      </c>
      <c r="G15" s="373">
        <v>0</v>
      </c>
      <c r="H15" s="373">
        <v>9.5000000000000005E-5</v>
      </c>
      <c r="I15" s="373">
        <v>0</v>
      </c>
      <c r="J15" s="373"/>
      <c r="K15" s="373">
        <v>2.0386285499577299E-5</v>
      </c>
      <c r="L15" s="373">
        <v>0</v>
      </c>
      <c r="M15" s="373">
        <v>5.7377882144011697E-5</v>
      </c>
      <c r="N15" s="373">
        <v>2.2767488329407998E-5</v>
      </c>
      <c r="O15" s="373"/>
      <c r="P15" s="373"/>
      <c r="Q15" s="373"/>
      <c r="R15" s="351">
        <f>'Parameters, country spec'!B26</f>
        <v>0</v>
      </c>
      <c r="S15" s="351">
        <f>'Parameters, country spec'!B44</f>
        <v>0</v>
      </c>
    </row>
    <row r="16" spans="1:21" x14ac:dyDescent="0.2">
      <c r="B16" s="58" t="s">
        <v>284</v>
      </c>
      <c r="C16" s="18" t="s">
        <v>475</v>
      </c>
      <c r="D16" s="349" t="s">
        <v>38</v>
      </c>
      <c r="E16" s="349" t="s">
        <v>39</v>
      </c>
      <c r="F16" s="371">
        <f t="shared" si="0"/>
        <v>4.6478527325651404E-4</v>
      </c>
      <c r="G16" s="372">
        <f>'Off-farm feed'!$F$75</f>
        <v>3.0425509539765735E-4</v>
      </c>
      <c r="H16" s="372">
        <f>'Off-farm feed'!$G$75</f>
        <v>4.5862068965517246E-5</v>
      </c>
      <c r="I16" s="372"/>
      <c r="J16" s="372"/>
      <c r="K16" s="372">
        <f>'Off-farm feed'!$J$75</f>
        <v>1.0936279334641704E-5</v>
      </c>
      <c r="L16" s="372"/>
      <c r="M16" s="372">
        <f>'Off-farm feed'!$L$75</f>
        <v>6.4606960551724142E-7</v>
      </c>
      <c r="N16" s="372">
        <f>'Off-farm feed'!$M$75</f>
        <v>2.1884761697575211E-5</v>
      </c>
      <c r="O16" s="372"/>
      <c r="P16" s="372">
        <f>'Off-farm feed'!$O$75</f>
        <v>5.7027085212127035E-5</v>
      </c>
      <c r="Q16" s="372">
        <f>'Off-farm feed'!$P$75</f>
        <v>2.4173913043478263E-5</v>
      </c>
      <c r="R16" s="351">
        <f>'Parameters, country spec'!B27</f>
        <v>0.14187</v>
      </c>
      <c r="S16" s="351">
        <f>'Parameters, country spec'!B45</f>
        <v>4.3799999999999999E-2</v>
      </c>
    </row>
    <row r="17" spans="1:20" x14ac:dyDescent="0.2">
      <c r="B17" s="58" t="s">
        <v>476</v>
      </c>
      <c r="C17" s="18" t="s">
        <v>475</v>
      </c>
      <c r="D17" s="349" t="s">
        <v>38</v>
      </c>
      <c r="E17" s="349" t="s">
        <v>39</v>
      </c>
      <c r="F17" s="371">
        <f t="shared" si="0"/>
        <v>4.7266553697523944E-4</v>
      </c>
      <c r="G17" s="372">
        <f>'Off-farm feed'!$F$24</f>
        <v>1.5603516238625262E-5</v>
      </c>
      <c r="H17" s="372">
        <f>'Off-farm feed'!$G$24</f>
        <v>7.5304878048780503E-5</v>
      </c>
      <c r="I17" s="372"/>
      <c r="J17" s="372"/>
      <c r="K17" s="372">
        <f>'Off-farm feed'!$J$24</f>
        <v>1.9084590744355897E-5</v>
      </c>
      <c r="L17" s="372"/>
      <c r="M17" s="372">
        <f>'Off-farm feed'!$L$24</f>
        <v>5.9672097439024396E-7</v>
      </c>
      <c r="N17" s="372">
        <f>'Off-farm feed'!$M$24</f>
        <v>2.3084271612619512E-5</v>
      </c>
      <c r="O17" s="372"/>
      <c r="P17" s="372">
        <f>'Off-farm feed'!$O$24</f>
        <v>1.28991559356468E-4</v>
      </c>
      <c r="Q17" s="372">
        <f>'Off-farm feed'!$P$24</f>
        <v>2.1000000000000001E-4</v>
      </c>
      <c r="R17" s="351">
        <f>'Parameters, country spec'!B28</f>
        <v>5.1540000000000002E-2</v>
      </c>
      <c r="S17" s="351">
        <f>'Parameters, country spec'!B46</f>
        <v>0</v>
      </c>
    </row>
    <row r="18" spans="1:20" x14ac:dyDescent="0.2">
      <c r="B18" s="18" t="s">
        <v>286</v>
      </c>
      <c r="C18" s="18" t="s">
        <v>477</v>
      </c>
      <c r="D18" s="349" t="s">
        <v>38</v>
      </c>
      <c r="E18" s="349" t="s">
        <v>39</v>
      </c>
      <c r="F18" s="374">
        <f t="shared" si="0"/>
        <v>1.0203306988267478E-3</v>
      </c>
      <c r="G18" s="373">
        <v>0</v>
      </c>
      <c r="H18" s="373">
        <v>8.5499999999999995E-6</v>
      </c>
      <c r="I18" s="53">
        <v>0</v>
      </c>
      <c r="J18" s="53"/>
      <c r="K18" s="373">
        <v>1.0010660054549999E-6</v>
      </c>
      <c r="L18" s="53">
        <v>0</v>
      </c>
      <c r="M18" s="53">
        <v>3.9080613435562999E-8</v>
      </c>
      <c r="N18" s="373">
        <v>2.0490739496467201E-6</v>
      </c>
      <c r="O18" s="373"/>
      <c r="P18" s="373">
        <v>9.9818289932063491E-4</v>
      </c>
      <c r="Q18" s="373">
        <v>1.05085789375756E-5</v>
      </c>
      <c r="R18" s="351">
        <f>'Parameters, country spec'!B29</f>
        <v>0</v>
      </c>
      <c r="S18" s="351">
        <f>'Parameters, country spec'!B47</f>
        <v>0</v>
      </c>
      <c r="T18" t="s">
        <v>483</v>
      </c>
    </row>
    <row r="19" spans="1:20" x14ac:dyDescent="0.2">
      <c r="A19" s="354"/>
      <c r="B19" s="18" t="s">
        <v>478</v>
      </c>
      <c r="C19" s="355" t="s">
        <v>479</v>
      </c>
      <c r="D19" s="349" t="s">
        <v>38</v>
      </c>
      <c r="E19" s="349" t="s">
        <v>39</v>
      </c>
      <c r="F19" s="371">
        <f t="shared" si="0"/>
        <v>1.0622405294211646E-4</v>
      </c>
      <c r="G19" s="375">
        <f t="shared" ref="G19:Q19" si="1">SUMPRODUCT(G9:G17,$R9:$R17)</f>
        <v>4.3968875611004387E-5</v>
      </c>
      <c r="H19" s="375">
        <f t="shared" si="1"/>
        <v>2.1793365138772082E-5</v>
      </c>
      <c r="I19" s="375">
        <f t="shared" si="1"/>
        <v>0</v>
      </c>
      <c r="J19" s="375">
        <f t="shared" si="1"/>
        <v>0</v>
      </c>
      <c r="K19" s="375">
        <f t="shared" si="1"/>
        <v>4.3197695568519743E-6</v>
      </c>
      <c r="L19" s="375">
        <f t="shared" si="1"/>
        <v>0</v>
      </c>
      <c r="M19" s="375">
        <f t="shared" si="1"/>
        <v>1.2241289395480421E-7</v>
      </c>
      <c r="N19" s="375">
        <f t="shared" si="1"/>
        <v>7.0280191497781287E-6</v>
      </c>
      <c r="O19" s="375">
        <f t="shared" si="1"/>
        <v>0</v>
      </c>
      <c r="P19" s="375">
        <f t="shared" si="1"/>
        <v>1.4738657548276825E-5</v>
      </c>
      <c r="Q19" s="375">
        <f t="shared" si="1"/>
        <v>1.4252953043478261E-5</v>
      </c>
      <c r="R19" s="351">
        <f>'Parameters, country spec'!B30</f>
        <v>7.2330000000000005E-2</v>
      </c>
      <c r="S19" s="351">
        <f>'Parameters, country spec'!B48</f>
        <v>3.8059999999999997E-2</v>
      </c>
    </row>
    <row r="20" spans="1:20" x14ac:dyDescent="0.2">
      <c r="A20" s="357"/>
      <c r="B20" s="358" t="s">
        <v>480</v>
      </c>
      <c r="C20" s="359"/>
      <c r="D20" s="360"/>
      <c r="E20" s="360"/>
      <c r="F20" s="376">
        <f>SUMPRODUCT(F6:F8,R6:R8)+SUMPRODUCT(F9:F19,R9:R19)/0.87</f>
        <v>6.2766361970845153E-4</v>
      </c>
      <c r="G20" s="376">
        <f>SUMPRODUCT(G6:G8,R6:R8)+SUMPRODUCT(G9:G19,R9:R19)/0.87</f>
        <v>5.419441883212453E-5</v>
      </c>
      <c r="H20" s="376">
        <f>SUMPRODUCT(H6:H8,R6:R8)+SUMPRODUCT(H9:H19,R9:R19)/0.87</f>
        <v>8.521070027501089E-5</v>
      </c>
      <c r="I20" s="376">
        <f>SUMPRODUCT(I6:I8,R6:R8)+SUMPRODUCT(I9:I19,R9:R19)/0.87</f>
        <v>0</v>
      </c>
      <c r="J20" s="376">
        <f>SUMPRODUCT(J6:J8,R6:R8)+SUMPRODUCT(J9:J19,R9:R19)/0.87</f>
        <v>0</v>
      </c>
      <c r="K20" s="376">
        <f>SUMPRODUCT(K6:K8,R6:R8)+SUMPRODUCT(K9:K19,R9:R19)/0.87</f>
        <v>8.8575482113014192E-6</v>
      </c>
      <c r="L20" s="376">
        <f>SUMPRODUCT(L6:L8,R6:R8)+SUMPRODUCT(L9:L19,R9:R19)/0.87</f>
        <v>0</v>
      </c>
      <c r="M20" s="376">
        <f>SUMPRODUCT(M6:M8,R6:R8)+SUMPRODUCT(M9:M19,R9:R19)/0.87</f>
        <v>1.5088163054546573E-7</v>
      </c>
      <c r="N20" s="376">
        <f>SUMPRODUCT(N6:N8,R6:R8)+SUMPRODUCT(N9:N19,R9:R19)/0.87</f>
        <v>8.6624779021627364E-6</v>
      </c>
      <c r="O20" s="376">
        <f>SUMPRODUCT(O6:O8,R6:R8)+SUMPRODUCT(O9:O19,R9:R19)/0.87</f>
        <v>0</v>
      </c>
      <c r="P20" s="376">
        <f>SUMPRODUCT(P6:P8,R6:R8)+SUMPRODUCT(P9:P19,R9:R19)/0.87</f>
        <v>4.5301992718246403E-4</v>
      </c>
      <c r="Q20" s="376">
        <f>SUMPRODUCT(Q6:Q8,R6:R8)+SUMPRODUCT(Q9:Q19,R9:R19)/0.87</f>
        <v>1.7567665674842579E-5</v>
      </c>
      <c r="R20" s="362"/>
      <c r="S20" s="362"/>
    </row>
    <row r="21" spans="1:20" x14ac:dyDescent="0.2">
      <c r="A21" s="363"/>
      <c r="B21" s="364" t="s">
        <v>481</v>
      </c>
      <c r="C21" s="365"/>
      <c r="D21" s="366"/>
      <c r="E21" s="366"/>
      <c r="F21" s="377">
        <f>SUMPRODUCT(F6:F8,S6:S8)+SUMPRODUCT(F9:F19,S9:S19)/0.87</f>
        <v>5.2094233795278732E-4</v>
      </c>
      <c r="G21" s="377">
        <f>SUMPRODUCT(G6:G8,S6:S8)+SUMPRODUCT(G9:G19,S9:S19)/0.87</f>
        <v>1.7241182280657721E-5</v>
      </c>
      <c r="H21" s="377">
        <f>SUMPRODUCT(H6:H8,S6:S8)+SUMPRODUCT(H9:H19,S9:S19)/0.87</f>
        <v>9.135153459525439E-5</v>
      </c>
      <c r="I21" s="377">
        <f>SUMPRODUCT(I6:I8,S6:S8)+SUMPRODUCT(I9:I19,S9:S19)/0.87</f>
        <v>0</v>
      </c>
      <c r="J21" s="377">
        <f>SUMPRODUCT(J6:J8,S6:S8)+SUMPRODUCT(J9:J19,S9:S19)/0.87</f>
        <v>0</v>
      </c>
      <c r="K21" s="377">
        <f>SUMPRODUCT(K6:K8,S6:S8)+SUMPRODUCT(K9:K19,S9:S19)/0.87</f>
        <v>6.3936483579424174E-6</v>
      </c>
      <c r="L21" s="377">
        <f>SUMPRODUCT(L6:L8,S6:S8)+SUMPRODUCT(L9:L19,S9:S19)/0.87</f>
        <v>0</v>
      </c>
      <c r="M21" s="377">
        <f>SUMPRODUCT(M6:M8,S6:S8)+SUMPRODUCT(M9:M19,S9:S19)/0.87</f>
        <v>3.7881475247787382E-8</v>
      </c>
      <c r="N21" s="377">
        <f>SUMPRODUCT(N6:N8,S6:S8)+SUMPRODUCT(N9:N19,S9:S19)/0.87</f>
        <v>3.0055813325152155E-6</v>
      </c>
      <c r="O21" s="377">
        <f>SUMPRODUCT(O6:O8,S6:S8)+SUMPRODUCT(O9:O19,S9:S19)/0.87</f>
        <v>0</v>
      </c>
      <c r="P21" s="377">
        <f>SUMPRODUCT(P6:P8,S6:S8)+SUMPRODUCT(P9:P19,S9:S19)/0.87</f>
        <v>4.0107195268802132E-4</v>
      </c>
      <c r="Q21" s="377">
        <f>SUMPRODUCT(Q6:Q8,S6:S8)+SUMPRODUCT(Q9:Q19,S9:S19)/0.87</f>
        <v>1.8405572231484257E-6</v>
      </c>
      <c r="R21" s="368"/>
      <c r="S21" s="368"/>
    </row>
    <row r="22" spans="1:20" x14ac:dyDescent="0.2">
      <c r="B22" s="58" t="s">
        <v>264</v>
      </c>
      <c r="C22" s="18" t="s">
        <v>463</v>
      </c>
      <c r="D22" s="349" t="s">
        <v>45</v>
      </c>
      <c r="E22" s="349" t="s">
        <v>46</v>
      </c>
      <c r="F22" s="371">
        <f t="shared" ref="F22:F35" si="2">SUM(G22:Q22)</f>
        <v>1.0080496116051472E-4</v>
      </c>
      <c r="G22" s="372">
        <f>'Forage crops, CF'!F14</f>
        <v>0</v>
      </c>
      <c r="H22" s="372">
        <f>'Forage crops, CF'!G14</f>
        <v>9.5000000000000005E-5</v>
      </c>
      <c r="I22" s="372">
        <f>'Forage crops, CF'!H14</f>
        <v>0</v>
      </c>
      <c r="J22" s="372">
        <f>'Forage crops, CF'!I14</f>
        <v>0</v>
      </c>
      <c r="K22" s="372">
        <f>'Forage crops, CF'!J14</f>
        <v>5.8049611605147225E-6</v>
      </c>
      <c r="L22" s="372">
        <f>'Forage crops, CF'!K14</f>
        <v>0</v>
      </c>
      <c r="M22" s="372">
        <f>'Forage crops, CF'!L14</f>
        <v>0</v>
      </c>
      <c r="N22" s="372">
        <f>'Forage crops, CF'!M14</f>
        <v>0</v>
      </c>
      <c r="O22" s="372">
        <f>'Forage crops, CF'!N14</f>
        <v>0</v>
      </c>
      <c r="P22" s="372">
        <f>'Forage crops, CF'!O14</f>
        <v>0</v>
      </c>
      <c r="Q22" s="372">
        <f>'Forage crops, CF'!P14</f>
        <v>0</v>
      </c>
      <c r="R22" s="351">
        <f>'Parameters, country spec'!C17</f>
        <v>0.13769293067827201</v>
      </c>
      <c r="S22" s="351">
        <f>'Parameters, country spec'!C35</f>
        <v>0.18889688285610401</v>
      </c>
    </row>
    <row r="23" spans="1:20" x14ac:dyDescent="0.2">
      <c r="B23" s="58" t="s">
        <v>268</v>
      </c>
      <c r="C23" s="18" t="s">
        <v>463</v>
      </c>
      <c r="D23" s="349" t="s">
        <v>45</v>
      </c>
      <c r="E23" s="349" t="s">
        <v>46</v>
      </c>
      <c r="F23" s="371">
        <f t="shared" si="2"/>
        <v>8.1209423203819483E-4</v>
      </c>
      <c r="G23" s="372">
        <f>'Forage crops, CF'!F74</f>
        <v>0</v>
      </c>
      <c r="H23" s="372">
        <f>'Forage crops, CF'!G74</f>
        <v>9.5000000000000005E-5</v>
      </c>
      <c r="I23" s="372"/>
      <c r="J23" s="372"/>
      <c r="K23" s="372">
        <f>'Forage crops, CF'!J74</f>
        <v>7.281232857655495E-6</v>
      </c>
      <c r="L23" s="372"/>
      <c r="M23" s="372">
        <f>'Forage crops, CF'!L74</f>
        <v>1.8129991805393337E-6</v>
      </c>
      <c r="N23" s="372">
        <f>'Forage crops, CF'!M74</f>
        <v>0</v>
      </c>
      <c r="O23" s="372"/>
      <c r="P23" s="372">
        <f>'Forage crops, CF'!O74</f>
        <v>7.0799999999999997E-4</v>
      </c>
      <c r="Q23" s="372"/>
      <c r="R23" s="351">
        <f>'Parameters, country spec'!C18</f>
        <v>0.26328982040576598</v>
      </c>
      <c r="S23" s="351">
        <f>'Parameters, country spec'!C36</f>
        <v>0.36965765773619202</v>
      </c>
    </row>
    <row r="24" spans="1:20" x14ac:dyDescent="0.2">
      <c r="B24" s="58" t="s">
        <v>465</v>
      </c>
      <c r="C24" s="18" t="s">
        <v>463</v>
      </c>
      <c r="D24" s="349" t="s">
        <v>45</v>
      </c>
      <c r="E24" s="349" t="s">
        <v>46</v>
      </c>
      <c r="F24" s="371">
        <f t="shared" si="2"/>
        <v>8.0879345115612259E-4</v>
      </c>
      <c r="G24" s="372">
        <f>'Forage crops, CF'!F134*'Forage, input data per ha'!$D$79+'Forage crops, CF'!F194*'Forage, input data per ha'!$E$79</f>
        <v>0</v>
      </c>
      <c r="H24" s="372">
        <f>'Forage crops, CF'!G134*'Forage, input data per ha'!$D$79+'Forage crops, CF'!G194*'Forage, input data per ha'!$E$79</f>
        <v>9.5000000000000005E-5</v>
      </c>
      <c r="I24" s="372"/>
      <c r="J24" s="372"/>
      <c r="K24" s="372">
        <f>'Forage crops, CF'!J134*'Forage, input data per ha'!$D$79+'Forage crops, CF'!J194*'Forage, input data per ha'!$E$79</f>
        <v>5.7934511561224978E-6</v>
      </c>
      <c r="L24" s="372"/>
      <c r="M24" s="372">
        <f>'Forage crops, CF'!L134*'Forage, input data per ha'!$D$79+'Forage crops, CF'!L194*'Forage, input data per ha'!$E$79</f>
        <v>0</v>
      </c>
      <c r="N24" s="372">
        <f>'Forage crops, CF'!M134*'Forage, input data per ha'!$D$79+'Forage crops, CF'!M194*'Forage, input data per ha'!$E$79</f>
        <v>0</v>
      </c>
      <c r="O24" s="372"/>
      <c r="P24" s="372">
        <f>'Forage crops, CF'!O134*'Forage, input data per ha'!$D$79+'Forage crops, CF'!O194*'Forage, input data per ha'!$E$79</f>
        <v>7.0800000000000008E-4</v>
      </c>
      <c r="Q24" s="372"/>
      <c r="R24" s="351">
        <f>'Parameters, country spec'!C19</f>
        <v>0.218490339842211</v>
      </c>
      <c r="S24" s="351">
        <f>'Parameters, country spec'!C37</f>
        <v>0.23243726980023599</v>
      </c>
    </row>
    <row r="25" spans="1:20" x14ac:dyDescent="0.2">
      <c r="A25" s="353" t="s">
        <v>466</v>
      </c>
      <c r="B25" s="18" t="s">
        <v>274</v>
      </c>
      <c r="C25" s="18" t="s">
        <v>467</v>
      </c>
      <c r="D25" s="349" t="s">
        <v>45</v>
      </c>
      <c r="E25" s="349" t="s">
        <v>46</v>
      </c>
      <c r="F25" s="371">
        <f t="shared" si="2"/>
        <v>1.2723432874739088E-4</v>
      </c>
      <c r="G25" s="373">
        <v>0</v>
      </c>
      <c r="H25" s="373">
        <v>9.5000000000000005E-5</v>
      </c>
      <c r="I25" s="373">
        <v>0</v>
      </c>
      <c r="J25" s="373"/>
      <c r="K25" s="373">
        <v>1.4286171732003099E-5</v>
      </c>
      <c r="L25" s="373">
        <v>0</v>
      </c>
      <c r="M25" s="373">
        <v>6.3275175978860003E-10</v>
      </c>
      <c r="N25" s="373">
        <v>1.7947524263628E-5</v>
      </c>
      <c r="O25" s="373"/>
      <c r="P25" s="373"/>
      <c r="Q25" s="373"/>
      <c r="R25" s="351">
        <f>'Parameters, country spec'!C20</f>
        <v>3.3308654791871999E-2</v>
      </c>
      <c r="S25" s="351">
        <f>'Parameters, country spec'!C38</f>
        <v>9.8050025013408596E-3</v>
      </c>
    </row>
    <row r="26" spans="1:20" x14ac:dyDescent="0.2">
      <c r="A26" s="353" t="s">
        <v>468</v>
      </c>
      <c r="B26" s="18" t="s">
        <v>276</v>
      </c>
      <c r="C26" s="18" t="s">
        <v>467</v>
      </c>
      <c r="D26" s="349" t="s">
        <v>45</v>
      </c>
      <c r="E26" s="349" t="s">
        <v>46</v>
      </c>
      <c r="F26" s="371">
        <f t="shared" si="2"/>
        <v>1.3043464412497476E-4</v>
      </c>
      <c r="G26" s="373">
        <v>0</v>
      </c>
      <c r="H26" s="373">
        <v>9.5000000000000005E-5</v>
      </c>
      <c r="I26" s="373">
        <v>0</v>
      </c>
      <c r="J26" s="373"/>
      <c r="K26" s="373">
        <v>8.0196373769558906E-6</v>
      </c>
      <c r="L26" s="373">
        <v>0</v>
      </c>
      <c r="M26" s="373">
        <v>9.4674824843908693E-6</v>
      </c>
      <c r="N26" s="373">
        <v>1.7947524263628E-5</v>
      </c>
      <c r="O26" s="373"/>
      <c r="P26" s="373"/>
      <c r="Q26" s="373"/>
      <c r="R26" s="351">
        <f>'Parameters, country spec'!C21</f>
        <v>5.4784880420094197E-2</v>
      </c>
      <c r="S26" s="351">
        <f>'Parameters, country spec'!C39</f>
        <v>1.6126916347682999E-2</v>
      </c>
    </row>
    <row r="27" spans="1:20" x14ac:dyDescent="0.2">
      <c r="A27" s="353" t="s">
        <v>469</v>
      </c>
      <c r="B27" s="18" t="s">
        <v>278</v>
      </c>
      <c r="C27" s="18" t="s">
        <v>467</v>
      </c>
      <c r="D27" s="349" t="s">
        <v>45</v>
      </c>
      <c r="E27" s="349" t="s">
        <v>46</v>
      </c>
      <c r="F27" s="371">
        <f t="shared" si="2"/>
        <v>1.3636510111587278E-4</v>
      </c>
      <c r="G27" s="373">
        <v>0</v>
      </c>
      <c r="H27" s="373">
        <v>9.5000000000000005E-5</v>
      </c>
      <c r="I27" s="373">
        <v>0</v>
      </c>
      <c r="J27" s="373"/>
      <c r="K27" s="373">
        <v>1.9833005319278798E-5</v>
      </c>
      <c r="L27" s="373">
        <v>0</v>
      </c>
      <c r="M27" s="373">
        <v>3.5845715329659699E-6</v>
      </c>
      <c r="N27" s="373">
        <v>1.7947524263628E-5</v>
      </c>
      <c r="O27" s="373"/>
      <c r="P27" s="373"/>
      <c r="Q27" s="373"/>
      <c r="R27" s="351">
        <f>'Parameters, country spec'!C22</f>
        <v>3.7744392996760601E-3</v>
      </c>
      <c r="S27" s="351">
        <f>'Parameters, country spec'!C40</f>
        <v>1.1110741938309401E-3</v>
      </c>
    </row>
    <row r="28" spans="1:20" x14ac:dyDescent="0.2">
      <c r="A28" s="353" t="s">
        <v>470</v>
      </c>
      <c r="B28" s="18" t="s">
        <v>280</v>
      </c>
      <c r="C28" s="18" t="s">
        <v>467</v>
      </c>
      <c r="D28" s="349" t="s">
        <v>45</v>
      </c>
      <c r="E28" s="349" t="s">
        <v>46</v>
      </c>
      <c r="F28" s="371">
        <f t="shared" si="2"/>
        <v>1.3385318160415261E-4</v>
      </c>
      <c r="G28" s="373">
        <v>0</v>
      </c>
      <c r="H28" s="373">
        <v>9.5000000000000005E-5</v>
      </c>
      <c r="I28" s="373">
        <v>0</v>
      </c>
      <c r="J28" s="373"/>
      <c r="K28" s="373">
        <v>2.0824119581523299E-5</v>
      </c>
      <c r="L28" s="373">
        <v>0</v>
      </c>
      <c r="M28" s="373">
        <v>8.15377590012958E-8</v>
      </c>
      <c r="N28" s="373">
        <v>1.7947524263628E-5</v>
      </c>
      <c r="O28" s="373"/>
      <c r="P28" s="373"/>
      <c r="Q28" s="373"/>
      <c r="R28" s="351">
        <f>'Parameters, country spec'!C23</f>
        <v>5.7964160617321101E-4</v>
      </c>
      <c r="S28" s="351">
        <f>'Parameters, country spec'!C41</f>
        <v>1.7062794715375299E-4</v>
      </c>
    </row>
    <row r="29" spans="1:20" x14ac:dyDescent="0.2">
      <c r="A29" s="353" t="s">
        <v>471</v>
      </c>
      <c r="B29" s="18" t="s">
        <v>281</v>
      </c>
      <c r="C29" s="18" t="s">
        <v>467</v>
      </c>
      <c r="D29" s="349" t="s">
        <v>45</v>
      </c>
      <c r="E29" s="349" t="s">
        <v>46</v>
      </c>
      <c r="F29" s="371">
        <f t="shared" si="2"/>
        <v>1.2561669774931828E-4</v>
      </c>
      <c r="G29" s="373">
        <v>0</v>
      </c>
      <c r="H29" s="373">
        <v>9.5000000000000005E-5</v>
      </c>
      <c r="I29" s="373">
        <v>0</v>
      </c>
      <c r="J29" s="373"/>
      <c r="K29" s="373">
        <v>1.2616551699637E-5</v>
      </c>
      <c r="L29" s="373">
        <v>0</v>
      </c>
      <c r="M29" s="373">
        <v>5.2621786053292597E-8</v>
      </c>
      <c r="N29" s="373">
        <v>1.7947524263628E-5</v>
      </c>
      <c r="O29" s="373"/>
      <c r="P29" s="373"/>
      <c r="Q29" s="373"/>
      <c r="R29" s="351">
        <f>'Parameters, country spec'!C24</f>
        <v>8.1146523169746507E-2</v>
      </c>
      <c r="S29" s="351">
        <f>'Parameters, country spec'!C42</f>
        <v>2.38869407173746E-2</v>
      </c>
    </row>
    <row r="30" spans="1:20" x14ac:dyDescent="0.2">
      <c r="A30" s="353" t="s">
        <v>472</v>
      </c>
      <c r="B30" s="18" t="s">
        <v>282</v>
      </c>
      <c r="C30" s="18" t="s">
        <v>473</v>
      </c>
      <c r="D30" s="349" t="s">
        <v>45</v>
      </c>
      <c r="E30" s="349" t="s">
        <v>46</v>
      </c>
      <c r="F30" s="371">
        <f t="shared" si="2"/>
        <v>1.5323348809202599E-4</v>
      </c>
      <c r="G30" s="373">
        <v>0</v>
      </c>
      <c r="H30" s="373">
        <v>9.5000000000000005E-5</v>
      </c>
      <c r="I30" s="373">
        <v>0</v>
      </c>
      <c r="J30" s="373"/>
      <c r="K30" s="373">
        <v>2.6539357994497098E-5</v>
      </c>
      <c r="L30" s="373">
        <v>0</v>
      </c>
      <c r="M30" s="373">
        <v>1.3746605833900899E-5</v>
      </c>
      <c r="N30" s="373">
        <v>1.7947524263628E-5</v>
      </c>
      <c r="O30" s="373"/>
      <c r="P30" s="373"/>
      <c r="Q30" s="373"/>
      <c r="R30" s="351">
        <f>'Parameters, country spec'!C25</f>
        <v>0</v>
      </c>
      <c r="S30" s="351">
        <f>'Parameters, country spec'!C43</f>
        <v>0</v>
      </c>
    </row>
    <row r="31" spans="1:20" x14ac:dyDescent="0.2">
      <c r="A31" s="353" t="s">
        <v>474</v>
      </c>
      <c r="B31" s="18" t="s">
        <v>283</v>
      </c>
      <c r="C31" s="18" t="s">
        <v>473</v>
      </c>
      <c r="D31" s="349" t="s">
        <v>45</v>
      </c>
      <c r="E31" s="349" t="s">
        <v>46</v>
      </c>
      <c r="F31" s="371">
        <f t="shared" si="2"/>
        <v>1.6119222279590621E-4</v>
      </c>
      <c r="G31" s="373">
        <v>0</v>
      </c>
      <c r="H31" s="373">
        <v>9.5000000000000005E-5</v>
      </c>
      <c r="I31" s="373">
        <v>0</v>
      </c>
      <c r="J31" s="373"/>
      <c r="K31" s="373">
        <v>3.2556824375567801E-5</v>
      </c>
      <c r="L31" s="373">
        <v>0</v>
      </c>
      <c r="M31" s="373">
        <v>1.5687874156710401E-5</v>
      </c>
      <c r="N31" s="373">
        <v>1.7947524263628E-5</v>
      </c>
      <c r="O31" s="373"/>
      <c r="P31" s="373"/>
      <c r="Q31" s="373"/>
      <c r="R31" s="351">
        <f>'Parameters, country spec'!C26</f>
        <v>0</v>
      </c>
      <c r="S31" s="351">
        <f>'Parameters, country spec'!C44</f>
        <v>0</v>
      </c>
    </row>
    <row r="32" spans="1:20" x14ac:dyDescent="0.2">
      <c r="B32" s="58" t="s">
        <v>284</v>
      </c>
      <c r="C32" s="18" t="s">
        <v>475</v>
      </c>
      <c r="D32" s="349" t="s">
        <v>45</v>
      </c>
      <c r="E32" s="349" t="s">
        <v>46</v>
      </c>
      <c r="F32" s="371">
        <f t="shared" si="2"/>
        <v>4.6478527325651404E-4</v>
      </c>
      <c r="G32" s="372">
        <f>'Off-farm feed'!$F$75</f>
        <v>3.0425509539765735E-4</v>
      </c>
      <c r="H32" s="372">
        <f>'Off-farm feed'!$G$75</f>
        <v>4.5862068965517246E-5</v>
      </c>
      <c r="I32" s="372"/>
      <c r="J32" s="372"/>
      <c r="K32" s="372">
        <f>'Off-farm feed'!$J$75</f>
        <v>1.0936279334641704E-5</v>
      </c>
      <c r="L32" s="372"/>
      <c r="M32" s="372">
        <f>'Off-farm feed'!$L$75</f>
        <v>6.4606960551724142E-7</v>
      </c>
      <c r="N32" s="372">
        <f>'Off-farm feed'!$M$75</f>
        <v>2.1884761697575211E-5</v>
      </c>
      <c r="O32" s="372"/>
      <c r="P32" s="372">
        <f>'Off-farm feed'!$O$75</f>
        <v>5.7027085212127035E-5</v>
      </c>
      <c r="Q32" s="372">
        <f>'Off-farm feed'!$P$75</f>
        <v>2.4173913043478263E-5</v>
      </c>
      <c r="R32" s="351">
        <f>'Parameters, country spec'!C27</f>
        <v>4.6898421015534798E-2</v>
      </c>
      <c r="S32" s="351">
        <f>'Parameters, country spec'!C45</f>
        <v>3.0917251771110502E-2</v>
      </c>
    </row>
    <row r="33" spans="1:19" x14ac:dyDescent="0.2">
      <c r="B33" s="58" t="s">
        <v>476</v>
      </c>
      <c r="C33" s="18" t="s">
        <v>475</v>
      </c>
      <c r="D33" s="349" t="s">
        <v>45</v>
      </c>
      <c r="E33" s="349" t="s">
        <v>46</v>
      </c>
      <c r="F33" s="371">
        <f t="shared" si="2"/>
        <v>4.7266553697523944E-4</v>
      </c>
      <c r="G33" s="372">
        <f>'Off-farm feed'!$F$24</f>
        <v>1.5603516238625262E-5</v>
      </c>
      <c r="H33" s="372">
        <f>'Off-farm feed'!$G$24</f>
        <v>7.5304878048780503E-5</v>
      </c>
      <c r="I33" s="372"/>
      <c r="J33" s="372"/>
      <c r="K33" s="372">
        <f>'Off-farm feed'!$J$24</f>
        <v>1.9084590744355897E-5</v>
      </c>
      <c r="L33" s="372"/>
      <c r="M33" s="372">
        <f>'Off-farm feed'!$L$24</f>
        <v>5.9672097439024396E-7</v>
      </c>
      <c r="N33" s="372">
        <f>'Off-farm feed'!$M$24</f>
        <v>2.3084271612619512E-5</v>
      </c>
      <c r="O33" s="372"/>
      <c r="P33" s="372">
        <f>'Off-farm feed'!$O$24</f>
        <v>1.28991559356468E-4</v>
      </c>
      <c r="Q33" s="372">
        <f>'Off-farm feed'!$P$24</f>
        <v>2.1000000000000001E-4</v>
      </c>
      <c r="R33" s="351">
        <f>'Parameters, country spec'!C28</f>
        <v>4.2253535396943397E-2</v>
      </c>
      <c r="S33" s="351">
        <f>'Parameters, country spec'!C46</f>
        <v>2.7855163642864798E-2</v>
      </c>
    </row>
    <row r="34" spans="1:19" x14ac:dyDescent="0.2">
      <c r="B34" s="18" t="s">
        <v>286</v>
      </c>
      <c r="C34" s="18" t="s">
        <v>477</v>
      </c>
      <c r="D34" s="349" t="s">
        <v>45</v>
      </c>
      <c r="E34" s="349" t="s">
        <v>46</v>
      </c>
      <c r="F34" s="374">
        <f t="shared" si="2"/>
        <v>3.2110107183266001E-4</v>
      </c>
      <c r="G34" s="373">
        <v>0</v>
      </c>
      <c r="H34" s="373">
        <v>8.5499999999999995E-6</v>
      </c>
      <c r="I34" s="53">
        <v>0</v>
      </c>
      <c r="J34" s="53"/>
      <c r="K34" s="373">
        <v>1.13548965296733E-6</v>
      </c>
      <c r="L34" s="53">
        <v>0</v>
      </c>
      <c r="M34" s="53">
        <v>4.7359607447963301E-9</v>
      </c>
      <c r="N34" s="373">
        <v>1.61527718372652E-6</v>
      </c>
      <c r="O34" s="373"/>
      <c r="P34" s="373">
        <v>3.05272119125027E-4</v>
      </c>
      <c r="Q34" s="373">
        <v>4.5234499101943599E-6</v>
      </c>
      <c r="R34" s="351">
        <f>'Parameters, country spec'!C29</f>
        <v>9.1933196022350699E-2</v>
      </c>
      <c r="S34" s="351">
        <f>'Parameters, country spec'!C47</f>
        <v>5.64996941188496E-2</v>
      </c>
    </row>
    <row r="35" spans="1:19" x14ac:dyDescent="0.2">
      <c r="A35" s="354"/>
      <c r="B35" s="18" t="s">
        <v>478</v>
      </c>
      <c r="C35" s="355" t="s">
        <v>479</v>
      </c>
      <c r="D35" s="349" t="s">
        <v>45</v>
      </c>
      <c r="E35" s="349" t="s">
        <v>46</v>
      </c>
      <c r="F35" s="371">
        <f t="shared" si="2"/>
        <v>6.3938983083804192E-5</v>
      </c>
      <c r="G35" s="375">
        <f t="shared" ref="G35:Q35" si="3">SUMPRODUCT(G25:G33,$R25:$R33)</f>
        <v>1.4928387285786572E-5</v>
      </c>
      <c r="H35" s="375">
        <f t="shared" si="3"/>
        <v>2.1824199181503363E-5</v>
      </c>
      <c r="I35" s="375">
        <f t="shared" si="3"/>
        <v>0</v>
      </c>
      <c r="J35" s="375">
        <f t="shared" si="3"/>
        <v>0</v>
      </c>
      <c r="K35" s="375">
        <f t="shared" si="3"/>
        <v>3.3452120060061235E-6</v>
      </c>
      <c r="L35" s="375">
        <f t="shared" si="3"/>
        <v>0</v>
      </c>
      <c r="M35" s="375">
        <f t="shared" si="3"/>
        <v>5.9205627240033572E-7</v>
      </c>
      <c r="N35" s="375">
        <f t="shared" si="3"/>
        <v>5.1173378825011438E-6</v>
      </c>
      <c r="O35" s="375">
        <f t="shared" si="3"/>
        <v>0</v>
      </c>
      <c r="P35" s="375">
        <f t="shared" si="3"/>
        <v>8.1248296707425582E-6</v>
      </c>
      <c r="Q35" s="375">
        <f t="shared" si="3"/>
        <v>1.0006960784864085E-5</v>
      </c>
      <c r="R35" s="351">
        <f>'Parameters, country spec'!C30</f>
        <v>2.5847617351359702E-2</v>
      </c>
      <c r="S35" s="351">
        <f>'Parameters, country spec'!C48</f>
        <v>4.2635518367259602E-2</v>
      </c>
    </row>
    <row r="36" spans="1:19" x14ac:dyDescent="0.2">
      <c r="A36" s="357"/>
      <c r="B36" s="358" t="s">
        <v>480</v>
      </c>
      <c r="C36" s="359"/>
      <c r="D36" s="360"/>
      <c r="E36" s="360"/>
      <c r="F36" s="376">
        <f>SUMPRODUCT(F22:F24,R22:R24)+SUMPRODUCT(F25:F35,R25:R35)/0.87</f>
        <v>5.1373339567492755E-4</v>
      </c>
      <c r="G36" s="376">
        <f>SUMPRODUCT(G22:G24,R22:R24)+SUMPRODUCT(G25:G35,R25:R35)/0.87</f>
        <v>1.7602586813818951E-5</v>
      </c>
      <c r="H36" s="376">
        <f>SUMPRODUCT(H22:H24,R22:R24)+SUMPRODUCT(H25:H35,R25:R35)/0.87</f>
        <v>8.5487106347117585E-5</v>
      </c>
      <c r="I36" s="376">
        <f>SUMPRODUCT(I22:I24,R22:R24)+SUMPRODUCT(I25:I35,R25:R35)/0.87</f>
        <v>0</v>
      </c>
      <c r="J36" s="376">
        <f>SUMPRODUCT(J22:J24,R22:R24)+SUMPRODUCT(J25:J35,R25:R35)/0.87</f>
        <v>0</v>
      </c>
      <c r="K36" s="376">
        <f>SUMPRODUCT(K22:K24,R22:R24)+SUMPRODUCT(K25:K35,R25:R35)/0.87</f>
        <v>8.0466344982156264E-6</v>
      </c>
      <c r="L36" s="376">
        <f>SUMPRODUCT(L22:L24,R22:R24)+SUMPRODUCT(L25:L35,R25:R35)/0.87</f>
        <v>0</v>
      </c>
      <c r="M36" s="376">
        <f>SUMPRODUCT(M22:M24,R22:R24)+SUMPRODUCT(M25:M35,R25:R35)/0.87</f>
        <v>1.1759590658668039E-6</v>
      </c>
      <c r="N36" s="376">
        <f>SUMPRODUCT(N22:N24,R22:R24)+SUMPRODUCT(N25:N35,R25:R35)/0.87</f>
        <v>6.2047200780547254E-6</v>
      </c>
      <c r="O36" s="376">
        <f>SUMPRODUCT(O22:O24,R22:R24)+SUMPRODUCT(O25:O35,R25:R35)/0.87</f>
        <v>0</v>
      </c>
      <c r="P36" s="376">
        <f>SUMPRODUCT(P22:P24,R22:R24)+SUMPRODUCT(P25:P35,R25:R35)/0.87</f>
        <v>3.8293883475073602E-4</v>
      </c>
      <c r="Q36" s="376">
        <f>SUMPRODUCT(Q22:Q24,R22:R24)+SUMPRODUCT(Q25:Q35,R25:R35)/0.87</f>
        <v>1.2277554121117812E-5</v>
      </c>
      <c r="R36" s="362"/>
      <c r="S36" s="369"/>
    </row>
    <row r="37" spans="1:19" x14ac:dyDescent="0.2">
      <c r="A37" s="363"/>
      <c r="B37" s="364" t="s">
        <v>481</v>
      </c>
      <c r="C37" s="365"/>
      <c r="D37" s="366"/>
      <c r="E37" s="366"/>
      <c r="F37" s="377">
        <f>SUMPRODUCT(F22:F24,S22:S24)+SUMPRODUCT(F25:F35,S25:S35)/0.87</f>
        <v>5.7037053643948685E-4</v>
      </c>
      <c r="G37" s="377">
        <f>SUMPRODUCT(G22:G24,S22:S24)+SUMPRODUCT(G25:G35,S25:S35)/0.87</f>
        <v>1.2043505075402688E-5</v>
      </c>
      <c r="H37" s="377">
        <f>SUMPRODUCT(H22:H24,S22:S24)+SUMPRODUCT(H25:H35,S25:S35)/0.87</f>
        <v>8.6389820408068672E-5</v>
      </c>
      <c r="I37" s="377">
        <f>SUMPRODUCT(I22:I24,S22:S24)+SUMPRODUCT(I25:I35,S25:S35)/0.87</f>
        <v>0</v>
      </c>
      <c r="J37" s="377">
        <f>SUMPRODUCT(J22:J24,S22:S24)+SUMPRODUCT(J25:J35,S25:S35)/0.87</f>
        <v>0</v>
      </c>
      <c r="K37" s="377">
        <f>SUMPRODUCT(K22:K24,S22:S24)+SUMPRODUCT(K25:K35,S25:S35)/0.87</f>
        <v>7.0575575285191339E-6</v>
      </c>
      <c r="L37" s="377">
        <f>SUMPRODUCT(L22:L24,S22:S24)+SUMPRODUCT(L25:L35,S25:S35)/0.87</f>
        <v>0</v>
      </c>
      <c r="M37" s="377">
        <f>SUMPRODUCT(M22:M24,S22:S24)+SUMPRODUCT(M25:M35,S25:S35)/0.87</f>
        <v>9.2311750948464238E-7</v>
      </c>
      <c r="N37" s="377">
        <f>SUMPRODUCT(N22:N24,S22:S24)+SUMPRODUCT(N25:N35,S25:S35)/0.87</f>
        <v>2.9266717723073315E-6</v>
      </c>
      <c r="O37" s="377">
        <f>SUMPRODUCT(O22:O24,S22:S24)+SUMPRODUCT(O25:O35,S25:S35)/0.87</f>
        <v>0</v>
      </c>
      <c r="P37" s="377">
        <f>SUMPRODUCT(P22:P24,S22:S24)+SUMPRODUCT(P25:P35,S25:S35)/0.87</f>
        <v>4.5266296665433524E-4</v>
      </c>
      <c r="Q37" s="377">
        <f>SUMPRODUCT(Q22:Q24,S22:S24)+SUMPRODUCT(Q25:Q35,S25:S35)/0.87</f>
        <v>8.366897491369191E-6</v>
      </c>
      <c r="R37" s="368"/>
      <c r="S37" s="368"/>
    </row>
    <row r="38" spans="1:19" x14ac:dyDescent="0.2">
      <c r="B38" s="58" t="s">
        <v>264</v>
      </c>
      <c r="C38" s="18" t="s">
        <v>463</v>
      </c>
      <c r="D38" s="349" t="s">
        <v>47</v>
      </c>
      <c r="E38" s="349" t="s">
        <v>48</v>
      </c>
      <c r="F38" s="371">
        <f t="shared" ref="F38:F51" si="4">SUM(G38:Q38)</f>
        <v>1.0083081002527282E-4</v>
      </c>
      <c r="G38" s="372">
        <f>'Forage crops, CF'!F19</f>
        <v>0</v>
      </c>
      <c r="H38" s="372">
        <f>'Forage crops, CF'!G19</f>
        <v>9.5000000000000005E-5</v>
      </c>
      <c r="I38" s="372">
        <f>'Forage crops, CF'!H19</f>
        <v>0</v>
      </c>
      <c r="J38" s="372">
        <f>'Forage crops, CF'!I19</f>
        <v>0</v>
      </c>
      <c r="K38" s="372">
        <f>'Forage crops, CF'!J19</f>
        <v>5.8308100252728102E-6</v>
      </c>
      <c r="L38" s="372">
        <f>'Forage crops, CF'!K19</f>
        <v>0</v>
      </c>
      <c r="M38" s="372">
        <f>'Forage crops, CF'!L19</f>
        <v>0</v>
      </c>
      <c r="N38" s="372">
        <f>'Forage crops, CF'!M19</f>
        <v>0</v>
      </c>
      <c r="O38" s="372">
        <f>'Forage crops, CF'!N19</f>
        <v>0</v>
      </c>
      <c r="P38" s="372">
        <f>'Forage crops, CF'!O19</f>
        <v>0</v>
      </c>
      <c r="Q38" s="372">
        <f>'Forage crops, CF'!P19</f>
        <v>0</v>
      </c>
      <c r="R38" s="351">
        <f>'Parameters, country spec'!D17</f>
        <v>0.34769783444479402</v>
      </c>
      <c r="S38" s="351">
        <f>'Parameters, country spec'!D35</f>
        <v>0.26457370102986</v>
      </c>
    </row>
    <row r="39" spans="1:19" x14ac:dyDescent="0.2">
      <c r="B39" s="58" t="s">
        <v>268</v>
      </c>
      <c r="C39" s="18" t="s">
        <v>463</v>
      </c>
      <c r="D39" s="349" t="s">
        <v>47</v>
      </c>
      <c r="E39" s="349" t="s">
        <v>48</v>
      </c>
      <c r="F39" s="371">
        <f t="shared" si="4"/>
        <v>8.0896197509493055E-4</v>
      </c>
      <c r="G39" s="372">
        <f>'Forage crops, CF'!F79</f>
        <v>0</v>
      </c>
      <c r="H39" s="372">
        <f>'Forage crops, CF'!G79</f>
        <v>9.5000000000000005E-5</v>
      </c>
      <c r="I39" s="372"/>
      <c r="J39" s="372"/>
      <c r="K39" s="372">
        <f>'Forage crops, CF'!J79</f>
        <v>5.9290047304648181E-6</v>
      </c>
      <c r="L39" s="372"/>
      <c r="M39" s="372">
        <f>'Forage crops, CF'!L79</f>
        <v>3.2970364465724893E-8</v>
      </c>
      <c r="N39" s="372">
        <f>'Forage crops, CF'!M79</f>
        <v>0</v>
      </c>
      <c r="O39" s="372"/>
      <c r="P39" s="372">
        <f>'Forage crops, CF'!O79</f>
        <v>7.0799999999999997E-4</v>
      </c>
      <c r="Q39" s="372"/>
      <c r="R39" s="351">
        <f>'Parameters, country spec'!D18</f>
        <v>0.46608419293585401</v>
      </c>
      <c r="S39" s="351">
        <f>'Parameters, country spec'!D36</f>
        <v>0.47771254487501502</v>
      </c>
    </row>
    <row r="40" spans="1:19" x14ac:dyDescent="0.2">
      <c r="B40" s="58" t="s">
        <v>465</v>
      </c>
      <c r="C40" s="18" t="s">
        <v>463</v>
      </c>
      <c r="D40" s="349" t="s">
        <v>47</v>
      </c>
      <c r="E40" s="349" t="s">
        <v>48</v>
      </c>
      <c r="F40" s="371">
        <f t="shared" si="4"/>
        <v>8.0905518508972039E-4</v>
      </c>
      <c r="G40" s="372">
        <f>'Forage crops, CF'!F139*'Forage, input data per ha'!$D$80+'Forage crops, CF'!F199*'Forage, input data per ha'!$E$80</f>
        <v>0</v>
      </c>
      <c r="H40" s="372">
        <f>'Forage crops, CF'!G139*'Forage, input data per ha'!$D$80+'Forage crops, CF'!G199*'Forage, input data per ha'!$E$80</f>
        <v>9.5000000000000005E-5</v>
      </c>
      <c r="I40" s="372"/>
      <c r="J40" s="372"/>
      <c r="K40" s="372">
        <f>'Forage crops, CF'!J139*'Forage, input data per ha'!$D$80+'Forage crops, CF'!J199*'Forage, input data per ha'!$E$80</f>
        <v>6.0551850897204156E-6</v>
      </c>
      <c r="L40" s="372"/>
      <c r="M40" s="372">
        <f>'Forage crops, CF'!L139*'Forage, input data per ha'!$D$80+'Forage crops, CF'!L199*'Forage, input data per ha'!$E$80</f>
        <v>0</v>
      </c>
      <c r="N40" s="372">
        <f>'Forage crops, CF'!M139*'Forage, input data per ha'!$D$80+'Forage crops, CF'!M199*'Forage, input data per ha'!$E$80</f>
        <v>0</v>
      </c>
      <c r="O40" s="372"/>
      <c r="P40" s="372">
        <f>'Forage crops, CF'!O139*'Forage, input data per ha'!$D$80+'Forage crops, CF'!O199*'Forage, input data per ha'!$E$80</f>
        <v>7.0799999999999997E-4</v>
      </c>
      <c r="Q40" s="372"/>
      <c r="R40" s="351">
        <f>'Parameters, country spec'!D19</f>
        <v>2.0074092559238799E-2</v>
      </c>
      <c r="S40" s="351">
        <f>'Parameters, country spec'!D37</f>
        <v>0.13883749692306399</v>
      </c>
    </row>
    <row r="41" spans="1:19" x14ac:dyDescent="0.2">
      <c r="A41" s="353" t="s">
        <v>466</v>
      </c>
      <c r="B41" s="18" t="s">
        <v>274</v>
      </c>
      <c r="C41" s="18" t="s">
        <v>467</v>
      </c>
      <c r="D41" s="349" t="s">
        <v>47</v>
      </c>
      <c r="E41" s="349" t="s">
        <v>48</v>
      </c>
      <c r="F41" s="371">
        <f t="shared" si="4"/>
        <v>1.3808951704712943E-4</v>
      </c>
      <c r="G41" s="373">
        <v>0</v>
      </c>
      <c r="H41" s="373">
        <v>9.5000000000000005E-5</v>
      </c>
      <c r="I41" s="373">
        <v>0</v>
      </c>
      <c r="J41" s="373"/>
      <c r="K41" s="373">
        <v>1.27144571375721E-5</v>
      </c>
      <c r="L41" s="373">
        <v>0</v>
      </c>
      <c r="M41" s="373">
        <v>9.6438568669313804E-8</v>
      </c>
      <c r="N41" s="373">
        <v>3.0278621340887999E-5</v>
      </c>
      <c r="O41" s="373"/>
      <c r="P41" s="373"/>
      <c r="Q41" s="373"/>
      <c r="R41" s="351">
        <f>'Parameters, country spec'!D20</f>
        <v>6.1781281889507905E-4</v>
      </c>
      <c r="S41" s="351">
        <f>'Parameters, country spec'!D38</f>
        <v>1.2989163562948001E-3</v>
      </c>
    </row>
    <row r="42" spans="1:19" x14ac:dyDescent="0.2">
      <c r="A42" s="353" t="s">
        <v>468</v>
      </c>
      <c r="B42" s="18" t="s">
        <v>276</v>
      </c>
      <c r="C42" s="18" t="s">
        <v>467</v>
      </c>
      <c r="D42" s="349" t="s">
        <v>47</v>
      </c>
      <c r="E42" s="349" t="s">
        <v>48</v>
      </c>
      <c r="F42" s="371">
        <f t="shared" si="4"/>
        <v>1.3426469564591439E-4</v>
      </c>
      <c r="G42" s="373">
        <v>0</v>
      </c>
      <c r="H42" s="373">
        <v>9.5000000000000005E-5</v>
      </c>
      <c r="I42" s="373">
        <v>0</v>
      </c>
      <c r="J42" s="373"/>
      <c r="K42" s="373">
        <v>7.39091652636114E-6</v>
      </c>
      <c r="L42" s="373">
        <v>0</v>
      </c>
      <c r="M42" s="373">
        <v>1.59515777866526E-6</v>
      </c>
      <c r="N42" s="373">
        <v>3.0278621340887999E-5</v>
      </c>
      <c r="O42" s="373"/>
      <c r="P42" s="373"/>
      <c r="Q42" s="373"/>
      <c r="R42" s="351">
        <f>'Parameters, country spec'!D21</f>
        <v>9.1981189774538203E-4</v>
      </c>
      <c r="S42" s="351">
        <f>'Parameters, country spec'!D39</f>
        <v>1.9338522642941001E-3</v>
      </c>
    </row>
    <row r="43" spans="1:19" x14ac:dyDescent="0.2">
      <c r="A43" s="353" t="s">
        <v>469</v>
      </c>
      <c r="B43" s="18" t="s">
        <v>278</v>
      </c>
      <c r="C43" s="18" t="s">
        <v>467</v>
      </c>
      <c r="D43" s="349" t="s">
        <v>47</v>
      </c>
      <c r="E43" s="349" t="s">
        <v>48</v>
      </c>
      <c r="F43" s="371">
        <f t="shared" si="4"/>
        <v>1.4437973229630417E-4</v>
      </c>
      <c r="G43" s="373">
        <v>0</v>
      </c>
      <c r="H43" s="373">
        <v>9.5000000000000005E-5</v>
      </c>
      <c r="I43" s="373">
        <v>0</v>
      </c>
      <c r="J43" s="373"/>
      <c r="K43" s="373">
        <v>1.9032928238950399E-5</v>
      </c>
      <c r="L43" s="373">
        <v>0</v>
      </c>
      <c r="M43" s="373">
        <v>6.8182716465758402E-8</v>
      </c>
      <c r="N43" s="373">
        <v>3.0278621340887999E-5</v>
      </c>
      <c r="O43" s="373"/>
      <c r="P43" s="373"/>
      <c r="Q43" s="373"/>
      <c r="R43" s="351">
        <f>'Parameters, country spec'!D22</f>
        <v>1.2297794835772801E-7</v>
      </c>
      <c r="S43" s="351">
        <f>'Parameters, country spec'!D40</f>
        <v>2.58554211857813E-7</v>
      </c>
    </row>
    <row r="44" spans="1:19" x14ac:dyDescent="0.2">
      <c r="A44" s="353" t="s">
        <v>470</v>
      </c>
      <c r="B44" s="18" t="s">
        <v>280</v>
      </c>
      <c r="C44" s="18" t="s">
        <v>467</v>
      </c>
      <c r="D44" s="349" t="s">
        <v>47</v>
      </c>
      <c r="E44" s="349" t="s">
        <v>48</v>
      </c>
      <c r="F44" s="371">
        <f t="shared" si="4"/>
        <v>1.4170867484792954E-4</v>
      </c>
      <c r="G44" s="373">
        <v>0</v>
      </c>
      <c r="H44" s="373">
        <v>9.5000000000000005E-5</v>
      </c>
      <c r="I44" s="373">
        <v>0</v>
      </c>
      <c r="J44" s="373"/>
      <c r="K44" s="373">
        <v>1.6430050351224899E-5</v>
      </c>
      <c r="L44" s="373">
        <v>0</v>
      </c>
      <c r="M44" s="373">
        <v>3.1558166394000002E-12</v>
      </c>
      <c r="N44" s="373">
        <v>3.0278621340887999E-5</v>
      </c>
      <c r="O44" s="373"/>
      <c r="P44" s="373"/>
      <c r="Q44" s="373"/>
      <c r="R44" s="351">
        <f>'Parameters, country spec'!D23</f>
        <v>1.0091894798092701E-4</v>
      </c>
      <c r="S44" s="351">
        <f>'Parameters, country spec'!D41</f>
        <v>2.1217635552166401E-4</v>
      </c>
    </row>
    <row r="45" spans="1:19" x14ac:dyDescent="0.2">
      <c r="A45" s="353" t="s">
        <v>471</v>
      </c>
      <c r="B45" s="18" t="s">
        <v>281</v>
      </c>
      <c r="C45" s="18" t="s">
        <v>467</v>
      </c>
      <c r="D45" s="349" t="s">
        <v>47</v>
      </c>
      <c r="E45" s="349" t="s">
        <v>48</v>
      </c>
      <c r="F45" s="371">
        <f t="shared" si="4"/>
        <v>1.3673011818762825E-4</v>
      </c>
      <c r="G45" s="373">
        <v>0</v>
      </c>
      <c r="H45" s="373">
        <v>9.5000000000000005E-5</v>
      </c>
      <c r="I45" s="373">
        <v>0</v>
      </c>
      <c r="J45" s="373"/>
      <c r="K45" s="373">
        <v>1.14514947211153E-5</v>
      </c>
      <c r="L45" s="373">
        <v>0</v>
      </c>
      <c r="M45" s="373">
        <v>2.1256249543999999E-12</v>
      </c>
      <c r="N45" s="373">
        <v>3.0278621340887999E-5</v>
      </c>
      <c r="O45" s="373"/>
      <c r="P45" s="373"/>
      <c r="Q45" s="373"/>
      <c r="R45" s="351">
        <f>'Parameters, country spec'!D24</f>
        <v>2.06359990197024E-3</v>
      </c>
      <c r="S45" s="351">
        <f>'Parameters, country spec'!D42</f>
        <v>4.3386015699034596E-3</v>
      </c>
    </row>
    <row r="46" spans="1:19" x14ac:dyDescent="0.2">
      <c r="A46" s="353" t="s">
        <v>472</v>
      </c>
      <c r="B46" s="18" t="s">
        <v>282</v>
      </c>
      <c r="C46" s="18" t="s">
        <v>473</v>
      </c>
      <c r="D46" s="349" t="s">
        <v>47</v>
      </c>
      <c r="E46" s="349" t="s">
        <v>48</v>
      </c>
      <c r="F46" s="371">
        <f t="shared" si="4"/>
        <v>1.6245510504097222E-4</v>
      </c>
      <c r="G46" s="373">
        <v>0</v>
      </c>
      <c r="H46" s="373">
        <v>9.5000000000000005E-5</v>
      </c>
      <c r="I46" s="373">
        <v>0</v>
      </c>
      <c r="J46" s="373"/>
      <c r="K46" s="373">
        <v>2.63231503193984E-5</v>
      </c>
      <c r="L46" s="373">
        <v>0</v>
      </c>
      <c r="M46" s="373">
        <v>1.0853333380685801E-5</v>
      </c>
      <c r="N46" s="373">
        <v>3.0278621340887999E-5</v>
      </c>
      <c r="O46" s="373"/>
      <c r="P46" s="373"/>
      <c r="Q46" s="373"/>
      <c r="R46" s="351">
        <f>'Parameters, country spec'!D25</f>
        <v>6.4852934547689298E-4</v>
      </c>
      <c r="S46" s="351">
        <f>'Parameters, country spec'!D43</f>
        <v>2.7051994141606402E-4</v>
      </c>
    </row>
    <row r="47" spans="1:19" x14ac:dyDescent="0.2">
      <c r="A47" s="353" t="s">
        <v>474</v>
      </c>
      <c r="B47" s="18" t="s">
        <v>283</v>
      </c>
      <c r="C47" s="18" t="s">
        <v>473</v>
      </c>
      <c r="D47" s="349" t="s">
        <v>47</v>
      </c>
      <c r="E47" s="349" t="s">
        <v>48</v>
      </c>
      <c r="F47" s="371">
        <f t="shared" si="4"/>
        <v>1.5316694911939586E-4</v>
      </c>
      <c r="G47" s="373">
        <v>0</v>
      </c>
      <c r="H47" s="373">
        <v>9.5000000000000005E-5</v>
      </c>
      <c r="I47" s="373">
        <v>0</v>
      </c>
      <c r="J47" s="373"/>
      <c r="K47" s="373">
        <v>2.11660018530258E-5</v>
      </c>
      <c r="L47" s="373">
        <v>0</v>
      </c>
      <c r="M47" s="373">
        <v>6.7223259254820599E-6</v>
      </c>
      <c r="N47" s="373">
        <v>3.0278621340887999E-5</v>
      </c>
      <c r="O47" s="373"/>
      <c r="P47" s="373"/>
      <c r="Q47" s="373"/>
      <c r="R47" s="351">
        <f>'Parameters, country spec'!D26</f>
        <v>6.3706953318584203E-4</v>
      </c>
      <c r="S47" s="351">
        <f>'Parameters, country spec'!D44</f>
        <v>2.65739729627513E-4</v>
      </c>
    </row>
    <row r="48" spans="1:19" x14ac:dyDescent="0.2">
      <c r="B48" s="58" t="s">
        <v>284</v>
      </c>
      <c r="C48" s="18" t="s">
        <v>475</v>
      </c>
      <c r="D48" s="349" t="s">
        <v>47</v>
      </c>
      <c r="E48" s="349" t="s">
        <v>48</v>
      </c>
      <c r="F48" s="371">
        <f t="shared" si="4"/>
        <v>4.6478527325651372E-4</v>
      </c>
      <c r="G48" s="372">
        <v>3.0425509539765703E-4</v>
      </c>
      <c r="H48" s="372">
        <v>4.58620689655173E-5</v>
      </c>
      <c r="I48" s="372"/>
      <c r="J48" s="372"/>
      <c r="K48" s="372">
        <v>1.0936279334641701E-5</v>
      </c>
      <c r="L48" s="372"/>
      <c r="M48" s="372">
        <v>6.46069605517241E-7</v>
      </c>
      <c r="N48" s="372">
        <v>2.1884761697575201E-5</v>
      </c>
      <c r="O48" s="372"/>
      <c r="P48" s="372">
        <v>5.7027085212127002E-5</v>
      </c>
      <c r="Q48" s="372">
        <v>2.4173913043478301E-5</v>
      </c>
      <c r="R48" s="351">
        <f>'Parameters, country spec'!D27</f>
        <v>6.5581216657201596E-2</v>
      </c>
      <c r="S48" s="351">
        <f>'Parameters, country spec'!D45</f>
        <v>2.7355781220453599E-2</v>
      </c>
    </row>
    <row r="49" spans="1:19" x14ac:dyDescent="0.2">
      <c r="B49" s="58" t="s">
        <v>476</v>
      </c>
      <c r="C49" s="18" t="s">
        <v>475</v>
      </c>
      <c r="D49" s="349" t="s">
        <v>47</v>
      </c>
      <c r="E49" s="349" t="s">
        <v>48</v>
      </c>
      <c r="F49" s="371">
        <f t="shared" si="4"/>
        <v>4.7266553697523949E-4</v>
      </c>
      <c r="G49" s="372">
        <v>1.56035162386253E-5</v>
      </c>
      <c r="H49" s="372">
        <v>7.5304878048780503E-5</v>
      </c>
      <c r="I49" s="372"/>
      <c r="J49" s="372"/>
      <c r="K49" s="372">
        <v>1.9084590744355901E-5</v>
      </c>
      <c r="L49" s="372"/>
      <c r="M49" s="372">
        <v>5.9672097439024396E-7</v>
      </c>
      <c r="N49" s="372">
        <v>2.3084271612619499E-5</v>
      </c>
      <c r="O49" s="372"/>
      <c r="P49" s="372">
        <v>1.28991559356468E-4</v>
      </c>
      <c r="Q49" s="372">
        <v>2.1000000000000001E-4</v>
      </c>
      <c r="R49" s="351">
        <f>'Parameters, country spec'!D28</f>
        <v>6.3014467773449101E-2</v>
      </c>
      <c r="S49" s="351">
        <f>'Parameters, country spec'!D46</f>
        <v>2.6285117627784502E-2</v>
      </c>
    </row>
    <row r="50" spans="1:19" x14ac:dyDescent="0.2">
      <c r="B50" s="18" t="s">
        <v>286</v>
      </c>
      <c r="C50" s="18" t="s">
        <v>477</v>
      </c>
      <c r="D50" s="349" t="s">
        <v>47</v>
      </c>
      <c r="E50" s="349" t="s">
        <v>48</v>
      </c>
      <c r="F50" s="374">
        <f t="shared" si="4"/>
        <v>1.0209971888950971E-3</v>
      </c>
      <c r="G50" s="373">
        <v>0</v>
      </c>
      <c r="H50" s="373">
        <v>8.5499999999999995E-6</v>
      </c>
      <c r="I50" s="53">
        <v>0</v>
      </c>
      <c r="J50" s="53"/>
      <c r="K50" s="373">
        <v>1.03063452490037E-6</v>
      </c>
      <c r="L50" s="53">
        <v>0</v>
      </c>
      <c r="M50" s="53">
        <v>1.9130624589599999E-13</v>
      </c>
      <c r="N50" s="373">
        <v>2.72507592067992E-6</v>
      </c>
      <c r="O50" s="373"/>
      <c r="P50" s="373">
        <v>9.9818289932063491E-4</v>
      </c>
      <c r="Q50" s="373">
        <v>1.05085789375756E-5</v>
      </c>
      <c r="R50" s="351">
        <f>'Parameters, country spec'!D29</f>
        <v>2.8731677883857699E-2</v>
      </c>
      <c r="S50" s="351">
        <f>'Parameters, country spec'!D47</f>
        <v>4.2051693837096303E-2</v>
      </c>
    </row>
    <row r="51" spans="1:19" x14ac:dyDescent="0.2">
      <c r="A51" s="354"/>
      <c r="B51" s="18" t="s">
        <v>478</v>
      </c>
      <c r="C51" s="355" t="s">
        <v>479</v>
      </c>
      <c r="D51" s="349" t="s">
        <v>47</v>
      </c>
      <c r="E51" s="349" t="s">
        <v>48</v>
      </c>
      <c r="F51" s="371">
        <f t="shared" si="4"/>
        <v>6.097417269426098E-5</v>
      </c>
      <c r="G51" s="375">
        <f t="shared" ref="G51:Q51" si="5">SUMPRODUCT(G41:G49,$R41:$R49)</f>
        <v>2.0936666601502629E-5</v>
      </c>
      <c r="H51" s="375">
        <f t="shared" si="5"/>
        <v>8.2268343073677637E-6</v>
      </c>
      <c r="I51" s="375">
        <f t="shared" si="5"/>
        <v>0</v>
      </c>
      <c r="J51" s="375">
        <f t="shared" si="5"/>
        <v>0</v>
      </c>
      <c r="K51" s="375">
        <f t="shared" si="5"/>
        <v>1.9903205382381065E-6</v>
      </c>
      <c r="L51" s="375">
        <f t="shared" si="5"/>
        <v>0</v>
      </c>
      <c r="M51" s="375">
        <f t="shared" si="5"/>
        <v>9.2820218795851673E-8</v>
      </c>
      <c r="N51" s="375">
        <f t="shared" si="5"/>
        <v>3.0408980764353268E-6</v>
      </c>
      <c r="O51" s="375">
        <f t="shared" si="5"/>
        <v>0</v>
      </c>
      <c r="P51" s="375">
        <f t="shared" si="5"/>
        <v>1.1868240090740297E-5</v>
      </c>
      <c r="Q51" s="375">
        <f t="shared" si="5"/>
        <v>1.4818392861181013E-5</v>
      </c>
      <c r="R51" s="351">
        <f>'Parameters, country spec'!D30</f>
        <v>3.8286523224026802E-3</v>
      </c>
      <c r="S51" s="351">
        <f>'Parameters, country spec'!D48</f>
        <v>1.48635997154565E-2</v>
      </c>
    </row>
    <row r="52" spans="1:19" x14ac:dyDescent="0.2">
      <c r="A52" s="357"/>
      <c r="B52" s="358" t="s">
        <v>480</v>
      </c>
      <c r="C52" s="359"/>
      <c r="D52" s="360"/>
      <c r="E52" s="360"/>
      <c r="F52" s="376">
        <f>SUMPRODUCT(F38:F40,R38:R40)+SUMPRODUCT(F41:F51,R41:R51)/0.87</f>
        <v>5.3241602781913379E-4</v>
      </c>
      <c r="G52" s="376">
        <f>SUMPRODUCT(G38:G40,R38:R40)+SUMPRODUCT(G41:G51,R41:R51)/0.87</f>
        <v>2.4157271055988326E-5</v>
      </c>
      <c r="H52" s="376">
        <f>SUMPRODUCT(H38:H40,R38:R40)+SUMPRODUCT(H41:H51,R41:R51)/0.87</f>
        <v>8.8991030062739437E-5</v>
      </c>
      <c r="I52" s="376">
        <f>SUMPRODUCT(I38:I40,R38:R40)+SUMPRODUCT(I41:I51,R41:R51)/0.87</f>
        <v>0</v>
      </c>
      <c r="J52" s="376">
        <f>SUMPRODUCT(J38:J40,R38:R40)+SUMPRODUCT(J41:J51,R41:R51)/0.87</f>
        <v>0</v>
      </c>
      <c r="K52" s="376">
        <f>SUMPRODUCT(K38:K40,R38:R40)+SUMPRODUCT(K41:K51,R41:R51)/0.87</f>
        <v>7.2428480285635154E-6</v>
      </c>
      <c r="L52" s="376">
        <f>SUMPRODUCT(L38:L40,R38:R40)+SUMPRODUCT(L41:L51,R41:R51)/0.87</f>
        <v>0</v>
      </c>
      <c r="M52" s="376">
        <f>SUMPRODUCT(M38:M40,R38:R40)+SUMPRODUCT(M41:M51,R41:R51)/0.87</f>
        <v>1.2246535725149774E-7</v>
      </c>
      <c r="N52" s="376">
        <f>SUMPRODUCT(N38:N40,R38:R40)+SUMPRODUCT(N41:N51,R41:R51)/0.87</f>
        <v>3.5986627833102222E-6</v>
      </c>
      <c r="O52" s="376">
        <f>SUMPRODUCT(O38:O40,R38:R40)+SUMPRODUCT(O41:O51,R41:R51)/0.87</f>
        <v>0</v>
      </c>
      <c r="P52" s="376">
        <f>SUMPRODUCT(P38:P40,R38:R40)+SUMPRODUCT(P41:P51,R41:R51)/0.87</f>
        <v>3.9085885807096498E-4</v>
      </c>
      <c r="Q52" s="376">
        <f>SUMPRODUCT(Q38:Q40,R38:R40)+SUMPRODUCT(Q41:Q51,R41:R51)/0.87</f>
        <v>1.7444892460315821E-5</v>
      </c>
      <c r="R52" s="362"/>
      <c r="S52" s="369"/>
    </row>
    <row r="53" spans="1:19" x14ac:dyDescent="0.2">
      <c r="A53" s="363"/>
      <c r="B53" s="364" t="s">
        <v>481</v>
      </c>
      <c r="C53" s="365"/>
      <c r="D53" s="366"/>
      <c r="E53" s="366"/>
      <c r="F53" s="377">
        <f>SUMPRODUCT(F38:F40,S38:S40)+SUMPRODUCT(F41:F51,S41:S51)/0.87</f>
        <v>6.0606092228101724E-4</v>
      </c>
      <c r="G53" s="377">
        <f>SUMPRODUCT(G38:G40,S38:S40)+SUMPRODUCT(G41:G51,S41:S51)/0.87</f>
        <v>1.0395942892398344E-5</v>
      </c>
      <c r="H53" s="377">
        <f>SUMPRODUCT(H38:H40,S38:S40)+SUMPRODUCT(H41:H51,S41:S51)/0.87</f>
        <v>8.8886317419279597E-5</v>
      </c>
      <c r="I53" s="377">
        <f>SUMPRODUCT(I38:I40,S38:S40)+SUMPRODUCT(I41:I51,S41:S51)/0.87</f>
        <v>0</v>
      </c>
      <c r="J53" s="377">
        <f>SUMPRODUCT(J38:J40,S38:S40)+SUMPRODUCT(J41:J51,S41:S51)/0.87</f>
        <v>0</v>
      </c>
      <c r="K53" s="377">
        <f>SUMPRODUCT(K38:K40,S38:S40)+SUMPRODUCT(K41:K51,S41:S51)/0.87</f>
        <v>6.331199733114946E-6</v>
      </c>
      <c r="L53" s="377">
        <f>SUMPRODUCT(L38:L40,S38:S40)+SUMPRODUCT(L41:L51,S41:S51)/0.87</f>
        <v>0</v>
      </c>
      <c r="M53" s="377">
        <f>SUMPRODUCT(M38:M40,S38:S40)+SUMPRODUCT(M41:M51,S41:S51)/0.87</f>
        <v>6.4797247781434048E-8</v>
      </c>
      <c r="N53" s="377">
        <f>SUMPRODUCT(N38:N40,S38:S40)+SUMPRODUCT(N41:N51,S41:S51)/0.87</f>
        <v>1.8588050443378179E-6</v>
      </c>
      <c r="O53" s="377">
        <f>SUMPRODUCT(O38:O40,S38:S40)+SUMPRODUCT(O41:O51,S41:S51)/0.87</f>
        <v>0</v>
      </c>
      <c r="P53" s="377">
        <f>SUMPRODUCT(P38:P40,S38:S40)+SUMPRODUCT(P41:P51,S41:S51)/0.87</f>
        <v>4.9065796433220244E-4</v>
      </c>
      <c r="Q53" s="377">
        <f>SUMPRODUCT(Q38:Q40,S38:S40)+SUMPRODUCT(Q41:Q51,S41:S51)/0.87</f>
        <v>7.8658956119026083E-6</v>
      </c>
      <c r="R53" s="368"/>
      <c r="S53" s="368"/>
    </row>
    <row r="54" spans="1:19" x14ac:dyDescent="0.2">
      <c r="B54" s="58" t="s">
        <v>264</v>
      </c>
      <c r="C54" s="18" t="s">
        <v>463</v>
      </c>
      <c r="D54" s="349" t="s">
        <v>49</v>
      </c>
      <c r="E54" s="349" t="s">
        <v>50</v>
      </c>
      <c r="F54" s="371">
        <f t="shared" ref="F54:F67" si="6">SUM(G54:Q54)</f>
        <v>1.093596328415982E-4</v>
      </c>
      <c r="G54" s="372">
        <f>'Forage crops, CF'!F24</f>
        <v>0</v>
      </c>
      <c r="H54" s="372">
        <f>'Forage crops, CF'!G24</f>
        <v>9.5000000000000005E-5</v>
      </c>
      <c r="I54" s="372">
        <f>'Forage crops, CF'!H24</f>
        <v>0</v>
      </c>
      <c r="J54" s="372">
        <f>'Forage crops, CF'!I24</f>
        <v>0</v>
      </c>
      <c r="K54" s="372">
        <f>'Forage crops, CF'!J24</f>
        <v>1.4359632841598196E-5</v>
      </c>
      <c r="L54" s="372">
        <f>'Forage crops, CF'!K24</f>
        <v>0</v>
      </c>
      <c r="M54" s="372">
        <f>'Forage crops, CF'!L24</f>
        <v>0</v>
      </c>
      <c r="N54" s="372">
        <f>'Forage crops, CF'!M24</f>
        <v>0</v>
      </c>
      <c r="O54" s="372">
        <f>'Forage crops, CF'!N24</f>
        <v>0</v>
      </c>
      <c r="P54" s="372">
        <f>'Forage crops, CF'!O24</f>
        <v>0</v>
      </c>
      <c r="Q54" s="372">
        <f>'Forage crops, CF'!P24</f>
        <v>0</v>
      </c>
      <c r="R54" s="351">
        <f>'Parameters, country spec'!E17</f>
        <v>8.26774498415217E-2</v>
      </c>
      <c r="S54" s="351">
        <f>'Parameters, country spec'!E35</f>
        <v>0.37076972499536498</v>
      </c>
    </row>
    <row r="55" spans="1:19" x14ac:dyDescent="0.2">
      <c r="B55" s="58" t="s">
        <v>268</v>
      </c>
      <c r="C55" s="18" t="s">
        <v>463</v>
      </c>
      <c r="D55" s="349" t="s">
        <v>49</v>
      </c>
      <c r="E55" s="349" t="s">
        <v>50</v>
      </c>
      <c r="F55" s="371">
        <f t="shared" si="6"/>
        <v>8.2715631933383792E-4</v>
      </c>
      <c r="G55" s="372">
        <f>'Forage crops, CF'!F84</f>
        <v>0</v>
      </c>
      <c r="H55" s="372">
        <f>'Forage crops, CF'!G84</f>
        <v>9.5000000000000005E-5</v>
      </c>
      <c r="I55" s="372"/>
      <c r="J55" s="372"/>
      <c r="K55" s="372">
        <f>'Forage crops, CF'!J84</f>
        <v>1.3700619116858076E-5</v>
      </c>
      <c r="L55" s="372"/>
      <c r="M55" s="372">
        <f>'Forage crops, CF'!L84</f>
        <v>1.0455700216979904E-5</v>
      </c>
      <c r="N55" s="372">
        <f>'Forage crops, CF'!M84</f>
        <v>0</v>
      </c>
      <c r="O55" s="372"/>
      <c r="P55" s="372">
        <f>'Forage crops, CF'!O84</f>
        <v>7.0799999999999997E-4</v>
      </c>
      <c r="Q55" s="372"/>
      <c r="R55" s="351">
        <f>'Parameters, country spec'!E18</f>
        <v>0.37327838127398499</v>
      </c>
      <c r="S55" s="351">
        <f>'Parameters, country spec'!E36</f>
        <v>0.135443882227997</v>
      </c>
    </row>
    <row r="56" spans="1:19" x14ac:dyDescent="0.2">
      <c r="B56" s="58" t="s">
        <v>465</v>
      </c>
      <c r="C56" s="18" t="s">
        <v>463</v>
      </c>
      <c r="D56" s="349" t="s">
        <v>49</v>
      </c>
      <c r="E56" s="349" t="s">
        <v>50</v>
      </c>
      <c r="F56" s="371">
        <f t="shared" si="6"/>
        <v>8.1580529351743514E-4</v>
      </c>
      <c r="G56" s="372">
        <f>'Forage crops, CF'!F144*'Forage, input data per ha'!$D$81+'Forage crops, CF'!F204*'Forage, input data per ha'!$E$81</f>
        <v>0</v>
      </c>
      <c r="H56" s="372">
        <f>'Forage crops, CF'!G144*'Forage, input data per ha'!$D$81+'Forage crops, CF'!G204*'Forage, input data per ha'!$E$81</f>
        <v>9.5000000000000005E-5</v>
      </c>
      <c r="I56" s="372"/>
      <c r="J56" s="372"/>
      <c r="K56" s="372">
        <f>'Forage crops, CF'!J144*'Forage, input data per ha'!$D$81+'Forage crops, CF'!J204*'Forage, input data per ha'!$E$81</f>
        <v>1.2805293517435248E-5</v>
      </c>
      <c r="L56" s="372"/>
      <c r="M56" s="372">
        <f>'Forage crops, CF'!L144*'Forage, input data per ha'!$D$81+'Forage crops, CF'!L204*'Forage, input data per ha'!$E$81</f>
        <v>0</v>
      </c>
      <c r="N56" s="372">
        <f>'Forage crops, CF'!M144*'Forage, input data per ha'!$D$81+'Forage crops, CF'!M204*'Forage, input data per ha'!$E$81</f>
        <v>0</v>
      </c>
      <c r="O56" s="372"/>
      <c r="P56" s="372">
        <f>'Forage crops, CF'!O144*'Forage, input data per ha'!$D$81+'Forage crops, CF'!O204*'Forage, input data per ha'!$E$81</f>
        <v>7.0799999999999986E-4</v>
      </c>
      <c r="Q56" s="372"/>
      <c r="R56" s="351">
        <f>'Parameters, country spec'!E19</f>
        <v>3.3371391200029701E-2</v>
      </c>
      <c r="S56" s="351">
        <f>'Parameters, country spec'!E37</f>
        <v>3.5518223853143398E-2</v>
      </c>
    </row>
    <row r="57" spans="1:19" x14ac:dyDescent="0.2">
      <c r="A57" s="353" t="s">
        <v>466</v>
      </c>
      <c r="B57" s="18" t="s">
        <v>274</v>
      </c>
      <c r="C57" s="18" t="s">
        <v>467</v>
      </c>
      <c r="D57" s="349" t="s">
        <v>49</v>
      </c>
      <c r="E57" s="349" t="s">
        <v>50</v>
      </c>
      <c r="F57" s="371">
        <f t="shared" si="6"/>
        <v>1.6286318293985799E-4</v>
      </c>
      <c r="G57" s="373">
        <v>0</v>
      </c>
      <c r="H57" s="373">
        <v>9.5000000000000005E-5</v>
      </c>
      <c r="I57" s="373">
        <v>0</v>
      </c>
      <c r="J57" s="373"/>
      <c r="K57" s="373">
        <v>2.9908858414160001E-5</v>
      </c>
      <c r="L57" s="373">
        <v>0</v>
      </c>
      <c r="M57" s="373">
        <v>0</v>
      </c>
      <c r="N57" s="373">
        <v>3.7954324525697998E-5</v>
      </c>
      <c r="O57" s="373"/>
      <c r="P57" s="373"/>
      <c r="Q57" s="373"/>
      <c r="R57" s="351">
        <f>'Parameters, country spec'!E20</f>
        <v>8.1233791668593805E-2</v>
      </c>
      <c r="S57" s="351">
        <f>'Parameters, country spec'!E38</f>
        <v>6.7240073264057107E-2</v>
      </c>
    </row>
    <row r="58" spans="1:19" x14ac:dyDescent="0.2">
      <c r="A58" s="353" t="s">
        <v>468</v>
      </c>
      <c r="B58" s="18" t="s">
        <v>276</v>
      </c>
      <c r="C58" s="18" t="s">
        <v>467</v>
      </c>
      <c r="D58" s="349" t="s">
        <v>49</v>
      </c>
      <c r="E58" s="349" t="s">
        <v>50</v>
      </c>
      <c r="F58" s="371">
        <f t="shared" si="6"/>
        <v>1.7444028731740727E-4</v>
      </c>
      <c r="G58" s="373">
        <v>0</v>
      </c>
      <c r="H58" s="373">
        <v>9.5000000000000005E-5</v>
      </c>
      <c r="I58" s="373">
        <v>0</v>
      </c>
      <c r="J58" s="373"/>
      <c r="K58" s="373">
        <v>6.7727292665111798E-6</v>
      </c>
      <c r="L58" s="373">
        <v>0</v>
      </c>
      <c r="M58" s="373">
        <v>3.4713233525198098E-5</v>
      </c>
      <c r="N58" s="373">
        <v>3.7954324525697998E-5</v>
      </c>
      <c r="O58" s="373"/>
      <c r="P58" s="373"/>
      <c r="Q58" s="373"/>
      <c r="R58" s="351">
        <f>'Parameters, country spec'!E21</f>
        <v>0.24296307089861899</v>
      </c>
      <c r="S58" s="351">
        <f>'Parameters, country spec'!E39</f>
        <v>0.201109099496879</v>
      </c>
    </row>
    <row r="59" spans="1:19" x14ac:dyDescent="0.2">
      <c r="A59" s="353" t="s">
        <v>469</v>
      </c>
      <c r="B59" s="18" t="s">
        <v>278</v>
      </c>
      <c r="C59" s="18" t="s">
        <v>467</v>
      </c>
      <c r="D59" s="349" t="s">
        <v>49</v>
      </c>
      <c r="E59" s="349" t="s">
        <v>50</v>
      </c>
      <c r="F59" s="371">
        <f t="shared" si="6"/>
        <v>2.0353235344802614E-4</v>
      </c>
      <c r="G59" s="373">
        <v>0</v>
      </c>
      <c r="H59" s="373">
        <v>9.5000000000000005E-5</v>
      </c>
      <c r="I59" s="373">
        <v>0</v>
      </c>
      <c r="J59" s="373"/>
      <c r="K59" s="373">
        <v>7.0130605730866894E-5</v>
      </c>
      <c r="L59" s="373">
        <v>0</v>
      </c>
      <c r="M59" s="373">
        <v>4.4742319146124401E-7</v>
      </c>
      <c r="N59" s="373">
        <v>3.7954324525697998E-5</v>
      </c>
      <c r="O59" s="373"/>
      <c r="P59" s="373"/>
      <c r="Q59" s="373"/>
      <c r="R59" s="351">
        <f>'Parameters, country spec'!E22</f>
        <v>2.2076768828459801E-2</v>
      </c>
      <c r="S59" s="351">
        <f>'Parameters, country spec'!E40</f>
        <v>1.82737198718744E-2</v>
      </c>
    </row>
    <row r="60" spans="1:19" x14ac:dyDescent="0.2">
      <c r="A60" s="353" t="s">
        <v>470</v>
      </c>
      <c r="B60" s="18" t="s">
        <v>280</v>
      </c>
      <c r="C60" s="18" t="s">
        <v>467</v>
      </c>
      <c r="D60" s="349" t="s">
        <v>49</v>
      </c>
      <c r="E60" s="349" t="s">
        <v>50</v>
      </c>
      <c r="F60" s="371">
        <f t="shared" si="6"/>
        <v>1.8013222859233324E-4</v>
      </c>
      <c r="G60" s="373">
        <v>0</v>
      </c>
      <c r="H60" s="373">
        <v>9.5000000000000005E-5</v>
      </c>
      <c r="I60" s="373">
        <v>0</v>
      </c>
      <c r="J60" s="373"/>
      <c r="K60" s="373">
        <v>4.44434506924746E-5</v>
      </c>
      <c r="L60" s="373">
        <v>0</v>
      </c>
      <c r="M60" s="373">
        <v>2.7344533741606401E-6</v>
      </c>
      <c r="N60" s="373">
        <v>3.7954324525697998E-5</v>
      </c>
      <c r="O60" s="373"/>
      <c r="P60" s="373"/>
      <c r="Q60" s="373"/>
      <c r="R60" s="351">
        <f>'Parameters, country spec'!E23</f>
        <v>4.8693567263410099E-3</v>
      </c>
      <c r="S60" s="351">
        <f>'Parameters, country spec'!E41</f>
        <v>4.0305382311056201E-3</v>
      </c>
    </row>
    <row r="61" spans="1:19" x14ac:dyDescent="0.2">
      <c r="A61" s="353" t="s">
        <v>471</v>
      </c>
      <c r="B61" s="18" t="s">
        <v>281</v>
      </c>
      <c r="C61" s="18" t="s">
        <v>467</v>
      </c>
      <c r="D61" s="349" t="s">
        <v>49</v>
      </c>
      <c r="E61" s="349" t="s">
        <v>50</v>
      </c>
      <c r="F61" s="371">
        <f t="shared" si="6"/>
        <v>1.6354619514759186E-4</v>
      </c>
      <c r="G61" s="373">
        <v>0</v>
      </c>
      <c r="H61" s="373">
        <v>9.5000000000000005E-5</v>
      </c>
      <c r="I61" s="373">
        <v>0</v>
      </c>
      <c r="J61" s="373"/>
      <c r="K61" s="373">
        <v>2.85207139558697E-5</v>
      </c>
      <c r="L61" s="373">
        <v>0</v>
      </c>
      <c r="M61" s="373">
        <v>2.07115666602417E-6</v>
      </c>
      <c r="N61" s="373">
        <v>3.7954324525697998E-5</v>
      </c>
      <c r="O61" s="373"/>
      <c r="P61" s="373"/>
      <c r="Q61" s="373"/>
      <c r="R61" s="351">
        <f>'Parameters, country spec'!E24</f>
        <v>3.4919458703584899E-3</v>
      </c>
      <c r="S61" s="351">
        <f>'Parameters, country spec'!E42</f>
        <v>2.89040670515525E-3</v>
      </c>
    </row>
    <row r="62" spans="1:19" x14ac:dyDescent="0.2">
      <c r="A62" s="353" t="s">
        <v>472</v>
      </c>
      <c r="B62" s="18" t="s">
        <v>282</v>
      </c>
      <c r="C62" s="18" t="s">
        <v>473</v>
      </c>
      <c r="D62" s="349" t="s">
        <v>49</v>
      </c>
      <c r="E62" s="349" t="s">
        <v>50</v>
      </c>
      <c r="F62" s="371">
        <f t="shared" si="6"/>
        <v>3.2740778825431722E-4</v>
      </c>
      <c r="G62" s="373">
        <v>0</v>
      </c>
      <c r="H62" s="373">
        <v>9.5000000000000005E-5</v>
      </c>
      <c r="I62" s="373">
        <v>0</v>
      </c>
      <c r="J62" s="373"/>
      <c r="K62" s="373">
        <v>4.8844802880828202E-5</v>
      </c>
      <c r="L62" s="373">
        <v>0</v>
      </c>
      <c r="M62" s="373">
        <v>1.4560866084779099E-4</v>
      </c>
      <c r="N62" s="373">
        <v>3.7954324525697998E-5</v>
      </c>
      <c r="O62" s="373"/>
      <c r="P62" s="373"/>
      <c r="Q62" s="373"/>
      <c r="R62" s="351">
        <f>'Parameters, country spec'!E25</f>
        <v>3.4441220927794902E-4</v>
      </c>
      <c r="S62" s="351">
        <f>'Parameters, country spec'!E43</f>
        <v>2.7727022810161402E-4</v>
      </c>
    </row>
    <row r="63" spans="1:19" x14ac:dyDescent="0.2">
      <c r="A63" s="353" t="s">
        <v>474</v>
      </c>
      <c r="B63" s="18" t="s">
        <v>283</v>
      </c>
      <c r="C63" s="18" t="s">
        <v>473</v>
      </c>
      <c r="D63" s="349" t="s">
        <v>49</v>
      </c>
      <c r="E63" s="349" t="s">
        <v>50</v>
      </c>
      <c r="F63" s="371">
        <f t="shared" si="6"/>
        <v>2.7766326074083061E-4</v>
      </c>
      <c r="G63" s="373">
        <v>0</v>
      </c>
      <c r="H63" s="373">
        <v>9.5000000000000005E-5</v>
      </c>
      <c r="I63" s="373">
        <v>0</v>
      </c>
      <c r="J63" s="373"/>
      <c r="K63" s="373">
        <v>2.7713650874728599E-5</v>
      </c>
      <c r="L63" s="373">
        <v>0</v>
      </c>
      <c r="M63" s="373">
        <v>1.16995285340404E-4</v>
      </c>
      <c r="N63" s="373">
        <v>3.7954324525697998E-5</v>
      </c>
      <c r="O63" s="373"/>
      <c r="P63" s="373"/>
      <c r="Q63" s="373"/>
      <c r="R63" s="351">
        <f>'Parameters, country spec'!E26</f>
        <v>3.3832628680436602E-4</v>
      </c>
      <c r="S63" s="351">
        <f>'Parameters, country spec'!E44</f>
        <v>2.7237073543291999E-4</v>
      </c>
    </row>
    <row r="64" spans="1:19" x14ac:dyDescent="0.2">
      <c r="B64" s="58" t="s">
        <v>284</v>
      </c>
      <c r="C64" s="18" t="s">
        <v>475</v>
      </c>
      <c r="D64" s="349" t="s">
        <v>49</v>
      </c>
      <c r="E64" s="349" t="s">
        <v>50</v>
      </c>
      <c r="F64" s="371">
        <f t="shared" si="6"/>
        <v>4.6478527325651372E-4</v>
      </c>
      <c r="G64" s="372">
        <v>3.0425509539765703E-4</v>
      </c>
      <c r="H64" s="372">
        <v>4.58620689655173E-5</v>
      </c>
      <c r="I64" s="372"/>
      <c r="J64" s="372"/>
      <c r="K64" s="372">
        <v>1.0936279334641701E-5</v>
      </c>
      <c r="L64" s="372"/>
      <c r="M64" s="372">
        <v>6.46069605517241E-7</v>
      </c>
      <c r="N64" s="372">
        <v>2.1884761697575201E-5</v>
      </c>
      <c r="O64" s="372"/>
      <c r="P64" s="372">
        <v>5.7027085212127002E-5</v>
      </c>
      <c r="Q64" s="372">
        <v>2.4173913043478301E-5</v>
      </c>
      <c r="R64" s="351">
        <f>'Parameters, country spec'!E27</f>
        <v>3.7586046391160401E-4</v>
      </c>
      <c r="S64" s="351">
        <f>'Parameters, country spec'!E45</f>
        <v>3.0258775338687599E-4</v>
      </c>
    </row>
    <row r="65" spans="1:19" x14ac:dyDescent="0.2">
      <c r="B65" s="58" t="s">
        <v>476</v>
      </c>
      <c r="C65" s="18" t="s">
        <v>475</v>
      </c>
      <c r="D65" s="349" t="s">
        <v>49</v>
      </c>
      <c r="E65" s="349" t="s">
        <v>50</v>
      </c>
      <c r="F65" s="371">
        <f t="shared" si="6"/>
        <v>4.7266553697523949E-4</v>
      </c>
      <c r="G65" s="372">
        <v>1.56035162386253E-5</v>
      </c>
      <c r="H65" s="372">
        <v>7.5304878048780503E-5</v>
      </c>
      <c r="I65" s="372"/>
      <c r="J65" s="372"/>
      <c r="K65" s="372">
        <v>1.9084590744355901E-5</v>
      </c>
      <c r="L65" s="372"/>
      <c r="M65" s="372">
        <v>5.9672097439024396E-7</v>
      </c>
      <c r="N65" s="372">
        <v>2.3084271612619499E-5</v>
      </c>
      <c r="O65" s="372"/>
      <c r="P65" s="372">
        <v>1.28991559356468E-4</v>
      </c>
      <c r="Q65" s="372">
        <v>2.1000000000000001E-4</v>
      </c>
      <c r="R65" s="351">
        <f>'Parameters, country spec'!E28</f>
        <v>6.6229033989623307E-2</v>
      </c>
      <c r="S65" s="351">
        <f>'Parameters, country spec'!E46</f>
        <v>5.3317910590755302E-2</v>
      </c>
    </row>
    <row r="66" spans="1:19" x14ac:dyDescent="0.2">
      <c r="B66" s="18" t="s">
        <v>286</v>
      </c>
      <c r="C66" s="18" t="s">
        <v>477</v>
      </c>
      <c r="D66" s="349" t="s">
        <v>49</v>
      </c>
      <c r="E66" s="349" t="s">
        <v>50</v>
      </c>
      <c r="F66" s="374">
        <f t="shared" si="6"/>
        <v>1.475044584941611E-3</v>
      </c>
      <c r="G66" s="373">
        <v>0</v>
      </c>
      <c r="H66" s="373">
        <v>8.5499999999999995E-6</v>
      </c>
      <c r="I66" s="53">
        <v>0</v>
      </c>
      <c r="J66" s="53"/>
      <c r="K66" s="373">
        <v>2.56686425602827E-6</v>
      </c>
      <c r="L66" s="53">
        <v>0</v>
      </c>
      <c r="M66" s="53">
        <v>1.8640409994217499E-7</v>
      </c>
      <c r="N66" s="373">
        <v>3.41588920731282E-6</v>
      </c>
      <c r="O66" s="373"/>
      <c r="P66" s="373">
        <v>1.4294971164590801E-3</v>
      </c>
      <c r="Q66" s="373">
        <v>3.0828310919247803E-5</v>
      </c>
      <c r="R66" s="351">
        <f>'Parameters, country spec'!E29</f>
        <v>4.7111416374646303E-2</v>
      </c>
      <c r="S66" s="351">
        <f>'Parameters, country spec'!E47</f>
        <v>4.6947510766466402E-2</v>
      </c>
    </row>
    <row r="67" spans="1:19" x14ac:dyDescent="0.2">
      <c r="A67" s="354"/>
      <c r="B67" s="18" t="s">
        <v>478</v>
      </c>
      <c r="C67" s="355" t="s">
        <v>479</v>
      </c>
      <c r="D67" s="349" t="s">
        <v>49</v>
      </c>
      <c r="E67" s="349" t="s">
        <v>50</v>
      </c>
      <c r="F67" s="371">
        <f t="shared" si="6"/>
        <v>9.3239681366523078E-5</v>
      </c>
      <c r="G67" s="375">
        <f t="shared" ref="G67:Q67" si="7">SUMPRODUCT(G57:G65,$R57:$R65)</f>
        <v>1.1477632686291871E-6</v>
      </c>
      <c r="H67" s="375">
        <f t="shared" si="7"/>
        <v>3.8759785952797621E-5</v>
      </c>
      <c r="I67" s="375">
        <f t="shared" si="7"/>
        <v>0</v>
      </c>
      <c r="J67" s="375">
        <f t="shared" si="7"/>
        <v>0</v>
      </c>
      <c r="K67" s="375">
        <f t="shared" si="7"/>
        <v>7.2336575770034919E-6</v>
      </c>
      <c r="L67" s="375">
        <f t="shared" si="7"/>
        <v>0</v>
      </c>
      <c r="M67" s="375">
        <f t="shared" si="7"/>
        <v>8.5939539391188177E-6</v>
      </c>
      <c r="N67" s="375">
        <f t="shared" si="7"/>
        <v>1.5022916877284592E-5</v>
      </c>
      <c r="O67" s="375">
        <f t="shared" si="7"/>
        <v>0</v>
      </c>
      <c r="P67" s="375">
        <f t="shared" si="7"/>
        <v>8.5644205956973876E-6</v>
      </c>
      <c r="Q67" s="375">
        <f t="shared" si="7"/>
        <v>1.3917183155991976E-5</v>
      </c>
      <c r="R67" s="351">
        <f>'Parameters, country spec'!E30</f>
        <v>4.1638794367828399E-2</v>
      </c>
      <c r="S67" s="351">
        <f>'Parameters, country spec'!E48</f>
        <v>6.36066812802797E-2</v>
      </c>
    </row>
    <row r="68" spans="1:19" x14ac:dyDescent="0.2">
      <c r="A68" s="357"/>
      <c r="B68" s="358" t="s">
        <v>480</v>
      </c>
      <c r="C68" s="359"/>
      <c r="D68" s="360"/>
      <c r="E68" s="360"/>
      <c r="F68" s="376">
        <f>SUMPRODUCT(F54:F56,R54:R56)+SUMPRODUCT(F57:F67,R57:R67)/0.87</f>
        <v>5.3653548543623449E-4</v>
      </c>
      <c r="G68" s="376">
        <f>SUMPRODUCT(G54:G56,R54:R56)+SUMPRODUCT(G57:G67,R57:R67)/0.87</f>
        <v>1.374200859028258E-6</v>
      </c>
      <c r="H68" s="376">
        <f>SUMPRODUCT(H54:H56,R54:R56)+SUMPRODUCT(H57:H67,R57:R67)/0.87</f>
        <v>9.3355625568056926E-5</v>
      </c>
      <c r="I68" s="376">
        <f>SUMPRODUCT(I54:I56,R54:R56)+SUMPRODUCT(I57:I67,R57:R67)/0.87</f>
        <v>0</v>
      </c>
      <c r="J68" s="376">
        <f>SUMPRODUCT(J54:J56,R54:R56)+SUMPRODUCT(J57:J67,R57:R67)/0.87</f>
        <v>0</v>
      </c>
      <c r="K68" s="376">
        <f>SUMPRODUCT(K54:K56,R54:R56)+SUMPRODUCT(K57:K67,R57:R67)/0.87</f>
        <v>1.5528448345570703E-5</v>
      </c>
      <c r="L68" s="376">
        <f>SUMPRODUCT(L54:L56,R54:R56)+SUMPRODUCT(L57:L67,R57:R67)/0.87</f>
        <v>0</v>
      </c>
      <c r="M68" s="376">
        <f>SUMPRODUCT(M54:M56,R54:R56)+SUMPRODUCT(M57:M67,R57:R67)/0.87</f>
        <v>1.4202401313186855E-5</v>
      </c>
      <c r="N68" s="376">
        <f>SUMPRODUCT(N54:N56,R54:R56)+SUMPRODUCT(N57:N67,R57:R67)/0.87</f>
        <v>1.8171701612273792E-5</v>
      </c>
      <c r="O68" s="376">
        <f>SUMPRODUCT(O54:O56,R54:R56)+SUMPRODUCT(O57:O67,R57:R67)/0.87</f>
        <v>0</v>
      </c>
      <c r="P68" s="376">
        <f>SUMPRODUCT(P54:P56,R54:R56)+SUMPRODUCT(P57:P67,R57:R67)/0.87</f>
        <v>3.7557087408817845E-4</v>
      </c>
      <c r="Q68" s="376">
        <f>SUMPRODUCT(Q54:Q56,R54:R56)+SUMPRODUCT(Q57:Q67,R57:R67)/0.87</f>
        <v>1.833223364993962E-5</v>
      </c>
      <c r="R68" s="362"/>
      <c r="S68" s="369"/>
    </row>
    <row r="69" spans="1:19" x14ac:dyDescent="0.2">
      <c r="A69" s="363"/>
      <c r="B69" s="364" t="s">
        <v>481</v>
      </c>
      <c r="C69" s="365"/>
      <c r="D69" s="366"/>
      <c r="E69" s="366"/>
      <c r="F69" s="377">
        <f>SUMPRODUCT(F54:F56,S54:S56)+SUMPRODUCT(F57:F67,S57:S67)/0.87</f>
        <v>3.558546461347141E-4</v>
      </c>
      <c r="G69" s="377">
        <f>SUMPRODUCT(G54:G56,S54:S56)+SUMPRODUCT(G57:G67,S57:S67)/0.87</f>
        <v>1.1459955883887559E-6</v>
      </c>
      <c r="H69" s="377">
        <f>SUMPRODUCT(H54:H56,S54:S56)+SUMPRODUCT(H57:H67,S57:S67)/0.87</f>
        <v>9.1504338991933384E-5</v>
      </c>
      <c r="I69" s="377">
        <f>SUMPRODUCT(I54:I56,S54:S56)+SUMPRODUCT(I57:I67,S57:S67)/0.87</f>
        <v>0</v>
      </c>
      <c r="J69" s="377">
        <f>SUMPRODUCT(J54:J56,S54:S56)+SUMPRODUCT(J57:J67,S57:S67)/0.87</f>
        <v>0</v>
      </c>
      <c r="K69" s="377">
        <f>SUMPRODUCT(K54:K56,S54:S56)+SUMPRODUCT(K57:K67,S57:S67)/0.87</f>
        <v>1.5150481572285886E-5</v>
      </c>
      <c r="L69" s="377">
        <f>SUMPRODUCT(L54:L56,S54:S56)+SUMPRODUCT(L57:L67,S57:S67)/0.87</f>
        <v>0</v>
      </c>
      <c r="M69" s="377">
        <f>SUMPRODUCT(M54:M56,S54:S56)+SUMPRODUCT(M57:M67,S57:S67)/0.87</f>
        <v>1.0227615306251296E-5</v>
      </c>
      <c r="N69" s="377">
        <f>SUMPRODUCT(N54:N56,S54:S56)+SUMPRODUCT(N57:N67,S57:S67)/0.87</f>
        <v>1.5535025168895067E-5</v>
      </c>
      <c r="O69" s="377">
        <f>SUMPRODUCT(O54:O56,S54:S56)+SUMPRODUCT(O57:O67,S57:S67)/0.87</f>
        <v>0</v>
      </c>
      <c r="P69" s="377">
        <f>SUMPRODUCT(P54:P56,S54:S56)+SUMPRODUCT(P57:P67,S57:S67)/0.87</f>
        <v>2.0673186278717489E-4</v>
      </c>
      <c r="Q69" s="377">
        <f>SUMPRODUCT(Q54:Q56,S54:S56)+SUMPRODUCT(Q57:Q67,S57:S67)/0.87</f>
        <v>1.5559326719784858E-5</v>
      </c>
      <c r="R69" s="368"/>
      <c r="S69" s="368"/>
    </row>
    <row r="70" spans="1:19" x14ac:dyDescent="0.2">
      <c r="B70" s="58" t="s">
        <v>264</v>
      </c>
      <c r="C70" s="18" t="s">
        <v>463</v>
      </c>
      <c r="D70" s="349" t="s">
        <v>51</v>
      </c>
      <c r="E70" s="349" t="s">
        <v>52</v>
      </c>
      <c r="F70" s="371">
        <f t="shared" ref="F70:F83" si="8">SUM(G70:Q70)</f>
        <v>1.1657165277841081E-4</v>
      </c>
      <c r="G70" s="372">
        <f>'Forage crops, CF'!F29</f>
        <v>0</v>
      </c>
      <c r="H70" s="372">
        <f>'Forage crops, CF'!G29</f>
        <v>9.5000000000000005E-5</v>
      </c>
      <c r="I70" s="372">
        <f>'Forage crops, CF'!H29</f>
        <v>0</v>
      </c>
      <c r="J70" s="372">
        <f>'Forage crops, CF'!I29</f>
        <v>0</v>
      </c>
      <c r="K70" s="372">
        <f>'Forage crops, CF'!J29</f>
        <v>2.1571652778410811E-5</v>
      </c>
      <c r="L70" s="372">
        <f>'Forage crops, CF'!K29</f>
        <v>0</v>
      </c>
      <c r="M70" s="372">
        <f>'Forage crops, CF'!L29</f>
        <v>0</v>
      </c>
      <c r="N70" s="372">
        <f>'Forage crops, CF'!M29</f>
        <v>0</v>
      </c>
      <c r="O70" s="372">
        <f>'Forage crops, CF'!N29</f>
        <v>0</v>
      </c>
      <c r="P70" s="372">
        <f>'Forage crops, CF'!O29</f>
        <v>0</v>
      </c>
      <c r="Q70" s="372">
        <f>'Forage crops, CF'!P29</f>
        <v>0</v>
      </c>
      <c r="R70" s="351">
        <f>'Parameters, country spec'!F17</f>
        <v>5.3418699404756603E-2</v>
      </c>
      <c r="S70" s="351">
        <f>'Parameters, country spec'!F35</f>
        <v>7.7439143939213403E-2</v>
      </c>
    </row>
    <row r="71" spans="1:19" x14ac:dyDescent="0.2">
      <c r="B71" s="58" t="s">
        <v>268</v>
      </c>
      <c r="C71" s="18" t="s">
        <v>463</v>
      </c>
      <c r="D71" s="349" t="s">
        <v>51</v>
      </c>
      <c r="E71" s="349" t="s">
        <v>52</v>
      </c>
      <c r="F71" s="371">
        <f t="shared" si="8"/>
        <v>8.1255696467530251E-4</v>
      </c>
      <c r="G71" s="372">
        <f>'Forage crops, CF'!F89</f>
        <v>0</v>
      </c>
      <c r="H71" s="372">
        <f>'Forage crops, CF'!G89</f>
        <v>9.5000000000000005E-5</v>
      </c>
      <c r="I71" s="372"/>
      <c r="J71" s="372"/>
      <c r="K71" s="372">
        <f>'Forage crops, CF'!J89</f>
        <v>9.5282901686691279E-6</v>
      </c>
      <c r="L71" s="372"/>
      <c r="M71" s="372">
        <f>'Forage crops, CF'!L89</f>
        <v>2.8674506633383751E-8</v>
      </c>
      <c r="N71" s="372">
        <f>'Forage crops, CF'!M89</f>
        <v>0</v>
      </c>
      <c r="O71" s="372"/>
      <c r="P71" s="372">
        <f>'Forage crops, CF'!O89</f>
        <v>7.0799999999999997E-4</v>
      </c>
      <c r="Q71" s="372"/>
      <c r="R71" s="351">
        <f>'Parameters, country spec'!F18</f>
        <v>0.25046523624431899</v>
      </c>
      <c r="S71" s="351">
        <f>'Parameters, country spec'!F36</f>
        <v>0.38082943222890397</v>
      </c>
    </row>
    <row r="72" spans="1:19" x14ac:dyDescent="0.2">
      <c r="B72" s="58" t="s">
        <v>465</v>
      </c>
      <c r="C72" s="18" t="s">
        <v>463</v>
      </c>
      <c r="D72" s="349" t="s">
        <v>51</v>
      </c>
      <c r="E72" s="349" t="s">
        <v>52</v>
      </c>
      <c r="F72" s="371">
        <f t="shared" si="8"/>
        <v>8.1675839358506547E-4</v>
      </c>
      <c r="G72" s="372">
        <f>'Forage crops, CF'!F149*'Forage, input data per ha'!$D$82+'Forage crops, CF'!F209*'Forage, input data per ha'!$E$82</f>
        <v>0</v>
      </c>
      <c r="H72" s="372">
        <f>'Forage crops, CF'!G149*'Forage, input data per ha'!$D$82+'Forage crops, CF'!G209*'Forage, input data per ha'!$E$82</f>
        <v>9.5000000000000005E-5</v>
      </c>
      <c r="I72" s="372"/>
      <c r="J72" s="372"/>
      <c r="K72" s="372">
        <f>'Forage crops, CF'!J149*'Forage, input data per ha'!$D$82+'Forage crops, CF'!J209*'Forage, input data per ha'!$E$82</f>
        <v>1.3758393585065512E-5</v>
      </c>
      <c r="L72" s="372"/>
      <c r="M72" s="372">
        <f>'Forage crops, CF'!L149*'Forage, input data per ha'!$D$82+'Forage crops, CF'!L209*'Forage, input data per ha'!$E$82</f>
        <v>0</v>
      </c>
      <c r="N72" s="372">
        <f>'Forage crops, CF'!M149*'Forage, input data per ha'!$D$82+'Forage crops, CF'!M209*'Forage, input data per ha'!$E$82</f>
        <v>0</v>
      </c>
      <c r="O72" s="372"/>
      <c r="P72" s="372">
        <f>'Forage crops, CF'!O149*'Forage, input data per ha'!$D$82+'Forage crops, CF'!O209*'Forage, input data per ha'!$E$82</f>
        <v>7.0799999999999997E-4</v>
      </c>
      <c r="Q72" s="372"/>
      <c r="R72" s="351">
        <f>'Parameters, country spec'!F19</f>
        <v>9.7106054001350806E-2</v>
      </c>
      <c r="S72" s="351">
        <f>'Parameters, country spec'!F37</f>
        <v>0.18201404564523599</v>
      </c>
    </row>
    <row r="73" spans="1:19" x14ac:dyDescent="0.2">
      <c r="A73" s="353" t="s">
        <v>466</v>
      </c>
      <c r="B73" s="18" t="s">
        <v>274</v>
      </c>
      <c r="C73" s="18" t="s">
        <v>467</v>
      </c>
      <c r="D73" s="349" t="s">
        <v>51</v>
      </c>
      <c r="E73" s="349" t="s">
        <v>52</v>
      </c>
      <c r="F73" s="371">
        <f t="shared" si="8"/>
        <v>1.4501465028229771E-4</v>
      </c>
      <c r="G73" s="373">
        <v>0</v>
      </c>
      <c r="H73" s="373">
        <v>9.5000000000000005E-5</v>
      </c>
      <c r="I73" s="373">
        <v>0</v>
      </c>
      <c r="J73" s="373"/>
      <c r="K73" s="373">
        <v>1.5393650506969701E-5</v>
      </c>
      <c r="L73" s="373">
        <v>0</v>
      </c>
      <c r="M73" s="373">
        <v>0</v>
      </c>
      <c r="N73" s="373">
        <v>3.4620999775328E-5</v>
      </c>
      <c r="O73" s="373"/>
      <c r="P73" s="373"/>
      <c r="Q73" s="373"/>
      <c r="R73" s="351">
        <f>'Parameters, country spec'!F20</f>
        <v>3.3128681692208201E-2</v>
      </c>
      <c r="S73" s="351">
        <f>'Parameters, country spec'!F38</f>
        <v>1.3777713958130201E-2</v>
      </c>
    </row>
    <row r="74" spans="1:19" x14ac:dyDescent="0.2">
      <c r="A74" s="353" t="s">
        <v>468</v>
      </c>
      <c r="B74" s="18" t="s">
        <v>276</v>
      </c>
      <c r="C74" s="18" t="s">
        <v>467</v>
      </c>
      <c r="D74" s="349" t="s">
        <v>51</v>
      </c>
      <c r="E74" s="349" t="s">
        <v>52</v>
      </c>
      <c r="F74" s="371">
        <f t="shared" si="8"/>
        <v>1.4092693848870525E-4</v>
      </c>
      <c r="G74" s="373">
        <v>0</v>
      </c>
      <c r="H74" s="373">
        <v>9.5000000000000005E-5</v>
      </c>
      <c r="I74" s="373">
        <v>0</v>
      </c>
      <c r="J74" s="373"/>
      <c r="K74" s="373">
        <v>1.1061500749097499E-5</v>
      </c>
      <c r="L74" s="373">
        <v>0</v>
      </c>
      <c r="M74" s="373">
        <v>2.4443796427972899E-7</v>
      </c>
      <c r="N74" s="373">
        <v>3.4620999775328E-5</v>
      </c>
      <c r="O74" s="373"/>
      <c r="P74" s="373"/>
      <c r="Q74" s="373"/>
      <c r="R74" s="351">
        <f>'Parameters, country spec'!F21</f>
        <v>0.196499875628766</v>
      </c>
      <c r="S74" s="351">
        <f>'Parameters, country spec'!F39</f>
        <v>8.1721304315358401E-2</v>
      </c>
    </row>
    <row r="75" spans="1:19" x14ac:dyDescent="0.2">
      <c r="A75" s="353" t="s">
        <v>469</v>
      </c>
      <c r="B75" s="18" t="s">
        <v>278</v>
      </c>
      <c r="C75" s="18" t="s">
        <v>467</v>
      </c>
      <c r="D75" s="349" t="s">
        <v>51</v>
      </c>
      <c r="E75" s="349" t="s">
        <v>52</v>
      </c>
      <c r="F75" s="371">
        <f t="shared" si="8"/>
        <v>1.5843171473005791E-4</v>
      </c>
      <c r="G75" s="373">
        <v>0</v>
      </c>
      <c r="H75" s="373">
        <v>9.5000000000000005E-5</v>
      </c>
      <c r="I75" s="373">
        <v>0</v>
      </c>
      <c r="J75" s="373"/>
      <c r="K75" s="373">
        <v>2.88107149547299E-5</v>
      </c>
      <c r="L75" s="373">
        <v>0</v>
      </c>
      <c r="M75" s="373">
        <v>0</v>
      </c>
      <c r="N75" s="373">
        <v>3.4620999775328E-5</v>
      </c>
      <c r="O75" s="373"/>
      <c r="P75" s="373"/>
      <c r="Q75" s="373"/>
      <c r="R75" s="351">
        <f>'Parameters, country spec'!F22</f>
        <v>1.7743951673345099E-2</v>
      </c>
      <c r="S75" s="351">
        <f>'Parameters, country spec'!F40</f>
        <v>7.3794391499110096E-3</v>
      </c>
    </row>
    <row r="76" spans="1:19" x14ac:dyDescent="0.2">
      <c r="A76" s="353" t="s">
        <v>470</v>
      </c>
      <c r="B76" s="18" t="s">
        <v>280</v>
      </c>
      <c r="C76" s="18" t="s">
        <v>467</v>
      </c>
      <c r="D76" s="349" t="s">
        <v>51</v>
      </c>
      <c r="E76" s="349" t="s">
        <v>52</v>
      </c>
      <c r="F76" s="371">
        <f t="shared" si="8"/>
        <v>1.5661395382845762E-4</v>
      </c>
      <c r="G76" s="373">
        <v>0</v>
      </c>
      <c r="H76" s="373">
        <v>9.5000000000000005E-5</v>
      </c>
      <c r="I76" s="373">
        <v>0</v>
      </c>
      <c r="J76" s="373"/>
      <c r="K76" s="373">
        <v>2.6992954053129601E-5</v>
      </c>
      <c r="L76" s="373">
        <v>0</v>
      </c>
      <c r="M76" s="373">
        <v>0</v>
      </c>
      <c r="N76" s="373">
        <v>3.4620999775328E-5</v>
      </c>
      <c r="O76" s="373"/>
      <c r="P76" s="373"/>
      <c r="Q76" s="373"/>
      <c r="R76" s="351">
        <f>'Parameters, country spec'!F23</f>
        <v>6.8964610637078797E-3</v>
      </c>
      <c r="S76" s="351">
        <f>'Parameters, country spec'!F41</f>
        <v>2.8681330795635499E-3</v>
      </c>
    </row>
    <row r="77" spans="1:19" x14ac:dyDescent="0.2">
      <c r="A77" s="353" t="s">
        <v>471</v>
      </c>
      <c r="B77" s="18" t="s">
        <v>281</v>
      </c>
      <c r="C77" s="18" t="s">
        <v>467</v>
      </c>
      <c r="D77" s="349" t="s">
        <v>51</v>
      </c>
      <c r="E77" s="349" t="s">
        <v>52</v>
      </c>
      <c r="F77" s="371">
        <f t="shared" si="8"/>
        <v>1.4529023631438349E-4</v>
      </c>
      <c r="G77" s="373">
        <v>0</v>
      </c>
      <c r="H77" s="373">
        <v>9.5000000000000005E-5</v>
      </c>
      <c r="I77" s="373">
        <v>0</v>
      </c>
      <c r="J77" s="373"/>
      <c r="K77" s="373">
        <v>1.5669236539055499E-5</v>
      </c>
      <c r="L77" s="373">
        <v>0</v>
      </c>
      <c r="M77" s="373">
        <v>0</v>
      </c>
      <c r="N77" s="373">
        <v>3.4620999775328E-5</v>
      </c>
      <c r="O77" s="373"/>
      <c r="P77" s="373"/>
      <c r="Q77" s="373"/>
      <c r="R77" s="351">
        <f>'Parameters, country spec'!F24</f>
        <v>3.10248353470601E-2</v>
      </c>
      <c r="S77" s="351">
        <f>'Parameters, country spec'!F42</f>
        <v>1.29027563161922E-2</v>
      </c>
    </row>
    <row r="78" spans="1:19" x14ac:dyDescent="0.2">
      <c r="A78" s="353" t="s">
        <v>472</v>
      </c>
      <c r="B78" s="18" t="s">
        <v>282</v>
      </c>
      <c r="C78" s="18" t="s">
        <v>473</v>
      </c>
      <c r="D78" s="349" t="s">
        <v>51</v>
      </c>
      <c r="E78" s="349" t="s">
        <v>52</v>
      </c>
      <c r="F78" s="371">
        <f t="shared" si="8"/>
        <v>2.3889913965334191E-4</v>
      </c>
      <c r="G78" s="373">
        <v>0</v>
      </c>
      <c r="H78" s="373">
        <v>9.5000000000000005E-5</v>
      </c>
      <c r="I78" s="373">
        <v>0</v>
      </c>
      <c r="J78" s="373"/>
      <c r="K78" s="373">
        <v>3.3607143901788602E-5</v>
      </c>
      <c r="L78" s="373">
        <v>0</v>
      </c>
      <c r="M78" s="373">
        <v>7.5670995976225307E-5</v>
      </c>
      <c r="N78" s="373">
        <v>3.4620999775328E-5</v>
      </c>
      <c r="O78" s="373"/>
      <c r="P78" s="373"/>
      <c r="Q78" s="373"/>
      <c r="R78" s="351">
        <f>'Parameters, country spec'!F25</f>
        <v>1.11577561574704E-3</v>
      </c>
      <c r="S78" s="351">
        <f>'Parameters, country spec'!F43</f>
        <v>9.2331122908701499E-4</v>
      </c>
    </row>
    <row r="79" spans="1:19" x14ac:dyDescent="0.2">
      <c r="A79" s="353" t="s">
        <v>474</v>
      </c>
      <c r="B79" s="18" t="s">
        <v>283</v>
      </c>
      <c r="C79" s="18" t="s">
        <v>473</v>
      </c>
      <c r="D79" s="349" t="s">
        <v>51</v>
      </c>
      <c r="E79" s="349" t="s">
        <v>52</v>
      </c>
      <c r="F79" s="371">
        <f t="shared" si="8"/>
        <v>2.7852379088053969E-4</v>
      </c>
      <c r="G79" s="373">
        <v>0</v>
      </c>
      <c r="H79" s="373">
        <v>9.5000000000000005E-5</v>
      </c>
      <c r="I79" s="373">
        <v>0</v>
      </c>
      <c r="J79" s="373"/>
      <c r="K79" s="373">
        <v>5.3019283387622201E-5</v>
      </c>
      <c r="L79" s="373">
        <v>0</v>
      </c>
      <c r="M79" s="373">
        <v>9.5883507717589505E-5</v>
      </c>
      <c r="N79" s="373">
        <v>3.4620999775328E-5</v>
      </c>
      <c r="O79" s="373"/>
      <c r="P79" s="373"/>
      <c r="Q79" s="373"/>
      <c r="R79" s="351">
        <f>'Parameters, country spec'!F26</f>
        <v>1.09605934664696E-3</v>
      </c>
      <c r="S79" s="351">
        <f>'Parameters, country spec'!F44</f>
        <v>9.0699589423403595E-4</v>
      </c>
    </row>
    <row r="80" spans="1:19" x14ac:dyDescent="0.2">
      <c r="B80" s="58" t="s">
        <v>284</v>
      </c>
      <c r="C80" s="18" t="s">
        <v>475</v>
      </c>
      <c r="D80" s="349" t="s">
        <v>51</v>
      </c>
      <c r="E80" s="349" t="s">
        <v>52</v>
      </c>
      <c r="F80" s="371">
        <f t="shared" si="8"/>
        <v>4.6478527325651372E-4</v>
      </c>
      <c r="G80" s="372">
        <v>3.0425509539765703E-4</v>
      </c>
      <c r="H80" s="372">
        <v>4.58620689655173E-5</v>
      </c>
      <c r="I80" s="372"/>
      <c r="J80" s="372"/>
      <c r="K80" s="372">
        <v>1.0936279334641701E-5</v>
      </c>
      <c r="L80" s="372"/>
      <c r="M80" s="372">
        <v>6.46069605517241E-7</v>
      </c>
      <c r="N80" s="372">
        <v>2.1884761697575201E-5</v>
      </c>
      <c r="O80" s="372"/>
      <c r="P80" s="372">
        <v>5.7027085212127002E-5</v>
      </c>
      <c r="Q80" s="372">
        <v>2.4173913043478301E-5</v>
      </c>
      <c r="R80" s="351">
        <f>'Parameters, country spec'!F27</f>
        <v>4.8155919990539102E-4</v>
      </c>
      <c r="S80" s="351">
        <f>'Parameters, country spec'!F45</f>
        <v>3.9849321881062699E-4</v>
      </c>
    </row>
    <row r="81" spans="1:19" x14ac:dyDescent="0.2">
      <c r="B81" s="58" t="s">
        <v>476</v>
      </c>
      <c r="C81" s="18" t="s">
        <v>475</v>
      </c>
      <c r="D81" s="349" t="s">
        <v>51</v>
      </c>
      <c r="E81" s="349" t="s">
        <v>52</v>
      </c>
      <c r="F81" s="371">
        <f t="shared" si="8"/>
        <v>4.7266553697523949E-4</v>
      </c>
      <c r="G81" s="372">
        <v>1.56035162386253E-5</v>
      </c>
      <c r="H81" s="372">
        <v>7.5304878048780503E-5</v>
      </c>
      <c r="I81" s="372"/>
      <c r="J81" s="372"/>
      <c r="K81" s="372">
        <v>1.9084590744355901E-5</v>
      </c>
      <c r="L81" s="372"/>
      <c r="M81" s="372">
        <v>5.9672097439024396E-7</v>
      </c>
      <c r="N81" s="372">
        <v>2.3084271612619499E-5</v>
      </c>
      <c r="O81" s="372"/>
      <c r="P81" s="372">
        <v>1.28991559356468E-4</v>
      </c>
      <c r="Q81" s="372">
        <v>2.1000000000000001E-4</v>
      </c>
      <c r="R81" s="351">
        <f>'Parameters, country spec'!F28</f>
        <v>9.1823937462469196E-2</v>
      </c>
      <c r="S81" s="351">
        <f>'Parameters, country spec'!F46</f>
        <v>7.5984876674379795E-2</v>
      </c>
    </row>
    <row r="82" spans="1:19" x14ac:dyDescent="0.2">
      <c r="B82" s="18" t="s">
        <v>286</v>
      </c>
      <c r="C82" s="18" t="s">
        <v>477</v>
      </c>
      <c r="D82" s="349" t="s">
        <v>51</v>
      </c>
      <c r="E82" s="349" t="s">
        <v>52</v>
      </c>
      <c r="F82" s="374">
        <f t="shared" si="8"/>
        <v>1.2583739615406747E-3</v>
      </c>
      <c r="G82" s="373">
        <v>0</v>
      </c>
      <c r="H82" s="373">
        <v>8.5499999999999995E-6</v>
      </c>
      <c r="I82" s="53">
        <v>0</v>
      </c>
      <c r="J82" s="53"/>
      <c r="K82" s="373">
        <v>1.41023128851499E-6</v>
      </c>
      <c r="L82" s="53">
        <v>0</v>
      </c>
      <c r="M82" s="53">
        <v>0</v>
      </c>
      <c r="N82" s="373">
        <v>3.11588997977952E-6</v>
      </c>
      <c r="O82" s="373"/>
      <c r="P82" s="373">
        <v>1.2421904527491999E-3</v>
      </c>
      <c r="Q82" s="373">
        <v>3.10738752318024E-6</v>
      </c>
      <c r="R82" s="351">
        <f>'Parameters, country spec'!F29</f>
        <v>0.15922163374012799</v>
      </c>
      <c r="S82" s="351">
        <f>'Parameters, country spec'!F47</f>
        <v>9.4871367549450705E-2</v>
      </c>
    </row>
    <row r="83" spans="1:19" x14ac:dyDescent="0.2">
      <c r="A83" s="354"/>
      <c r="B83" s="18" t="s">
        <v>478</v>
      </c>
      <c r="C83" s="355" t="s">
        <v>479</v>
      </c>
      <c r="D83" s="349" t="s">
        <v>51</v>
      </c>
      <c r="E83" s="349" t="s">
        <v>52</v>
      </c>
      <c r="F83" s="371">
        <f t="shared" si="8"/>
        <v>8.5092831230280629E-5</v>
      </c>
      <c r="G83" s="375">
        <f t="shared" ref="G83:Q83" si="9">SUMPRODUCT(G73:G81,$R73:$R81)</f>
        <v>1.5792931395969863E-6</v>
      </c>
      <c r="H83" s="375">
        <f t="shared" si="9"/>
        <v>3.4249911548717846E-5</v>
      </c>
      <c r="I83" s="375">
        <f t="shared" si="9"/>
        <v>0</v>
      </c>
      <c r="J83" s="375">
        <f t="shared" si="9"/>
        <v>0</v>
      </c>
      <c r="K83" s="375">
        <f t="shared" si="9"/>
        <v>5.7203611890060377E-6</v>
      </c>
      <c r="L83" s="375">
        <f t="shared" si="9"/>
        <v>0</v>
      </c>
      <c r="M83" s="375">
        <f t="shared" si="9"/>
        <v>2.9266228672990948E-7</v>
      </c>
      <c r="N83" s="375">
        <f t="shared" si="9"/>
        <v>1.2083960231825134E-5</v>
      </c>
      <c r="O83" s="375">
        <f t="shared" si="9"/>
        <v>0</v>
      </c>
      <c r="P83" s="375">
        <f t="shared" si="9"/>
        <v>1.1871974797062391E-5</v>
      </c>
      <c r="Q83" s="375">
        <f t="shared" si="9"/>
        <v>1.9294668037342331E-5</v>
      </c>
      <c r="R83" s="351">
        <f>'Parameters, country spec'!F30</f>
        <v>5.9977239579590301E-2</v>
      </c>
      <c r="S83" s="351">
        <f>'Parameters, country spec'!F48</f>
        <v>6.7982986801529102E-2</v>
      </c>
    </row>
    <row r="84" spans="1:19" x14ac:dyDescent="0.2">
      <c r="A84" s="357"/>
      <c r="B84" s="358" t="s">
        <v>480</v>
      </c>
      <c r="C84" s="359"/>
      <c r="D84" s="360"/>
      <c r="E84" s="360"/>
      <c r="F84" s="376">
        <f>SUMPRODUCT(F70:F72,R70:R72)+SUMPRODUCT(F73:F83,R73:R83)/0.87</f>
        <v>6.2302992191549033E-4</v>
      </c>
      <c r="G84" s="376">
        <f>SUMPRODUCT(G70:G72,R70:R72)+SUMPRODUCT(G73:G83,R73:R83)/0.87</f>
        <v>1.9241549225252853E-6</v>
      </c>
      <c r="H84" s="376">
        <f>SUMPRODUCT(H70:H72,R70:R72)+SUMPRODUCT(H73:H83,R73:R83)/0.87</f>
        <v>8.1387694611886115E-5</v>
      </c>
      <c r="I84" s="376">
        <f>SUMPRODUCT(I70:I72,R70:R72)+SUMPRODUCT(I73:I83,R73:R83)/0.87</f>
        <v>0</v>
      </c>
      <c r="J84" s="376">
        <f>SUMPRODUCT(J70:J72,R70:R72)+SUMPRODUCT(J73:J83,R73:R83)/0.87</f>
        <v>0</v>
      </c>
      <c r="K84" s="376">
        <f>SUMPRODUCT(K70:K72,R70:R72)+SUMPRODUCT(K73:K83,R73:R83)/0.87</f>
        <v>1.2102435396539865E-5</v>
      </c>
      <c r="L84" s="376">
        <f>SUMPRODUCT(L70:L72,R70:R72)+SUMPRODUCT(L73:L83,R73:R83)/0.87</f>
        <v>0</v>
      </c>
      <c r="M84" s="376">
        <f>SUMPRODUCT(M70:M72,R70:R72)+SUMPRODUCT(M73:M83,R73:R83)/0.87</f>
        <v>3.6375134962641864E-7</v>
      </c>
      <c r="N84" s="376">
        <f>SUMPRODUCT(N70:N72,R70:R72)+SUMPRODUCT(N73:N83,R73:R83)/0.87</f>
        <v>1.5292919428568438E-5</v>
      </c>
      <c r="O84" s="376">
        <f>SUMPRODUCT(O70:O72,R70:R72)+SUMPRODUCT(O73:O83,R73:R83)/0.87</f>
        <v>0</v>
      </c>
      <c r="P84" s="376">
        <f>SUMPRODUCT(P70:P72,R70:R72)+SUMPRODUCT(P73:P83,R73:R83)/0.87</f>
        <v>4.878823313983773E-4</v>
      </c>
      <c r="Q84" s="376">
        <f>SUMPRODUCT(Q70:Q72,R70:R72)+SUMPRODUCT(Q73:Q83,R73:R83)/0.87</f>
        <v>2.4076634807966811E-5</v>
      </c>
      <c r="R84" s="362"/>
      <c r="S84" s="369"/>
    </row>
    <row r="85" spans="1:19" x14ac:dyDescent="0.2">
      <c r="A85" s="363"/>
      <c r="B85" s="364" t="s">
        <v>481</v>
      </c>
      <c r="C85" s="365"/>
      <c r="D85" s="366"/>
      <c r="E85" s="366"/>
      <c r="F85" s="377">
        <f>SUMPRODUCT(F70:F72,S70:S72)+SUMPRODUCT(F73:F83,S73:S83)/0.87</f>
        <v>6.7259413549181708E-4</v>
      </c>
      <c r="G85" s="377">
        <f>SUMPRODUCT(G70:G72,S70:S72)+SUMPRODUCT(G73:G83,S73:S83)/0.87</f>
        <v>1.6255631195955631E-6</v>
      </c>
      <c r="H85" s="377">
        <f>SUMPRODUCT(H70:H72,S70:S72)+SUMPRODUCT(H73:H83,S73:S83)/0.87</f>
        <v>8.4189419413478072E-5</v>
      </c>
      <c r="I85" s="377">
        <f>SUMPRODUCT(I70:I72,S70:S72)+SUMPRODUCT(I73:I83,S73:S83)/0.87</f>
        <v>0</v>
      </c>
      <c r="J85" s="377">
        <f>SUMPRODUCT(J70:J72,S70:S72)+SUMPRODUCT(J73:J83,S73:S83)/0.87</f>
        <v>0</v>
      </c>
      <c r="K85" s="377">
        <f>SUMPRODUCT(K70:K72,S70:S72)+SUMPRODUCT(K73:K83,S73:S83)/0.87</f>
        <v>1.2015486915075374E-5</v>
      </c>
      <c r="L85" s="377">
        <f>SUMPRODUCT(L70:L72,S70:S72)+SUMPRODUCT(L73:L83,S73:S83)/0.87</f>
        <v>0</v>
      </c>
      <c r="M85" s="377">
        <f>SUMPRODUCT(M70:M72,S70:S72)+SUMPRODUCT(M73:M83,S73:S83)/0.87</f>
        <v>2.894314728295898E-7</v>
      </c>
      <c r="N85" s="377">
        <f>SUMPRODUCT(N70:N72,S70:S72)+SUMPRODUCT(N73:N83,S73:S83)/0.87</f>
        <v>8.104614925602648E-6</v>
      </c>
      <c r="O85" s="377">
        <f>SUMPRODUCT(O70:O72,S70:S72)+SUMPRODUCT(O73:O83,S73:S83)/0.87</f>
        <v>0</v>
      </c>
      <c r="P85" s="377">
        <f>SUMPRODUCT(P70:P72,S70:S72)+SUMPRODUCT(P73:P83,S73:S83)/0.87</f>
        <v>5.4617080526777315E-4</v>
      </c>
      <c r="Q85" s="377">
        <f>SUMPRODUCT(Q70:Q72,S70:S72)+SUMPRODUCT(Q73:Q83,S73:S83)/0.87</f>
        <v>2.019881437746258E-5</v>
      </c>
      <c r="R85" s="368"/>
      <c r="S85" s="368"/>
    </row>
    <row r="86" spans="1:19" x14ac:dyDescent="0.2">
      <c r="B86" s="58" t="s">
        <v>264</v>
      </c>
      <c r="C86" s="18" t="s">
        <v>463</v>
      </c>
      <c r="D86" s="349" t="s">
        <v>89</v>
      </c>
      <c r="E86" s="349" t="s">
        <v>54</v>
      </c>
      <c r="F86" s="371">
        <f t="shared" ref="F86:F99" si="10">SUM(G86:Q86)</f>
        <v>1.0151670280525492E-4</v>
      </c>
      <c r="G86" s="372">
        <f>'Forage crops, CF'!F34</f>
        <v>0</v>
      </c>
      <c r="H86" s="372">
        <f>'Forage crops, CF'!G34</f>
        <v>9.5000000000000005E-5</v>
      </c>
      <c r="I86" s="372">
        <f>'Forage crops, CF'!H34</f>
        <v>0</v>
      </c>
      <c r="J86" s="372">
        <f>'Forage crops, CF'!I34</f>
        <v>0</v>
      </c>
      <c r="K86" s="372">
        <f>'Forage crops, CF'!J34</f>
        <v>6.5167028052549151E-6</v>
      </c>
      <c r="L86" s="372">
        <f>'Forage crops, CF'!K34</f>
        <v>0</v>
      </c>
      <c r="M86" s="372">
        <f>'Forage crops, CF'!L34</f>
        <v>0</v>
      </c>
      <c r="N86" s="372">
        <f>'Forage crops, CF'!M34</f>
        <v>0</v>
      </c>
      <c r="O86" s="372">
        <f>'Forage crops, CF'!N34</f>
        <v>0</v>
      </c>
      <c r="P86" s="372">
        <f>'Forage crops, CF'!O34</f>
        <v>0</v>
      </c>
      <c r="Q86" s="372">
        <f>'Forage crops, CF'!P34</f>
        <v>0</v>
      </c>
      <c r="R86" s="351">
        <f>'Parameters, country spec'!G17</f>
        <v>0.88396763790970601</v>
      </c>
      <c r="S86" s="351">
        <f>'Parameters, country spec'!G35</f>
        <v>0.75114991922794205</v>
      </c>
    </row>
    <row r="87" spans="1:19" x14ac:dyDescent="0.2">
      <c r="B87" s="58" t="s">
        <v>268</v>
      </c>
      <c r="C87" s="18" t="s">
        <v>463</v>
      </c>
      <c r="D87" s="349" t="s">
        <v>89</v>
      </c>
      <c r="E87" s="349" t="s">
        <v>54</v>
      </c>
      <c r="F87" s="371">
        <f t="shared" si="10"/>
        <v>8.0875621086752493E-4</v>
      </c>
      <c r="G87" s="372">
        <f>'Forage crops, CF'!F94</f>
        <v>0</v>
      </c>
      <c r="H87" s="372">
        <f>'Forage crops, CF'!G94</f>
        <v>9.5000000000000005E-5</v>
      </c>
      <c r="I87" s="372"/>
      <c r="J87" s="372"/>
      <c r="K87" s="372">
        <f>'Forage crops, CF'!J94</f>
        <v>5.7562108675249171E-6</v>
      </c>
      <c r="L87" s="372"/>
      <c r="M87" s="372">
        <f>'Forage crops, CF'!L94</f>
        <v>0</v>
      </c>
      <c r="N87" s="372">
        <f>'Forage crops, CF'!M94</f>
        <v>0</v>
      </c>
      <c r="O87" s="372"/>
      <c r="P87" s="372">
        <f>'Forage crops, CF'!O94</f>
        <v>7.0799999999999997E-4</v>
      </c>
      <c r="Q87" s="372"/>
      <c r="R87" s="351">
        <f>'Parameters, country spec'!G18</f>
        <v>2.2255993489188101E-3</v>
      </c>
      <c r="S87" s="351">
        <f>'Parameters, country spec'!G36</f>
        <v>1.9608947623101902E-2</v>
      </c>
    </row>
    <row r="88" spans="1:19" x14ac:dyDescent="0.2">
      <c r="B88" s="58" t="s">
        <v>465</v>
      </c>
      <c r="C88" s="18" t="s">
        <v>463</v>
      </c>
      <c r="D88" s="349" t="s">
        <v>89</v>
      </c>
      <c r="E88" s="349" t="s">
        <v>54</v>
      </c>
      <c r="F88" s="371">
        <f t="shared" si="10"/>
        <v>8.095167115091175E-4</v>
      </c>
      <c r="G88" s="372">
        <f>'Forage crops, CF'!F154*'Forage, input data per ha'!$D$83+'Forage crops, CF'!F214*'Forage, input data per ha'!$E$83</f>
        <v>0</v>
      </c>
      <c r="H88" s="372">
        <f>'Forage crops, CF'!G154*'Forage, input data per ha'!$D$83+'Forage crops, CF'!G214*'Forage, input data per ha'!$E$83</f>
        <v>9.5000000000000019E-5</v>
      </c>
      <c r="I88" s="372"/>
      <c r="J88" s="372"/>
      <c r="K88" s="372">
        <f>'Forage crops, CF'!J154*'Forage, input data per ha'!$D$83+'Forage crops, CF'!J214*'Forage, input data per ha'!$E$83</f>
        <v>6.5167115091174826E-6</v>
      </c>
      <c r="L88" s="372"/>
      <c r="M88" s="372">
        <f>'Forage crops, CF'!L154*'Forage, input data per ha'!$D$83+'Forage crops, CF'!L214*'Forage, input data per ha'!$E$83</f>
        <v>0</v>
      </c>
      <c r="N88" s="372">
        <f>'Forage crops, CF'!M154*'Forage, input data per ha'!$D$83+'Forage crops, CF'!M214*'Forage, input data per ha'!$E$83</f>
        <v>0</v>
      </c>
      <c r="O88" s="372"/>
      <c r="P88" s="372">
        <f>'Forage crops, CF'!O154*'Forage, input data per ha'!$D$83+'Forage crops, CF'!O214*'Forage, input data per ha'!$E$83</f>
        <v>7.0799999999999997E-4</v>
      </c>
      <c r="Q88" s="372"/>
      <c r="R88" s="351">
        <f>'Parameters, country spec'!G19</f>
        <v>3.8602337218792001E-4</v>
      </c>
      <c r="S88" s="351">
        <f>'Parameters, country spec'!G37</f>
        <v>4.0112374212542402E-4</v>
      </c>
    </row>
    <row r="89" spans="1:19" x14ac:dyDescent="0.2">
      <c r="A89" s="353" t="s">
        <v>466</v>
      </c>
      <c r="B89" s="18" t="s">
        <v>274</v>
      </c>
      <c r="C89" s="18" t="s">
        <v>467</v>
      </c>
      <c r="D89" s="349" t="s">
        <v>89</v>
      </c>
      <c r="E89" s="349" t="s">
        <v>54</v>
      </c>
      <c r="F89" s="371">
        <f t="shared" si="10"/>
        <v>1.2752637390551759E-4</v>
      </c>
      <c r="G89" s="373">
        <v>0</v>
      </c>
      <c r="H89" s="373">
        <v>9.5000000000000005E-5</v>
      </c>
      <c r="I89" s="373">
        <v>0</v>
      </c>
      <c r="J89" s="373"/>
      <c r="K89" s="373">
        <v>1.15340929635865E-5</v>
      </c>
      <c r="L89" s="373">
        <v>0</v>
      </c>
      <c r="M89" s="373">
        <v>0</v>
      </c>
      <c r="N89" s="373">
        <v>2.0992280941931101E-5</v>
      </c>
      <c r="O89" s="373"/>
      <c r="P89" s="373"/>
      <c r="Q89" s="373"/>
      <c r="R89" s="351">
        <f>'Parameters, country spec'!G20</f>
        <v>4.7677794309569303E-2</v>
      </c>
      <c r="S89" s="351">
        <f>'Parameters, country spec'!G38</f>
        <v>9.7140944486754505E-2</v>
      </c>
    </row>
    <row r="90" spans="1:19" x14ac:dyDescent="0.2">
      <c r="A90" s="353" t="s">
        <v>468</v>
      </c>
      <c r="B90" s="18" t="s">
        <v>276</v>
      </c>
      <c r="C90" s="18" t="s">
        <v>467</v>
      </c>
      <c r="D90" s="349" t="s">
        <v>89</v>
      </c>
      <c r="E90" s="349" t="s">
        <v>54</v>
      </c>
      <c r="F90" s="371">
        <f t="shared" si="10"/>
        <v>1.3043464412497476E-4</v>
      </c>
      <c r="G90" s="373">
        <v>0</v>
      </c>
      <c r="H90" s="373">
        <v>9.5000000000000005E-5</v>
      </c>
      <c r="I90" s="373">
        <v>0</v>
      </c>
      <c r="J90" s="373"/>
      <c r="K90" s="373">
        <v>8.0196373769558906E-6</v>
      </c>
      <c r="L90" s="373">
        <v>0</v>
      </c>
      <c r="M90" s="373">
        <v>9.4674824843908693E-6</v>
      </c>
      <c r="N90" s="373">
        <v>1.7947524263628E-5</v>
      </c>
      <c r="O90" s="373"/>
      <c r="P90" s="373"/>
      <c r="Q90" s="373"/>
      <c r="R90" s="351">
        <f>'Parameters, country spec'!G21</f>
        <v>1.3140930176321799E-2</v>
      </c>
      <c r="S90" s="351">
        <f>'Parameters, country spec'!G39</f>
        <v>2.6773939262145899E-2</v>
      </c>
    </row>
    <row r="91" spans="1:19" x14ac:dyDescent="0.2">
      <c r="A91" s="353" t="s">
        <v>469</v>
      </c>
      <c r="B91" s="18" t="s">
        <v>278</v>
      </c>
      <c r="C91" s="18" t="s">
        <v>467</v>
      </c>
      <c r="D91" s="349" t="s">
        <v>89</v>
      </c>
      <c r="E91" s="349" t="s">
        <v>54</v>
      </c>
      <c r="F91" s="371">
        <f t="shared" si="10"/>
        <v>1.266059423118113E-4</v>
      </c>
      <c r="G91" s="373">
        <v>0</v>
      </c>
      <c r="H91" s="373">
        <v>9.5000000000000005E-5</v>
      </c>
      <c r="I91" s="373">
        <v>0</v>
      </c>
      <c r="J91" s="373"/>
      <c r="K91" s="373">
        <v>1.0613661369880201E-5</v>
      </c>
      <c r="L91" s="373">
        <v>0</v>
      </c>
      <c r="M91" s="373">
        <v>0</v>
      </c>
      <c r="N91" s="373">
        <v>2.0992280941931101E-5</v>
      </c>
      <c r="O91" s="373"/>
      <c r="P91" s="373"/>
      <c r="Q91" s="373"/>
      <c r="R91" s="351">
        <f>'Parameters, country spec'!G22</f>
        <v>2.7481478125062899E-3</v>
      </c>
      <c r="S91" s="351">
        <f>'Parameters, country spec'!G40</f>
        <v>5.5992035288690298E-3</v>
      </c>
    </row>
    <row r="92" spans="1:19" x14ac:dyDescent="0.2">
      <c r="A92" s="353" t="s">
        <v>470</v>
      </c>
      <c r="B92" s="18" t="s">
        <v>280</v>
      </c>
      <c r="C92" s="18" t="s">
        <v>467</v>
      </c>
      <c r="D92" s="349" t="s">
        <v>89</v>
      </c>
      <c r="E92" s="349" t="s">
        <v>54</v>
      </c>
      <c r="F92" s="371">
        <f t="shared" si="10"/>
        <v>1.3385318160415261E-4</v>
      </c>
      <c r="G92" s="373">
        <v>0</v>
      </c>
      <c r="H92" s="373">
        <v>9.5000000000000005E-5</v>
      </c>
      <c r="I92" s="373">
        <v>0</v>
      </c>
      <c r="J92" s="373"/>
      <c r="K92" s="373">
        <v>2.0824119581523299E-5</v>
      </c>
      <c r="L92" s="373">
        <v>0</v>
      </c>
      <c r="M92" s="373">
        <v>8.15377590012958E-8</v>
      </c>
      <c r="N92" s="373">
        <v>1.7947524263628E-5</v>
      </c>
      <c r="O92" s="373"/>
      <c r="P92" s="373"/>
      <c r="Q92" s="373"/>
      <c r="R92" s="351">
        <f>'Parameters, country spec'!G23</f>
        <v>0</v>
      </c>
      <c r="S92" s="351">
        <f>'Parameters, country spec'!G41</f>
        <v>0</v>
      </c>
    </row>
    <row r="93" spans="1:19" x14ac:dyDescent="0.2">
      <c r="A93" s="353" t="s">
        <v>471</v>
      </c>
      <c r="B93" s="18" t="s">
        <v>281</v>
      </c>
      <c r="C93" s="18" t="s">
        <v>467</v>
      </c>
      <c r="D93" s="349" t="s">
        <v>89</v>
      </c>
      <c r="E93" s="349" t="s">
        <v>54</v>
      </c>
      <c r="F93" s="371">
        <f t="shared" si="10"/>
        <v>1.2544698323017838E-4</v>
      </c>
      <c r="G93" s="373">
        <v>0</v>
      </c>
      <c r="H93" s="373">
        <v>9.5000000000000005E-5</v>
      </c>
      <c r="I93" s="373">
        <v>0</v>
      </c>
      <c r="J93" s="373"/>
      <c r="K93" s="373">
        <v>9.4547022882472702E-6</v>
      </c>
      <c r="L93" s="373">
        <v>0</v>
      </c>
      <c r="M93" s="373">
        <v>0</v>
      </c>
      <c r="N93" s="373">
        <v>2.0992280941931101E-5</v>
      </c>
      <c r="O93" s="373"/>
      <c r="P93" s="373"/>
      <c r="Q93" s="373"/>
      <c r="R93" s="351">
        <f>'Parameters, country spec'!G24</f>
        <v>2.0477632235899601E-2</v>
      </c>
      <c r="S93" s="351">
        <f>'Parameters, country spec'!G42</f>
        <v>4.17220755624313E-2</v>
      </c>
    </row>
    <row r="94" spans="1:19" x14ac:dyDescent="0.2">
      <c r="A94" s="353" t="s">
        <v>472</v>
      </c>
      <c r="B94" s="18" t="s">
        <v>282</v>
      </c>
      <c r="C94" s="18" t="s">
        <v>473</v>
      </c>
      <c r="D94" s="349" t="s">
        <v>89</v>
      </c>
      <c r="E94" s="349" t="s">
        <v>54</v>
      </c>
      <c r="F94" s="371">
        <f t="shared" si="10"/>
        <v>1.330387793164647E-4</v>
      </c>
      <c r="G94" s="373">
        <v>0</v>
      </c>
      <c r="H94" s="373">
        <v>9.5000000000000005E-5</v>
      </c>
      <c r="I94" s="373">
        <v>0</v>
      </c>
      <c r="J94" s="373"/>
      <c r="K94" s="373">
        <v>1.70464983745336E-5</v>
      </c>
      <c r="L94" s="373">
        <v>0</v>
      </c>
      <c r="M94" s="373">
        <v>0</v>
      </c>
      <c r="N94" s="373">
        <v>2.0992280941931101E-5</v>
      </c>
      <c r="O94" s="373"/>
      <c r="P94" s="373"/>
      <c r="Q94" s="373"/>
      <c r="R94" s="351">
        <f>'Parameters, country spec'!G25</f>
        <v>2.8121535473625199E-5</v>
      </c>
      <c r="S94" s="351">
        <f>'Parameters, country spec'!G43</f>
        <v>8.7938670638632895E-5</v>
      </c>
    </row>
    <row r="95" spans="1:19" x14ac:dyDescent="0.2">
      <c r="A95" s="353" t="s">
        <v>474</v>
      </c>
      <c r="B95" s="18" t="s">
        <v>283</v>
      </c>
      <c r="C95" s="18" t="s">
        <v>473</v>
      </c>
      <c r="D95" s="349" t="s">
        <v>89</v>
      </c>
      <c r="E95" s="349" t="s">
        <v>54</v>
      </c>
      <c r="F95" s="371">
        <f t="shared" si="10"/>
        <v>1.3185743411235379E-4</v>
      </c>
      <c r="G95" s="373">
        <v>0</v>
      </c>
      <c r="H95" s="373">
        <v>9.5000000000000005E-5</v>
      </c>
      <c r="I95" s="373">
        <v>0</v>
      </c>
      <c r="J95" s="373"/>
      <c r="K95" s="373">
        <v>1.58651531704227E-5</v>
      </c>
      <c r="L95" s="373">
        <v>0</v>
      </c>
      <c r="M95" s="373">
        <v>0</v>
      </c>
      <c r="N95" s="373">
        <v>2.0992280941931101E-5</v>
      </c>
      <c r="O95" s="373"/>
      <c r="P95" s="373"/>
      <c r="Q95" s="373"/>
      <c r="R95" s="351">
        <f>'Parameters, country spec'!G26</f>
        <v>2.76246147491182E-5</v>
      </c>
      <c r="S95" s="351">
        <f>'Parameters, country spec'!G44</f>
        <v>8.6384753409677397E-5</v>
      </c>
    </row>
    <row r="96" spans="1:19" x14ac:dyDescent="0.2">
      <c r="B96" s="58" t="s">
        <v>284</v>
      </c>
      <c r="C96" s="18" t="s">
        <v>475</v>
      </c>
      <c r="D96" s="349" t="s">
        <v>89</v>
      </c>
      <c r="E96" s="349" t="s">
        <v>54</v>
      </c>
      <c r="F96" s="371">
        <f t="shared" si="10"/>
        <v>4.6478527325651372E-4</v>
      </c>
      <c r="G96" s="372">
        <v>3.0425509539765703E-4</v>
      </c>
      <c r="H96" s="372">
        <v>4.58620689655173E-5</v>
      </c>
      <c r="I96" s="372"/>
      <c r="J96" s="372"/>
      <c r="K96" s="372">
        <v>1.0936279334641701E-5</v>
      </c>
      <c r="L96" s="372"/>
      <c r="M96" s="372">
        <v>6.46069605517241E-7</v>
      </c>
      <c r="N96" s="372">
        <v>2.1884761697575201E-5</v>
      </c>
      <c r="O96" s="372"/>
      <c r="P96" s="372">
        <v>5.7027085212127002E-5</v>
      </c>
      <c r="Q96" s="372">
        <v>2.4173913043478301E-5</v>
      </c>
      <c r="R96" s="351">
        <f>'Parameters, country spec'!G27</f>
        <v>1.50556518569814E-3</v>
      </c>
      <c r="S96" s="351">
        <f>'Parameters, country spec'!G45</f>
        <v>4.70804310319847E-3</v>
      </c>
    </row>
    <row r="97" spans="1:19" x14ac:dyDescent="0.2">
      <c r="B97" s="58" t="s">
        <v>476</v>
      </c>
      <c r="C97" s="18" t="s">
        <v>475</v>
      </c>
      <c r="D97" s="349" t="s">
        <v>89</v>
      </c>
      <c r="E97" s="349" t="s">
        <v>54</v>
      </c>
      <c r="F97" s="371">
        <f t="shared" si="10"/>
        <v>4.7266553697523949E-4</v>
      </c>
      <c r="G97" s="372">
        <v>1.56035162386253E-5</v>
      </c>
      <c r="H97" s="372">
        <v>7.5304878048780503E-5</v>
      </c>
      <c r="I97" s="372"/>
      <c r="J97" s="372"/>
      <c r="K97" s="372">
        <v>1.9084590744355901E-5</v>
      </c>
      <c r="L97" s="372"/>
      <c r="M97" s="372">
        <v>5.9672097439024396E-7</v>
      </c>
      <c r="N97" s="372">
        <v>2.3084271612619499E-5</v>
      </c>
      <c r="O97" s="372"/>
      <c r="P97" s="372">
        <v>1.28991559356468E-4</v>
      </c>
      <c r="Q97" s="372">
        <v>2.1000000000000001E-4</v>
      </c>
      <c r="R97" s="351">
        <f>'Parameters, country spec'!G28</f>
        <v>2.86495692625428E-3</v>
      </c>
      <c r="S97" s="351">
        <f>'Parameters, country spec'!G46</f>
        <v>8.9589881795904807E-3</v>
      </c>
    </row>
    <row r="98" spans="1:19" x14ac:dyDescent="0.2">
      <c r="B98" s="18" t="s">
        <v>286</v>
      </c>
      <c r="C98" s="18" t="s">
        <v>477</v>
      </c>
      <c r="D98" s="349" t="s">
        <v>89</v>
      </c>
      <c r="E98" s="349" t="s">
        <v>54</v>
      </c>
      <c r="F98" s="374">
        <f t="shared" si="10"/>
        <v>5.1398626472793632E-4</v>
      </c>
      <c r="G98" s="373">
        <v>0</v>
      </c>
      <c r="H98" s="373">
        <v>8.5499999999999995E-6</v>
      </c>
      <c r="I98" s="53">
        <v>0</v>
      </c>
      <c r="J98" s="53"/>
      <c r="K98" s="373">
        <v>8.5092320594225499E-7</v>
      </c>
      <c r="L98" s="53">
        <v>0</v>
      </c>
      <c r="M98" s="53">
        <v>0</v>
      </c>
      <c r="N98" s="373">
        <v>1.8893052847737999E-6</v>
      </c>
      <c r="O98" s="373"/>
      <c r="P98" s="373">
        <v>4.7636352423280299E-4</v>
      </c>
      <c r="Q98" s="373">
        <v>2.6332512004417299E-5</v>
      </c>
      <c r="R98" s="351">
        <f>'Parameters, country spec'!G29</f>
        <v>1.02158904527991E-2</v>
      </c>
      <c r="S98" s="351">
        <f>'Parameters, country spec'!G47</f>
        <v>1.74137385912514E-2</v>
      </c>
    </row>
    <row r="99" spans="1:19" x14ac:dyDescent="0.2">
      <c r="A99" s="354"/>
      <c r="B99" s="18" t="s">
        <v>478</v>
      </c>
      <c r="C99" s="355" t="s">
        <v>479</v>
      </c>
      <c r="D99" s="349" t="s">
        <v>89</v>
      </c>
      <c r="E99" s="349" t="s">
        <v>54</v>
      </c>
      <c r="F99" s="371">
        <f t="shared" si="10"/>
        <v>1.2772312502007521E-5</v>
      </c>
      <c r="G99" s="375">
        <f t="shared" ref="G99:Q99" si="11">SUMPRODUCT(G89:G97,$R89:$R97)</f>
        <v>5.0277928112374949E-7</v>
      </c>
      <c r="H99" s="375">
        <f t="shared" si="11"/>
        <v>8.2743173813545341E-6</v>
      </c>
      <c r="I99" s="375">
        <f t="shared" si="11"/>
        <v>0</v>
      </c>
      <c r="J99" s="375">
        <f t="shared" si="11"/>
        <v>0</v>
      </c>
      <c r="K99" s="375">
        <f t="shared" si="11"/>
        <v>9.5014288762837706E-7</v>
      </c>
      <c r="L99" s="375">
        <f t="shared" si="11"/>
        <v>0</v>
      </c>
      <c r="M99" s="375">
        <f t="shared" si="11"/>
        <v>1.2709380606715507E-7</v>
      </c>
      <c r="N99" s="375">
        <f t="shared" si="11"/>
        <v>1.8245295338960795E-6</v>
      </c>
      <c r="O99" s="375">
        <f t="shared" si="11"/>
        <v>0</v>
      </c>
      <c r="P99" s="375">
        <f t="shared" si="11"/>
        <v>4.5541325554387274E-7</v>
      </c>
      <c r="Q99" s="375">
        <f t="shared" si="11"/>
        <v>6.3803635639375388E-7</v>
      </c>
      <c r="R99" s="351">
        <f>'Parameters, country spec'!G30</f>
        <v>1.4734076119915901E-2</v>
      </c>
      <c r="S99" s="351">
        <f>'Parameters, country spec'!G48</f>
        <v>2.6348753268541001E-2</v>
      </c>
    </row>
    <row r="100" spans="1:19" x14ac:dyDescent="0.2">
      <c r="A100" s="357"/>
      <c r="B100" s="358" t="s">
        <v>480</v>
      </c>
      <c r="C100" s="359"/>
      <c r="D100" s="360"/>
      <c r="E100" s="360"/>
      <c r="F100" s="376">
        <f>SUMPRODUCT(F86:F88,R86:R88)+SUMPRODUCT(F89:F99,R89:R99)/0.87</f>
        <v>1.1278250069032979E-4</v>
      </c>
      <c r="G100" s="376">
        <f>SUMPRODUCT(G86:G88,R86:R88)+SUMPRODUCT(G89:G99,R89:R99)/0.87</f>
        <v>5.864221486475211E-7</v>
      </c>
      <c r="H100" s="376">
        <f>SUMPRODUCT(H86:H88,R86:R88)+SUMPRODUCT(H89:H99,R89:R99)/0.87</f>
        <v>9.3976268457471107E-5</v>
      </c>
      <c r="I100" s="376">
        <f>SUMPRODUCT(I86:I88,R86:R88)+SUMPRODUCT(I89:I99,R89:R99)/0.87</f>
        <v>0</v>
      </c>
      <c r="J100" s="376">
        <f>SUMPRODUCT(J86:J88,R86:R88)+SUMPRODUCT(J89:J99,R89:R99)/0.87</f>
        <v>0</v>
      </c>
      <c r="K100" s="376">
        <f>SUMPRODUCT(K86:K88,R86:R88)+SUMPRODUCT(K89:K99,R89:R99)/0.87</f>
        <v>6.8940825061253359E-6</v>
      </c>
      <c r="L100" s="376">
        <f>SUMPRODUCT(L86:L88,R86:R88)+SUMPRODUCT(L89:L99,R89:R99)/0.87</f>
        <v>0</v>
      </c>
      <c r="M100" s="376">
        <f>SUMPRODUCT(M86:M88,R86:R88)+SUMPRODUCT(M89:M99,R89:R99)/0.87</f>
        <v>1.4823725963231996E-7</v>
      </c>
      <c r="N100" s="376">
        <f>SUMPRODUCT(N86:N88,R86:R88)+SUMPRODUCT(N89:N99,R89:R99)/0.87</f>
        <v>2.150245088221474E-6</v>
      </c>
      <c r="O100" s="376">
        <f>SUMPRODUCT(O86:O88,R86:R88)+SUMPRODUCT(O89:O99,R89:R99)/0.87</f>
        <v>0</v>
      </c>
      <c r="P100" s="376">
        <f>SUMPRODUCT(P86:P88,R86:R88)+SUMPRODUCT(P89:P99,R89:R99)/0.87</f>
        <v>7.9738575398639086E-6</v>
      </c>
      <c r="Q100" s="376">
        <f>SUMPRODUCT(Q86:Q88,R86:R88)+SUMPRODUCT(Q89:Q99,R89:R99)/0.87</f>
        <v>1.0533876903681351E-6</v>
      </c>
      <c r="R100" s="362"/>
      <c r="S100" s="369"/>
    </row>
    <row r="101" spans="1:19" x14ac:dyDescent="0.2">
      <c r="A101" s="363"/>
      <c r="B101" s="364" t="s">
        <v>481</v>
      </c>
      <c r="C101" s="365"/>
      <c r="D101" s="366"/>
      <c r="E101" s="366"/>
      <c r="F101" s="377">
        <f>SUMPRODUCT(F86:F88,S86:S88)+SUMPRODUCT(F89:F99,S89:S99)/0.87</f>
        <v>1.3560561162761006E-4</v>
      </c>
      <c r="G101" s="377">
        <f>SUMPRODUCT(G86:G88,S86:S88)+SUMPRODUCT(G89:G99,S89:S99)/0.87</f>
        <v>1.8223970439869976E-6</v>
      </c>
      <c r="H101" s="377">
        <f>SUMPRODUCT(H86:H88,S86:S88)+SUMPRODUCT(H89:H99,S89:S99)/0.87</f>
        <v>9.3422817171870428E-5</v>
      </c>
      <c r="I101" s="377">
        <f>SUMPRODUCT(I86:I88,S86:S88)+SUMPRODUCT(I89:I99,S89:S99)/0.87</f>
        <v>0</v>
      </c>
      <c r="J101" s="377">
        <f>SUMPRODUCT(J86:J88,S86:S88)+SUMPRODUCT(J89:J99,S89:S99)/0.87</f>
        <v>0</v>
      </c>
      <c r="K101" s="377">
        <f>SUMPRODUCT(K86:K88,S86:S88)+SUMPRODUCT(K89:K99,S89:S99)/0.87</f>
        <v>7.3717003386464965E-6</v>
      </c>
      <c r="L101" s="377">
        <f>SUMPRODUCT(L86:L88,S86:S88)+SUMPRODUCT(L89:L99,S89:S99)/0.87</f>
        <v>0</v>
      </c>
      <c r="M101" s="377">
        <f>SUMPRODUCT(M86:M88,S86:S88)+SUMPRODUCT(M89:M99,S89:S99)/0.87</f>
        <v>3.0484862534143916E-7</v>
      </c>
      <c r="N101" s="377">
        <f>SUMPRODUCT(N86:N88,S86:S88)+SUMPRODUCT(N89:N99,S89:S99)/0.87</f>
        <v>4.4914908257867557E-6</v>
      </c>
      <c r="O101" s="377">
        <f>SUMPRODUCT(O86:O88,S86:S88)+SUMPRODUCT(O89:O99,S89:S99)/0.87</f>
        <v>0</v>
      </c>
      <c r="P101" s="377">
        <f>SUMPRODUCT(P86:P88,S86:S88)+SUMPRODUCT(P89:P99,S89:S99)/0.87</f>
        <v>2.535263545494053E-5</v>
      </c>
      <c r="Q101" s="377">
        <f>SUMPRODUCT(Q86:Q88,S86:S88)+SUMPRODUCT(Q89:Q99,S89:S99)/0.87</f>
        <v>2.8397221670374238E-6</v>
      </c>
      <c r="R101" s="368"/>
      <c r="S101" s="368"/>
    </row>
    <row r="102" spans="1:19" x14ac:dyDescent="0.2">
      <c r="B102" s="58" t="s">
        <v>264</v>
      </c>
      <c r="C102" s="18" t="s">
        <v>463</v>
      </c>
      <c r="D102" s="349" t="s">
        <v>55</v>
      </c>
      <c r="E102" s="349" t="s">
        <v>56</v>
      </c>
      <c r="F102" s="371">
        <f t="shared" ref="F102:F115" si="12">SUM(G102:Q102)</f>
        <v>1.0037123309402296E-4</v>
      </c>
      <c r="G102" s="372">
        <f>'Forage crops, CF'!F39</f>
        <v>0</v>
      </c>
      <c r="H102" s="372">
        <f>'Forage crops, CF'!G39</f>
        <v>9.5000000000000005E-5</v>
      </c>
      <c r="I102" s="372">
        <f>'Forage crops, CF'!H39</f>
        <v>0</v>
      </c>
      <c r="J102" s="372">
        <f>'Forage crops, CF'!I39</f>
        <v>0</v>
      </c>
      <c r="K102" s="372">
        <f>'Forage crops, CF'!J39</f>
        <v>5.3712330940229473E-6</v>
      </c>
      <c r="L102" s="372">
        <f>'Forage crops, CF'!K39</f>
        <v>0</v>
      </c>
      <c r="M102" s="372">
        <f>'Forage crops, CF'!L39</f>
        <v>0</v>
      </c>
      <c r="N102" s="372">
        <f>'Forage crops, CF'!M39</f>
        <v>0</v>
      </c>
      <c r="O102" s="372">
        <f>'Forage crops, CF'!N39</f>
        <v>0</v>
      </c>
      <c r="P102" s="372">
        <f>'Forage crops, CF'!O39</f>
        <v>0</v>
      </c>
      <c r="Q102" s="372">
        <f>'Forage crops, CF'!P39</f>
        <v>0</v>
      </c>
      <c r="R102" s="351">
        <f>'Parameters, country spec'!H17</f>
        <v>0.23110601329913999</v>
      </c>
      <c r="S102" s="351">
        <f>'Parameters, country spec'!H35</f>
        <v>0.40067105954621901</v>
      </c>
    </row>
    <row r="103" spans="1:19" x14ac:dyDescent="0.2">
      <c r="B103" s="58" t="s">
        <v>268</v>
      </c>
      <c r="C103" s="18" t="s">
        <v>463</v>
      </c>
      <c r="D103" s="349" t="s">
        <v>55</v>
      </c>
      <c r="E103" s="349" t="s">
        <v>56</v>
      </c>
      <c r="F103" s="371">
        <f t="shared" si="12"/>
        <v>8.0917318704115193E-4</v>
      </c>
      <c r="G103" s="372">
        <f>'Forage crops, CF'!F99</f>
        <v>0</v>
      </c>
      <c r="H103" s="372">
        <f>'Forage crops, CF'!G99</f>
        <v>9.5000000000000005E-5</v>
      </c>
      <c r="I103" s="372"/>
      <c r="J103" s="372"/>
      <c r="K103" s="372">
        <f>'Forage crops, CF'!J99</f>
        <v>4.7806177142291471E-6</v>
      </c>
      <c r="L103" s="372"/>
      <c r="M103" s="372">
        <f>'Forage crops, CF'!L99</f>
        <v>1.3925693269227866E-6</v>
      </c>
      <c r="N103" s="372">
        <f>'Forage crops, CF'!M99</f>
        <v>0</v>
      </c>
      <c r="O103" s="372"/>
      <c r="P103" s="372">
        <f>'Forage crops, CF'!O99</f>
        <v>7.0799999999999997E-4</v>
      </c>
      <c r="Q103" s="372"/>
      <c r="R103" s="351">
        <f>'Parameters, country spec'!H18</f>
        <v>0.356828284731325</v>
      </c>
      <c r="S103" s="351">
        <f>'Parameters, country spec'!H36</f>
        <v>0.27744597499526502</v>
      </c>
    </row>
    <row r="104" spans="1:19" x14ac:dyDescent="0.2">
      <c r="B104" s="58" t="s">
        <v>465</v>
      </c>
      <c r="C104" s="18" t="s">
        <v>463</v>
      </c>
      <c r="D104" s="349" t="s">
        <v>55</v>
      </c>
      <c r="E104" s="349" t="s">
        <v>56</v>
      </c>
      <c r="F104" s="371">
        <f t="shared" si="12"/>
        <v>8.0911916973735413E-4</v>
      </c>
      <c r="G104" s="372">
        <f>'Forage crops, CF'!F159*'Forage, input data per ha'!$D$84+'Forage crops, CF'!F219*'Forage, input data per ha'!$E$84</f>
        <v>0</v>
      </c>
      <c r="H104" s="372">
        <f>'Forage crops, CF'!G159*'Forage, input data per ha'!$D$84+'Forage crops, CF'!G219*'Forage, input data per ha'!$E$84</f>
        <v>9.5000000000000005E-5</v>
      </c>
      <c r="I104" s="372"/>
      <c r="J104" s="372"/>
      <c r="K104" s="372">
        <f>'Forage crops, CF'!J159*'Forage, input data per ha'!$D$84+'Forage crops, CF'!J219*'Forage, input data per ha'!$E$84</f>
        <v>6.1191697373541136E-6</v>
      </c>
      <c r="L104" s="372"/>
      <c r="M104" s="372">
        <f>'Forage crops, CF'!L159*'Forage, input data per ha'!$D$84+'Forage crops, CF'!L219*'Forage, input data per ha'!$E$84</f>
        <v>0</v>
      </c>
      <c r="N104" s="372">
        <f>'Forage crops, CF'!M159*'Forage, input data per ha'!$D$84+'Forage crops, CF'!M219*'Forage, input data per ha'!$E$84</f>
        <v>0</v>
      </c>
      <c r="O104" s="372"/>
      <c r="P104" s="372">
        <f>'Forage crops, CF'!O159*'Forage, input data per ha'!$D$84+'Forage crops, CF'!O219*'Forage, input data per ha'!$E$84</f>
        <v>7.0799999999999997E-4</v>
      </c>
      <c r="Q104" s="372"/>
      <c r="R104" s="351">
        <f>'Parameters, country spec'!H19</f>
        <v>3.5685456379476198E-2</v>
      </c>
      <c r="S104" s="351">
        <f>'Parameters, country spec'!H37</f>
        <v>7.1895313213819104E-2</v>
      </c>
    </row>
    <row r="105" spans="1:19" x14ac:dyDescent="0.2">
      <c r="A105" s="353" t="s">
        <v>466</v>
      </c>
      <c r="B105" s="18" t="s">
        <v>274</v>
      </c>
      <c r="C105" s="18" t="s">
        <v>467</v>
      </c>
      <c r="D105" s="349" t="s">
        <v>55</v>
      </c>
      <c r="E105" s="349" t="s">
        <v>56</v>
      </c>
      <c r="F105" s="371">
        <f t="shared" si="12"/>
        <v>1.6081792239633249E-4</v>
      </c>
      <c r="G105" s="373">
        <v>0</v>
      </c>
      <c r="H105" s="373">
        <v>9.5000000000000005E-5</v>
      </c>
      <c r="I105" s="373">
        <v>0</v>
      </c>
      <c r="J105" s="373"/>
      <c r="K105" s="373">
        <v>2.0408953594176501E-5</v>
      </c>
      <c r="L105" s="373">
        <v>0</v>
      </c>
      <c r="M105" s="373">
        <v>0</v>
      </c>
      <c r="N105" s="373">
        <v>4.5408968802156001E-5</v>
      </c>
      <c r="O105" s="373"/>
      <c r="P105" s="373"/>
      <c r="Q105" s="373"/>
      <c r="R105" s="351">
        <f>'Parameters, country spec'!H20</f>
        <v>2.0715426785277101E-3</v>
      </c>
      <c r="S105" s="351">
        <f>'Parameters, country spec'!H38</f>
        <v>3.0038264722936601E-3</v>
      </c>
    </row>
    <row r="106" spans="1:19" x14ac:dyDescent="0.2">
      <c r="A106" s="353" t="s">
        <v>468</v>
      </c>
      <c r="B106" s="18" t="s">
        <v>276</v>
      </c>
      <c r="C106" s="18" t="s">
        <v>467</v>
      </c>
      <c r="D106" s="349" t="s">
        <v>55</v>
      </c>
      <c r="E106" s="349" t="s">
        <v>56</v>
      </c>
      <c r="F106" s="371">
        <f t="shared" si="12"/>
        <v>1.5559892482314231E-4</v>
      </c>
      <c r="G106" s="373">
        <v>0</v>
      </c>
      <c r="H106" s="373">
        <v>9.5000000000000005E-5</v>
      </c>
      <c r="I106" s="373">
        <v>0</v>
      </c>
      <c r="J106" s="373"/>
      <c r="K106" s="373">
        <v>7.0135973409644302E-6</v>
      </c>
      <c r="L106" s="373">
        <v>0</v>
      </c>
      <c r="M106" s="373">
        <v>8.1763586800218706E-6</v>
      </c>
      <c r="N106" s="373">
        <v>4.5408968802156001E-5</v>
      </c>
      <c r="O106" s="373"/>
      <c r="P106" s="373"/>
      <c r="Q106" s="373"/>
      <c r="R106" s="351">
        <f>'Parameters, country spec'!H21</f>
        <v>1.3545550548587301E-2</v>
      </c>
      <c r="S106" s="351">
        <f>'Parameters, country spec'!H39</f>
        <v>1.9641634105452999E-2</v>
      </c>
    </row>
    <row r="107" spans="1:19" x14ac:dyDescent="0.2">
      <c r="A107" s="353" t="s">
        <v>469</v>
      </c>
      <c r="B107" s="18" t="s">
        <v>278</v>
      </c>
      <c r="C107" s="18" t="s">
        <v>467</v>
      </c>
      <c r="D107" s="349" t="s">
        <v>55</v>
      </c>
      <c r="E107" s="349" t="s">
        <v>56</v>
      </c>
      <c r="F107" s="371">
        <f t="shared" si="12"/>
        <v>1.7509622686667211E-4</v>
      </c>
      <c r="G107" s="373">
        <v>0</v>
      </c>
      <c r="H107" s="373">
        <v>9.5000000000000005E-5</v>
      </c>
      <c r="I107" s="373">
        <v>0</v>
      </c>
      <c r="J107" s="373"/>
      <c r="K107" s="373">
        <v>3.4687258064516102E-5</v>
      </c>
      <c r="L107" s="373">
        <v>0</v>
      </c>
      <c r="M107" s="373">
        <v>0</v>
      </c>
      <c r="N107" s="373">
        <v>4.5408968802156001E-5</v>
      </c>
      <c r="O107" s="373"/>
      <c r="P107" s="373"/>
      <c r="Q107" s="373"/>
      <c r="R107" s="351">
        <f>'Parameters, country spec'!H22</f>
        <v>4.3020459338475702E-4</v>
      </c>
      <c r="S107" s="351">
        <f>'Parameters, country spec'!H40</f>
        <v>6.2381526525205101E-4</v>
      </c>
    </row>
    <row r="108" spans="1:19" x14ac:dyDescent="0.2">
      <c r="A108" s="353" t="s">
        <v>470</v>
      </c>
      <c r="B108" s="18" t="s">
        <v>280</v>
      </c>
      <c r="C108" s="18" t="s">
        <v>467</v>
      </c>
      <c r="D108" s="349" t="s">
        <v>55</v>
      </c>
      <c r="E108" s="349" t="s">
        <v>56</v>
      </c>
      <c r="F108" s="371">
        <f t="shared" si="12"/>
        <v>1.6950607150978425E-4</v>
      </c>
      <c r="G108" s="373">
        <v>0</v>
      </c>
      <c r="H108" s="373">
        <v>9.5000000000000005E-5</v>
      </c>
      <c r="I108" s="373">
        <v>0</v>
      </c>
      <c r="J108" s="373"/>
      <c r="K108" s="373">
        <v>2.6577983447983399E-5</v>
      </c>
      <c r="L108" s="373">
        <v>0</v>
      </c>
      <c r="M108" s="373">
        <v>2.51911925964486E-6</v>
      </c>
      <c r="N108" s="373">
        <v>4.5408968802156001E-5</v>
      </c>
      <c r="O108" s="373"/>
      <c r="P108" s="373"/>
      <c r="Q108" s="373"/>
      <c r="R108" s="351">
        <f>'Parameters, country spec'!H23</f>
        <v>3.4277130847484903E-5</v>
      </c>
      <c r="S108" s="351">
        <f>'Parameters, country spec'!H41</f>
        <v>4.9703321891174897E-5</v>
      </c>
    </row>
    <row r="109" spans="1:19" x14ac:dyDescent="0.2">
      <c r="A109" s="353" t="s">
        <v>471</v>
      </c>
      <c r="B109" s="18" t="s">
        <v>281</v>
      </c>
      <c r="C109" s="18" t="s">
        <v>467</v>
      </c>
      <c r="D109" s="349" t="s">
        <v>55</v>
      </c>
      <c r="E109" s="349" t="s">
        <v>56</v>
      </c>
      <c r="F109" s="371">
        <f t="shared" si="12"/>
        <v>1.6460418698841902E-4</v>
      </c>
      <c r="G109" s="373">
        <v>0</v>
      </c>
      <c r="H109" s="373">
        <v>9.5000000000000005E-5</v>
      </c>
      <c r="I109" s="373">
        <v>0</v>
      </c>
      <c r="J109" s="373"/>
      <c r="K109" s="373">
        <v>2.21715498673326E-5</v>
      </c>
      <c r="L109" s="373">
        <v>0</v>
      </c>
      <c r="M109" s="373">
        <v>2.0236683189304101E-6</v>
      </c>
      <c r="N109" s="373">
        <v>4.5408968802156001E-5</v>
      </c>
      <c r="O109" s="373"/>
      <c r="P109" s="373"/>
      <c r="Q109" s="373"/>
      <c r="R109" s="351">
        <f>'Parameters, country spec'!H24</f>
        <v>1.9621876036942901E-3</v>
      </c>
      <c r="S109" s="351">
        <f>'Parameters, country spec'!H42</f>
        <v>2.8451429826063701E-3</v>
      </c>
    </row>
    <row r="110" spans="1:19" x14ac:dyDescent="0.2">
      <c r="A110" s="353" t="s">
        <v>472</v>
      </c>
      <c r="B110" s="18" t="s">
        <v>282</v>
      </c>
      <c r="C110" s="18" t="s">
        <v>473</v>
      </c>
      <c r="D110" s="349" t="s">
        <v>55</v>
      </c>
      <c r="E110" s="349" t="s">
        <v>56</v>
      </c>
      <c r="F110" s="371">
        <f t="shared" si="12"/>
        <v>1.6861046490614421E-4</v>
      </c>
      <c r="G110" s="373">
        <v>0</v>
      </c>
      <c r="H110" s="373">
        <v>9.5000000000000005E-5</v>
      </c>
      <c r="I110" s="373">
        <v>0</v>
      </c>
      <c r="J110" s="373"/>
      <c r="K110" s="373">
        <v>2.7899903583136301E-5</v>
      </c>
      <c r="L110" s="373">
        <v>0</v>
      </c>
      <c r="M110" s="373">
        <v>3.0159252085191802E-7</v>
      </c>
      <c r="N110" s="373">
        <v>4.5408968802156001E-5</v>
      </c>
      <c r="O110" s="373"/>
      <c r="P110" s="373"/>
      <c r="Q110" s="373"/>
      <c r="R110" s="351">
        <f>'Parameters, country spec'!H25</f>
        <v>2.2097674164487098E-3</v>
      </c>
      <c r="S110" s="351">
        <f>'Parameters, country spec'!H43</f>
        <v>7.8267619629309002E-4</v>
      </c>
    </row>
    <row r="111" spans="1:19" x14ac:dyDescent="0.2">
      <c r="A111" s="353" t="s">
        <v>474</v>
      </c>
      <c r="B111" s="18" t="s">
        <v>283</v>
      </c>
      <c r="C111" s="18" t="s">
        <v>473</v>
      </c>
      <c r="D111" s="349" t="s">
        <v>55</v>
      </c>
      <c r="E111" s="349" t="s">
        <v>56</v>
      </c>
      <c r="F111" s="371">
        <f t="shared" si="12"/>
        <v>1.8035826993186918E-4</v>
      </c>
      <c r="G111" s="373">
        <v>0</v>
      </c>
      <c r="H111" s="373">
        <v>9.5000000000000005E-5</v>
      </c>
      <c r="I111" s="373">
        <v>0</v>
      </c>
      <c r="J111" s="373"/>
      <c r="K111" s="373">
        <v>3.9529874624328298E-5</v>
      </c>
      <c r="L111" s="373">
        <v>0</v>
      </c>
      <c r="M111" s="373">
        <v>4.1942650538490402E-7</v>
      </c>
      <c r="N111" s="373">
        <v>4.5408968802156001E-5</v>
      </c>
      <c r="O111" s="373"/>
      <c r="P111" s="373"/>
      <c r="Q111" s="373"/>
      <c r="R111" s="351">
        <f>'Parameters, country spec'!H26</f>
        <v>2.1707198077583999E-3</v>
      </c>
      <c r="S111" s="351">
        <f>'Parameters, country spec'!H44</f>
        <v>7.6884594730627497E-4</v>
      </c>
    </row>
    <row r="112" spans="1:19" x14ac:dyDescent="0.2">
      <c r="B112" s="58" t="s">
        <v>284</v>
      </c>
      <c r="C112" s="18" t="s">
        <v>475</v>
      </c>
      <c r="D112" s="349" t="s">
        <v>55</v>
      </c>
      <c r="E112" s="349" t="s">
        <v>56</v>
      </c>
      <c r="F112" s="371">
        <f t="shared" si="12"/>
        <v>4.6478527325651372E-4</v>
      </c>
      <c r="G112" s="372">
        <v>3.0425509539765703E-4</v>
      </c>
      <c r="H112" s="372">
        <v>4.58620689655173E-5</v>
      </c>
      <c r="I112" s="372"/>
      <c r="J112" s="372"/>
      <c r="K112" s="372">
        <v>1.0936279334641701E-5</v>
      </c>
      <c r="L112" s="372"/>
      <c r="M112" s="372">
        <v>6.46069605517241E-7</v>
      </c>
      <c r="N112" s="372">
        <v>2.1884761697575201E-5</v>
      </c>
      <c r="O112" s="372"/>
      <c r="P112" s="372">
        <v>5.7027085212127002E-5</v>
      </c>
      <c r="Q112" s="372">
        <v>2.4173913043478301E-5</v>
      </c>
      <c r="R112" s="351">
        <f>'Parameters, country spec'!H27</f>
        <v>3.7222010695302202E-3</v>
      </c>
      <c r="S112" s="351">
        <f>'Parameters, country spec'!H45</f>
        <v>1.3183641649379199E-3</v>
      </c>
    </row>
    <row r="113" spans="1:19" x14ac:dyDescent="0.2">
      <c r="B113" s="58" t="s">
        <v>476</v>
      </c>
      <c r="C113" s="18" t="s">
        <v>475</v>
      </c>
      <c r="D113" s="349" t="s">
        <v>55</v>
      </c>
      <c r="E113" s="349" t="s">
        <v>56</v>
      </c>
      <c r="F113" s="371">
        <f t="shared" si="12"/>
        <v>4.7266553697523949E-4</v>
      </c>
      <c r="G113" s="372">
        <v>1.56035162386253E-5</v>
      </c>
      <c r="H113" s="372">
        <v>7.5304878048780503E-5</v>
      </c>
      <c r="I113" s="372"/>
      <c r="J113" s="372"/>
      <c r="K113" s="372">
        <v>1.9084590744355901E-5</v>
      </c>
      <c r="L113" s="372"/>
      <c r="M113" s="372">
        <v>5.9672097439024396E-7</v>
      </c>
      <c r="N113" s="372">
        <v>2.3084271612619499E-5</v>
      </c>
      <c r="O113" s="372"/>
      <c r="P113" s="372">
        <v>1.28991559356468E-4</v>
      </c>
      <c r="Q113" s="372">
        <v>2.1000000000000001E-4</v>
      </c>
      <c r="R113" s="351">
        <f>'Parameters, country spec'!H28</f>
        <v>9.1896848360344105E-2</v>
      </c>
      <c r="S113" s="351">
        <f>'Parameters, country spec'!H46</f>
        <v>3.25488896268918E-2</v>
      </c>
    </row>
    <row r="114" spans="1:19" x14ac:dyDescent="0.2">
      <c r="B114" s="18" t="s">
        <v>286</v>
      </c>
      <c r="C114" s="18" t="s">
        <v>477</v>
      </c>
      <c r="D114" s="349" t="s">
        <v>55</v>
      </c>
      <c r="E114" s="349" t="s">
        <v>56</v>
      </c>
      <c r="F114" s="374">
        <f t="shared" si="12"/>
        <v>1.8942176456916856E-3</v>
      </c>
      <c r="G114" s="373">
        <v>0</v>
      </c>
      <c r="H114" s="373">
        <v>8.5499999999999995E-6</v>
      </c>
      <c r="I114">
        <v>0</v>
      </c>
      <c r="K114" s="373">
        <v>1.9954394880599302E-6</v>
      </c>
      <c r="L114">
        <v>0</v>
      </c>
      <c r="M114">
        <v>1.8213014870373701E-7</v>
      </c>
      <c r="N114" s="373">
        <v>4.0868071921940402E-6</v>
      </c>
      <c r="O114" s="373"/>
      <c r="P114" s="373">
        <v>1.84838955963081E-3</v>
      </c>
      <c r="Q114" s="373">
        <v>3.1013709231917901E-5</v>
      </c>
      <c r="R114" s="351">
        <f>'Parameters, country spec'!H29</f>
        <v>0.113060071774995</v>
      </c>
      <c r="S114" s="351">
        <f>'Parameters, country spec'!H47</f>
        <v>7.1183592363716103E-2</v>
      </c>
    </row>
    <row r="115" spans="1:19" x14ac:dyDescent="0.2">
      <c r="A115" s="354"/>
      <c r="B115" s="18" t="s">
        <v>478</v>
      </c>
      <c r="C115" s="355" t="s">
        <v>479</v>
      </c>
      <c r="D115" s="349" t="s">
        <v>55</v>
      </c>
      <c r="E115" s="349" t="s">
        <v>56</v>
      </c>
      <c r="F115" s="371">
        <f t="shared" si="12"/>
        <v>4.8775530567561192E-5</v>
      </c>
      <c r="G115" s="375">
        <f t="shared" ref="G115:Q115" si="13">SUMPRODUCT(G105:G113,$R105:$R113)</f>
        <v>2.5664126071682938E-6</v>
      </c>
      <c r="H115" s="375">
        <f t="shared" si="13"/>
        <v>9.2212925300259276E-6</v>
      </c>
      <c r="I115" s="375">
        <f t="shared" si="13"/>
        <v>0</v>
      </c>
      <c r="J115" s="375">
        <f t="shared" si="13"/>
        <v>0</v>
      </c>
      <c r="K115" s="375">
        <f t="shared" si="13"/>
        <v>2.1386007827705516E-6</v>
      </c>
      <c r="L115" s="375">
        <f t="shared" si="13"/>
        <v>0</v>
      </c>
      <c r="M115" s="375">
        <f t="shared" si="13"/>
        <v>1.7362892949587951E-7</v>
      </c>
      <c r="N115" s="375">
        <f t="shared" si="13"/>
        <v>3.2210933499286741E-6</v>
      </c>
      <c r="O115" s="375">
        <f t="shared" si="13"/>
        <v>0</v>
      </c>
      <c r="P115" s="375">
        <f t="shared" si="13"/>
        <v>1.2066184047514436E-5</v>
      </c>
      <c r="Q115" s="375">
        <f t="shared" si="13"/>
        <v>1.9388318320657429E-5</v>
      </c>
      <c r="R115" s="351">
        <f>'Parameters, country spec'!H30</f>
        <v>0.14527687460593999</v>
      </c>
      <c r="S115" s="351">
        <f>'Parameters, country spec'!H48</f>
        <v>0.117221161798055</v>
      </c>
    </row>
    <row r="116" spans="1:19" x14ac:dyDescent="0.2">
      <c r="A116" s="357"/>
      <c r="B116" s="358" t="s">
        <v>480</v>
      </c>
      <c r="C116" s="359"/>
      <c r="D116" s="360"/>
      <c r="E116" s="360"/>
      <c r="F116" s="376">
        <f>SUMPRODUCT(F102:F104,R102:R104)+SUMPRODUCT(F105:F115,R105:R115)/0.87</f>
        <v>6.5117602848012868E-4</v>
      </c>
      <c r="G116" s="376">
        <f>SUMPRODUCT(G102:G104,R102:R104)+SUMPRODUCT(G105:G115,R105:R115)/0.87</f>
        <v>3.3784517352723976E-6</v>
      </c>
      <c r="H116" s="376">
        <f>SUMPRODUCT(H102:H104,R102:R104)+SUMPRODUCT(H105:H115,R105:R115)/0.87</f>
        <v>7.2493987821003501E-5</v>
      </c>
      <c r="I116" s="376">
        <f>SUMPRODUCT(I102:I104,R102:R104)+SUMPRODUCT(I105:I115,R105:R115)/0.87</f>
        <v>0</v>
      </c>
      <c r="J116" s="376">
        <f>SUMPRODUCT(J102:J104,R102:R104)+SUMPRODUCT(J105:J115,R105:R115)/0.87</f>
        <v>0</v>
      </c>
      <c r="K116" s="376">
        <f>SUMPRODUCT(K102:K104,R102:R104)+SUMPRODUCT(K105:K115,R105:R115)/0.87</f>
        <v>6.2401406899094782E-6</v>
      </c>
      <c r="L116" s="376">
        <f>SUMPRODUCT(L102:L104,R102:R104)+SUMPRODUCT(L105:L115,R105:R115)/0.87</f>
        <v>0</v>
      </c>
      <c r="M116" s="376">
        <f>SUMPRODUCT(M102:M104,R102:R104)+SUMPRODUCT(M105:M115,R105:R115)/0.87</f>
        <v>7.4914357877698148E-7</v>
      </c>
      <c r="N116" s="376">
        <f>SUMPRODUCT(N102:N104,R102:R104)+SUMPRODUCT(N105:N115,R105:R115)/0.87</f>
        <v>4.7713775162072562E-6</v>
      </c>
      <c r="O116" s="376">
        <f>SUMPRODUCT(O102:O104,R102:R104)+SUMPRODUCT(O105:O115,R105:R115)/0.87</f>
        <v>0</v>
      </c>
      <c r="P116" s="376">
        <f>SUMPRODUCT(P102:P104,R102:R104)+SUMPRODUCT(P105:P115,R105:R115)/0.87</f>
        <v>5.3398958828618074E-4</v>
      </c>
      <c r="Q116" s="376">
        <f>SUMPRODUCT(Q102:Q104,R102:R104)+SUMPRODUCT(Q105:Q115,R105:R115)/0.87</f>
        <v>2.9553338852778264E-5</v>
      </c>
      <c r="R116" s="362"/>
      <c r="S116" s="369"/>
    </row>
    <row r="117" spans="1:19" x14ac:dyDescent="0.2">
      <c r="A117" s="363"/>
      <c r="B117" s="364" t="s">
        <v>481</v>
      </c>
      <c r="C117" s="365"/>
      <c r="D117" s="366"/>
      <c r="E117" s="366"/>
      <c r="F117" s="377">
        <f>SUMPRODUCT(F102:F104,S102:S104)+SUMPRODUCT(F105:F115,S105:S115)/0.87</f>
        <v>5.0788742149183031E-4</v>
      </c>
      <c r="G117" s="377">
        <f>SUMPRODUCT(G102:G104,S102:S104)+SUMPRODUCT(G105:G115,S105:S115)/0.87</f>
        <v>1.3906138046895525E-6</v>
      </c>
      <c r="H117" s="377">
        <f>SUMPRODUCT(H102:H104,S102:S104)+SUMPRODUCT(H105:H115,S105:S115)/0.87</f>
        <v>7.9106448460022276E-5</v>
      </c>
      <c r="I117" s="377">
        <f>SUMPRODUCT(I102:I104,S102:S104)+SUMPRODUCT(I105:I115,S105:S115)/0.87</f>
        <v>0</v>
      </c>
      <c r="J117" s="377">
        <f>SUMPRODUCT(J102:J104,S102:S104)+SUMPRODUCT(J105:J115,S105:S115)/0.87</f>
        <v>0</v>
      </c>
      <c r="K117" s="377">
        <f>SUMPRODUCT(K102:K104,S102:S104)+SUMPRODUCT(K105:K115,S105:S115)/0.87</f>
        <v>5.4881305176711962E-6</v>
      </c>
      <c r="L117" s="377">
        <f>SUMPRODUCT(L102:L104,S102:S104)+SUMPRODUCT(L105:L115,S105:S115)/0.87</f>
        <v>0</v>
      </c>
      <c r="M117" s="377">
        <f>SUMPRODUCT(M102:M104,S102:S104)+SUMPRODUCT(M105:M115,S105:S115)/0.87</f>
        <v>6.3996094629474588E-7</v>
      </c>
      <c r="N117" s="377">
        <f>SUMPRODUCT(N102:N104,S102:S104)+SUMPRODUCT(N105:N115,S105:S115)/0.87</f>
        <v>3.1117841877465731E-6</v>
      </c>
      <c r="O117" s="377">
        <f>SUMPRODUCT(O102:O104,S102:S104)+SUMPRODUCT(O105:O115,S105:S115)/0.87</f>
        <v>0</v>
      </c>
      <c r="P117" s="377">
        <f>SUMPRODUCT(P102:P104,S102:S104)+SUMPRODUCT(P105:P115,S105:S115)/0.87</f>
        <v>4.0510735107329124E-4</v>
      </c>
      <c r="Q117" s="377">
        <f>SUMPRODUCT(Q102:Q104,S102:S104)+SUMPRODUCT(Q105:Q115,S105:S115)/0.87</f>
        <v>1.3043132502114675E-5</v>
      </c>
      <c r="R117" s="368"/>
      <c r="S117" s="368"/>
    </row>
    <row r="118" spans="1:19" x14ac:dyDescent="0.2">
      <c r="B118" s="58" t="s">
        <v>264</v>
      </c>
      <c r="C118" s="18" t="s">
        <v>463</v>
      </c>
      <c r="D118" s="349" t="s">
        <v>87</v>
      </c>
      <c r="E118" s="349" t="s">
        <v>58</v>
      </c>
      <c r="F118" s="371">
        <f t="shared" ref="F118:F131" si="14">SUM(G118:Q118)</f>
        <v>1.0412600008948332E-4</v>
      </c>
      <c r="G118" s="372">
        <f>'Forage crops, CF'!F44</f>
        <v>0</v>
      </c>
      <c r="H118" s="372">
        <f>'Forage crops, CF'!G44</f>
        <v>9.5000000000000005E-5</v>
      </c>
      <c r="I118" s="372">
        <f>'Forage crops, CF'!H44</f>
        <v>0</v>
      </c>
      <c r="J118" s="372">
        <f>'Forage crops, CF'!I44</f>
        <v>0</v>
      </c>
      <c r="K118" s="372">
        <f>'Forage crops, CF'!J44</f>
        <v>9.1260000894833206E-6</v>
      </c>
      <c r="L118" s="372">
        <f>'Forage crops, CF'!K44</f>
        <v>0</v>
      </c>
      <c r="M118" s="372">
        <f>'Forage crops, CF'!L44</f>
        <v>0</v>
      </c>
      <c r="N118" s="372">
        <f>'Forage crops, CF'!M44</f>
        <v>0</v>
      </c>
      <c r="O118" s="372">
        <f>'Forage crops, CF'!N44</f>
        <v>0</v>
      </c>
      <c r="P118" s="372">
        <f>'Forage crops, CF'!O44</f>
        <v>0</v>
      </c>
      <c r="Q118" s="372">
        <f>'Forage crops, CF'!P44</f>
        <v>0</v>
      </c>
      <c r="R118" s="351">
        <f>'Parameters, country spec'!I17</f>
        <v>0.373167232002376</v>
      </c>
      <c r="S118" s="351">
        <f>'Parameters, country spec'!I35</f>
        <v>0.47949543012015899</v>
      </c>
    </row>
    <row r="119" spans="1:19" x14ac:dyDescent="0.2">
      <c r="B119" s="58" t="s">
        <v>268</v>
      </c>
      <c r="C119" s="18" t="s">
        <v>463</v>
      </c>
      <c r="D119" s="349" t="s">
        <v>87</v>
      </c>
      <c r="E119" s="349" t="s">
        <v>58</v>
      </c>
      <c r="F119" s="371">
        <f t="shared" si="14"/>
        <v>8.0896617017872782E-4</v>
      </c>
      <c r="G119" s="372">
        <f>'Forage crops, CF'!F104</f>
        <v>0</v>
      </c>
      <c r="H119" s="372">
        <f>'Forage crops, CF'!G104</f>
        <v>9.5000000000000005E-5</v>
      </c>
      <c r="I119" s="372"/>
      <c r="J119" s="372"/>
      <c r="K119" s="372">
        <f>'Forage crops, CF'!J104</f>
        <v>5.7150664601010447E-6</v>
      </c>
      <c r="L119" s="372"/>
      <c r="M119" s="372">
        <f>'Forage crops, CF'!L104</f>
        <v>2.5110371862679189E-7</v>
      </c>
      <c r="N119" s="372">
        <f>'Forage crops, CF'!M104</f>
        <v>0</v>
      </c>
      <c r="O119" s="372"/>
      <c r="P119" s="372">
        <f>'Forage crops, CF'!O104</f>
        <v>7.0799999999999997E-4</v>
      </c>
      <c r="Q119" s="372"/>
      <c r="R119" s="351">
        <f>'Parameters, country spec'!I18</f>
        <v>0.25760749577042003</v>
      </c>
      <c r="S119" s="351">
        <f>'Parameters, country spec'!I36</f>
        <v>0.16379583021525301</v>
      </c>
    </row>
    <row r="120" spans="1:19" x14ac:dyDescent="0.2">
      <c r="B120" s="58" t="s">
        <v>465</v>
      </c>
      <c r="C120" s="18" t="s">
        <v>463</v>
      </c>
      <c r="D120" s="349" t="s">
        <v>87</v>
      </c>
      <c r="E120" s="349" t="s">
        <v>58</v>
      </c>
      <c r="F120" s="371">
        <f t="shared" si="14"/>
        <v>8.1187009990457866E-4</v>
      </c>
      <c r="G120" s="372">
        <f>'Forage crops, CF'!F164*'Forage, input data per ha'!$D$85+'Forage crops, CF'!F224*'Forage, input data per ha'!$E$85</f>
        <v>0</v>
      </c>
      <c r="H120" s="372">
        <f>'Forage crops, CF'!G164*'Forage, input data per ha'!$D$85+'Forage crops, CF'!G224*'Forage, input data per ha'!$E$85</f>
        <v>9.5000000000000005E-5</v>
      </c>
      <c r="I120" s="372"/>
      <c r="J120" s="372"/>
      <c r="K120" s="372">
        <f>'Forage crops, CF'!J164*'Forage, input data per ha'!$D$85+'Forage crops, CF'!J224*'Forage, input data per ha'!$E$85</f>
        <v>8.8700999045786299E-6</v>
      </c>
      <c r="L120" s="372"/>
      <c r="M120" s="372">
        <f>'Forage crops, CF'!L164*'Forage, input data per ha'!$D$85+'Forage crops, CF'!L224*'Forage, input data per ha'!$E$85</f>
        <v>0</v>
      </c>
      <c r="N120" s="372">
        <f>'Forage crops, CF'!M164*'Forage, input data per ha'!$D$85+'Forage crops, CF'!M224*'Forage, input data per ha'!$E$85</f>
        <v>0</v>
      </c>
      <c r="O120" s="372"/>
      <c r="P120" s="372">
        <f>'Forage crops, CF'!O164*'Forage, input data per ha'!$D$85+'Forage crops, CF'!O224*'Forage, input data per ha'!$E$85</f>
        <v>7.0799999999999997E-4</v>
      </c>
      <c r="Q120" s="372"/>
      <c r="R120" s="351">
        <f>'Parameters, country spec'!I19</f>
        <v>3.5613863046085999E-2</v>
      </c>
      <c r="S120" s="351">
        <f>'Parameters, country spec'!I37</f>
        <v>0.17110749103346001</v>
      </c>
    </row>
    <row r="121" spans="1:19" x14ac:dyDescent="0.2">
      <c r="A121" s="353" t="s">
        <v>466</v>
      </c>
      <c r="B121" s="18" t="s">
        <v>274</v>
      </c>
      <c r="C121" s="18" t="s">
        <v>467</v>
      </c>
      <c r="D121" s="349" t="s">
        <v>87</v>
      </c>
      <c r="E121" s="349" t="s">
        <v>58</v>
      </c>
      <c r="F121" s="371">
        <f t="shared" si="14"/>
        <v>1.3995009006065534E-4</v>
      </c>
      <c r="G121" s="373">
        <v>0</v>
      </c>
      <c r="H121" s="373">
        <v>9.5000000000000005E-5</v>
      </c>
      <c r="I121" s="373">
        <v>0</v>
      </c>
      <c r="J121" s="373"/>
      <c r="K121" s="373">
        <v>1.27305993690852E-5</v>
      </c>
      <c r="L121" s="373">
        <v>0</v>
      </c>
      <c r="M121" s="373">
        <v>4.041629118133E-9</v>
      </c>
      <c r="N121" s="373">
        <v>3.2215449062452001E-5</v>
      </c>
      <c r="O121" s="373"/>
      <c r="P121" s="373"/>
      <c r="Q121" s="373"/>
      <c r="R121" s="351">
        <f>'Parameters, country spec'!I20</f>
        <v>1.3879724923939201E-2</v>
      </c>
      <c r="S121" s="351">
        <f>'Parameters, country spec'!I38</f>
        <v>3.7649623151768401E-3</v>
      </c>
    </row>
    <row r="122" spans="1:19" x14ac:dyDescent="0.2">
      <c r="A122" s="353" t="s">
        <v>468</v>
      </c>
      <c r="B122" s="18" t="s">
        <v>276</v>
      </c>
      <c r="C122" s="18" t="s">
        <v>467</v>
      </c>
      <c r="D122" s="349" t="s">
        <v>87</v>
      </c>
      <c r="E122" s="349" t="s">
        <v>58</v>
      </c>
      <c r="F122" s="371">
        <f t="shared" si="14"/>
        <v>1.3716169100603363E-4</v>
      </c>
      <c r="G122" s="373">
        <v>0</v>
      </c>
      <c r="H122" s="373">
        <v>9.5000000000000005E-5</v>
      </c>
      <c r="I122" s="373">
        <v>0</v>
      </c>
      <c r="J122" s="373"/>
      <c r="K122" s="373">
        <v>7.7167553942765293E-6</v>
      </c>
      <c r="L122" s="373">
        <v>0</v>
      </c>
      <c r="M122" s="373">
        <v>2.2294865493050998E-6</v>
      </c>
      <c r="N122" s="373">
        <v>3.2215449062452001E-5</v>
      </c>
      <c r="O122" s="373"/>
      <c r="P122" s="373"/>
      <c r="Q122" s="373"/>
      <c r="R122" s="351">
        <f>'Parameters, country spec'!I21</f>
        <v>4.1683562538490301E-2</v>
      </c>
      <c r="S122" s="351">
        <f>'Parameters, country spec'!I39</f>
        <v>1.13069274080103E-2</v>
      </c>
    </row>
    <row r="123" spans="1:19" x14ac:dyDescent="0.2">
      <c r="A123" s="353" t="s">
        <v>469</v>
      </c>
      <c r="B123" s="18" t="s">
        <v>278</v>
      </c>
      <c r="C123" s="18" t="s">
        <v>467</v>
      </c>
      <c r="D123" s="349" t="s">
        <v>87</v>
      </c>
      <c r="E123" s="349" t="s">
        <v>58</v>
      </c>
      <c r="F123" s="371">
        <f t="shared" si="14"/>
        <v>1.4583591964434446E-4</v>
      </c>
      <c r="G123" s="373">
        <v>0</v>
      </c>
      <c r="H123" s="373">
        <v>9.5000000000000005E-5</v>
      </c>
      <c r="I123" s="373">
        <v>0</v>
      </c>
      <c r="J123" s="373"/>
      <c r="K123" s="373">
        <v>1.6883661191733499E-5</v>
      </c>
      <c r="L123" s="373">
        <v>0</v>
      </c>
      <c r="M123" s="373">
        <v>1.73680939015895E-6</v>
      </c>
      <c r="N123" s="373">
        <v>3.2215449062452001E-5</v>
      </c>
      <c r="O123" s="373"/>
      <c r="P123" s="373"/>
      <c r="Q123" s="373"/>
      <c r="R123" s="351">
        <f>'Parameters, country spec'!I22</f>
        <v>4.55917367778715E-4</v>
      </c>
      <c r="S123" s="351">
        <f>'Parameters, country spec'!I40</f>
        <v>1.2367044164683099E-4</v>
      </c>
    </row>
    <row r="124" spans="1:19" x14ac:dyDescent="0.2">
      <c r="A124" s="353" t="s">
        <v>470</v>
      </c>
      <c r="B124" s="18" t="s">
        <v>280</v>
      </c>
      <c r="C124" s="18" t="s">
        <v>467</v>
      </c>
      <c r="D124" s="349" t="s">
        <v>87</v>
      </c>
      <c r="E124" s="349" t="s">
        <v>58</v>
      </c>
      <c r="F124" s="371">
        <f t="shared" si="14"/>
        <v>1.51017250844127E-4</v>
      </c>
      <c r="G124" s="373">
        <v>0</v>
      </c>
      <c r="H124" s="373">
        <v>9.5000000000000005E-5</v>
      </c>
      <c r="I124" s="373">
        <v>0</v>
      </c>
      <c r="J124" s="373"/>
      <c r="K124" s="373">
        <v>2.3801801781675E-5</v>
      </c>
      <c r="L124" s="373">
        <v>0</v>
      </c>
      <c r="M124" s="373">
        <v>0</v>
      </c>
      <c r="N124" s="373">
        <v>3.2215449062452001E-5</v>
      </c>
      <c r="O124" s="373"/>
      <c r="P124" s="373"/>
      <c r="Q124" s="373"/>
      <c r="R124" s="351">
        <f>'Parameters, country spec'!I23</f>
        <v>1.71561062458586E-3</v>
      </c>
      <c r="S124" s="351">
        <f>'Parameters, country spec'!I41</f>
        <v>4.6537012747958797E-4</v>
      </c>
    </row>
    <row r="125" spans="1:19" x14ac:dyDescent="0.2">
      <c r="A125" s="353" t="s">
        <v>471</v>
      </c>
      <c r="B125" s="18" t="s">
        <v>281</v>
      </c>
      <c r="C125" s="18" t="s">
        <v>467</v>
      </c>
      <c r="D125" s="349" t="s">
        <v>87</v>
      </c>
      <c r="E125" s="349" t="s">
        <v>58</v>
      </c>
      <c r="F125" s="371">
        <f t="shared" si="14"/>
        <v>1.3750788550144142E-4</v>
      </c>
      <c r="G125" s="373">
        <v>0</v>
      </c>
      <c r="H125" s="373">
        <v>9.5000000000000005E-5</v>
      </c>
      <c r="I125" s="373">
        <v>0</v>
      </c>
      <c r="J125" s="373"/>
      <c r="K125" s="373">
        <v>1.0292436438989401E-5</v>
      </c>
      <c r="L125" s="373">
        <v>0</v>
      </c>
      <c r="M125" s="373">
        <v>0</v>
      </c>
      <c r="N125" s="373">
        <v>3.2215449062452001E-5</v>
      </c>
      <c r="O125" s="373"/>
      <c r="P125" s="373"/>
      <c r="Q125" s="373"/>
      <c r="R125" s="351">
        <f>'Parameters, country spec'!I24</f>
        <v>4.6964740317371599E-2</v>
      </c>
      <c r="S125" s="351">
        <f>'Parameters, country spec'!I42</f>
        <v>1.2739490248206E-2</v>
      </c>
    </row>
    <row r="126" spans="1:19" x14ac:dyDescent="0.2">
      <c r="A126" s="353" t="s">
        <v>472</v>
      </c>
      <c r="B126" s="18" t="s">
        <v>282</v>
      </c>
      <c r="C126" s="18" t="s">
        <v>473</v>
      </c>
      <c r="D126" s="349" t="s">
        <v>87</v>
      </c>
      <c r="E126" s="349" t="s">
        <v>58</v>
      </c>
      <c r="F126" s="371">
        <f t="shared" si="14"/>
        <v>1.5323348809202599E-4</v>
      </c>
      <c r="G126" s="373">
        <v>0</v>
      </c>
      <c r="H126" s="373">
        <v>9.5000000000000005E-5</v>
      </c>
      <c r="I126" s="373">
        <v>0</v>
      </c>
      <c r="J126" s="373"/>
      <c r="K126" s="373">
        <v>2.6539357994497098E-5</v>
      </c>
      <c r="L126" s="373">
        <v>0</v>
      </c>
      <c r="M126" s="373">
        <v>1.3746605833900899E-5</v>
      </c>
      <c r="N126" s="373">
        <v>1.7947524263628E-5</v>
      </c>
      <c r="O126" s="373"/>
      <c r="P126" s="373"/>
      <c r="Q126" s="373"/>
      <c r="R126" s="351">
        <f>'Parameters, country spec'!I25</f>
        <v>0</v>
      </c>
      <c r="S126" s="351">
        <f>'Parameters, country spec'!I43</f>
        <v>0</v>
      </c>
    </row>
    <row r="127" spans="1:19" x14ac:dyDescent="0.2">
      <c r="A127" s="353" t="s">
        <v>474</v>
      </c>
      <c r="B127" s="18" t="s">
        <v>283</v>
      </c>
      <c r="C127" s="18" t="s">
        <v>473</v>
      </c>
      <c r="D127" s="349" t="s">
        <v>87</v>
      </c>
      <c r="E127" s="349" t="s">
        <v>58</v>
      </c>
      <c r="F127" s="371">
        <f t="shared" si="14"/>
        <v>1.4942367225038484E-4</v>
      </c>
      <c r="G127" s="373">
        <v>0</v>
      </c>
      <c r="H127" s="373">
        <v>9.5000000000000005E-5</v>
      </c>
      <c r="I127" s="373">
        <v>0</v>
      </c>
      <c r="J127" s="373"/>
      <c r="K127" s="373">
        <v>2.22082079949972E-5</v>
      </c>
      <c r="L127" s="373">
        <v>0</v>
      </c>
      <c r="M127" s="373">
        <v>1.5192935628999999E-11</v>
      </c>
      <c r="N127" s="373">
        <v>3.2215449062452001E-5</v>
      </c>
      <c r="O127" s="373"/>
      <c r="P127" s="373"/>
      <c r="Q127" s="373"/>
      <c r="R127" s="351">
        <f>'Parameters, country spec'!I26</f>
        <v>0</v>
      </c>
      <c r="S127" s="351">
        <f>'Parameters, country spec'!I44</f>
        <v>0</v>
      </c>
    </row>
    <row r="128" spans="1:19" x14ac:dyDescent="0.2">
      <c r="B128" s="58" t="s">
        <v>284</v>
      </c>
      <c r="C128" s="18" t="s">
        <v>475</v>
      </c>
      <c r="D128" s="349" t="s">
        <v>87</v>
      </c>
      <c r="E128" s="349" t="s">
        <v>58</v>
      </c>
      <c r="F128" s="371">
        <f t="shared" si="14"/>
        <v>4.6478527325651372E-4</v>
      </c>
      <c r="G128" s="372">
        <v>3.0425509539765703E-4</v>
      </c>
      <c r="H128" s="372">
        <v>4.58620689655173E-5</v>
      </c>
      <c r="I128" s="372"/>
      <c r="J128" s="372"/>
      <c r="K128" s="372">
        <v>1.0936279334641701E-5</v>
      </c>
      <c r="L128" s="372"/>
      <c r="M128" s="372">
        <v>6.46069605517241E-7</v>
      </c>
      <c r="N128" s="372">
        <v>2.1884761697575201E-5</v>
      </c>
      <c r="O128" s="372"/>
      <c r="P128" s="372">
        <v>5.7027085212127002E-5</v>
      </c>
      <c r="Q128" s="372">
        <v>2.4173913043478301E-5</v>
      </c>
      <c r="R128" s="351">
        <f>'Parameters, country spec'!I27</f>
        <v>8.6279293190231102E-2</v>
      </c>
      <c r="S128" s="351">
        <f>'Parameters, country spec'!I45</f>
        <v>4.3197597637154403E-2</v>
      </c>
    </row>
    <row r="129" spans="1:20" x14ac:dyDescent="0.2">
      <c r="B129" s="58" t="s">
        <v>476</v>
      </c>
      <c r="C129" s="18" t="s">
        <v>475</v>
      </c>
      <c r="D129" s="349" t="s">
        <v>87</v>
      </c>
      <c r="E129" s="349" t="s">
        <v>58</v>
      </c>
      <c r="F129" s="371">
        <f t="shared" si="14"/>
        <v>4.7266553697523949E-4</v>
      </c>
      <c r="G129" s="372">
        <v>1.56035162386253E-5</v>
      </c>
      <c r="H129" s="372">
        <v>7.5304878048780503E-5</v>
      </c>
      <c r="I129" s="372"/>
      <c r="J129" s="372"/>
      <c r="K129" s="372">
        <v>1.9084590744355901E-5</v>
      </c>
      <c r="L129" s="372"/>
      <c r="M129" s="372">
        <v>5.9672097439024396E-7</v>
      </c>
      <c r="N129" s="372">
        <v>2.3084271612619499E-5</v>
      </c>
      <c r="O129" s="372"/>
      <c r="P129" s="372">
        <v>1.28991559356468E-4</v>
      </c>
      <c r="Q129" s="372">
        <v>2.1000000000000001E-4</v>
      </c>
      <c r="R129" s="351">
        <f>'Parameters, country spec'!I28</f>
        <v>0.111425490586606</v>
      </c>
      <c r="S129" s="351">
        <f>'Parameters, country spec'!I46</f>
        <v>5.5787586237705702E-2</v>
      </c>
    </row>
    <row r="130" spans="1:20" x14ac:dyDescent="0.2">
      <c r="B130" s="18" t="s">
        <v>286</v>
      </c>
      <c r="C130" s="18" t="s">
        <v>477</v>
      </c>
      <c r="D130" s="349" t="s">
        <v>87</v>
      </c>
      <c r="E130" s="349" t="s">
        <v>58</v>
      </c>
      <c r="F130" s="374">
        <f t="shared" si="14"/>
        <v>1.0210671879533402E-3</v>
      </c>
      <c r="G130" s="373">
        <v>0</v>
      </c>
      <c r="H130" s="373">
        <v>8.5499999999999995E-6</v>
      </c>
      <c r="I130" s="53">
        <v>0</v>
      </c>
      <c r="J130" s="53"/>
      <c r="K130" s="373">
        <v>9.2631927950904603E-7</v>
      </c>
      <c r="L130" s="53">
        <v>0</v>
      </c>
      <c r="M130" s="53">
        <v>0</v>
      </c>
      <c r="N130" s="373">
        <v>2.8993904156206801E-6</v>
      </c>
      <c r="O130" s="373"/>
      <c r="P130" s="373">
        <v>9.9818289932063491E-4</v>
      </c>
      <c r="Q130" s="373">
        <v>1.05085789375756E-5</v>
      </c>
      <c r="R130" s="351">
        <f>'Parameters, country spec'!I29</f>
        <v>1.38916945292026E-2</v>
      </c>
      <c r="S130" s="351">
        <f>'Parameters, country spec'!I47</f>
        <v>3.9631874829556102E-2</v>
      </c>
      <c r="T130" t="s">
        <v>483</v>
      </c>
    </row>
    <row r="131" spans="1:20" x14ac:dyDescent="0.2">
      <c r="A131" s="354"/>
      <c r="B131" s="18" t="s">
        <v>478</v>
      </c>
      <c r="C131" s="355" t="s">
        <v>479</v>
      </c>
      <c r="D131" s="349" t="s">
        <v>87</v>
      </c>
      <c r="E131" s="349" t="s">
        <v>58</v>
      </c>
      <c r="F131" s="371">
        <f t="shared" si="14"/>
        <v>1.0721178894352737E-4</v>
      </c>
      <c r="G131" s="375">
        <f t="shared" ref="G131:Q131" si="15">SUMPRODUCT(G121:G129,$R121:$R129)</f>
        <v>2.798954403220108E-5</v>
      </c>
      <c r="H131" s="375">
        <f t="shared" si="15"/>
        <v>2.2294287673092108E-5</v>
      </c>
      <c r="I131" s="375">
        <f t="shared" si="15"/>
        <v>0</v>
      </c>
      <c r="J131" s="375">
        <f t="shared" si="15"/>
        <v>0</v>
      </c>
      <c r="K131" s="375">
        <f t="shared" si="15"/>
        <v>4.100357193869729E-6</v>
      </c>
      <c r="L131" s="375">
        <f t="shared" si="15"/>
        <v>0</v>
      </c>
      <c r="M131" s="375">
        <f t="shared" si="15"/>
        <v>2.1601323650305043E-7</v>
      </c>
      <c r="N131" s="375">
        <f t="shared" si="15"/>
        <v>7.8333212660135761E-6</v>
      </c>
      <c r="O131" s="375">
        <f t="shared" si="15"/>
        <v>0</v>
      </c>
      <c r="P131" s="375">
        <f t="shared" si="15"/>
        <v>1.9293204387627153E-5</v>
      </c>
      <c r="Q131" s="375">
        <f t="shared" si="15"/>
        <v>2.5485061154220679E-5</v>
      </c>
      <c r="R131" s="351">
        <f>'Parameters, country spec'!I30</f>
        <v>1.73153751029133E-2</v>
      </c>
      <c r="S131" s="351">
        <f>'Parameters, country spec'!I48</f>
        <v>1.8583769386191801E-2</v>
      </c>
    </row>
    <row r="132" spans="1:20" x14ac:dyDescent="0.2">
      <c r="A132" s="357"/>
      <c r="B132" s="358" t="s">
        <v>480</v>
      </c>
      <c r="C132" s="359"/>
      <c r="D132" s="360"/>
      <c r="E132" s="360"/>
      <c r="F132" s="376">
        <f>SUMPRODUCT(F118:F120,R118:R120)+SUMPRODUCT(F121:F131,R121:R131)/0.87</f>
        <v>4.1783559420961801E-4</v>
      </c>
      <c r="G132" s="376">
        <f>SUMPRODUCT(G118:G120,R118:R120)+SUMPRODUCT(G121:G131,R121:R131)/0.87</f>
        <v>3.2728958029974886E-5</v>
      </c>
      <c r="H132" s="376">
        <f>SUMPRODUCT(H118:H120,R118:R120)+SUMPRODUCT(H121:H131,R121:R131)/0.87</f>
        <v>8.9512773156562338E-5</v>
      </c>
      <c r="I132" s="376">
        <f>SUMPRODUCT(I118:I120,R118:R120)+SUMPRODUCT(I121:I131,R121:R131)/0.87</f>
        <v>0</v>
      </c>
      <c r="J132" s="376">
        <f>SUMPRODUCT(J118:J120,R118:R120)+SUMPRODUCT(J121:J131,R121:R131)/0.87</f>
        <v>0</v>
      </c>
      <c r="K132" s="376">
        <f>SUMPRODUCT(K118:K120,R118:R120)+SUMPRODUCT(K121:K131,R121:R131)/0.87</f>
        <v>1.0003120193427235E-5</v>
      </c>
      <c r="L132" s="376">
        <f>SUMPRODUCT(L118:L120,R118:R120)+SUMPRODUCT(L121:L131,R121:R131)/0.87</f>
        <v>0</v>
      </c>
      <c r="M132" s="376">
        <f>SUMPRODUCT(M118:M120,R118:R120)+SUMPRODUCT(M121:M131,R121:R131)/0.87</f>
        <v>3.1727652969764556E-7</v>
      </c>
      <c r="N132" s="376">
        <f>SUMPRODUCT(N118:N120,R118:R120)+SUMPRODUCT(N121:N131,R121:R131)/0.87</f>
        <v>9.2060179402424478E-6</v>
      </c>
      <c r="O132" s="376">
        <f>SUMPRODUCT(O118:O120,R118:R120)+SUMPRODUCT(O121:O131,R121:R131)/0.87</f>
        <v>0</v>
      </c>
      <c r="P132" s="376">
        <f>SUMPRODUCT(P118:P120,R118:R120)+SUMPRODUCT(P121:P131,R121:R131)/0.87</f>
        <v>2.4609925696182438E-4</v>
      </c>
      <c r="Q132" s="376">
        <f>SUMPRODUCT(Q118:Q120,R118:R120)+SUMPRODUCT(Q121:Q131,R121:R131)/0.87</f>
        <v>2.9968191397889089E-5</v>
      </c>
      <c r="R132" s="362"/>
      <c r="S132" s="369"/>
    </row>
    <row r="133" spans="1:20" x14ac:dyDescent="0.2">
      <c r="A133" s="363"/>
      <c r="B133" s="364" t="s">
        <v>481</v>
      </c>
      <c r="C133" s="365"/>
      <c r="D133" s="366"/>
      <c r="E133" s="366"/>
      <c r="F133" s="377">
        <f>SUMPRODUCT(F118:F120,S118:S120)+SUMPRODUCT(F121:F131,S121:S131)/0.87</f>
        <v>4.2804403163645695E-4</v>
      </c>
      <c r="G133" s="377">
        <f>SUMPRODUCT(G118:G120,S118:S120)+SUMPRODUCT(G121:G131,S121:S131)/0.87</f>
        <v>1.6705428654407878E-5</v>
      </c>
      <c r="H133" s="377">
        <f>SUMPRODUCT(H118:H120,S118:S120)+SUMPRODUCT(H121:H131,S121:S131)/0.87</f>
        <v>8.8440769842266202E-5</v>
      </c>
      <c r="I133" s="377">
        <f>SUMPRODUCT(I118:I120,S118:S120)+SUMPRODUCT(I121:I131,S121:S131)/0.87</f>
        <v>0</v>
      </c>
      <c r="J133" s="377">
        <f>SUMPRODUCT(J118:J120,S118:S120)+SUMPRODUCT(J121:J131,S121:S131)/0.87</f>
        <v>0</v>
      </c>
      <c r="K133" s="377">
        <f>SUMPRODUCT(K118:K120,S118:S120)+SUMPRODUCT(K121:K131,S121:S131)/0.87</f>
        <v>9.0475178410994671E-6</v>
      </c>
      <c r="L133" s="377">
        <f>SUMPRODUCT(L118:L120,S118:S120)+SUMPRODUCT(L121:L131,S121:S131)/0.87</f>
        <v>0</v>
      </c>
      <c r="M133" s="377">
        <f>SUMPRODUCT(M118:M120,S118:S120)+SUMPRODUCT(M121:M131,S121:S131)/0.87</f>
        <v>1.4532660297145992E-7</v>
      </c>
      <c r="N133" s="377">
        <f>SUMPRODUCT(N118:N120,S118:S120)+SUMPRODUCT(N121:N131,S121:S131)/0.87</f>
        <v>3.9179288951324816E-6</v>
      </c>
      <c r="O133" s="377">
        <f>SUMPRODUCT(O118:O120,S118:S120)+SUMPRODUCT(O121:O131,S121:S131)/0.87</f>
        <v>0</v>
      </c>
      <c r="P133" s="377">
        <f>SUMPRODUCT(P118:P120,S118:S120)+SUMPRODUCT(P121:P131,S121:S131)/0.87</f>
        <v>2.9409771352097088E-4</v>
      </c>
      <c r="Q133" s="377">
        <f>SUMPRODUCT(Q118:Q120,S118:S120)+SUMPRODUCT(Q121:Q131,S121:S131)/0.87</f>
        <v>1.5689346279608586E-5</v>
      </c>
      <c r="R133" s="368"/>
      <c r="S133" s="368"/>
    </row>
    <row r="134" spans="1:20" x14ac:dyDescent="0.2">
      <c r="B134" s="58" t="s">
        <v>264</v>
      </c>
      <c r="C134" s="18" t="s">
        <v>463</v>
      </c>
      <c r="D134" s="349" t="s">
        <v>59</v>
      </c>
      <c r="E134" s="349" t="s">
        <v>60</v>
      </c>
      <c r="F134" s="371">
        <f t="shared" ref="F134:F147" si="16">SUM(G134:Q134)</f>
        <v>1.0174319486090547E-4</v>
      </c>
      <c r="G134" s="372">
        <f>'Forage crops, CF'!F49</f>
        <v>0</v>
      </c>
      <c r="H134" s="372">
        <f>'Forage crops, CF'!G49</f>
        <v>9.5000000000000005E-5</v>
      </c>
      <c r="I134" s="372">
        <f>'Forage crops, CF'!H49</f>
        <v>0</v>
      </c>
      <c r="J134" s="372">
        <f>'Forage crops, CF'!I49</f>
        <v>0</v>
      </c>
      <c r="K134" s="372">
        <f>'Forage crops, CF'!J49</f>
        <v>6.7431948609054567E-6</v>
      </c>
      <c r="L134" s="372">
        <f>'Forage crops, CF'!K49</f>
        <v>0</v>
      </c>
      <c r="M134" s="372">
        <f>'Forage crops, CF'!L49</f>
        <v>0</v>
      </c>
      <c r="N134" s="372">
        <f>'Forage crops, CF'!M49</f>
        <v>0</v>
      </c>
      <c r="O134" s="372">
        <f>'Forage crops, CF'!N49</f>
        <v>0</v>
      </c>
      <c r="P134" s="372">
        <f>'Forage crops, CF'!O49</f>
        <v>0</v>
      </c>
      <c r="Q134" s="372">
        <f>'Forage crops, CF'!P49</f>
        <v>0</v>
      </c>
      <c r="R134" s="351">
        <f>'Parameters, country spec'!J17</f>
        <v>0.25455862443412097</v>
      </c>
      <c r="S134" s="351">
        <f>'Parameters, country spec'!J35</f>
        <v>0.26557017524746102</v>
      </c>
    </row>
    <row r="135" spans="1:20" x14ac:dyDescent="0.2">
      <c r="B135" s="58" t="s">
        <v>268</v>
      </c>
      <c r="C135" s="18" t="s">
        <v>463</v>
      </c>
      <c r="D135" s="349" t="s">
        <v>59</v>
      </c>
      <c r="E135" s="349" t="s">
        <v>60</v>
      </c>
      <c r="F135" s="371">
        <f t="shared" si="16"/>
        <v>8.0894745636326518E-4</v>
      </c>
      <c r="G135" s="372">
        <f>'Forage crops, CF'!F109</f>
        <v>0</v>
      </c>
      <c r="H135" s="372">
        <f>'Forage crops, CF'!G109</f>
        <v>9.5000000000000005E-5</v>
      </c>
      <c r="I135" s="372"/>
      <c r="J135" s="372"/>
      <c r="K135" s="372">
        <f>'Forage crops, CF'!J109</f>
        <v>5.8879873106029351E-6</v>
      </c>
      <c r="L135" s="372"/>
      <c r="M135" s="372">
        <f>'Forage crops, CF'!L109</f>
        <v>5.9469052662250081E-8</v>
      </c>
      <c r="N135" s="372">
        <f>'Forage crops, CF'!M109</f>
        <v>0</v>
      </c>
      <c r="O135" s="372"/>
      <c r="P135" s="372">
        <f>'Forage crops, CF'!O109</f>
        <v>7.0799999999999997E-4</v>
      </c>
      <c r="Q135" s="372"/>
      <c r="R135" s="351">
        <f>'Parameters, country spec'!J18</f>
        <v>0.33395684495061101</v>
      </c>
      <c r="S135" s="351">
        <f>'Parameters, country spec'!J36</f>
        <v>0.30897238471141197</v>
      </c>
    </row>
    <row r="136" spans="1:20" x14ac:dyDescent="0.2">
      <c r="B136" s="58" t="s">
        <v>465</v>
      </c>
      <c r="C136" s="18" t="s">
        <v>463</v>
      </c>
      <c r="D136" s="349" t="s">
        <v>59</v>
      </c>
      <c r="E136" s="349" t="s">
        <v>60</v>
      </c>
      <c r="F136" s="371">
        <f t="shared" si="16"/>
        <v>8.0969633733237942E-4</v>
      </c>
      <c r="G136" s="372">
        <f>'Forage crops, CF'!F169*'Forage, input data per ha'!$D$86+'Forage crops, CF'!F229*'Forage, input data per ha'!$E$86</f>
        <v>0</v>
      </c>
      <c r="H136" s="372">
        <f>'Forage crops, CF'!G169*'Forage, input data per ha'!$D$86+'Forage crops, CF'!G229*'Forage, input data per ha'!$E$86</f>
        <v>9.5000000000000005E-5</v>
      </c>
      <c r="I136" s="372"/>
      <c r="J136" s="372"/>
      <c r="K136" s="372">
        <f>'Forage crops, CF'!J169*'Forage, input data per ha'!$D$86+'Forage crops, CF'!J229*'Forage, input data per ha'!$E$86</f>
        <v>6.6963373323794073E-6</v>
      </c>
      <c r="L136" s="372"/>
      <c r="M136" s="372">
        <f>'Forage crops, CF'!L169*'Forage, input data per ha'!$D$86+'Forage crops, CF'!L229*'Forage, input data per ha'!$E$86</f>
        <v>0</v>
      </c>
      <c r="N136" s="372">
        <f>'Forage crops, CF'!M169*'Forage, input data per ha'!$D$86+'Forage crops, CF'!M229*'Forage, input data per ha'!$E$86</f>
        <v>0</v>
      </c>
      <c r="O136" s="372"/>
      <c r="P136" s="372">
        <f>'Forage crops, CF'!O169*'Forage, input data per ha'!$D$86+'Forage crops, CF'!O229*'Forage, input data per ha'!$E$86</f>
        <v>7.0799999999999997E-4</v>
      </c>
      <c r="Q136" s="372"/>
      <c r="R136" s="351">
        <f>'Parameters, country spec'!J19</f>
        <v>1.15898887697602E-2</v>
      </c>
      <c r="S136" s="351">
        <f>'Parameters, country spec'!J37</f>
        <v>0.152808046794979</v>
      </c>
    </row>
    <row r="137" spans="1:20" x14ac:dyDescent="0.2">
      <c r="A137" s="353" t="s">
        <v>466</v>
      </c>
      <c r="B137" s="18" t="s">
        <v>274</v>
      </c>
      <c r="C137" s="18" t="s">
        <v>467</v>
      </c>
      <c r="D137" s="349" t="s">
        <v>59</v>
      </c>
      <c r="E137" s="349" t="s">
        <v>60</v>
      </c>
      <c r="F137" s="371">
        <f t="shared" si="16"/>
        <v>1.6497531832034709E-4</v>
      </c>
      <c r="G137" s="373">
        <v>0</v>
      </c>
      <c r="H137" s="373">
        <v>9.5000000000000005E-5</v>
      </c>
      <c r="I137" s="373">
        <v>0</v>
      </c>
      <c r="J137" s="373"/>
      <c r="K137" s="373">
        <v>1.98412991656734E-5</v>
      </c>
      <c r="L137" s="373">
        <v>0</v>
      </c>
      <c r="M137" s="373">
        <v>2.7814008800000002E-12</v>
      </c>
      <c r="N137" s="373">
        <v>5.0134016373272799E-5</v>
      </c>
      <c r="O137" s="373"/>
      <c r="P137" s="373"/>
      <c r="Q137" s="373"/>
      <c r="R137" s="351">
        <f>'Parameters, country spec'!J20</f>
        <v>4.8218892985114399E-2</v>
      </c>
      <c r="S137" s="351">
        <f>'Parameters, country spec'!J38</f>
        <v>1.4852072857038301E-2</v>
      </c>
    </row>
    <row r="138" spans="1:20" x14ac:dyDescent="0.2">
      <c r="A138" s="353" t="s">
        <v>468</v>
      </c>
      <c r="B138" s="18" t="s">
        <v>276</v>
      </c>
      <c r="C138" s="18" t="s">
        <v>467</v>
      </c>
      <c r="D138" s="349" t="s">
        <v>59</v>
      </c>
      <c r="E138" s="349" t="s">
        <v>60</v>
      </c>
      <c r="F138" s="371">
        <f t="shared" si="16"/>
        <v>1.5529602694558698E-4</v>
      </c>
      <c r="G138" s="373">
        <v>0</v>
      </c>
      <c r="H138" s="373">
        <v>9.5000000000000005E-5</v>
      </c>
      <c r="I138" s="373">
        <v>0</v>
      </c>
      <c r="J138" s="373"/>
      <c r="K138" s="373">
        <v>9.9298959847891792E-6</v>
      </c>
      <c r="L138" s="373">
        <v>0</v>
      </c>
      <c r="M138" s="373">
        <v>2.3211458752499099E-7</v>
      </c>
      <c r="N138" s="373">
        <v>5.0134016373272799E-5</v>
      </c>
      <c r="O138" s="373"/>
      <c r="P138" s="373"/>
      <c r="Q138" s="373"/>
      <c r="R138" s="351">
        <f>'Parameters, country spec'!J21</f>
        <v>6.6054588822439503E-2</v>
      </c>
      <c r="S138" s="351">
        <f>'Parameters, country spec'!J39</f>
        <v>2.0345709016517801E-2</v>
      </c>
    </row>
    <row r="139" spans="1:20" x14ac:dyDescent="0.2">
      <c r="A139" s="353" t="s">
        <v>469</v>
      </c>
      <c r="B139" s="18" t="s">
        <v>278</v>
      </c>
      <c r="C139" s="18" t="s">
        <v>467</v>
      </c>
      <c r="D139" s="349" t="s">
        <v>59</v>
      </c>
      <c r="E139" s="349" t="s">
        <v>60</v>
      </c>
      <c r="F139" s="371">
        <f t="shared" si="16"/>
        <v>1.7101460368304866E-4</v>
      </c>
      <c r="G139" s="373">
        <v>0</v>
      </c>
      <c r="H139" s="373">
        <v>9.5000000000000005E-5</v>
      </c>
      <c r="I139" s="373">
        <v>0</v>
      </c>
      <c r="J139" s="373"/>
      <c r="K139" s="373">
        <v>2.58805751873948E-5</v>
      </c>
      <c r="L139" s="373">
        <v>0</v>
      </c>
      <c r="M139" s="373">
        <v>1.21223810602E-11</v>
      </c>
      <c r="N139" s="373">
        <v>5.0134016373272799E-5</v>
      </c>
      <c r="O139" s="373"/>
      <c r="P139" s="373"/>
      <c r="Q139" s="373"/>
      <c r="R139" s="351">
        <f>'Parameters, country spec'!J22</f>
        <v>1.4441270481012601E-3</v>
      </c>
      <c r="S139" s="351">
        <f>'Parameters, country spec'!J40</f>
        <v>4.4481071240192398E-4</v>
      </c>
    </row>
    <row r="140" spans="1:20" x14ac:dyDescent="0.2">
      <c r="A140" s="353" t="s">
        <v>470</v>
      </c>
      <c r="B140" s="18" t="s">
        <v>280</v>
      </c>
      <c r="C140" s="18" t="s">
        <v>467</v>
      </c>
      <c r="D140" s="349" t="s">
        <v>59</v>
      </c>
      <c r="E140" s="349" t="s">
        <v>60</v>
      </c>
      <c r="F140" s="371">
        <f t="shared" si="16"/>
        <v>1.6990035694818603E-4</v>
      </c>
      <c r="G140" s="373">
        <v>0</v>
      </c>
      <c r="H140" s="373">
        <v>9.5000000000000005E-5</v>
      </c>
      <c r="I140" s="373">
        <v>0</v>
      </c>
      <c r="J140" s="373"/>
      <c r="K140" s="373">
        <v>2.47663396717653E-5</v>
      </c>
      <c r="L140" s="373">
        <v>0</v>
      </c>
      <c r="M140" s="373">
        <v>9.0314793305999998E-13</v>
      </c>
      <c r="N140" s="373">
        <v>5.0134016373272799E-5</v>
      </c>
      <c r="O140" s="373"/>
      <c r="P140" s="373"/>
      <c r="Q140" s="373"/>
      <c r="R140" s="351">
        <f>'Parameters, country spec'!J23</f>
        <v>1.8855002677230601E-2</v>
      </c>
      <c r="S140" s="351">
        <f>'Parameters, country spec'!J41</f>
        <v>5.80759649035195E-3</v>
      </c>
    </row>
    <row r="141" spans="1:20" x14ac:dyDescent="0.2">
      <c r="A141" s="353" t="s">
        <v>471</v>
      </c>
      <c r="B141" s="18" t="s">
        <v>281</v>
      </c>
      <c r="C141" s="18" t="s">
        <v>467</v>
      </c>
      <c r="D141" s="349" t="s">
        <v>59</v>
      </c>
      <c r="E141" s="349" t="s">
        <v>60</v>
      </c>
      <c r="F141" s="371">
        <f t="shared" si="16"/>
        <v>1.6162886944057488E-4</v>
      </c>
      <c r="G141" s="373">
        <v>0</v>
      </c>
      <c r="H141" s="373">
        <v>9.5000000000000005E-5</v>
      </c>
      <c r="I141" s="373">
        <v>0</v>
      </c>
      <c r="J141" s="373"/>
      <c r="K141" s="373">
        <v>1.6494852511427901E-5</v>
      </c>
      <c r="L141" s="373">
        <v>0</v>
      </c>
      <c r="M141" s="373">
        <v>5.5587416614000002E-13</v>
      </c>
      <c r="N141" s="373">
        <v>5.0134016373272799E-5</v>
      </c>
      <c r="O141" s="373"/>
      <c r="P141" s="373"/>
      <c r="Q141" s="373"/>
      <c r="R141" s="351">
        <f>'Parameters, country spec'!J24</f>
        <v>7.5812285069041793E-2</v>
      </c>
      <c r="S141" s="351">
        <f>'Parameters, country spec'!J42</f>
        <v>2.3351211772125801E-2</v>
      </c>
    </row>
    <row r="142" spans="1:20" x14ac:dyDescent="0.2">
      <c r="A142" s="353" t="s">
        <v>472</v>
      </c>
      <c r="B142" s="18" t="s">
        <v>282</v>
      </c>
      <c r="C142" s="18" t="s">
        <v>473</v>
      </c>
      <c r="D142" s="349" t="s">
        <v>59</v>
      </c>
      <c r="E142" s="349" t="s">
        <v>60</v>
      </c>
      <c r="F142" s="371">
        <f t="shared" si="16"/>
        <v>1.8222404873625303E-4</v>
      </c>
      <c r="G142" s="373">
        <v>0</v>
      </c>
      <c r="H142" s="373">
        <v>9.5000000000000005E-5</v>
      </c>
      <c r="I142" s="373">
        <v>0</v>
      </c>
      <c r="J142" s="373"/>
      <c r="K142" s="373">
        <v>3.70828979343864E-5</v>
      </c>
      <c r="L142" s="373">
        <v>0</v>
      </c>
      <c r="M142" s="373">
        <v>7.1344285938200002E-9</v>
      </c>
      <c r="N142" s="373">
        <v>5.0134016373272799E-5</v>
      </c>
      <c r="O142" s="373"/>
      <c r="P142" s="373"/>
      <c r="Q142" s="373"/>
      <c r="R142" s="351">
        <f>'Parameters, country spec'!J25</f>
        <v>2.6118274940683198E-3</v>
      </c>
      <c r="S142" s="351">
        <f>'Parameters, country spec'!J43</f>
        <v>2.6962503550840601E-3</v>
      </c>
    </row>
    <row r="143" spans="1:20" x14ac:dyDescent="0.2">
      <c r="A143" s="353" t="s">
        <v>474</v>
      </c>
      <c r="B143" s="18" t="s">
        <v>283</v>
      </c>
      <c r="C143" s="18" t="s">
        <v>473</v>
      </c>
      <c r="D143" s="349" t="s">
        <v>59</v>
      </c>
      <c r="E143" s="349" t="s">
        <v>60</v>
      </c>
      <c r="F143" s="371">
        <f t="shared" si="16"/>
        <v>1.7387541025101186E-4</v>
      </c>
      <c r="G143" s="373">
        <v>0</v>
      </c>
      <c r="H143" s="373">
        <v>9.5000000000000005E-5</v>
      </c>
      <c r="I143" s="373">
        <v>0</v>
      </c>
      <c r="J143" s="373"/>
      <c r="K143" s="373">
        <v>2.8736443015720101E-5</v>
      </c>
      <c r="L143" s="373">
        <v>0</v>
      </c>
      <c r="M143" s="373">
        <v>4.9508620189672E-9</v>
      </c>
      <c r="N143" s="373">
        <v>5.0134016373272799E-5</v>
      </c>
      <c r="O143" s="373"/>
      <c r="P143" s="373"/>
      <c r="Q143" s="373"/>
      <c r="R143" s="351">
        <f>'Parameters, country spec'!J26</f>
        <v>2.5656753005735599E-3</v>
      </c>
      <c r="S143" s="351">
        <f>'Parameters, country spec'!J44</f>
        <v>2.6486063692714198E-3</v>
      </c>
    </row>
    <row r="144" spans="1:20" x14ac:dyDescent="0.2">
      <c r="B144" s="58" t="s">
        <v>284</v>
      </c>
      <c r="C144" s="18" t="s">
        <v>475</v>
      </c>
      <c r="D144" s="349" t="s">
        <v>59</v>
      </c>
      <c r="E144" s="349" t="s">
        <v>60</v>
      </c>
      <c r="F144" s="371">
        <f t="shared" si="16"/>
        <v>4.6478527325651372E-4</v>
      </c>
      <c r="G144" s="372">
        <v>3.0425509539765703E-4</v>
      </c>
      <c r="H144" s="372">
        <v>4.58620689655173E-5</v>
      </c>
      <c r="I144" s="372"/>
      <c r="J144" s="372"/>
      <c r="K144" s="372">
        <v>1.0936279334641701E-5</v>
      </c>
      <c r="L144" s="372"/>
      <c r="M144" s="372">
        <v>6.46069605517241E-7</v>
      </c>
      <c r="N144" s="372">
        <v>2.1884761697575201E-5</v>
      </c>
      <c r="O144" s="372"/>
      <c r="P144" s="372">
        <v>5.7027085212127002E-5</v>
      </c>
      <c r="Q144" s="372">
        <v>2.4173913043478301E-5</v>
      </c>
      <c r="R144" s="351">
        <f>'Parameters, country spec'!J27</f>
        <v>1.8824856081612201E-2</v>
      </c>
      <c r="S144" s="351">
        <f>'Parameters, country spec'!J45</f>
        <v>1.94333373800013E-2</v>
      </c>
    </row>
    <row r="145" spans="1:19" x14ac:dyDescent="0.2">
      <c r="B145" s="58" t="s">
        <v>476</v>
      </c>
      <c r="C145" s="18" t="s">
        <v>475</v>
      </c>
      <c r="D145" s="349" t="s">
        <v>59</v>
      </c>
      <c r="E145" s="349" t="s">
        <v>60</v>
      </c>
      <c r="F145" s="371">
        <f t="shared" si="16"/>
        <v>4.7266553697523949E-4</v>
      </c>
      <c r="G145" s="372">
        <v>1.56035162386253E-5</v>
      </c>
      <c r="H145" s="372">
        <v>7.5304878048780503E-5</v>
      </c>
      <c r="I145" s="372"/>
      <c r="J145" s="372"/>
      <c r="K145" s="372">
        <v>1.9084590744355901E-5</v>
      </c>
      <c r="L145" s="372"/>
      <c r="M145" s="372">
        <v>5.9672097439024396E-7</v>
      </c>
      <c r="N145" s="372">
        <v>2.3084271612619499E-5</v>
      </c>
      <c r="O145" s="372"/>
      <c r="P145" s="372">
        <v>1.28991559356468E-4</v>
      </c>
      <c r="Q145" s="372">
        <v>2.1000000000000001E-4</v>
      </c>
      <c r="R145" s="351">
        <f>'Parameters, country spec'!J28</f>
        <v>6.5660448709878402E-2</v>
      </c>
      <c r="S145" s="351">
        <f>'Parameters, country spec'!J46</f>
        <v>6.7782810502236002E-2</v>
      </c>
    </row>
    <row r="146" spans="1:19" x14ac:dyDescent="0.2">
      <c r="B146" s="18" t="s">
        <v>286</v>
      </c>
      <c r="C146" s="18" t="s">
        <v>477</v>
      </c>
      <c r="D146" s="349" t="s">
        <v>59</v>
      </c>
      <c r="E146" s="349" t="s">
        <v>60</v>
      </c>
      <c r="F146" s="374">
        <f t="shared" si="16"/>
        <v>2.1321474079429004E-3</v>
      </c>
      <c r="G146" s="373">
        <v>0</v>
      </c>
      <c r="H146" s="373">
        <v>8.5499999999999995E-6</v>
      </c>
      <c r="I146">
        <v>0</v>
      </c>
      <c r="K146" s="373">
        <v>1.48453672602851E-6</v>
      </c>
      <c r="L146">
        <v>0</v>
      </c>
      <c r="M146">
        <v>5.00286749526E-14</v>
      </c>
      <c r="N146" s="216">
        <v>4.5120614735945501E-6</v>
      </c>
      <c r="O146" s="216"/>
      <c r="P146" s="373">
        <v>2.1139001122159199E-3</v>
      </c>
      <c r="Q146" s="373">
        <v>3.7006974773287098E-6</v>
      </c>
      <c r="R146" s="351">
        <f>'Parameters, country spec'!J29</f>
        <v>5.9455463626576097E-2</v>
      </c>
      <c r="S146" s="351">
        <f>'Parameters, country spec'!J47</f>
        <v>4.7732591070968902E-2</v>
      </c>
    </row>
    <row r="147" spans="1:19" x14ac:dyDescent="0.2">
      <c r="A147" s="354"/>
      <c r="B147" s="18" t="s">
        <v>478</v>
      </c>
      <c r="C147" s="355" t="s">
        <v>479</v>
      </c>
      <c r="D147" s="349" t="s">
        <v>59</v>
      </c>
      <c r="E147" s="349" t="s">
        <v>60</v>
      </c>
      <c r="F147" s="371">
        <f t="shared" si="16"/>
        <v>7.4623827601682938E-5</v>
      </c>
      <c r="G147" s="375">
        <f t="shared" ref="G147:Q147" si="17">SUMPRODUCT(G137:G145,$R137:$R145)</f>
        <v>6.7520922606380949E-6</v>
      </c>
      <c r="H147" s="375">
        <f t="shared" si="17"/>
        <v>2.6286326873280534E-5</v>
      </c>
      <c r="I147" s="375">
        <f t="shared" si="17"/>
        <v>0</v>
      </c>
      <c r="J147" s="375">
        <f t="shared" si="17"/>
        <v>0</v>
      </c>
      <c r="K147" s="375">
        <f t="shared" si="17"/>
        <v>4.9970565684314049E-6</v>
      </c>
      <c r="L147" s="375">
        <f t="shared" si="17"/>
        <v>0</v>
      </c>
      <c r="M147" s="375">
        <f t="shared" si="17"/>
        <v>6.6706914908710361E-8</v>
      </c>
      <c r="N147" s="375">
        <f t="shared" si="17"/>
        <v>1.2734709982372119E-5</v>
      </c>
      <c r="O147" s="375">
        <f t="shared" si="17"/>
        <v>0</v>
      </c>
      <c r="P147" s="375">
        <f t="shared" si="17"/>
        <v>9.5431703390047286E-6</v>
      </c>
      <c r="Q147" s="375">
        <f t="shared" si="17"/>
        <v>1.4243764663047351E-5</v>
      </c>
      <c r="R147" s="351">
        <f>'Parameters, country spec'!J30</f>
        <v>4.0391474030872003E-2</v>
      </c>
      <c r="S147" s="351">
        <f>'Parameters, country spec'!J48</f>
        <v>6.7554396720150997E-2</v>
      </c>
    </row>
    <row r="148" spans="1:19" x14ac:dyDescent="0.2">
      <c r="A148" s="357"/>
      <c r="B148" s="358" t="s">
        <v>480</v>
      </c>
      <c r="C148" s="359"/>
      <c r="D148" s="360"/>
      <c r="E148" s="360"/>
      <c r="F148" s="376">
        <f>SUMPRODUCT(F134:F136,R134:R136)+SUMPRODUCT(F137:F147,R137:R147)/0.87</f>
        <v>5.4038664152681768E-4</v>
      </c>
      <c r="G148" s="376">
        <f>SUMPRODUCT(G134:G136,R134:R136)+SUMPRODUCT(G137:G147,R137:R147)/0.87</f>
        <v>8.0745048503881731E-6</v>
      </c>
      <c r="H148" s="376">
        <f>SUMPRODUCT(H134:H136,R134:R136)+SUMPRODUCT(H137:H147,R137:R147)/0.87</f>
        <v>8.9028876354052479E-5</v>
      </c>
      <c r="I148" s="376">
        <f>SUMPRODUCT(I134:I136,R134:R136)+SUMPRODUCT(I137:I147,R137:R147)/0.87</f>
        <v>0</v>
      </c>
      <c r="J148" s="376">
        <f>SUMPRODUCT(J134:J136,R134:R136)+SUMPRODUCT(J137:J147,R137:R147)/0.87</f>
        <v>0</v>
      </c>
      <c r="K148" s="376">
        <f>SUMPRODUCT(K134:K136,R134:R136)+SUMPRODUCT(K137:K147,R137:R147)/0.87</f>
        <v>9.8376759798549138E-6</v>
      </c>
      <c r="L148" s="376">
        <f>SUMPRODUCT(L134:L136,R134:R136)+SUMPRODUCT(L137:L147,R137:R147)/0.87</f>
        <v>0</v>
      </c>
      <c r="M148" s="376">
        <f>SUMPRODUCT(M134:M136,R134:R136)+SUMPRODUCT(M137:M147,R137:R147)/0.87</f>
        <v>9.9631716169865156E-8</v>
      </c>
      <c r="N148" s="376">
        <f>SUMPRODUCT(N134:N136,R134:R136)+SUMPRODUCT(N137:N147,R137:R147)/0.87</f>
        <v>1.5537184364068924E-5</v>
      </c>
      <c r="O148" s="376">
        <f>SUMPRODUCT(O134:O136,R134:R136)+SUMPRODUCT(O137:O147,R137:R147)/0.87</f>
        <v>0</v>
      </c>
      <c r="P148" s="376">
        <f>SUMPRODUCT(P134:P136,R134:R136)+SUMPRODUCT(P137:P147,R137:R147)/0.87</f>
        <v>4.0052242573608435E-4</v>
      </c>
      <c r="Q148" s="376">
        <f>SUMPRODUCT(Q134:Q136,R134:R136)+SUMPRODUCT(Q137:Q147,R137:R147)/0.87</f>
        <v>1.7286342526198804E-5</v>
      </c>
      <c r="R148" s="362"/>
      <c r="S148" s="369"/>
    </row>
    <row r="149" spans="1:19" x14ac:dyDescent="0.2">
      <c r="A149" s="363"/>
      <c r="B149" s="364" t="s">
        <v>481</v>
      </c>
      <c r="C149" s="365"/>
      <c r="D149" s="366"/>
      <c r="E149" s="366"/>
      <c r="F149" s="377">
        <f>SUMPRODUCT(F134:F136,S134:S136)+SUMPRODUCT(F137:F147,S137:S147)/0.87</f>
        <v>5.837752224211629E-4</v>
      </c>
      <c r="G149" s="377">
        <f>SUMPRODUCT(G134:G136,S134:S136)+SUMPRODUCT(G137:G147,S137:S147)/0.87</f>
        <v>8.536178875959376E-6</v>
      </c>
      <c r="H149" s="377">
        <f>SUMPRODUCT(H134:H136,S134:S136)+SUMPRODUCT(H137:H147,S137:S147)/0.87</f>
        <v>8.6159680532203736E-5</v>
      </c>
      <c r="I149" s="377">
        <f>SUMPRODUCT(I134:I136,S134:S136)+SUMPRODUCT(I137:I147,S137:S147)/0.87</f>
        <v>0</v>
      </c>
      <c r="J149" s="377">
        <f>SUMPRODUCT(J134:J136,S134:S136)+SUMPRODUCT(J137:J147,S137:S147)/0.87</f>
        <v>0</v>
      </c>
      <c r="K149" s="377">
        <f>SUMPRODUCT(K134:K136,S134:S136)+SUMPRODUCT(K137:K147,S137:S147)/0.87</f>
        <v>8.2285592954383282E-6</v>
      </c>
      <c r="L149" s="377">
        <f>SUMPRODUCT(L134:L136,S134:S136)+SUMPRODUCT(L137:L147,S137:S147)/0.87</f>
        <v>0</v>
      </c>
      <c r="M149" s="377">
        <f>SUMPRODUCT(M134:M136,S134:S136)+SUMPRODUCT(M137:M147,S137:S147)/0.87</f>
        <v>8.9942123753525839E-8</v>
      </c>
      <c r="N149" s="377">
        <f>SUMPRODUCT(N134:N136,S134:S136)+SUMPRODUCT(N137:N147,S137:S147)/0.87</f>
        <v>7.5659568126434076E-6</v>
      </c>
      <c r="O149" s="377">
        <f>SUMPRODUCT(O134:O136,S134:S136)+SUMPRODUCT(O137:O147,S137:S147)/0.87</f>
        <v>0</v>
      </c>
      <c r="P149" s="377">
        <f>SUMPRODUCT(P134:P136,S134:S136)+SUMPRODUCT(P137:P147,S137:S147)/0.87</f>
        <v>4.5498451073330598E-4</v>
      </c>
      <c r="Q149" s="377">
        <f>SUMPRODUCT(Q134:Q136,S134:S136)+SUMPRODUCT(Q137:Q147,S137:S147)/0.87</f>
        <v>1.8210394047858569E-5</v>
      </c>
      <c r="R149" s="368"/>
      <c r="S149" s="368"/>
    </row>
    <row r="150" spans="1:19" x14ac:dyDescent="0.2">
      <c r="B150" s="58" t="s">
        <v>264</v>
      </c>
      <c r="C150" s="18" t="s">
        <v>463</v>
      </c>
      <c r="D150" s="349" t="s">
        <v>61</v>
      </c>
      <c r="E150" s="349" t="s">
        <v>62</v>
      </c>
      <c r="F150" s="371">
        <f t="shared" ref="F150:F163" si="18">SUM(G150:Q150)</f>
        <v>1.0470942804676966E-4</v>
      </c>
      <c r="G150" s="372">
        <f>'Forage crops, CF'!F54</f>
        <v>0</v>
      </c>
      <c r="H150" s="372">
        <f>'Forage crops, CF'!G54</f>
        <v>9.5000000000000005E-5</v>
      </c>
      <c r="I150" s="372">
        <f>'Forage crops, CF'!H54</f>
        <v>0</v>
      </c>
      <c r="J150" s="372">
        <f>'Forage crops, CF'!I54</f>
        <v>0</v>
      </c>
      <c r="K150" s="372">
        <f>'Forage crops, CF'!J54</f>
        <v>9.7094280467696582E-6</v>
      </c>
      <c r="L150" s="372">
        <f>'Forage crops, CF'!K54</f>
        <v>0</v>
      </c>
      <c r="M150" s="372">
        <f>'Forage crops, CF'!L54</f>
        <v>0</v>
      </c>
      <c r="N150" s="372">
        <f>'Forage crops, CF'!M54</f>
        <v>0</v>
      </c>
      <c r="O150" s="372">
        <f>'Forage crops, CF'!N54</f>
        <v>0</v>
      </c>
      <c r="P150" s="372">
        <f>'Forage crops, CF'!O54</f>
        <v>0</v>
      </c>
      <c r="Q150" s="372">
        <f>'Forage crops, CF'!P54</f>
        <v>0</v>
      </c>
      <c r="R150" s="351">
        <f>'Parameters, country spec'!K17</f>
        <v>0.19304395433532501</v>
      </c>
      <c r="S150" s="351">
        <f>'Parameters, country spec'!K35</f>
        <v>0.42695226222969901</v>
      </c>
    </row>
    <row r="151" spans="1:19" x14ac:dyDescent="0.2">
      <c r="B151" s="58" t="s">
        <v>268</v>
      </c>
      <c r="C151" s="18" t="s">
        <v>463</v>
      </c>
      <c r="D151" s="349" t="s">
        <v>61</v>
      </c>
      <c r="E151" s="349" t="s">
        <v>62</v>
      </c>
      <c r="F151" s="371">
        <f t="shared" si="18"/>
        <v>8.2295910287015766E-4</v>
      </c>
      <c r="G151" s="372">
        <f>'Forage crops, CF'!F114</f>
        <v>0</v>
      </c>
      <c r="H151" s="372">
        <f>'Forage crops, CF'!G114</f>
        <v>9.5000000000000005E-5</v>
      </c>
      <c r="I151" s="372"/>
      <c r="J151" s="372"/>
      <c r="K151" s="372">
        <f>'Forage crops, CF'!J114</f>
        <v>9.5250528905289057E-6</v>
      </c>
      <c r="L151" s="372"/>
      <c r="M151" s="372">
        <f>'Forage crops, CF'!L114</f>
        <v>1.0434049979628758E-5</v>
      </c>
      <c r="N151" s="372">
        <f>'Forage crops, CF'!M114</f>
        <v>0</v>
      </c>
      <c r="O151" s="372"/>
      <c r="P151" s="372">
        <f>'Forage crops, CF'!O114</f>
        <v>7.0799999999999997E-4</v>
      </c>
      <c r="Q151" s="372"/>
      <c r="R151" s="351">
        <f>'Parameters, country spec'!K18</f>
        <v>9.1177256039855006E-2</v>
      </c>
      <c r="S151" s="351">
        <f>'Parameters, country spec'!K36</f>
        <v>8.4238508213965599E-2</v>
      </c>
    </row>
    <row r="152" spans="1:19" x14ac:dyDescent="0.2">
      <c r="B152" s="58" t="s">
        <v>465</v>
      </c>
      <c r="C152" s="18" t="s">
        <v>463</v>
      </c>
      <c r="D152" s="349" t="s">
        <v>61</v>
      </c>
      <c r="E152" s="349" t="s">
        <v>62</v>
      </c>
      <c r="F152" s="371">
        <f t="shared" si="18"/>
        <v>8.1091387747111695E-4</v>
      </c>
      <c r="G152" s="372">
        <f>'Forage crops, CF'!F174*'Forage, input data per ha'!$D$87+'Forage crops, CF'!F234*'Forage, input data per ha'!$E$87</f>
        <v>0</v>
      </c>
      <c r="H152" s="372">
        <f>'Forage crops, CF'!G174*'Forage, input data per ha'!$D$87+'Forage crops, CF'!G234*'Forage, input data per ha'!$E$87</f>
        <v>9.5000000000000005E-5</v>
      </c>
      <c r="I152" s="372"/>
      <c r="J152" s="372"/>
      <c r="K152" s="372">
        <f>'Forage crops, CF'!J174*'Forage, input data per ha'!$D$87+'Forage crops, CF'!J234*'Forage, input data per ha'!$E$87</f>
        <v>7.9138774711169887E-6</v>
      </c>
      <c r="L152" s="372"/>
      <c r="M152" s="372">
        <f>'Forage crops, CF'!L174*'Forage, input data per ha'!$D$87+'Forage crops, CF'!L234*'Forage, input data per ha'!$E$87</f>
        <v>0</v>
      </c>
      <c r="N152" s="372">
        <f>'Forage crops, CF'!M174*'Forage, input data per ha'!$D$87+'Forage crops, CF'!M234*'Forage, input data per ha'!$E$87</f>
        <v>0</v>
      </c>
      <c r="O152" s="372"/>
      <c r="P152" s="372">
        <f>'Forage crops, CF'!O174*'Forage, input data per ha'!$D$87+'Forage crops, CF'!O234*'Forage, input data per ha'!$E$87</f>
        <v>7.0799999999999997E-4</v>
      </c>
      <c r="Q152" s="372"/>
      <c r="R152" s="351">
        <f>'Parameters, country spec'!K19</f>
        <v>0.15964203619207701</v>
      </c>
      <c r="S152" s="351">
        <f>'Parameters, country spec'!K37</f>
        <v>6.2955748563960107E-2</v>
      </c>
    </row>
    <row r="153" spans="1:19" x14ac:dyDescent="0.2">
      <c r="A153" s="353" t="s">
        <v>466</v>
      </c>
      <c r="B153" s="18" t="s">
        <v>274</v>
      </c>
      <c r="C153" s="18" t="s">
        <v>467</v>
      </c>
      <c r="D153" s="349" t="s">
        <v>61</v>
      </c>
      <c r="E153" s="349" t="s">
        <v>62</v>
      </c>
      <c r="F153" s="371">
        <f t="shared" si="18"/>
        <v>1.5407833072948014E-4</v>
      </c>
      <c r="G153" s="373">
        <v>0</v>
      </c>
      <c r="H153" s="373">
        <v>9.5000000000000005E-5</v>
      </c>
      <c r="I153" s="373">
        <v>0</v>
      </c>
      <c r="J153" s="373"/>
      <c r="K153" s="373">
        <v>2.7175757575757599E-5</v>
      </c>
      <c r="L153" s="373">
        <v>0</v>
      </c>
      <c r="M153" s="373">
        <v>2.7808766578025301E-6</v>
      </c>
      <c r="N153" s="373">
        <v>2.9121696495920001E-5</v>
      </c>
      <c r="O153" s="373"/>
      <c r="P153" s="373"/>
      <c r="Q153" s="373"/>
      <c r="R153" s="351">
        <f>'Parameters, country spec'!K20</f>
        <v>0.103733368710492</v>
      </c>
      <c r="S153" s="351">
        <f>'Parameters, country spec'!K38</f>
        <v>7.4482644340220006E-2</v>
      </c>
    </row>
    <row r="154" spans="1:19" x14ac:dyDescent="0.2">
      <c r="A154" s="353" t="s">
        <v>468</v>
      </c>
      <c r="B154" s="18" t="s">
        <v>276</v>
      </c>
      <c r="C154" s="18" t="s">
        <v>467</v>
      </c>
      <c r="D154" s="349" t="s">
        <v>61</v>
      </c>
      <c r="E154" s="349" t="s">
        <v>62</v>
      </c>
      <c r="F154" s="371">
        <f t="shared" si="18"/>
        <v>1.9823143758335458E-4</v>
      </c>
      <c r="G154" s="373">
        <v>0</v>
      </c>
      <c r="H154" s="373">
        <v>9.5000000000000005E-5</v>
      </c>
      <c r="I154" s="373">
        <v>0</v>
      </c>
      <c r="J154" s="373"/>
      <c r="K154" s="373">
        <v>5.8749743582956696E-6</v>
      </c>
      <c r="L154" s="373">
        <v>0</v>
      </c>
      <c r="M154" s="373">
        <v>6.8234766729138903E-5</v>
      </c>
      <c r="N154" s="373">
        <v>2.9121696495920001E-5</v>
      </c>
      <c r="O154" s="373"/>
      <c r="P154" s="373"/>
      <c r="Q154" s="373"/>
      <c r="R154" s="351">
        <f>'Parameters, country spec'!K21</f>
        <v>0.136815021023385</v>
      </c>
      <c r="S154" s="351">
        <f>'Parameters, country spec'!K39</f>
        <v>9.8235935846622893E-2</v>
      </c>
    </row>
    <row r="155" spans="1:19" x14ac:dyDescent="0.2">
      <c r="A155" s="353" t="s">
        <v>469</v>
      </c>
      <c r="B155" s="18" t="s">
        <v>278</v>
      </c>
      <c r="C155" s="18" t="s">
        <v>467</v>
      </c>
      <c r="D155" s="349" t="s">
        <v>61</v>
      </c>
      <c r="E155" s="349" t="s">
        <v>62</v>
      </c>
      <c r="F155" s="371">
        <f t="shared" si="18"/>
        <v>1.6782537486788383E-4</v>
      </c>
      <c r="G155" s="373">
        <v>0</v>
      </c>
      <c r="H155" s="373">
        <v>9.5000000000000005E-5</v>
      </c>
      <c r="I155" s="373">
        <v>0</v>
      </c>
      <c r="J155" s="373"/>
      <c r="K155" s="373">
        <v>3.9660005274519201E-5</v>
      </c>
      <c r="L155" s="373">
        <v>0</v>
      </c>
      <c r="M155" s="373">
        <v>4.0436730974446204E-6</v>
      </c>
      <c r="N155" s="373">
        <v>2.9121696495920001E-5</v>
      </c>
      <c r="O155" s="373"/>
      <c r="P155" s="373"/>
      <c r="Q155" s="373"/>
      <c r="R155" s="351">
        <f>'Parameters, country spec'!K22</f>
        <v>1.6173849728810901E-2</v>
      </c>
      <c r="S155" s="351">
        <f>'Parameters, country spec'!K40</f>
        <v>1.1613149284971799E-2</v>
      </c>
    </row>
    <row r="156" spans="1:19" x14ac:dyDescent="0.2">
      <c r="A156" s="353" t="s">
        <v>470</v>
      </c>
      <c r="B156" s="18" t="s">
        <v>280</v>
      </c>
      <c r="C156" s="18" t="s">
        <v>467</v>
      </c>
      <c r="D156" s="349" t="s">
        <v>61</v>
      </c>
      <c r="E156" s="349" t="s">
        <v>62</v>
      </c>
      <c r="F156" s="371">
        <f t="shared" si="18"/>
        <v>1.6720727047256202E-4</v>
      </c>
      <c r="G156" s="373">
        <v>0</v>
      </c>
      <c r="H156" s="373">
        <v>9.5000000000000005E-5</v>
      </c>
      <c r="I156" s="373">
        <v>0</v>
      </c>
      <c r="J156" s="373"/>
      <c r="K156" s="373">
        <v>3.7780420039184798E-5</v>
      </c>
      <c r="L156" s="373">
        <v>0</v>
      </c>
      <c r="M156" s="373">
        <v>5.3051539374572196E-6</v>
      </c>
      <c r="N156" s="373">
        <v>2.9121696495920001E-5</v>
      </c>
      <c r="O156" s="373"/>
      <c r="P156" s="373"/>
      <c r="Q156" s="373"/>
      <c r="R156" s="351">
        <f>'Parameters, country spec'!K23</f>
        <v>4.2692009524630597E-3</v>
      </c>
      <c r="S156" s="351">
        <f>'Parameters, country spec'!K41</f>
        <v>3.06537211910275E-3</v>
      </c>
    </row>
    <row r="157" spans="1:19" x14ac:dyDescent="0.2">
      <c r="A157" s="353" t="s">
        <v>471</v>
      </c>
      <c r="B157" s="18" t="s">
        <v>281</v>
      </c>
      <c r="C157" s="18" t="s">
        <v>467</v>
      </c>
      <c r="D157" s="349" t="s">
        <v>61</v>
      </c>
      <c r="E157" s="349" t="s">
        <v>62</v>
      </c>
      <c r="F157" s="371">
        <f t="shared" si="18"/>
        <v>1.5258287221384201E-4</v>
      </c>
      <c r="G157" s="373">
        <v>0</v>
      </c>
      <c r="H157" s="373">
        <v>9.5000000000000005E-5</v>
      </c>
      <c r="I157" s="373">
        <v>0</v>
      </c>
      <c r="J157" s="373"/>
      <c r="K157" s="373">
        <v>2.5075572815533999E-5</v>
      </c>
      <c r="L157" s="373">
        <v>0</v>
      </c>
      <c r="M157" s="373">
        <v>3.3856029023880101E-6</v>
      </c>
      <c r="N157" s="373">
        <v>2.9121696495920001E-5</v>
      </c>
      <c r="O157" s="373"/>
      <c r="P157" s="373"/>
      <c r="Q157" s="373"/>
      <c r="R157" s="351">
        <f>'Parameters, country spec'!K24</f>
        <v>8.7872786881358494E-2</v>
      </c>
      <c r="S157" s="351">
        <f>'Parameters, country spec'!K42</f>
        <v>6.3094427706240894E-2</v>
      </c>
    </row>
    <row r="158" spans="1:19" x14ac:dyDescent="0.2">
      <c r="A158" s="353" t="s">
        <v>472</v>
      </c>
      <c r="B158" s="18" t="s">
        <v>282</v>
      </c>
      <c r="C158" s="18" t="s">
        <v>473</v>
      </c>
      <c r="D158" s="349" t="s">
        <v>61</v>
      </c>
      <c r="E158" s="349" t="s">
        <v>62</v>
      </c>
      <c r="F158" s="371">
        <f t="shared" si="18"/>
        <v>2.1563635104952661E-4</v>
      </c>
      <c r="G158" s="373">
        <v>0</v>
      </c>
      <c r="H158" s="373">
        <v>9.5000000000000005E-5</v>
      </c>
      <c r="I158" s="373">
        <v>0</v>
      </c>
      <c r="J158" s="373"/>
      <c r="K158" s="373">
        <v>5.8896104209383703E-5</v>
      </c>
      <c r="L158" s="373">
        <v>0</v>
      </c>
      <c r="M158" s="373">
        <v>3.2618550344222897E-5</v>
      </c>
      <c r="N158" s="373">
        <v>2.9121696495920001E-5</v>
      </c>
      <c r="O158" s="373"/>
      <c r="P158" s="373"/>
      <c r="Q158" s="373"/>
      <c r="R158" s="351">
        <f>'Parameters, country spec'!K25</f>
        <v>3.9767845041291496E-3</v>
      </c>
      <c r="S158" s="351">
        <f>'Parameters, country spec'!K43</f>
        <v>2.7198099192756102E-3</v>
      </c>
    </row>
    <row r="159" spans="1:19" x14ac:dyDescent="0.2">
      <c r="A159" s="353" t="s">
        <v>474</v>
      </c>
      <c r="B159" s="18" t="s">
        <v>283</v>
      </c>
      <c r="C159" s="18" t="s">
        <v>473</v>
      </c>
      <c r="D159" s="349" t="s">
        <v>61</v>
      </c>
      <c r="E159" s="349" t="s">
        <v>62</v>
      </c>
      <c r="F159" s="371">
        <f t="shared" si="18"/>
        <v>2.222075445689893E-4</v>
      </c>
      <c r="G159" s="373">
        <v>0</v>
      </c>
      <c r="H159" s="373">
        <v>9.5000000000000005E-5</v>
      </c>
      <c r="I159" s="373">
        <v>0</v>
      </c>
      <c r="J159" s="373"/>
      <c r="K159" s="373">
        <v>6.3001335354643105E-5</v>
      </c>
      <c r="L159" s="373">
        <v>0</v>
      </c>
      <c r="M159" s="373">
        <v>3.5084512718426199E-5</v>
      </c>
      <c r="N159" s="373">
        <v>2.9121696495920001E-5</v>
      </c>
      <c r="O159" s="373"/>
      <c r="P159" s="373"/>
      <c r="Q159" s="373"/>
      <c r="R159" s="351">
        <f>'Parameters, country spec'!K26</f>
        <v>3.9065128907304902E-3</v>
      </c>
      <c r="S159" s="351">
        <f>'Parameters, country spec'!K44</f>
        <v>2.67174962512282E-3</v>
      </c>
    </row>
    <row r="160" spans="1:19" x14ac:dyDescent="0.2">
      <c r="B160" s="58" t="s">
        <v>284</v>
      </c>
      <c r="C160" s="18" t="s">
        <v>475</v>
      </c>
      <c r="D160" s="349" t="s">
        <v>61</v>
      </c>
      <c r="E160" s="349" t="s">
        <v>62</v>
      </c>
      <c r="F160" s="371">
        <f t="shared" si="18"/>
        <v>4.6478527325651372E-4</v>
      </c>
      <c r="G160" s="372">
        <v>3.0425509539765703E-4</v>
      </c>
      <c r="H160" s="372">
        <v>4.58620689655173E-5</v>
      </c>
      <c r="I160" s="372"/>
      <c r="J160" s="372"/>
      <c r="K160" s="372">
        <v>1.0936279334641701E-5</v>
      </c>
      <c r="L160" s="372"/>
      <c r="M160" s="372">
        <v>6.46069605517241E-7</v>
      </c>
      <c r="N160" s="372">
        <v>2.1884761697575201E-5</v>
      </c>
      <c r="O160" s="372"/>
      <c r="P160" s="372">
        <v>5.7027085212127002E-5</v>
      </c>
      <c r="Q160" s="372">
        <v>2.4173913043478301E-5</v>
      </c>
      <c r="R160" s="351">
        <f>'Parameters, country spec'!K27</f>
        <v>1.15171449475378E-2</v>
      </c>
      <c r="S160" s="351">
        <f>'Parameters, country spec'!K45</f>
        <v>7.8768273776592904E-3</v>
      </c>
    </row>
    <row r="161" spans="1:19" x14ac:dyDescent="0.2">
      <c r="B161" s="58" t="s">
        <v>476</v>
      </c>
      <c r="C161" s="18" t="s">
        <v>475</v>
      </c>
      <c r="D161" s="349" t="s">
        <v>61</v>
      </c>
      <c r="E161" s="349" t="s">
        <v>62</v>
      </c>
      <c r="F161" s="371">
        <f t="shared" si="18"/>
        <v>4.7266553697523949E-4</v>
      </c>
      <c r="G161" s="372">
        <v>1.56035162386253E-5</v>
      </c>
      <c r="H161" s="372">
        <v>7.5304878048780503E-5</v>
      </c>
      <c r="I161" s="372"/>
      <c r="J161" s="372"/>
      <c r="K161" s="372">
        <v>1.9084590744355901E-5</v>
      </c>
      <c r="L161" s="372"/>
      <c r="M161" s="372">
        <v>5.9672097439024396E-7</v>
      </c>
      <c r="N161" s="372">
        <v>2.3084271612619499E-5</v>
      </c>
      <c r="O161" s="372"/>
      <c r="P161" s="372">
        <v>1.28991559356468E-4</v>
      </c>
      <c r="Q161" s="372">
        <v>2.1000000000000001E-4</v>
      </c>
      <c r="R161" s="351">
        <f>'Parameters, country spec'!K28</f>
        <v>9.8452568021241901E-2</v>
      </c>
      <c r="S161" s="351">
        <f>'Parameters, country spec'!K46</f>
        <v>6.7333865050956496E-2</v>
      </c>
    </row>
    <row r="162" spans="1:19" x14ac:dyDescent="0.2">
      <c r="B162" s="18" t="s">
        <v>286</v>
      </c>
      <c r="C162" s="18" t="s">
        <v>477</v>
      </c>
      <c r="D162" s="349" t="s">
        <v>61</v>
      </c>
      <c r="E162" s="349" t="s">
        <v>62</v>
      </c>
      <c r="F162" s="374">
        <f t="shared" si="18"/>
        <v>1.0330425284900396E-3</v>
      </c>
      <c r="G162" s="373">
        <v>0</v>
      </c>
      <c r="H162" s="373">
        <v>8.5499999999999995E-6</v>
      </c>
      <c r="I162">
        <v>0</v>
      </c>
      <c r="K162" s="373">
        <v>2.2568015533980599E-6</v>
      </c>
      <c r="L162">
        <v>0</v>
      </c>
      <c r="M162">
        <v>3.0470426121492002E-7</v>
      </c>
      <c r="N162" s="216">
        <v>2.6209526846328E-6</v>
      </c>
      <c r="O162" s="216"/>
      <c r="P162" s="373">
        <v>9.3317281206467095E-4</v>
      </c>
      <c r="Q162" s="373">
        <v>8.6137257926122794E-5</v>
      </c>
      <c r="R162" s="351">
        <f>'Parameters, country spec'!K29</f>
        <v>7.0975010538760902E-2</v>
      </c>
      <c r="S162" s="351">
        <f>'Parameters, country spec'!K47</f>
        <v>6.2556425026192006E-2</v>
      </c>
    </row>
    <row r="163" spans="1:19" x14ac:dyDescent="0.2">
      <c r="A163" s="354"/>
      <c r="B163" s="18" t="s">
        <v>478</v>
      </c>
      <c r="C163" s="355" t="s">
        <v>479</v>
      </c>
      <c r="D163" s="349" t="s">
        <v>61</v>
      </c>
      <c r="E163" s="349" t="s">
        <v>62</v>
      </c>
      <c r="F163" s="371">
        <f t="shared" si="18"/>
        <v>1.1355393986485284E-4</v>
      </c>
      <c r="G163" s="375">
        <f t="shared" ref="G163:Q163" si="19">SUMPRODUCT(G153:G161,$R153:$R161)</f>
        <v>5.0403562785755666E-6</v>
      </c>
      <c r="H163" s="375">
        <f t="shared" si="19"/>
        <v>4.1833173569978788E-5</v>
      </c>
      <c r="I163" s="375">
        <f t="shared" si="19"/>
        <v>0</v>
      </c>
      <c r="J163" s="375">
        <f t="shared" si="19"/>
        <v>0</v>
      </c>
      <c r="K163" s="375">
        <f t="shared" si="19"/>
        <v>9.1142395836218433E-6</v>
      </c>
      <c r="L163" s="375">
        <f t="shared" si="19"/>
        <v>0</v>
      </c>
      <c r="M163" s="375">
        <f t="shared" si="19"/>
        <v>1.034252827620424E-5</v>
      </c>
      <c r="N163" s="375">
        <f t="shared" si="19"/>
        <v>1.2913848933508319E-5</v>
      </c>
      <c r="O163" s="375">
        <f t="shared" si="19"/>
        <v>0</v>
      </c>
      <c r="P163" s="375">
        <f t="shared" si="19"/>
        <v>1.3356339478032384E-5</v>
      </c>
      <c r="Q163" s="375">
        <f t="shared" si="19"/>
        <v>2.0953453744931714E-5</v>
      </c>
      <c r="R163" s="351">
        <f>'Parameters, country spec'!K30</f>
        <v>1.8444505233833501E-2</v>
      </c>
      <c r="S163" s="351">
        <f>'Parameters, country spec'!K48</f>
        <v>3.2203274696010503E-2</v>
      </c>
    </row>
    <row r="164" spans="1:19" x14ac:dyDescent="0.2">
      <c r="A164" s="357"/>
      <c r="B164" s="358" t="s">
        <v>480</v>
      </c>
      <c r="C164" s="359"/>
      <c r="D164" s="360"/>
      <c r="E164" s="360"/>
      <c r="F164" s="376">
        <f>SUMPRODUCT(F150:F152,R150:R152)+SUMPRODUCT(F153:F163,R153:R163)/0.87</f>
        <v>4.4190989383379104E-4</v>
      </c>
      <c r="G164" s="376">
        <f>SUMPRODUCT(G150:G152,R150:R152)+SUMPRODUCT(G153:G163,R153:R163)/0.87</f>
        <v>5.9003714440645283E-6</v>
      </c>
      <c r="H164" s="376">
        <f>SUMPRODUCT(H150:H152,R150:R152)+SUMPRODUCT(H153:H163,R153:R163)/0.87</f>
        <v>9.1835516583595769E-5</v>
      </c>
      <c r="I164" s="376">
        <f>SUMPRODUCT(I150:I152,R150:R152)+SUMPRODUCT(I153:I163,R153:R163)/0.87</f>
        <v>0</v>
      </c>
      <c r="J164" s="376">
        <f>SUMPRODUCT(J150:J152,R150:R152)+SUMPRODUCT(J153:J163,R153:R163)/0.87</f>
        <v>0</v>
      </c>
      <c r="K164" s="376">
        <f>SUMPRODUCT(K150:K152,R150:R152)+SUMPRODUCT(K153:K163,R153:R163)/0.87</f>
        <v>1.4859677644524063E-5</v>
      </c>
      <c r="L164" s="376">
        <f>SUMPRODUCT(L150:L152,R150:R152)+SUMPRODUCT(L153:L163,R153:R163)/0.87</f>
        <v>0</v>
      </c>
      <c r="M164" s="376">
        <f>SUMPRODUCT(M150:M152,R150:R152)+SUMPRODUCT(M153:M163,R153:R163)/0.87</f>
        <v>1.3083437105463985E-5</v>
      </c>
      <c r="N164" s="376">
        <f>SUMPRODUCT(N150:N152,R150:R152)+SUMPRODUCT(N153:N163,R153:R163)/0.87</f>
        <v>1.5331104174902018E-5</v>
      </c>
      <c r="O164" s="376">
        <f>SUMPRODUCT(O150:O152,R150:R152)+SUMPRODUCT(O153:O163,R153:R163)/0.87</f>
        <v>0</v>
      </c>
      <c r="P164" s="376">
        <f>SUMPRODUCT(P150:P152,R150:R152)+SUMPRODUCT(P153:P163,R153:R163)/0.87</f>
        <v>2.6934401375332853E-4</v>
      </c>
      <c r="Q164" s="376">
        <f>SUMPRODUCT(Q150:Q152,R150:R152)+SUMPRODUCT(Q153:Q163,R153:R163)/0.87</f>
        <v>3.1555773127912099E-5</v>
      </c>
      <c r="R164" s="362"/>
      <c r="S164" s="369"/>
    </row>
    <row r="165" spans="1:19" x14ac:dyDescent="0.2">
      <c r="A165" s="363"/>
      <c r="B165" s="364" t="s">
        <v>481</v>
      </c>
      <c r="C165" s="365"/>
      <c r="D165" s="366"/>
      <c r="E165" s="366"/>
      <c r="F165" s="377">
        <f>SUMPRODUCT(F150:F152,S150:S152)+SUMPRODUCT(F153:F163,S153:S163)/0.87</f>
        <v>3.3518147000864056E-4</v>
      </c>
      <c r="G165" s="377">
        <f>SUMPRODUCT(G150:G152,S150:S152)+SUMPRODUCT(G153:G163,S153:S163)/0.87</f>
        <v>4.1488803445486656E-6</v>
      </c>
      <c r="H165" s="377">
        <f>SUMPRODUCT(H150:H152,S150:S152)+SUMPRODUCT(H153:H163,S153:S163)/0.87</f>
        <v>9.0891887294736716E-5</v>
      </c>
      <c r="I165" s="377">
        <f>SUMPRODUCT(I150:I152,S150:S152)+SUMPRODUCT(I153:I163,S153:S163)/0.87</f>
        <v>0</v>
      </c>
      <c r="J165" s="377">
        <f>SUMPRODUCT(J150:J152,S150:S152)+SUMPRODUCT(J153:J163,S153:S163)/0.87</f>
        <v>0</v>
      </c>
      <c r="K165" s="377">
        <f>SUMPRODUCT(K150:K152,S150:S152)+SUMPRODUCT(K153:K163,S153:S163)/0.87</f>
        <v>1.3370374846006608E-5</v>
      </c>
      <c r="L165" s="377">
        <f>SUMPRODUCT(L150:L152,S150:S152)+SUMPRODUCT(L153:L163,S153:S163)/0.87</f>
        <v>0</v>
      </c>
      <c r="M165" s="377">
        <f>SUMPRODUCT(M150:M152,S150:S152)+SUMPRODUCT(M153:M163,S153:S163)/0.87</f>
        <v>9.8064364245083729E-6</v>
      </c>
      <c r="N165" s="377">
        <f>SUMPRODUCT(N150:N152,S150:S152)+SUMPRODUCT(N153:N163,S153:S163)/0.87</f>
        <v>1.1216449455219638E-5</v>
      </c>
      <c r="O165" s="377">
        <f>SUMPRODUCT(O150:O152,S150:S152)+SUMPRODUCT(O153:O163,S153:S163)/0.87</f>
        <v>0</v>
      </c>
      <c r="P165" s="377">
        <f>SUMPRODUCT(P150:P152,S150:S152)+SUMPRODUCT(P153:P163,S153:S163)/0.87</f>
        <v>1.8230636791375586E-4</v>
      </c>
      <c r="Q165" s="377">
        <f>SUMPRODUCT(Q150:Q152,S150:S152)+SUMPRODUCT(Q153:Q163,S153:S163)/0.87</f>
        <v>2.3441073729864754E-5</v>
      </c>
      <c r="R165" s="368"/>
      <c r="S165" s="368"/>
    </row>
    <row r="166" spans="1:19" x14ac:dyDescent="0.2">
      <c r="B166" s="58" t="s">
        <v>264</v>
      </c>
      <c r="C166" s="18" t="s">
        <v>463</v>
      </c>
      <c r="D166" s="349" t="s">
        <v>63</v>
      </c>
      <c r="E166" s="349" t="s">
        <v>64</v>
      </c>
      <c r="F166" s="371">
        <f t="shared" ref="F166:F179" si="20">SUM(G166:Q166)</f>
        <v>1.0963552846463486E-4</v>
      </c>
      <c r="G166" s="372">
        <f>'Forage crops, CF'!F59</f>
        <v>0</v>
      </c>
      <c r="H166" s="372">
        <f>'Forage crops, CF'!G59</f>
        <v>9.5000000000000005E-5</v>
      </c>
      <c r="I166" s="372">
        <f>'Forage crops, CF'!H59</f>
        <v>0</v>
      </c>
      <c r="J166" s="372">
        <f>'Forage crops, CF'!I59</f>
        <v>0</v>
      </c>
      <c r="K166" s="372">
        <f>'Forage crops, CF'!J59</f>
        <v>1.463552846463485E-5</v>
      </c>
      <c r="L166" s="372">
        <f>'Forage crops, CF'!K59</f>
        <v>0</v>
      </c>
      <c r="M166" s="372">
        <f>'Forage crops, CF'!L59</f>
        <v>0</v>
      </c>
      <c r="N166" s="372">
        <f>'Forage crops, CF'!M59</f>
        <v>0</v>
      </c>
      <c r="O166" s="372">
        <f>'Forage crops, CF'!N59</f>
        <v>0</v>
      </c>
      <c r="P166" s="372">
        <f>'Forage crops, CF'!O59</f>
        <v>0</v>
      </c>
      <c r="Q166" s="372">
        <f>'Forage crops, CF'!P59</f>
        <v>0</v>
      </c>
      <c r="R166" s="351">
        <f>'Parameters, country spec'!L17</f>
        <v>0</v>
      </c>
      <c r="S166" s="351">
        <f>'Parameters, country spec'!L35</f>
        <v>8.1492728375395507E-2</v>
      </c>
    </row>
    <row r="167" spans="1:19" x14ac:dyDescent="0.2">
      <c r="B167" s="58" t="s">
        <v>268</v>
      </c>
      <c r="C167" s="18" t="s">
        <v>463</v>
      </c>
      <c r="D167" s="349" t="s">
        <v>63</v>
      </c>
      <c r="E167" s="349" t="s">
        <v>64</v>
      </c>
      <c r="F167" s="371">
        <f t="shared" si="20"/>
        <v>8.1149550355803736E-4</v>
      </c>
      <c r="G167" s="372">
        <f>'Forage crops, CF'!F119</f>
        <v>0</v>
      </c>
      <c r="H167" s="372">
        <f>'Forage crops, CF'!G119</f>
        <v>9.5000000000000005E-5</v>
      </c>
      <c r="I167" s="372"/>
      <c r="J167" s="372"/>
      <c r="K167" s="372">
        <f>'Forage crops, CF'!J119</f>
        <v>8.4955035580373794E-6</v>
      </c>
      <c r="L167" s="372"/>
      <c r="M167" s="372">
        <f>'Forage crops, CF'!L119</f>
        <v>0</v>
      </c>
      <c r="N167" s="372">
        <f>'Forage crops, CF'!M119</f>
        <v>0</v>
      </c>
      <c r="O167" s="372"/>
      <c r="P167" s="372">
        <f>'Forage crops, CF'!O119</f>
        <v>7.0799999999999997E-4</v>
      </c>
      <c r="Q167" s="372"/>
      <c r="R167" s="351">
        <f>'Parameters, country spec'!L18</f>
        <v>5.6833997339727403E-2</v>
      </c>
      <c r="S167" s="351">
        <f>'Parameters, country spec'!L36</f>
        <v>2.0132302839190298E-2</v>
      </c>
    </row>
    <row r="168" spans="1:19" x14ac:dyDescent="0.2">
      <c r="B168" s="58" t="s">
        <v>465</v>
      </c>
      <c r="C168" s="18" t="s">
        <v>463</v>
      </c>
      <c r="D168" s="349" t="s">
        <v>63</v>
      </c>
      <c r="E168" s="349" t="s">
        <v>64</v>
      </c>
      <c r="F168" s="371">
        <f t="shared" si="20"/>
        <v>8.1250634061677269E-4</v>
      </c>
      <c r="G168" s="372">
        <f>'Forage crops, CF'!F179*'Forage, input data per ha'!$D$88+'Forage crops, CF'!F239*'Forage, input data per ha'!$E$88</f>
        <v>0</v>
      </c>
      <c r="H168" s="372">
        <f>'Forage crops, CF'!G179*'Forage, input data per ha'!$D$88+'Forage crops, CF'!G239*'Forage, input data per ha'!$E$88</f>
        <v>9.5000000000000005E-5</v>
      </c>
      <c r="I168" s="372"/>
      <c r="J168" s="372"/>
      <c r="K168" s="372">
        <f>'Forage crops, CF'!J179*'Forage, input data per ha'!$D$88+'Forage crops, CF'!J239*'Forage, input data per ha'!$E$88</f>
        <v>9.5063406167727142E-6</v>
      </c>
      <c r="L168" s="372"/>
      <c r="M168" s="372">
        <f>'Forage crops, CF'!L179*'Forage, input data per ha'!$D$88+'Forage crops, CF'!L239*'Forage, input data per ha'!$E$88</f>
        <v>0</v>
      </c>
      <c r="N168" s="372">
        <f>'Forage crops, CF'!M179*'Forage, input data per ha'!$D$88+'Forage crops, CF'!M239*'Forage, input data per ha'!$E$88</f>
        <v>0</v>
      </c>
      <c r="O168" s="372"/>
      <c r="P168" s="372">
        <f>'Forage crops, CF'!O179*'Forage, input data per ha'!$D$88+'Forage crops, CF'!O239*'Forage, input data per ha'!$E$88</f>
        <v>7.0799999999999997E-4</v>
      </c>
      <c r="Q168" s="372"/>
      <c r="R168" s="351">
        <f>'Parameters, country spec'!L19</f>
        <v>0.64451256332731</v>
      </c>
      <c r="S168" s="351">
        <f>'Parameters, country spec'!L37</f>
        <v>0.72922483150746598</v>
      </c>
    </row>
    <row r="169" spans="1:19" x14ac:dyDescent="0.2">
      <c r="A169" s="353" t="s">
        <v>466</v>
      </c>
      <c r="B169" s="18" t="s">
        <v>274</v>
      </c>
      <c r="C169" s="18" t="s">
        <v>467</v>
      </c>
      <c r="D169" s="349" t="s">
        <v>63</v>
      </c>
      <c r="E169" s="349" t="s">
        <v>64</v>
      </c>
      <c r="F169" s="371">
        <f t="shared" si="20"/>
        <v>1.2860316999940553E-4</v>
      </c>
      <c r="G169" s="373">
        <v>0</v>
      </c>
      <c r="H169" s="373">
        <v>9.5000000000000005E-5</v>
      </c>
      <c r="I169" s="373">
        <v>0</v>
      </c>
      <c r="J169" s="373"/>
      <c r="K169" s="373">
        <v>1.90887140988659E-5</v>
      </c>
      <c r="L169" s="373">
        <v>0</v>
      </c>
      <c r="M169" s="373">
        <v>2.8849274208216E-9</v>
      </c>
      <c r="N169" s="373">
        <v>1.45115709731188E-5</v>
      </c>
      <c r="O169" s="373"/>
      <c r="P169" s="373"/>
      <c r="Q169" s="373"/>
      <c r="R169" s="351">
        <f>'Parameters, country spec'!L20</f>
        <v>2.1854503836809602E-2</v>
      </c>
      <c r="S169" s="351">
        <f>'Parameters, country spec'!L38</f>
        <v>7.1251912744116604E-3</v>
      </c>
    </row>
    <row r="170" spans="1:19" x14ac:dyDescent="0.2">
      <c r="A170" s="353" t="s">
        <v>468</v>
      </c>
      <c r="B170" s="18" t="s">
        <v>276</v>
      </c>
      <c r="C170" s="18" t="s">
        <v>467</v>
      </c>
      <c r="D170" s="349" t="s">
        <v>63</v>
      </c>
      <c r="E170" s="349" t="s">
        <v>64</v>
      </c>
      <c r="F170" s="371">
        <f t="shared" si="20"/>
        <v>1.1912253474115631E-4</v>
      </c>
      <c r="G170" s="373">
        <v>0</v>
      </c>
      <c r="H170" s="373">
        <v>9.5000000000000005E-5</v>
      </c>
      <c r="I170" s="373">
        <v>0</v>
      </c>
      <c r="J170" s="373"/>
      <c r="K170" s="373">
        <v>9.6109637680374997E-6</v>
      </c>
      <c r="L170" s="373">
        <v>0</v>
      </c>
      <c r="M170" s="373">
        <v>0</v>
      </c>
      <c r="N170" s="373">
        <v>1.45115709731188E-5</v>
      </c>
      <c r="O170" s="373"/>
      <c r="P170" s="373"/>
      <c r="Q170" s="373"/>
      <c r="R170" s="351">
        <f>'Parameters, country spec'!L21</f>
        <v>9.7224227215628796E-4</v>
      </c>
      <c r="S170" s="351">
        <f>'Parameters, country spec'!L39</f>
        <v>3.1697869732220902E-4</v>
      </c>
    </row>
    <row r="171" spans="1:19" x14ac:dyDescent="0.2">
      <c r="A171" s="353" t="s">
        <v>469</v>
      </c>
      <c r="B171" s="18" t="s">
        <v>278</v>
      </c>
      <c r="C171" s="18" t="s">
        <v>467</v>
      </c>
      <c r="D171" s="349" t="s">
        <v>63</v>
      </c>
      <c r="E171" s="349" t="s">
        <v>64</v>
      </c>
      <c r="F171" s="371">
        <f t="shared" si="20"/>
        <v>1.3031260527766205E-4</v>
      </c>
      <c r="G171" s="373">
        <v>0</v>
      </c>
      <c r="H171" s="373">
        <v>9.5000000000000005E-5</v>
      </c>
      <c r="I171" s="373">
        <v>0</v>
      </c>
      <c r="J171" s="373"/>
      <c r="K171" s="373">
        <v>2.07975725290936E-5</v>
      </c>
      <c r="L171" s="373">
        <v>0</v>
      </c>
      <c r="M171" s="373">
        <v>3.4617754496477999E-9</v>
      </c>
      <c r="N171" s="373">
        <v>1.45115709731188E-5</v>
      </c>
      <c r="O171" s="373"/>
      <c r="P171" s="373"/>
      <c r="Q171" s="373"/>
      <c r="R171" s="351">
        <f>'Parameters, country spec'!L22</f>
        <v>2.3774415383034798E-2</v>
      </c>
      <c r="S171" s="351">
        <f>'Parameters, country spec'!L40</f>
        <v>7.7511371696115704E-3</v>
      </c>
    </row>
    <row r="172" spans="1:19" x14ac:dyDescent="0.2">
      <c r="A172" s="353" t="s">
        <v>470</v>
      </c>
      <c r="B172" s="18" t="s">
        <v>280</v>
      </c>
      <c r="C172" s="18" t="s">
        <v>467</v>
      </c>
      <c r="D172" s="349" t="s">
        <v>63</v>
      </c>
      <c r="E172" s="349" t="s">
        <v>64</v>
      </c>
      <c r="F172" s="371">
        <f t="shared" si="20"/>
        <v>1.2420439073274311E-4</v>
      </c>
      <c r="G172" s="373">
        <v>0</v>
      </c>
      <c r="H172" s="373">
        <v>9.5000000000000005E-5</v>
      </c>
      <c r="I172" s="373">
        <v>0</v>
      </c>
      <c r="J172" s="373"/>
      <c r="K172" s="373">
        <v>1.46928197596243E-5</v>
      </c>
      <c r="L172" s="373">
        <v>0</v>
      </c>
      <c r="M172" s="373">
        <v>0</v>
      </c>
      <c r="N172" s="373">
        <v>1.45115709731188E-5</v>
      </c>
      <c r="O172" s="373"/>
      <c r="P172" s="373"/>
      <c r="Q172" s="373"/>
      <c r="R172" s="351">
        <f>'Parameters, country spec'!L23</f>
        <v>1.50302170309128E-5</v>
      </c>
      <c r="S172" s="351">
        <f>'Parameters, country spec'!L41</f>
        <v>4.9002790875207401E-6</v>
      </c>
    </row>
    <row r="173" spans="1:19" x14ac:dyDescent="0.2">
      <c r="A173" s="353" t="s">
        <v>471</v>
      </c>
      <c r="B173" s="18" t="s">
        <v>281</v>
      </c>
      <c r="C173" s="18" t="s">
        <v>467</v>
      </c>
      <c r="D173" s="349" t="s">
        <v>63</v>
      </c>
      <c r="E173" s="349" t="s">
        <v>64</v>
      </c>
      <c r="F173" s="371">
        <f t="shared" si="20"/>
        <v>1.2278996270745091E-4</v>
      </c>
      <c r="G173" s="373">
        <v>0</v>
      </c>
      <c r="H173" s="373">
        <v>9.5000000000000005E-5</v>
      </c>
      <c r="I173" s="373">
        <v>0</v>
      </c>
      <c r="J173" s="373"/>
      <c r="K173" s="373">
        <v>1.32783917343321E-5</v>
      </c>
      <c r="L173" s="373">
        <v>0</v>
      </c>
      <c r="M173" s="373">
        <v>0</v>
      </c>
      <c r="N173" s="373">
        <v>1.45115709731188E-5</v>
      </c>
      <c r="O173" s="373"/>
      <c r="P173" s="373"/>
      <c r="Q173" s="373"/>
      <c r="R173" s="351">
        <f>'Parameters, country spec'!L24</f>
        <v>9.4799230366266196E-2</v>
      </c>
      <c r="S173" s="351">
        <f>'Parameters, country spec'!L42</f>
        <v>3.0907251607613699E-2</v>
      </c>
    </row>
    <row r="174" spans="1:19" x14ac:dyDescent="0.2">
      <c r="A174" s="353" t="s">
        <v>472</v>
      </c>
      <c r="B174" s="18" t="s">
        <v>282</v>
      </c>
      <c r="C174" s="18" t="s">
        <v>473</v>
      </c>
      <c r="D174" s="349" t="s">
        <v>63</v>
      </c>
      <c r="E174" s="349" t="s">
        <v>64</v>
      </c>
      <c r="F174" s="371">
        <f t="shared" si="20"/>
        <v>1.471635353756079E-4</v>
      </c>
      <c r="G174" s="373">
        <v>0</v>
      </c>
      <c r="H174" s="373">
        <v>9.5000000000000005E-5</v>
      </c>
      <c r="I174" s="373">
        <v>0</v>
      </c>
      <c r="J174" s="373"/>
      <c r="K174" s="373">
        <v>2.7426462782762501E-5</v>
      </c>
      <c r="L174" s="373">
        <v>0</v>
      </c>
      <c r="M174" s="373">
        <v>1.0225501619726601E-5</v>
      </c>
      <c r="N174" s="373">
        <v>1.45115709731188E-5</v>
      </c>
      <c r="O174" s="373"/>
      <c r="P174" s="373"/>
      <c r="Q174" s="373"/>
      <c r="R174" s="351">
        <f>'Parameters, country spec'!L25</f>
        <v>8.4440367067629904E-3</v>
      </c>
      <c r="S174" s="351">
        <f>'Parameters, country spec'!L43</f>
        <v>1.47849500760987E-3</v>
      </c>
    </row>
    <row r="175" spans="1:19" x14ac:dyDescent="0.2">
      <c r="A175" s="353" t="s">
        <v>474</v>
      </c>
      <c r="B175" s="18" t="s">
        <v>283</v>
      </c>
      <c r="C175" s="18" t="s">
        <v>473</v>
      </c>
      <c r="D175" s="349" t="s">
        <v>63</v>
      </c>
      <c r="E175" s="349" t="s">
        <v>64</v>
      </c>
      <c r="F175" s="371">
        <f t="shared" si="20"/>
        <v>1.4207083497941555E-4</v>
      </c>
      <c r="G175" s="373">
        <v>0</v>
      </c>
      <c r="H175" s="373">
        <v>9.5000000000000005E-5</v>
      </c>
      <c r="I175" s="373">
        <v>0</v>
      </c>
      <c r="J175" s="373"/>
      <c r="K175" s="373">
        <v>2.71812411720093E-5</v>
      </c>
      <c r="L175" s="373">
        <v>0</v>
      </c>
      <c r="M175" s="373">
        <v>5.3780228342874504E-6</v>
      </c>
      <c r="N175" s="373">
        <v>1.45115709731188E-5</v>
      </c>
      <c r="O175" s="373"/>
      <c r="P175" s="373"/>
      <c r="Q175" s="373"/>
      <c r="R175" s="351">
        <f>'Parameters, country spec'!L26</f>
        <v>8.2948266885816205E-3</v>
      </c>
      <c r="S175" s="351">
        <f>'Parameters, country spec'!L44</f>
        <v>1.4523693197724E-3</v>
      </c>
    </row>
    <row r="176" spans="1:19" x14ac:dyDescent="0.2">
      <c r="B176" s="58" t="s">
        <v>284</v>
      </c>
      <c r="C176" s="18" t="s">
        <v>475</v>
      </c>
      <c r="D176" s="349" t="s">
        <v>63</v>
      </c>
      <c r="E176" s="349" t="s">
        <v>64</v>
      </c>
      <c r="F176" s="371">
        <f t="shared" si="20"/>
        <v>4.6478527325651372E-4</v>
      </c>
      <c r="G176" s="372">
        <v>3.0425509539765703E-4</v>
      </c>
      <c r="H176" s="372">
        <v>4.58620689655173E-5</v>
      </c>
      <c r="I176" s="372"/>
      <c r="J176" s="372"/>
      <c r="K176" s="372">
        <v>1.0936279334641701E-5</v>
      </c>
      <c r="L176" s="372"/>
      <c r="M176" s="372">
        <v>6.46069605517241E-7</v>
      </c>
      <c r="N176" s="372">
        <v>2.1884761697575201E-5</v>
      </c>
      <c r="O176" s="372"/>
      <c r="P176" s="372">
        <v>5.7027085212127002E-5</v>
      </c>
      <c r="Q176" s="372">
        <v>2.4173913043478301E-5</v>
      </c>
      <c r="R176" s="351">
        <f>'Parameters, country spec'!L27</f>
        <v>3.7274865300959803E-2</v>
      </c>
      <c r="S176" s="351">
        <f>'Parameters, country spec'!L45</f>
        <v>6.52658250496908E-3</v>
      </c>
    </row>
    <row r="177" spans="1:19" x14ac:dyDescent="0.2">
      <c r="B177" s="58" t="s">
        <v>476</v>
      </c>
      <c r="C177" s="18" t="s">
        <v>475</v>
      </c>
      <c r="D177" s="349" t="s">
        <v>63</v>
      </c>
      <c r="E177" s="349" t="s">
        <v>64</v>
      </c>
      <c r="F177" s="371">
        <f t="shared" si="20"/>
        <v>4.7266553697523949E-4</v>
      </c>
      <c r="G177" s="372">
        <v>1.56035162386253E-5</v>
      </c>
      <c r="H177" s="372">
        <v>7.5304878048780503E-5</v>
      </c>
      <c r="I177" s="372"/>
      <c r="J177" s="372"/>
      <c r="K177" s="372">
        <v>1.9084590744355901E-5</v>
      </c>
      <c r="L177" s="372"/>
      <c r="M177" s="372">
        <v>5.9672097439024396E-7</v>
      </c>
      <c r="N177" s="372">
        <v>2.3084271612619499E-5</v>
      </c>
      <c r="O177" s="372"/>
      <c r="P177" s="372">
        <v>1.28991559356468E-4</v>
      </c>
      <c r="Q177" s="372">
        <v>2.1000000000000001E-4</v>
      </c>
      <c r="R177" s="351">
        <f>'Parameters, country spec'!L28</f>
        <v>5.8079615438750398E-2</v>
      </c>
      <c r="S177" s="351">
        <f>'Parameters, country spec'!L46</f>
        <v>1.0169356726881599E-2</v>
      </c>
    </row>
    <row r="178" spans="1:19" x14ac:dyDescent="0.2">
      <c r="B178" s="18" t="s">
        <v>286</v>
      </c>
      <c r="C178" s="18" t="s">
        <v>477</v>
      </c>
      <c r="D178" s="349" t="s">
        <v>63</v>
      </c>
      <c r="E178" s="349" t="s">
        <v>64</v>
      </c>
      <c r="F178" s="374">
        <f t="shared" si="20"/>
        <v>1.4000152771825397E-4</v>
      </c>
      <c r="G178" s="373">
        <v>0</v>
      </c>
      <c r="H178" s="373">
        <v>8.5499999999999995E-6</v>
      </c>
      <c r="I178">
        <v>0</v>
      </c>
      <c r="K178" s="373">
        <v>1.19505525608989E-6</v>
      </c>
      <c r="L178">
        <v>0</v>
      </c>
      <c r="M178">
        <v>0</v>
      </c>
      <c r="N178" s="216">
        <v>1.30604138758069E-6</v>
      </c>
      <c r="O178" s="216"/>
      <c r="P178" s="373">
        <v>1.12198537729509E-4</v>
      </c>
      <c r="Q178" s="373">
        <v>1.6751893345074401E-5</v>
      </c>
      <c r="R178" s="351">
        <f>'Parameters, country spec'!L29</f>
        <v>0.02</v>
      </c>
      <c r="S178" s="351">
        <f>'Parameters, country spec'!L47</f>
        <v>8.8227403013349595E-2</v>
      </c>
    </row>
    <row r="179" spans="1:19" x14ac:dyDescent="0.2">
      <c r="A179" s="354"/>
      <c r="B179" s="18" t="s">
        <v>478</v>
      </c>
      <c r="C179" s="355" t="s">
        <v>479</v>
      </c>
      <c r="D179" s="349" t="s">
        <v>63</v>
      </c>
      <c r="E179" s="349" t="s">
        <v>64</v>
      </c>
      <c r="F179" s="371">
        <f t="shared" si="20"/>
        <v>6.48648895452977E-5</v>
      </c>
      <c r="G179" s="375">
        <f t="shared" ref="G179:Q179" si="21">SUMPRODUCT(G169:G177,$R169:$R177)</f>
        <v>1.2247313920709995E-5</v>
      </c>
      <c r="H179" s="375">
        <f t="shared" si="21"/>
        <v>2.1107837920559184E-5</v>
      </c>
      <c r="I179" s="375">
        <f t="shared" si="21"/>
        <v>0</v>
      </c>
      <c r="J179" s="375">
        <f t="shared" si="21"/>
        <v>0</v>
      </c>
      <c r="K179" s="375">
        <f t="shared" si="21"/>
        <v>4.1530986157238344E-6</v>
      </c>
      <c r="L179" s="375">
        <f t="shared" si="21"/>
        <v>0</v>
      </c>
      <c r="M179" s="375">
        <f t="shared" si="21"/>
        <v>1.8983911094209594E-7</v>
      </c>
      <c r="N179" s="375">
        <f t="shared" si="21"/>
        <v>4.4515443006754417E-6</v>
      </c>
      <c r="O179" s="375">
        <f t="shared" si="21"/>
        <v>0</v>
      </c>
      <c r="P179" s="375">
        <f t="shared" si="21"/>
        <v>9.6174570820567976E-6</v>
      </c>
      <c r="Q179" s="375">
        <f t="shared" si="21"/>
        <v>1.3097798594630353E-5</v>
      </c>
      <c r="R179" s="351">
        <f>'Parameters, country spec'!L30</f>
        <v>2.9429009738894001E-2</v>
      </c>
      <c r="S179" s="351">
        <f>'Parameters, country spec'!L48</f>
        <v>1.51904716773185E-2</v>
      </c>
    </row>
    <row r="180" spans="1:19" x14ac:dyDescent="0.2">
      <c r="A180" s="357"/>
      <c r="B180" s="358" t="s">
        <v>480</v>
      </c>
      <c r="C180" s="359"/>
      <c r="D180" s="360"/>
      <c r="E180" s="360"/>
      <c r="F180" s="376">
        <f>SUMPRODUCT(F166:F168,R166:R168)+SUMPRODUCT(F169:F179,R169:R179)/0.87</f>
        <v>6.4976099664218034E-4</v>
      </c>
      <c r="G180" s="376">
        <f>SUMPRODUCT(G166:G168,R166:R168)+SUMPRODUCT(G169:G179,R169:R179)/0.87</f>
        <v>1.4491655449836622E-5</v>
      </c>
      <c r="H180" s="376">
        <f>SUMPRODUCT(H166:H168,R166:R168)+SUMPRODUCT(H169:H179,R169:R179)/0.87</f>
        <v>9.1800360836116041E-5</v>
      </c>
      <c r="I180" s="376">
        <f>SUMPRODUCT(I166:I168,R166:R168)+SUMPRODUCT(I169:I179,R169:R179)/0.87</f>
        <v>0</v>
      </c>
      <c r="J180" s="376">
        <f>SUMPRODUCT(J166:J168,R166:R168)+SUMPRODUCT(J169:J179,R169:R179)/0.87</f>
        <v>0</v>
      </c>
      <c r="K180" s="376">
        <f>SUMPRODUCT(K166:K168,R166:R168)+SUMPRODUCT(K169:K179,R169:R179)/0.87</f>
        <v>1.155142306407901E-5</v>
      </c>
      <c r="L180" s="376">
        <f>SUMPRODUCT(L166:L168,R166:R168)+SUMPRODUCT(L169:L179,R169:R179)/0.87</f>
        <v>0</v>
      </c>
      <c r="M180" s="376">
        <f>SUMPRODUCT(M166:M168,R166:R168)+SUMPRODUCT(M169:M179,R169:R179)/0.87</f>
        <v>2.2462745745613088E-7</v>
      </c>
      <c r="N180" s="376">
        <f>SUMPRODUCT(N166:N168,R166:R168)+SUMPRODUCT(N169:N179,R169:R179)/0.87</f>
        <v>5.2973214586261511E-6</v>
      </c>
      <c r="O180" s="376">
        <f>SUMPRODUCT(O166:O168,R166:R168)+SUMPRODUCT(O169:O179,R169:R179)/0.87</f>
        <v>0</v>
      </c>
      <c r="P180" s="376">
        <f>SUMPRODUCT(P166:P168,R166:R168)+SUMPRODUCT(P169:P179,R169:R179)/0.87</f>
        <v>5.1051251446350182E-4</v>
      </c>
      <c r="Q180" s="376">
        <f>SUMPRODUCT(Q166:Q168,R166:R168)+SUMPRODUCT(Q169:Q179,R169:R179)/0.87</f>
        <v>1.5883093912564699E-5</v>
      </c>
      <c r="R180" s="362"/>
      <c r="S180" s="362"/>
    </row>
    <row r="181" spans="1:19" x14ac:dyDescent="0.2">
      <c r="A181" s="363"/>
      <c r="B181" s="364" t="s">
        <v>481</v>
      </c>
      <c r="C181" s="365"/>
      <c r="D181" s="366"/>
      <c r="E181" s="366"/>
      <c r="F181" s="377">
        <f>SUMPRODUCT(F166:F168,S166:S168)+SUMPRODUCT(F169:F179,S169:S179)/0.87</f>
        <v>6.4922127725022219E-4</v>
      </c>
      <c r="G181" s="377">
        <f>SUMPRODUCT(G166:G168,S166:S168)+SUMPRODUCT(G169:G179,S169:S179)/0.87</f>
        <v>2.6786967594598746E-6</v>
      </c>
      <c r="H181" s="377">
        <f>SUMPRODUCT(H166:H168,S166:S168)+SUMPRODUCT(H169:H179,S169:S179)/0.87</f>
        <v>8.6745171181279936E-5</v>
      </c>
      <c r="I181" s="377">
        <f>SUMPRODUCT(I166:I168,S166:S168)+SUMPRODUCT(I169:I179,S169:S179)/0.87</f>
        <v>0</v>
      </c>
      <c r="J181" s="377">
        <f>SUMPRODUCT(J166:J168,S166:S168)+SUMPRODUCT(J169:J179,S169:S179)/0.87</f>
        <v>0</v>
      </c>
      <c r="K181" s="377">
        <f>SUMPRODUCT(K166:K168,S166:S168)+SUMPRODUCT(K169:K179,S169:S179)/0.87</f>
        <v>9.7037281397602939E-6</v>
      </c>
      <c r="L181" s="377">
        <f>SUMPRODUCT(L166:L168,S166:S168)+SUMPRODUCT(L169:L179,S169:S179)/0.87</f>
        <v>0</v>
      </c>
      <c r="M181" s="377">
        <f>SUMPRODUCT(M166:M168,S166:S168)+SUMPRODUCT(M169:M179,S169:S179)/0.87</f>
        <v>4.1546272981649175E-8</v>
      </c>
      <c r="N181" s="377">
        <f>SUMPRODUCT(N166:N168,S166:S168)+SUMPRODUCT(N169:N179,S169:S179)/0.87</f>
        <v>1.4621019307319662E-6</v>
      </c>
      <c r="O181" s="377">
        <f>SUMPRODUCT(O166:O168,S166:S168)+SUMPRODUCT(O169:O179,S169:S179)/0.87</f>
        <v>0</v>
      </c>
      <c r="P181" s="377">
        <f>SUMPRODUCT(P166:P168,S166:S168)+SUMPRODUCT(P169:P179,S169:S179)/0.87</f>
        <v>5.4402649763891572E-4</v>
      </c>
      <c r="Q181" s="377">
        <f>SUMPRODUCT(Q166:Q168,S166:S168)+SUMPRODUCT(Q169:Q179,S169:S179)/0.87</f>
        <v>4.5635353270929055E-6</v>
      </c>
      <c r="R181" s="368"/>
      <c r="S181" s="368"/>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DEEBF7"/>
  </sheetPr>
  <dimension ref="A1:U185"/>
  <sheetViews>
    <sheetView zoomScale="70" zoomScaleNormal="70" workbookViewId="0">
      <selection activeCell="T19" sqref="T19"/>
    </sheetView>
  </sheetViews>
  <sheetFormatPr baseColWidth="10" defaultColWidth="8.6640625" defaultRowHeight="15" x14ac:dyDescent="0.2"/>
  <cols>
    <col min="2" max="2" width="30.5" customWidth="1"/>
    <col min="3" max="3" width="19" customWidth="1"/>
    <col min="4" max="5" width="12.6640625" customWidth="1"/>
    <col min="6" max="6" width="12.6640625" style="18" customWidth="1"/>
    <col min="7" max="10" width="12.6640625" customWidth="1"/>
    <col min="11" max="11" width="14.5" customWidth="1"/>
    <col min="12" max="12" width="15" customWidth="1"/>
    <col min="13" max="17" width="12.6640625" customWidth="1"/>
    <col min="19" max="19" width="8.6640625" style="22" customWidth="1"/>
  </cols>
  <sheetData>
    <row r="1" spans="1:21" x14ac:dyDescent="0.2">
      <c r="F1" s="25"/>
    </row>
    <row r="2" spans="1:21" ht="21" customHeight="1" x14ac:dyDescent="0.25">
      <c r="A2" s="9" t="s">
        <v>484</v>
      </c>
      <c r="F2" s="18" t="s">
        <v>456</v>
      </c>
      <c r="O2" t="s">
        <v>457</v>
      </c>
    </row>
    <row r="3" spans="1:21" x14ac:dyDescent="0.2">
      <c r="H3" s="26"/>
      <c r="I3" s="26"/>
      <c r="J3" s="26"/>
      <c r="K3" s="26"/>
      <c r="L3" s="26"/>
      <c r="M3" s="26"/>
      <c r="N3" s="26"/>
    </row>
    <row r="4" spans="1:21" ht="28.5" customHeight="1" x14ac:dyDescent="0.2">
      <c r="A4" s="336" t="s">
        <v>458</v>
      </c>
      <c r="B4" s="337"/>
      <c r="C4" s="337"/>
      <c r="D4" s="337"/>
      <c r="E4" s="337"/>
      <c r="F4" s="338" t="s">
        <v>6</v>
      </c>
      <c r="G4" s="339" t="s">
        <v>7</v>
      </c>
      <c r="H4" s="340"/>
      <c r="I4" s="339" t="s">
        <v>8</v>
      </c>
      <c r="J4" s="341"/>
      <c r="K4" s="339" t="s">
        <v>9</v>
      </c>
      <c r="L4" s="341"/>
      <c r="M4" s="341"/>
      <c r="N4" s="341"/>
      <c r="O4" s="342" t="s">
        <v>10</v>
      </c>
      <c r="P4" s="342" t="s">
        <v>11</v>
      </c>
      <c r="Q4" s="343" t="s">
        <v>12</v>
      </c>
      <c r="R4" s="339" t="s">
        <v>459</v>
      </c>
      <c r="S4" s="344" t="s">
        <v>459</v>
      </c>
    </row>
    <row r="5" spans="1:21" ht="55.5" customHeight="1" x14ac:dyDescent="0.2">
      <c r="A5" s="345" t="s">
        <v>13</v>
      </c>
      <c r="B5" s="345" t="s">
        <v>458</v>
      </c>
      <c r="C5" s="345" t="s">
        <v>460</v>
      </c>
      <c r="D5" s="345" t="s">
        <v>16</v>
      </c>
      <c r="E5" s="346" t="s">
        <v>17</v>
      </c>
      <c r="F5" s="347"/>
      <c r="G5" s="348" t="s">
        <v>20</v>
      </c>
      <c r="H5" s="348" t="s">
        <v>21</v>
      </c>
      <c r="I5" s="348" t="s">
        <v>22</v>
      </c>
      <c r="J5" s="348" t="s">
        <v>461</v>
      </c>
      <c r="K5" s="348" t="s">
        <v>24</v>
      </c>
      <c r="L5" s="348" t="s">
        <v>25</v>
      </c>
      <c r="M5" s="348" t="s">
        <v>26</v>
      </c>
      <c r="N5" s="348" t="s">
        <v>27</v>
      </c>
      <c r="O5" s="348" t="s">
        <v>28</v>
      </c>
      <c r="P5" s="348" t="s">
        <v>11</v>
      </c>
      <c r="Q5" s="346" t="s">
        <v>462</v>
      </c>
      <c r="R5" s="348" t="s">
        <v>171</v>
      </c>
      <c r="S5" s="348" t="s">
        <v>357</v>
      </c>
    </row>
    <row r="6" spans="1:21" x14ac:dyDescent="0.2">
      <c r="B6" s="58" t="s">
        <v>264</v>
      </c>
      <c r="C6" s="18" t="s">
        <v>463</v>
      </c>
      <c r="D6" s="349" t="s">
        <v>38</v>
      </c>
      <c r="E6" s="349" t="s">
        <v>39</v>
      </c>
      <c r="F6" s="371">
        <f t="shared" ref="F6:F19" si="0">SUM(G6:Q6)</f>
        <v>9.9642551864791813E-5</v>
      </c>
      <c r="G6" s="372">
        <f>'Forage crops, CF'!F11</f>
        <v>3.2245050727455122E-6</v>
      </c>
      <c r="H6" s="372">
        <f>'Forage crops, CF'!G11</f>
        <v>1.1000000000000001E-6</v>
      </c>
      <c r="I6" s="372">
        <f>'Forage crops, CF'!H11</f>
        <v>8.6405487735697841E-5</v>
      </c>
      <c r="J6" s="372">
        <f>'Forage crops, CF'!I11</f>
        <v>8.6405487735697841E-6</v>
      </c>
      <c r="K6" s="372">
        <f>'Forage crops, CF'!J11</f>
        <v>2.720102827786762E-7</v>
      </c>
      <c r="L6" s="372">
        <f>'Forage crops, CF'!K11</f>
        <v>0</v>
      </c>
      <c r="M6" s="372">
        <f>'Forage crops, CF'!L11</f>
        <v>0</v>
      </c>
      <c r="N6" s="372">
        <f>'Forage crops, CF'!M11</f>
        <v>0</v>
      </c>
      <c r="O6" s="372">
        <f>'Forage crops, CF'!N11</f>
        <v>0</v>
      </c>
      <c r="P6" s="372">
        <f>'Forage crops, CF'!O11</f>
        <v>0</v>
      </c>
      <c r="Q6" s="372">
        <f>'Forage crops, CF'!P11</f>
        <v>0</v>
      </c>
      <c r="R6" s="351">
        <f>'Parameters, country spec'!B17</f>
        <v>0</v>
      </c>
      <c r="S6" s="351">
        <f>'Parameters, country spec'!B35</f>
        <v>0.29561999999999999</v>
      </c>
      <c r="U6" s="351" t="s">
        <v>464</v>
      </c>
    </row>
    <row r="7" spans="1:21" x14ac:dyDescent="0.2">
      <c r="B7" s="58" t="s">
        <v>268</v>
      </c>
      <c r="C7" s="18" t="s">
        <v>463</v>
      </c>
      <c r="D7" s="349" t="s">
        <v>38</v>
      </c>
      <c r="E7" s="349" t="s">
        <v>39</v>
      </c>
      <c r="F7" s="371">
        <f t="shared" si="0"/>
        <v>1.7579804128482269E-4</v>
      </c>
      <c r="G7" s="372">
        <f>'Forage crops, CF'!F71</f>
        <v>4.236093193768276E-6</v>
      </c>
      <c r="H7" s="372">
        <f>'Forage crops, CF'!G71</f>
        <v>1.1000000000000001E-6</v>
      </c>
      <c r="I7" s="372">
        <f>'Forage crops, CF'!H71</f>
        <v>9.2670829535701244E-5</v>
      </c>
      <c r="J7" s="372">
        <f>'Forage crops, CF'!I71</f>
        <v>9.2670829535701244E-6</v>
      </c>
      <c r="K7" s="372">
        <f>'Forage crops, CF'!J71</f>
        <v>4.240356017830519E-7</v>
      </c>
      <c r="L7" s="372"/>
      <c r="M7" s="372">
        <f>'Forage crops, CF'!L71</f>
        <v>0</v>
      </c>
      <c r="N7" s="372">
        <f>'Forage crops, CF'!M71</f>
        <v>0</v>
      </c>
      <c r="O7" s="372"/>
      <c r="P7" s="372">
        <f>'Forage crops, CF'!O71</f>
        <v>6.8099999999999988E-5</v>
      </c>
      <c r="Q7" s="372"/>
      <c r="R7" s="351">
        <f>'Parameters, country spec'!B18</f>
        <v>0.31083</v>
      </c>
      <c r="S7" s="351">
        <f>'Parameters, country spec'!B36</f>
        <v>0.30657000000000001</v>
      </c>
    </row>
    <row r="8" spans="1:21" x14ac:dyDescent="0.2">
      <c r="B8" s="58" t="s">
        <v>465</v>
      </c>
      <c r="C8" s="18" t="s">
        <v>463</v>
      </c>
      <c r="D8" s="349" t="s">
        <v>38</v>
      </c>
      <c r="E8" s="349" t="s">
        <v>39</v>
      </c>
      <c r="F8" s="371">
        <f t="shared" si="0"/>
        <v>1.6771214540078542E-4</v>
      </c>
      <c r="G8" s="372">
        <f>'Forage crops, CF'!F131*'Forage, input data per ha'!$D$78+'Forage crops, CF'!F191*'Forage, input data per ha'!$E$78</f>
        <v>3.223032418130119E-6</v>
      </c>
      <c r="H8" s="372">
        <f>'Forage crops, CF'!G131*'Forage, input data per ha'!$D$78+'Forage crops, CF'!G191*'Forage, input data per ha'!$E$78</f>
        <v>1.1000000000000001E-6</v>
      </c>
      <c r="I8" s="372">
        <f>'Forage crops, CF'!H131*'Forage, input data per ha'!$D$78+'Forage crops, CF'!H191*'Forage, input data per ha'!$E$78</f>
        <v>8.637918688175132E-5</v>
      </c>
      <c r="J8" s="372">
        <f>'Forage crops, CF'!I131*'Forage, input data per ha'!$D$78+'Forage crops, CF'!I191*'Forage, input data per ha'!$E$78</f>
        <v>8.6379186881751316E-6</v>
      </c>
      <c r="K8" s="372">
        <f>'Forage crops, CF'!J131*'Forage, input data per ha'!$D$78+'Forage crops, CF'!J191*'Forage, input data per ha'!$E$78</f>
        <v>2.7200741272884463E-7</v>
      </c>
      <c r="L8" s="372"/>
      <c r="M8" s="372">
        <f>'Forage crops, CF'!L131*'Forage, input data per ha'!$D$78+'Forage crops, CF'!L191*'Forage, input data per ha'!$E$78</f>
        <v>0</v>
      </c>
      <c r="N8" s="372">
        <f>'Forage crops, CF'!M131*'Forage, input data per ha'!$D$78+'Forage crops, CF'!M191*'Forage, input data per ha'!$E$78</f>
        <v>0</v>
      </c>
      <c r="O8" s="372"/>
      <c r="P8" s="372">
        <f>'Forage crops, CF'!O131*'Forage, input data per ha'!$D$78+'Forage crops, CF'!O191*'Forage, input data per ha'!$E$78</f>
        <v>6.8099999999999988E-5</v>
      </c>
      <c r="Q8" s="372"/>
      <c r="R8" s="351">
        <f>'Parameters, country spec'!B19</f>
        <v>0.30336999999999997</v>
      </c>
      <c r="S8" s="351">
        <f>'Parameters, country spec'!B37</f>
        <v>0.25495000000000001</v>
      </c>
    </row>
    <row r="9" spans="1:21" x14ac:dyDescent="0.2">
      <c r="A9" s="353" t="s">
        <v>466</v>
      </c>
      <c r="B9" s="18" t="s">
        <v>274</v>
      </c>
      <c r="C9" s="18" t="s">
        <v>467</v>
      </c>
      <c r="D9" s="349" t="s">
        <v>38</v>
      </c>
      <c r="E9" s="349" t="s">
        <v>39</v>
      </c>
      <c r="F9" s="371">
        <f t="shared" si="0"/>
        <v>1.0296151144552602E-3</v>
      </c>
      <c r="G9" s="242">
        <v>4.33346937593971E-5</v>
      </c>
      <c r="H9" s="378">
        <v>1.1000000000000001E-6</v>
      </c>
      <c r="I9" s="373">
        <v>8.93389004622238E-4</v>
      </c>
      <c r="J9" s="373">
        <v>8.9338900462223805E-5</v>
      </c>
      <c r="K9" s="373">
        <v>9.0167632840131403E-7</v>
      </c>
      <c r="L9" s="373">
        <v>0</v>
      </c>
      <c r="M9" s="373">
        <v>0</v>
      </c>
      <c r="N9" s="373">
        <v>1.5508392829999999E-6</v>
      </c>
      <c r="O9" s="373"/>
      <c r="P9" s="373"/>
      <c r="Q9" s="216"/>
      <c r="R9" s="351">
        <f>'Parameters, country spec'!B20</f>
        <v>0.12006</v>
      </c>
      <c r="S9" s="351">
        <f>'Parameters, country spec'!B38</f>
        <v>6.0999999999999999E-2</v>
      </c>
    </row>
    <row r="10" spans="1:21" x14ac:dyDescent="0.2">
      <c r="A10" s="353" t="s">
        <v>468</v>
      </c>
      <c r="B10" s="18" t="s">
        <v>276</v>
      </c>
      <c r="C10" s="18" t="s">
        <v>467</v>
      </c>
      <c r="D10" s="349" t="s">
        <v>38</v>
      </c>
      <c r="E10" s="349" t="s">
        <v>39</v>
      </c>
      <c r="F10" s="371">
        <f t="shared" si="0"/>
        <v>2.5431436051094136E-4</v>
      </c>
      <c r="G10" s="242">
        <v>8.5646037195945999E-6</v>
      </c>
      <c r="H10" s="378">
        <v>1.1000000000000001E-6</v>
      </c>
      <c r="I10" s="373">
        <v>2.204033085141384E-4</v>
      </c>
      <c r="J10" s="373">
        <v>2.20403308514138E-5</v>
      </c>
      <c r="K10" s="373">
        <v>6.5527814279456901E-7</v>
      </c>
      <c r="L10" s="373">
        <v>0</v>
      </c>
      <c r="M10" s="373">
        <v>0</v>
      </c>
      <c r="N10" s="373">
        <v>1.5508392829999999E-6</v>
      </c>
      <c r="O10" s="373"/>
      <c r="P10" s="373"/>
      <c r="Q10" s="216"/>
      <c r="R10" s="351">
        <f>'Parameters, country spec'!B21</f>
        <v>0</v>
      </c>
      <c r="S10" s="351">
        <f>'Parameters, country spec'!B39</f>
        <v>0</v>
      </c>
    </row>
    <row r="11" spans="1:21" x14ac:dyDescent="0.2">
      <c r="A11" s="353" t="s">
        <v>469</v>
      </c>
      <c r="B11" s="18" t="s">
        <v>278</v>
      </c>
      <c r="C11" s="18" t="s">
        <v>467</v>
      </c>
      <c r="D11" s="349" t="s">
        <v>38</v>
      </c>
      <c r="E11" s="349" t="s">
        <v>39</v>
      </c>
      <c r="F11" s="371">
        <f t="shared" si="0"/>
        <v>9.9111399236328991E-4</v>
      </c>
      <c r="G11" s="242">
        <v>4.2111741458943197E-5</v>
      </c>
      <c r="H11" s="378">
        <v>1.1000000000000001E-6</v>
      </c>
      <c r="I11" s="373">
        <v>8.5942041301056103E-4</v>
      </c>
      <c r="J11" s="373">
        <v>8.5942041301056201E-5</v>
      </c>
      <c r="K11" s="373">
        <v>9.8893602669268491E-7</v>
      </c>
      <c r="L11" s="373">
        <v>0</v>
      </c>
      <c r="M11" s="373">
        <v>2.1283036803976E-11</v>
      </c>
      <c r="N11" s="373">
        <v>1.5508392829999999E-6</v>
      </c>
      <c r="O11" s="373"/>
      <c r="P11" s="373"/>
      <c r="Q11" s="216"/>
      <c r="R11" s="351">
        <f>'Parameters, country spec'!B22</f>
        <v>0</v>
      </c>
      <c r="S11" s="351">
        <f>'Parameters, country spec'!B40</f>
        <v>0</v>
      </c>
    </row>
    <row r="12" spans="1:21" x14ac:dyDescent="0.2">
      <c r="A12" s="353" t="s">
        <v>470</v>
      </c>
      <c r="B12" s="18" t="s">
        <v>280</v>
      </c>
      <c r="C12" s="18" t="s">
        <v>467</v>
      </c>
      <c r="D12" s="349" t="s">
        <v>38</v>
      </c>
      <c r="E12" s="349" t="s">
        <v>39</v>
      </c>
      <c r="F12" s="371">
        <f t="shared" si="0"/>
        <v>8.5530074525416461E-4</v>
      </c>
      <c r="G12" s="242">
        <v>3.57173969818493E-5</v>
      </c>
      <c r="H12" s="378">
        <v>1.1000000000000001E-6</v>
      </c>
      <c r="I12" s="373">
        <v>7.4187413254425704E-4</v>
      </c>
      <c r="J12" s="373">
        <v>7.4187413254425702E-5</v>
      </c>
      <c r="K12" s="373">
        <v>8.6297031950513598E-7</v>
      </c>
      <c r="L12" s="373">
        <v>0</v>
      </c>
      <c r="M12" s="373">
        <v>7.9928711275969202E-9</v>
      </c>
      <c r="N12" s="373">
        <v>1.5508392829999999E-6</v>
      </c>
      <c r="O12" s="373"/>
      <c r="P12" s="373"/>
      <c r="Q12" s="216"/>
      <c r="R12" s="351">
        <f>'Parameters, country spec'!B23</f>
        <v>0</v>
      </c>
      <c r="S12" s="351">
        <f>'Parameters, country spec'!B41</f>
        <v>0</v>
      </c>
    </row>
    <row r="13" spans="1:21" x14ac:dyDescent="0.2">
      <c r="A13" s="353" t="s">
        <v>471</v>
      </c>
      <c r="B13" s="18" t="s">
        <v>281</v>
      </c>
      <c r="C13" s="18" t="s">
        <v>467</v>
      </c>
      <c r="D13" s="349" t="s">
        <v>38</v>
      </c>
      <c r="E13" s="349" t="s">
        <v>39</v>
      </c>
      <c r="F13" s="371">
        <f t="shared" si="0"/>
        <v>8.4382253304000313E-4</v>
      </c>
      <c r="G13" s="242">
        <v>3.5274842783133898E-5</v>
      </c>
      <c r="H13" s="378">
        <v>1.1000000000000001E-6</v>
      </c>
      <c r="I13" s="373">
        <v>7.3201437561888497E-4</v>
      </c>
      <c r="J13" s="373">
        <v>7.3201437561888502E-5</v>
      </c>
      <c r="K13" s="373">
        <v>6.7471987680582603E-7</v>
      </c>
      <c r="L13" s="373">
        <v>0</v>
      </c>
      <c r="M13" s="373">
        <v>6.3179162899379596E-9</v>
      </c>
      <c r="N13" s="373">
        <v>1.5508392829999999E-6</v>
      </c>
      <c r="O13" s="373"/>
      <c r="P13" s="373"/>
      <c r="Q13" s="216"/>
      <c r="R13" s="351">
        <f>'Parameters, country spec'!B24</f>
        <v>0</v>
      </c>
      <c r="S13" s="351">
        <f>'Parameters, country spec'!B42</f>
        <v>0</v>
      </c>
    </row>
    <row r="14" spans="1:21" x14ac:dyDescent="0.2">
      <c r="A14" s="353" t="s">
        <v>472</v>
      </c>
      <c r="B14" s="18" t="s">
        <v>282</v>
      </c>
      <c r="C14" s="18" t="s">
        <v>473</v>
      </c>
      <c r="D14" s="349" t="s">
        <v>38</v>
      </c>
      <c r="E14" s="349" t="s">
        <v>39</v>
      </c>
      <c r="F14" s="371">
        <f t="shared" si="0"/>
        <v>2.076250829896906E-4</v>
      </c>
      <c r="G14" s="242">
        <v>0</v>
      </c>
      <c r="H14" s="378">
        <v>1.1000000000000001E-6</v>
      </c>
      <c r="I14" s="373">
        <v>1.8457295999999999E-4</v>
      </c>
      <c r="J14" s="373">
        <v>1.8457295999999999E-5</v>
      </c>
      <c r="K14" s="373">
        <v>1.3311447783076901E-6</v>
      </c>
      <c r="L14" s="373">
        <v>0</v>
      </c>
      <c r="M14" s="373">
        <v>6.12842928382921E-7</v>
      </c>
      <c r="N14" s="373">
        <v>1.5508392829999999E-6</v>
      </c>
      <c r="O14" s="373"/>
      <c r="P14" s="373"/>
      <c r="Q14" s="216"/>
      <c r="R14" s="351">
        <f>'Parameters, country spec'!B25</f>
        <v>0</v>
      </c>
      <c r="S14" s="351">
        <f>'Parameters, country spec'!B43</f>
        <v>0</v>
      </c>
    </row>
    <row r="15" spans="1:21" x14ac:dyDescent="0.2">
      <c r="A15" s="353" t="s">
        <v>474</v>
      </c>
      <c r="B15" s="18" t="s">
        <v>283</v>
      </c>
      <c r="C15" s="18" t="s">
        <v>473</v>
      </c>
      <c r="D15" s="349" t="s">
        <v>38</v>
      </c>
      <c r="E15" s="349" t="s">
        <v>39</v>
      </c>
      <c r="F15" s="371">
        <f t="shared" si="0"/>
        <v>2.0426427793620482E-4</v>
      </c>
      <c r="G15" s="242">
        <v>0</v>
      </c>
      <c r="H15" s="378">
        <v>1.1000000000000001E-6</v>
      </c>
      <c r="I15" s="373">
        <v>1.8140179200000001E-4</v>
      </c>
      <c r="J15" s="373">
        <v>1.8140179199999999E-5</v>
      </c>
      <c r="K15" s="373">
        <v>1.23663462441682E-6</v>
      </c>
      <c r="L15" s="373">
        <v>0</v>
      </c>
      <c r="M15" s="373">
        <v>8.3483282878799698E-7</v>
      </c>
      <c r="N15" s="373">
        <v>1.5508392829999999E-6</v>
      </c>
      <c r="O15" s="373"/>
      <c r="P15" s="373"/>
      <c r="Q15" s="216"/>
      <c r="R15" s="351">
        <f>'Parameters, country spec'!B26</f>
        <v>0</v>
      </c>
      <c r="S15" s="351">
        <f>'Parameters, country spec'!B44</f>
        <v>0</v>
      </c>
    </row>
    <row r="16" spans="1:21" x14ac:dyDescent="0.2">
      <c r="B16" s="58" t="s">
        <v>284</v>
      </c>
      <c r="C16" s="18" t="s">
        <v>475</v>
      </c>
      <c r="D16" s="349" t="s">
        <v>38</v>
      </c>
      <c r="E16" s="349" t="s">
        <v>39</v>
      </c>
      <c r="F16" s="371">
        <f t="shared" si="0"/>
        <v>1.5426052012212821E-3</v>
      </c>
      <c r="G16" s="84">
        <f>'Off-farm feed'!$F$77</f>
        <v>3.5160526410462891E-4</v>
      </c>
      <c r="H16" s="84">
        <f>'Off-farm feed'!$G$77</f>
        <v>5.3103448275862083E-7</v>
      </c>
      <c r="I16" s="84">
        <f>'Off-farm feed'!$H$77</f>
        <v>1.0756102664162706E-3</v>
      </c>
      <c r="J16" s="84">
        <f>'Off-farm feed'!$I$77</f>
        <v>1.0756102664162704E-4</v>
      </c>
      <c r="K16" s="84">
        <f>'Off-farm feed'!$J$77</f>
        <v>6.6339607025480393E-7</v>
      </c>
      <c r="L16" s="84"/>
      <c r="M16" s="84">
        <f>'Off-farm feed'!$L$77</f>
        <v>7.9511067188965528E-9</v>
      </c>
      <c r="N16" s="84">
        <f>'Off-farm feed'!$M$77</f>
        <v>1.2789681892721842E-6</v>
      </c>
      <c r="O16" s="84"/>
      <c r="P16" s="84">
        <f>'Off-farm feed'!$O$77</f>
        <v>4.8776996151562936E-6</v>
      </c>
      <c r="Q16" s="84">
        <f>'Off-farm feed'!$P$77</f>
        <v>4.6959459459459463E-7</v>
      </c>
      <c r="R16" s="351">
        <f>'Parameters, country spec'!B27</f>
        <v>0.14187</v>
      </c>
      <c r="S16" s="351">
        <f>'Parameters, country spec'!B45</f>
        <v>4.3799999999999999E-2</v>
      </c>
    </row>
    <row r="17" spans="1:20" x14ac:dyDescent="0.2">
      <c r="B17" s="58" t="s">
        <v>476</v>
      </c>
      <c r="C17" s="18" t="s">
        <v>475</v>
      </c>
      <c r="D17" s="349" t="s">
        <v>38</v>
      </c>
      <c r="E17" s="349" t="s">
        <v>39</v>
      </c>
      <c r="F17" s="371">
        <f t="shared" si="0"/>
        <v>1.8866346644602484E-4</v>
      </c>
      <c r="G17" s="84">
        <f>'Off-farm feed'!$F$26</f>
        <v>1.6332109719061435E-5</v>
      </c>
      <c r="H17" s="84">
        <f>'Off-farm feed'!$G$26</f>
        <v>8.7195121951219526E-7</v>
      </c>
      <c r="I17" s="84">
        <f>'Off-farm feed'!$H$26</f>
        <v>1.3333449845358183E-4</v>
      </c>
      <c r="J17" s="84">
        <f>'Off-farm feed'!$I$26</f>
        <v>1.3333449845358186E-5</v>
      </c>
      <c r="K17" s="84">
        <f>'Off-farm feed'!$J$26</f>
        <v>1.1576736579983962E-6</v>
      </c>
      <c r="L17" s="84"/>
      <c r="M17" s="84">
        <f>'Off-farm feed'!$L$26</f>
        <v>7.3437786087804875E-9</v>
      </c>
      <c r="N17" s="84">
        <f>'Off-farm feed'!$M$26</f>
        <v>1.1195281639512195E-6</v>
      </c>
      <c r="O17" s="84"/>
      <c r="P17" s="84">
        <f>'Off-farm feed'!$O$26</f>
        <v>1.3419073770114999E-5</v>
      </c>
      <c r="Q17" s="84">
        <f>'Off-farm feed'!$P$26</f>
        <v>9.087837837837838E-6</v>
      </c>
      <c r="R17" s="351">
        <f>'Parameters, country spec'!B28</f>
        <v>5.1540000000000002E-2</v>
      </c>
      <c r="S17" s="351">
        <f>'Parameters, country spec'!B46</f>
        <v>0</v>
      </c>
    </row>
    <row r="18" spans="1:20" x14ac:dyDescent="0.2">
      <c r="B18" s="18" t="s">
        <v>286</v>
      </c>
      <c r="C18" s="18" t="s">
        <v>477</v>
      </c>
      <c r="D18" s="349" t="s">
        <v>38</v>
      </c>
      <c r="E18" s="349" t="s">
        <v>39</v>
      </c>
      <c r="F18" s="374">
        <f t="shared" si="0"/>
        <v>1.0014261967494022E-4</v>
      </c>
      <c r="G18" s="373">
        <v>3.1747358504820499E-6</v>
      </c>
      <c r="H18" s="373">
        <v>9.9E-8</v>
      </c>
      <c r="I18" s="373">
        <v>6.5881293805699606E-5</v>
      </c>
      <c r="J18">
        <v>6.5881293805699599E-6</v>
      </c>
      <c r="K18" s="373">
        <v>6.0724788912524299E-8</v>
      </c>
      <c r="L18">
        <v>0</v>
      </c>
      <c r="M18">
        <v>5.6861246609441598E-10</v>
      </c>
      <c r="N18" s="216">
        <v>1.3957553547000001E-7</v>
      </c>
      <c r="O18" s="216"/>
      <c r="P18" s="373">
        <v>2.3492890101997999E-5</v>
      </c>
      <c r="Q18" s="373">
        <v>7.0570159934197997E-7</v>
      </c>
      <c r="R18" s="351">
        <f>'Parameters, country spec'!B29</f>
        <v>0</v>
      </c>
      <c r="S18" s="351">
        <f>'Parameters, country spec'!B47</f>
        <v>0</v>
      </c>
      <c r="T18" t="s">
        <v>373</v>
      </c>
    </row>
    <row r="19" spans="1:20" x14ac:dyDescent="0.2">
      <c r="A19" s="354"/>
      <c r="B19" s="18" t="s">
        <v>478</v>
      </c>
      <c r="C19" s="355" t="s">
        <v>479</v>
      </c>
      <c r="D19" s="349" t="s">
        <v>38</v>
      </c>
      <c r="E19" s="349" t="s">
        <v>39</v>
      </c>
      <c r="F19" s="371">
        <f t="shared" si="0"/>
        <v>3.5218870559938987E-4</v>
      </c>
      <c r="G19" s="375">
        <f t="shared" ref="G19:Q19" si="1">SUMPRODUCT(G9:G17,$R9:$R17)</f>
        <v>5.5926759086197341E-5</v>
      </c>
      <c r="H19" s="375">
        <f t="shared" si="1"/>
        <v>2.523442279226241E-7</v>
      </c>
      <c r="I19" s="375">
        <f t="shared" si="1"/>
        <v>2.6672917244171981E-4</v>
      </c>
      <c r="J19" s="375">
        <f t="shared" si="1"/>
        <v>2.6672917244171979E-5</v>
      </c>
      <c r="K19" s="375">
        <f t="shared" si="1"/>
        <v>2.6203776080814811E-7</v>
      </c>
      <c r="L19" s="375">
        <f t="shared" si="1"/>
        <v>0</v>
      </c>
      <c r="M19" s="375">
        <f t="shared" si="1"/>
        <v>1.5065218597064004E-9</v>
      </c>
      <c r="N19" s="375">
        <f t="shared" si="1"/>
        <v>4.2534146289907061E-7</v>
      </c>
      <c r="O19" s="375">
        <f t="shared" si="1"/>
        <v>0</v>
      </c>
      <c r="P19" s="375">
        <f t="shared" si="1"/>
        <v>1.3836183065139505E-6</v>
      </c>
      <c r="Q19" s="375">
        <f t="shared" si="1"/>
        <v>5.3500854729729728E-7</v>
      </c>
      <c r="R19" s="351">
        <f>'Parameters, country spec'!B30</f>
        <v>7.2330000000000005E-2</v>
      </c>
      <c r="S19" s="351">
        <f>'Parameters, country spec'!B48</f>
        <v>3.8059999999999997E-2</v>
      </c>
    </row>
    <row r="20" spans="1:20" x14ac:dyDescent="0.2">
      <c r="A20" s="357"/>
      <c r="B20" s="358" t="s">
        <v>480</v>
      </c>
      <c r="C20" s="359"/>
      <c r="D20" s="360"/>
      <c r="E20" s="360"/>
      <c r="F20" s="376">
        <f>SUMPRODUCT(F6:F8,R6:R8)+SUMPRODUCT(F9:F19,R9:R19)/0.87</f>
        <v>5.3961698317727335E-4</v>
      </c>
      <c r="G20" s="376">
        <f>SUMPRODUCT(G6:G8,R6:R8)+SUMPRODUCT(G9:G19,R9:R19)/0.87</f>
        <v>7.1227742365557699E-5</v>
      </c>
      <c r="H20" s="376">
        <f>SUMPRODUCT(H6:H8,R6:R8)+SUMPRODUCT(H9:H19,R9:R19)/0.87</f>
        <v>9.8665021371065232E-7</v>
      </c>
      <c r="I20" s="376">
        <f>SUMPRODUCT(I6:I8,R6:R8)+SUMPRODUCT(I9:I19,R9:R19)/0.87</f>
        <v>3.83770295092381E-4</v>
      </c>
      <c r="J20" s="376">
        <f>SUMPRODUCT(J6:J8,R6:R8)+SUMPRODUCT(J9:J19,R9:R19)/0.87</f>
        <v>3.8377029509238093E-5</v>
      </c>
      <c r="K20" s="376">
        <f>SUMPRODUCT(K6:K8,R6:R8)+SUMPRODUCT(K9:K19,R9:R19)/0.87</f>
        <v>5.372999807033866E-7</v>
      </c>
      <c r="L20" s="376">
        <f>SUMPRODUCT(L6:L8,R6:R8)+SUMPRODUCT(L9:L19,R9:R19)/0.87</f>
        <v>0</v>
      </c>
      <c r="M20" s="376">
        <f>SUMPRODUCT(M6:M8,R6:R8)+SUMPRODUCT(M9:M19,R9:R19)/0.87</f>
        <v>1.8568834319758213E-9</v>
      </c>
      <c r="N20" s="376">
        <f>SUMPRODUCT(N6:N8,R6:R8)+SUMPRODUCT(N9:N19,R9:R19)/0.87</f>
        <v>5.2426024242593146E-7</v>
      </c>
      <c r="O20" s="376">
        <f>SUMPRODUCT(O6:O8,R6:R8)+SUMPRODUCT(O9:O19,R9:R19)/0.87</f>
        <v>0</v>
      </c>
      <c r="P20" s="376">
        <f>SUMPRODUCT(P6:P8,R6:R8)+SUMPRODUCT(P9:P19,R9:R19)/0.87</f>
        <v>4.3532417032901263E-5</v>
      </c>
      <c r="Q20" s="376">
        <f>SUMPRODUCT(Q6:Q8,R6:R8)+SUMPRODUCT(Q9:Q19,R9:R19)/0.87</f>
        <v>6.5943185692334578E-7</v>
      </c>
      <c r="R20" s="362"/>
      <c r="S20" s="362"/>
    </row>
    <row r="21" spans="1:20" x14ac:dyDescent="0.2">
      <c r="A21" s="363"/>
      <c r="B21" s="364" t="s">
        <v>481</v>
      </c>
      <c r="C21" s="365"/>
      <c r="D21" s="366"/>
      <c r="E21" s="366"/>
      <c r="F21" s="377">
        <f>SUMPRODUCT(F6:F8,S6:S8)+SUMPRODUCT(F9:F19,S9:S19)/0.87</f>
        <v>2.9136978946817061E-4</v>
      </c>
      <c r="G21" s="377">
        <f>SUMPRODUCT(G6:G8,S6:S8)+SUMPRODUCT(G9:G19,S9:S19)/0.87</f>
        <v>2.6260150358154912E-5</v>
      </c>
      <c r="H21" s="377">
        <f>SUMPRODUCT(H6:H8,S6:S8)+SUMPRODUCT(H9:H19,S9:S19)/0.87</f>
        <v>1.0577546111029457E-6</v>
      </c>
      <c r="I21" s="377">
        <f>SUMPRODUCT(I6:I8,S6:S8)+SUMPRODUCT(I9:I19,S9:S19)/0.87</f>
        <v>2.0443562714944922E-4</v>
      </c>
      <c r="J21" s="377">
        <f>SUMPRODUCT(J6:J8,S6:S8)+SUMPRODUCT(J9:J19,S9:S19)/0.87</f>
        <v>2.044356271494492E-5</v>
      </c>
      <c r="K21" s="377">
        <f>SUMPRODUCT(K6:K8,S6:S8)+SUMPRODUCT(K9:K19,S9:S19)/0.87</f>
        <v>3.878395078858914E-7</v>
      </c>
      <c r="L21" s="377">
        <f>SUMPRODUCT(L6:L8,S6:S8)+SUMPRODUCT(L9:L19,S9:S19)/0.87</f>
        <v>0</v>
      </c>
      <c r="M21" s="377">
        <f>SUMPRODUCT(M6:M8,S6:S8)+SUMPRODUCT(M9:M19,S9:S19)/0.87</f>
        <v>4.6620309915872946E-10</v>
      </c>
      <c r="N21" s="377">
        <f>SUMPRODUCT(N6:N8,S6:S8)+SUMPRODUCT(N9:N19,S9:S19)/0.87</f>
        <v>1.9173390693225321E-7</v>
      </c>
      <c r="O21" s="377">
        <f>SUMPRODUCT(O6:O8,S6:S8)+SUMPRODUCT(O9:O19,S9:S19)/0.87</f>
        <v>0</v>
      </c>
      <c r="P21" s="377">
        <f>SUMPRODUCT(P6:P8,S6:S8)+SUMPRODUCT(P9:P19,S9:S19)/0.87</f>
        <v>3.854560827113766E-5</v>
      </c>
      <c r="Q21" s="377">
        <f>SUMPRODUCT(Q6:Q8,S6:S8)+SUMPRODUCT(Q9:Q19,S9:S19)/0.87</f>
        <v>4.7046745463653308E-8</v>
      </c>
      <c r="R21" s="368"/>
      <c r="S21" s="368"/>
    </row>
    <row r="22" spans="1:20" x14ac:dyDescent="0.2">
      <c r="B22" s="58" t="s">
        <v>264</v>
      </c>
      <c r="C22" s="18" t="s">
        <v>463</v>
      </c>
      <c r="D22" s="349" t="s">
        <v>45</v>
      </c>
      <c r="E22" s="349" t="s">
        <v>46</v>
      </c>
      <c r="F22" s="371">
        <f t="shared" ref="F22:F35" si="2">SUM(G22:Q22)</f>
        <v>1.7013512996066644E-4</v>
      </c>
      <c r="G22" s="372">
        <f>'Forage crops, CF'!F16</f>
        <v>4.5136443005659777E-6</v>
      </c>
      <c r="H22" s="372">
        <f>'Forage crops, CF'!G16</f>
        <v>1.1000000000000001E-6</v>
      </c>
      <c r="I22" s="372">
        <f>'Forage crops, CF'!H16</f>
        <v>1.4924486908284617E-4</v>
      </c>
      <c r="J22" s="372">
        <f>'Forage crops, CF'!I16</f>
        <v>1.4924486908284618E-5</v>
      </c>
      <c r="K22" s="372">
        <f>'Forage crops, CF'!J16</f>
        <v>3.5212966896967091E-7</v>
      </c>
      <c r="L22" s="372">
        <f>'Forage crops, CF'!K16</f>
        <v>0</v>
      </c>
      <c r="M22" s="372">
        <f>'Forage crops, CF'!L16</f>
        <v>0</v>
      </c>
      <c r="N22" s="372">
        <f>'Forage crops, CF'!M16</f>
        <v>0</v>
      </c>
      <c r="O22" s="372">
        <f>'Forage crops, CF'!N16</f>
        <v>0</v>
      </c>
      <c r="P22" s="372">
        <f>'Forage crops, CF'!O16</f>
        <v>0</v>
      </c>
      <c r="Q22" s="372">
        <f>'Forage crops, CF'!P16</f>
        <v>0</v>
      </c>
      <c r="R22" s="351">
        <f>'Parameters, country spec'!C17</f>
        <v>0.13769293067827201</v>
      </c>
      <c r="S22" s="351">
        <f>'Parameters, country spec'!C35</f>
        <v>0.18889688285610401</v>
      </c>
    </row>
    <row r="23" spans="1:20" x14ac:dyDescent="0.2">
      <c r="B23" s="58" t="s">
        <v>268</v>
      </c>
      <c r="C23" s="18" t="s">
        <v>463</v>
      </c>
      <c r="D23" s="349" t="s">
        <v>45</v>
      </c>
      <c r="E23" s="349" t="s">
        <v>46</v>
      </c>
      <c r="F23" s="371">
        <f t="shared" si="2"/>
        <v>2.2731837049724026E-4</v>
      </c>
      <c r="G23" s="372">
        <f>'Forage crops, CF'!F76</f>
        <v>4.5779825316617812E-6</v>
      </c>
      <c r="H23" s="372">
        <f>'Forage crops, CF'!G76</f>
        <v>1.1000000000000001E-6</v>
      </c>
      <c r="I23" s="372">
        <f>'Forage crops, CF'!H76</f>
        <v>1.3916035917453372E-4</v>
      </c>
      <c r="J23" s="372">
        <f>'Forage crops, CF'!I76</f>
        <v>1.3916035917453372E-5</v>
      </c>
      <c r="K23" s="372">
        <f>'Forage crops, CF'!J76</f>
        <v>4.416804944875769E-7</v>
      </c>
      <c r="L23" s="372"/>
      <c r="M23" s="372">
        <f>'Forage crops, CF'!L76</f>
        <v>2.2312379103795404E-8</v>
      </c>
      <c r="N23" s="372">
        <f>'Forage crops, CF'!M76</f>
        <v>0</v>
      </c>
      <c r="O23" s="372"/>
      <c r="P23" s="372">
        <f>'Forage crops, CF'!O76</f>
        <v>6.8099999999999988E-5</v>
      </c>
      <c r="Q23" s="372"/>
      <c r="R23" s="351">
        <f>'Parameters, country spec'!C18</f>
        <v>0.26328982040576598</v>
      </c>
      <c r="S23" s="351">
        <f>'Parameters, country spec'!C36</f>
        <v>0.36965765773619202</v>
      </c>
    </row>
    <row r="24" spans="1:20" x14ac:dyDescent="0.2">
      <c r="B24" s="58" t="s">
        <v>465</v>
      </c>
      <c r="C24" s="18" t="s">
        <v>463</v>
      </c>
      <c r="D24" s="349" t="s">
        <v>45</v>
      </c>
      <c r="E24" s="349" t="s">
        <v>46</v>
      </c>
      <c r="F24" s="371">
        <f t="shared" si="2"/>
        <v>2.2537656267075776E-4</v>
      </c>
      <c r="G24" s="372">
        <f>'Forage crops, CF'!F136*'Forage, input data per ha'!$D$79+'Forage crops, CF'!F196*'Forage, input data per ha'!$E$79</f>
        <v>4.0899747721620723E-6</v>
      </c>
      <c r="H24" s="372">
        <f>'Forage crops, CF'!G136*'Forage, input data per ha'!$D$79+'Forage crops, CF'!G196*'Forage, input data per ha'!$E$79</f>
        <v>1.1000000000000003E-6</v>
      </c>
      <c r="I24" s="372">
        <f>'Forage crops, CF'!H136*'Forage, input data per ha'!$D$79+'Forage crops, CF'!H196*'Forage, input data per ha'!$E$79</f>
        <v>1.3794105129811808E-4</v>
      </c>
      <c r="J24" s="372">
        <f>'Forage crops, CF'!I136*'Forage, input data per ha'!$D$79+'Forage crops, CF'!I196*'Forage, input data per ha'!$E$79</f>
        <v>1.3794105129811808E-5</v>
      </c>
      <c r="K24" s="372">
        <f>'Forage crops, CF'!J136*'Forage, input data per ha'!$D$79+'Forage crops, CF'!J196*'Forage, input data per ha'!$E$79</f>
        <v>3.5143147066577145E-7</v>
      </c>
      <c r="L24" s="372"/>
      <c r="M24" s="372">
        <f>'Forage crops, CF'!L136*'Forage, input data per ha'!$D$79+'Forage crops, CF'!L196*'Forage, input data per ha'!$E$79</f>
        <v>0</v>
      </c>
      <c r="N24" s="372">
        <f>'Forage crops, CF'!M136*'Forage, input data per ha'!$D$79+'Forage crops, CF'!M196*'Forage, input data per ha'!$E$79</f>
        <v>0</v>
      </c>
      <c r="O24" s="372"/>
      <c r="P24" s="372">
        <f>'Forage crops, CF'!O136*'Forage, input data per ha'!$D$79+'Forage crops, CF'!O196*'Forage, input data per ha'!$E$79</f>
        <v>6.8099999999999988E-5</v>
      </c>
      <c r="Q24" s="372"/>
      <c r="R24" s="351">
        <f>'Parameters, country spec'!C19</f>
        <v>0.218490339842211</v>
      </c>
      <c r="S24" s="351">
        <f>'Parameters, country spec'!C37</f>
        <v>0.23243726980023599</v>
      </c>
    </row>
    <row r="25" spans="1:20" x14ac:dyDescent="0.2">
      <c r="A25" s="353" t="s">
        <v>466</v>
      </c>
      <c r="B25" s="18" t="s">
        <v>274</v>
      </c>
      <c r="C25" s="18" t="s">
        <v>467</v>
      </c>
      <c r="D25" s="349" t="s">
        <v>45</v>
      </c>
      <c r="E25" s="349" t="s">
        <v>46</v>
      </c>
      <c r="F25" s="371">
        <f t="shared" si="2"/>
        <v>5.8530781673607967E-4</v>
      </c>
      <c r="G25" s="242">
        <v>1.48476732581079E-5</v>
      </c>
      <c r="H25" s="378">
        <v>1.1000000000000001E-6</v>
      </c>
      <c r="I25" s="373">
        <v>5.1560061766249207E-4</v>
      </c>
      <c r="J25" s="373">
        <v>5.15600617662492E-5</v>
      </c>
      <c r="K25" s="373">
        <v>8.6660096144175996E-7</v>
      </c>
      <c r="L25" s="373">
        <v>0</v>
      </c>
      <c r="M25" s="373">
        <v>9.2063687575479994E-12</v>
      </c>
      <c r="N25" s="373">
        <v>1.3328538814200001E-6</v>
      </c>
      <c r="O25" s="373"/>
      <c r="P25" s="373"/>
      <c r="Q25" s="216"/>
      <c r="R25" s="351">
        <f>'Parameters, country spec'!C20</f>
        <v>3.3308654791871999E-2</v>
      </c>
      <c r="S25" s="351">
        <f>'Parameters, country spec'!C38</f>
        <v>9.8050025013408596E-3</v>
      </c>
    </row>
    <row r="26" spans="1:20" x14ac:dyDescent="0.2">
      <c r="A26" s="353" t="s">
        <v>468</v>
      </c>
      <c r="B26" s="18" t="s">
        <v>276</v>
      </c>
      <c r="C26" s="18" t="s">
        <v>467</v>
      </c>
      <c r="D26" s="349" t="s">
        <v>45</v>
      </c>
      <c r="E26" s="349" t="s">
        <v>46</v>
      </c>
      <c r="F26" s="371">
        <f t="shared" si="2"/>
        <v>5.0348761541131604E-4</v>
      </c>
      <c r="G26" s="242">
        <v>1.40447733404797E-5</v>
      </c>
      <c r="H26" s="378">
        <v>1.1000000000000001E-6</v>
      </c>
      <c r="I26" s="373">
        <v>4.4216887877114938E-4</v>
      </c>
      <c r="J26" s="373">
        <v>4.4216887877115002E-5</v>
      </c>
      <c r="K26" s="373">
        <v>4.8647220484656601E-7</v>
      </c>
      <c r="L26" s="373">
        <v>0</v>
      </c>
      <c r="M26" s="373">
        <v>1.3774933630536099E-7</v>
      </c>
      <c r="N26" s="373">
        <v>1.3328538814200001E-6</v>
      </c>
      <c r="O26" s="373"/>
      <c r="P26" s="373"/>
      <c r="Q26" s="216"/>
      <c r="R26" s="351">
        <f>'Parameters, country spec'!C21</f>
        <v>5.4784880420094197E-2</v>
      </c>
      <c r="S26" s="351">
        <f>'Parameters, country spec'!C39</f>
        <v>1.6126916347682999E-2</v>
      </c>
    </row>
    <row r="27" spans="1:20" x14ac:dyDescent="0.2">
      <c r="A27" s="353" t="s">
        <v>469</v>
      </c>
      <c r="B27" s="18" t="s">
        <v>278</v>
      </c>
      <c r="C27" s="18" t="s">
        <v>467</v>
      </c>
      <c r="D27" s="349" t="s">
        <v>45</v>
      </c>
      <c r="E27" s="349" t="s">
        <v>46</v>
      </c>
      <c r="F27" s="371">
        <f t="shared" si="2"/>
        <v>6.1761163745160182E-4</v>
      </c>
      <c r="G27" s="242">
        <v>1.6338842591140199E-5</v>
      </c>
      <c r="H27" s="378">
        <v>1.1000000000000001E-6</v>
      </c>
      <c r="I27" s="373">
        <v>5.43258830766379E-4</v>
      </c>
      <c r="J27" s="373">
        <v>5.4325883076637902E-5</v>
      </c>
      <c r="K27" s="373">
        <v>1.2030725795815901E-6</v>
      </c>
      <c r="L27" s="373">
        <v>0</v>
      </c>
      <c r="M27" s="373">
        <v>5.2154556442986999E-8</v>
      </c>
      <c r="N27" s="373">
        <v>1.3328538814200001E-6</v>
      </c>
      <c r="O27" s="373"/>
      <c r="P27" s="373"/>
      <c r="Q27" s="216"/>
      <c r="R27" s="351">
        <f>'Parameters, country spec'!C22</f>
        <v>3.7744392996760601E-3</v>
      </c>
      <c r="S27" s="351">
        <f>'Parameters, country spec'!C40</f>
        <v>1.1110741938309401E-3</v>
      </c>
    </row>
    <row r="28" spans="1:20" x14ac:dyDescent="0.2">
      <c r="A28" s="353" t="s">
        <v>470</v>
      </c>
      <c r="B28" s="18" t="s">
        <v>280</v>
      </c>
      <c r="C28" s="18" t="s">
        <v>467</v>
      </c>
      <c r="D28" s="349" t="s">
        <v>45</v>
      </c>
      <c r="E28" s="349" t="s">
        <v>46</v>
      </c>
      <c r="F28" s="371">
        <f t="shared" si="2"/>
        <v>7.8191616855976414E-4</v>
      </c>
      <c r="G28" s="242">
        <v>2.1873707810918101E-5</v>
      </c>
      <c r="H28" s="378">
        <v>1.1000000000000001E-6</v>
      </c>
      <c r="I28" s="373">
        <v>6.8758656983667894E-4</v>
      </c>
      <c r="J28" s="373">
        <v>6.8758656983667997E-5</v>
      </c>
      <c r="K28" s="373">
        <v>1.2631936945080999E-6</v>
      </c>
      <c r="L28" s="373">
        <v>0</v>
      </c>
      <c r="M28" s="373">
        <v>1.1863525710000401E-9</v>
      </c>
      <c r="N28" s="373">
        <v>1.3328538814200001E-6</v>
      </c>
      <c r="O28" s="373"/>
      <c r="P28" s="373"/>
      <c r="Q28" s="216"/>
      <c r="R28" s="351">
        <f>'Parameters, country spec'!C23</f>
        <v>5.7964160617321101E-4</v>
      </c>
      <c r="S28" s="351">
        <f>'Parameters, country spec'!C41</f>
        <v>1.7062794715375299E-4</v>
      </c>
    </row>
    <row r="29" spans="1:20" x14ac:dyDescent="0.2">
      <c r="A29" s="353" t="s">
        <v>471</v>
      </c>
      <c r="B29" s="18" t="s">
        <v>281</v>
      </c>
      <c r="C29" s="18" t="s">
        <v>467</v>
      </c>
      <c r="D29" s="349" t="s">
        <v>45</v>
      </c>
      <c r="E29" s="349" t="s">
        <v>46</v>
      </c>
      <c r="F29" s="371">
        <f t="shared" si="2"/>
        <v>7.6314701218592603E-4</v>
      </c>
      <c r="G29" s="242">
        <v>2.1342573427641399E-5</v>
      </c>
      <c r="H29" s="378">
        <v>1.1000000000000001E-6</v>
      </c>
      <c r="I29" s="373">
        <v>6.7145954331109003E-4</v>
      </c>
      <c r="J29" s="373">
        <v>6.7145954331108897E-5</v>
      </c>
      <c r="K29" s="373">
        <v>7.6532160176210403E-7</v>
      </c>
      <c r="L29" s="373">
        <v>0</v>
      </c>
      <c r="M29" s="373">
        <v>7.6563290357226795E-10</v>
      </c>
      <c r="N29" s="373">
        <v>1.3328538814200001E-6</v>
      </c>
      <c r="O29" s="373"/>
      <c r="P29" s="373"/>
      <c r="Q29" s="216"/>
      <c r="R29" s="351">
        <f>'Parameters, country spec'!C24</f>
        <v>8.1146523169746507E-2</v>
      </c>
      <c r="S29" s="351">
        <f>'Parameters, country spec'!C42</f>
        <v>2.38869407173746E-2</v>
      </c>
    </row>
    <row r="30" spans="1:20" x14ac:dyDescent="0.2">
      <c r="A30" s="353" t="s">
        <v>472</v>
      </c>
      <c r="B30" s="18" t="s">
        <v>282</v>
      </c>
      <c r="C30" s="18" t="s">
        <v>473</v>
      </c>
      <c r="D30" s="349" t="s">
        <v>45</v>
      </c>
      <c r="E30" s="349" t="s">
        <v>46</v>
      </c>
      <c r="F30" s="371">
        <f t="shared" si="2"/>
        <v>2.0727300008761834E-4</v>
      </c>
      <c r="G30" s="242">
        <v>0</v>
      </c>
      <c r="H30" s="378">
        <v>1.1000000000000001E-6</v>
      </c>
      <c r="I30" s="373">
        <v>1.8457295999999999E-4</v>
      </c>
      <c r="J30" s="373">
        <v>1.8457295999999999E-5</v>
      </c>
      <c r="K30" s="373">
        <v>1.6098807704065999E-6</v>
      </c>
      <c r="L30" s="373">
        <v>0</v>
      </c>
      <c r="M30" s="373">
        <v>2.0000943579174501E-7</v>
      </c>
      <c r="N30" s="373">
        <v>1.3328538814200001E-6</v>
      </c>
      <c r="O30" s="373"/>
      <c r="P30" s="373"/>
      <c r="Q30" s="216"/>
      <c r="R30" s="351">
        <f>'Parameters, country spec'!C25</f>
        <v>0</v>
      </c>
      <c r="S30" s="351">
        <f>'Parameters, country spec'!C43</f>
        <v>0</v>
      </c>
    </row>
    <row r="31" spans="1:20" x14ac:dyDescent="0.2">
      <c r="A31" s="353" t="s">
        <v>474</v>
      </c>
      <c r="B31" s="18" t="s">
        <v>283</v>
      </c>
      <c r="C31" s="18" t="s">
        <v>473</v>
      </c>
      <c r="D31" s="349" t="s">
        <v>45</v>
      </c>
      <c r="E31" s="349" t="s">
        <v>46</v>
      </c>
      <c r="F31" s="371">
        <f t="shared" si="2"/>
        <v>2.2801308417325327E-4</v>
      </c>
      <c r="G31" s="242">
        <v>7.8537174919050199E-7</v>
      </c>
      <c r="H31" s="378">
        <v>1.1000000000000001E-6</v>
      </c>
      <c r="I31" s="373">
        <v>2.0235609376337589E-4</v>
      </c>
      <c r="J31" s="373">
        <v>2.02356093763376E-5</v>
      </c>
      <c r="K31" s="373">
        <v>1.97490103259465E-6</v>
      </c>
      <c r="L31" s="373">
        <v>0</v>
      </c>
      <c r="M31" s="373">
        <v>2.2825437033464201E-7</v>
      </c>
      <c r="N31" s="373">
        <v>1.3328538814200001E-6</v>
      </c>
      <c r="O31" s="373"/>
      <c r="P31" s="373"/>
      <c r="Q31" s="216"/>
      <c r="R31" s="351">
        <f>'Parameters, country spec'!C26</f>
        <v>0</v>
      </c>
      <c r="S31" s="351">
        <f>'Parameters, country spec'!C44</f>
        <v>0</v>
      </c>
    </row>
    <row r="32" spans="1:20" x14ac:dyDescent="0.2">
      <c r="B32" s="58" t="s">
        <v>284</v>
      </c>
      <c r="C32" s="18" t="s">
        <v>475</v>
      </c>
      <c r="D32" s="349" t="s">
        <v>45</v>
      </c>
      <c r="E32" s="349" t="s">
        <v>46</v>
      </c>
      <c r="F32" s="371">
        <f t="shared" si="2"/>
        <v>1.5426052012212821E-3</v>
      </c>
      <c r="G32" s="84">
        <f>'Off-farm feed'!$F$77</f>
        <v>3.5160526410462891E-4</v>
      </c>
      <c r="H32" s="84">
        <f>'Off-farm feed'!$G$77</f>
        <v>5.3103448275862083E-7</v>
      </c>
      <c r="I32" s="84">
        <f>'Off-farm feed'!$H$77</f>
        <v>1.0756102664162706E-3</v>
      </c>
      <c r="J32" s="84">
        <f>'Off-farm feed'!$I$77</f>
        <v>1.0756102664162704E-4</v>
      </c>
      <c r="K32" s="84">
        <f>'Off-farm feed'!$J$77</f>
        <v>6.6339607025480393E-7</v>
      </c>
      <c r="L32" s="84"/>
      <c r="M32" s="84">
        <f>'Off-farm feed'!$L$77</f>
        <v>7.9511067188965528E-9</v>
      </c>
      <c r="N32" s="84">
        <f>'Off-farm feed'!$M$77</f>
        <v>1.2789681892721842E-6</v>
      </c>
      <c r="O32" s="84"/>
      <c r="P32" s="84">
        <f>'Off-farm feed'!$O$77</f>
        <v>4.8776996151562936E-6</v>
      </c>
      <c r="Q32" s="84">
        <f>'Off-farm feed'!$P$77</f>
        <v>4.6959459459459463E-7</v>
      </c>
      <c r="R32" s="351">
        <f>'Parameters, country spec'!C27</f>
        <v>4.6898421015534798E-2</v>
      </c>
      <c r="S32" s="351">
        <f>'Parameters, country spec'!C45</f>
        <v>3.0917251771110502E-2</v>
      </c>
    </row>
    <row r="33" spans="1:19" x14ac:dyDescent="0.2">
      <c r="B33" s="58" t="s">
        <v>476</v>
      </c>
      <c r="C33" s="18" t="s">
        <v>475</v>
      </c>
      <c r="D33" s="349" t="s">
        <v>45</v>
      </c>
      <c r="E33" s="349" t="s">
        <v>46</v>
      </c>
      <c r="F33" s="371">
        <f t="shared" si="2"/>
        <v>1.8866346644602484E-4</v>
      </c>
      <c r="G33" s="84">
        <f>'Off-farm feed'!$F$26</f>
        <v>1.6332109719061435E-5</v>
      </c>
      <c r="H33" s="84">
        <f>'Off-farm feed'!$G$26</f>
        <v>8.7195121951219526E-7</v>
      </c>
      <c r="I33" s="84">
        <f>'Off-farm feed'!$H$26</f>
        <v>1.3333449845358183E-4</v>
      </c>
      <c r="J33" s="84">
        <f>'Off-farm feed'!$I$26</f>
        <v>1.3333449845358186E-5</v>
      </c>
      <c r="K33" s="84">
        <f>'Off-farm feed'!$J$26</f>
        <v>1.1576736579983962E-6</v>
      </c>
      <c r="L33" s="84"/>
      <c r="M33" s="84">
        <f>'Off-farm feed'!$L$26</f>
        <v>7.3437786087804875E-9</v>
      </c>
      <c r="N33" s="84">
        <f>'Off-farm feed'!$M$26</f>
        <v>1.1195281639512195E-6</v>
      </c>
      <c r="O33" s="84"/>
      <c r="P33" s="84">
        <f>'Off-farm feed'!$O$26</f>
        <v>1.3419073770114999E-5</v>
      </c>
      <c r="Q33" s="84">
        <f>'Off-farm feed'!$P$26</f>
        <v>9.087837837837838E-6</v>
      </c>
      <c r="R33" s="351">
        <f>'Parameters, country spec'!C28</f>
        <v>4.2253535396943397E-2</v>
      </c>
      <c r="S33" s="351">
        <f>'Parameters, country spec'!C46</f>
        <v>2.7855163642864798E-2</v>
      </c>
    </row>
    <row r="34" spans="1:19" x14ac:dyDescent="0.2">
      <c r="B34" s="18" t="s">
        <v>286</v>
      </c>
      <c r="C34" s="18" t="s">
        <v>477</v>
      </c>
      <c r="D34" s="349" t="s">
        <v>45</v>
      </c>
      <c r="E34" s="349" t="s">
        <v>46</v>
      </c>
      <c r="F34" s="374">
        <f t="shared" si="2"/>
        <v>7.8334807450651994E-5</v>
      </c>
      <c r="G34" s="373">
        <v>1.9208316084877298E-6</v>
      </c>
      <c r="H34" s="373">
        <v>9.9E-8</v>
      </c>
      <c r="I34" s="373">
        <v>6.0431358897998009E-5</v>
      </c>
      <c r="J34">
        <v>6.0431358897997997E-6</v>
      </c>
      <c r="K34" s="373">
        <v>6.8878944158589396E-8</v>
      </c>
      <c r="L34">
        <v>0</v>
      </c>
      <c r="M34">
        <v>6.8906961321504096E-11</v>
      </c>
      <c r="N34" s="216">
        <v>1.1995684932780001E-7</v>
      </c>
      <c r="O34" s="216"/>
      <c r="P34" s="373">
        <v>9.3385316151342001E-6</v>
      </c>
      <c r="Q34" s="373">
        <v>3.1304473878454498E-7</v>
      </c>
      <c r="R34" s="351">
        <f>'Parameters, country spec'!C29</f>
        <v>9.1933196022350699E-2</v>
      </c>
      <c r="S34" s="351">
        <f>'Parameters, country spec'!C47</f>
        <v>5.64996941188496E-2</v>
      </c>
    </row>
    <row r="35" spans="1:19" x14ac:dyDescent="0.2">
      <c r="A35" s="354"/>
      <c r="B35" s="18" t="s">
        <v>478</v>
      </c>
      <c r="C35" s="355" t="s">
        <v>479</v>
      </c>
      <c r="D35" s="349" t="s">
        <v>45</v>
      </c>
      <c r="E35" s="349" t="s">
        <v>46</v>
      </c>
      <c r="F35" s="371">
        <f t="shared" si="2"/>
        <v>1.9210786694960974E-4</v>
      </c>
      <c r="G35" s="375">
        <f t="shared" ref="G35:Q35" si="3">SUMPRODUCT(G25:G33,$R25:$R33)</f>
        <v>2.0250042844244473E-5</v>
      </c>
      <c r="H35" s="375">
        <f t="shared" si="3"/>
        <v>2.5270125368056522E-7</v>
      </c>
      <c r="I35" s="375">
        <f t="shared" si="3"/>
        <v>1.5441206785952912E-4</v>
      </c>
      <c r="J35" s="375">
        <f t="shared" si="3"/>
        <v>1.5441206785952907E-5</v>
      </c>
      <c r="K35" s="375">
        <f t="shared" si="3"/>
        <v>2.0292097806281598E-7</v>
      </c>
      <c r="L35" s="375">
        <f t="shared" si="3"/>
        <v>0</v>
      </c>
      <c r="M35" s="375">
        <f t="shared" si="3"/>
        <v>8.4897528439856277E-9</v>
      </c>
      <c r="N35" s="375">
        <f t="shared" si="3"/>
        <v>3.3866123385054211E-7</v>
      </c>
      <c r="O35" s="375">
        <f t="shared" si="3"/>
        <v>0</v>
      </c>
      <c r="P35" s="375">
        <f t="shared" si="3"/>
        <v>7.9575971867866075E-7</v>
      </c>
      <c r="Q35" s="375">
        <f t="shared" si="3"/>
        <v>4.0601652276667929E-7</v>
      </c>
      <c r="R35" s="351">
        <f>'Parameters, country spec'!C30</f>
        <v>2.5847617351359702E-2</v>
      </c>
      <c r="S35" s="351">
        <f>'Parameters, country spec'!C48</f>
        <v>4.2635518367259602E-2</v>
      </c>
    </row>
    <row r="36" spans="1:19" x14ac:dyDescent="0.2">
      <c r="A36" s="357"/>
      <c r="B36" s="358" t="s">
        <v>480</v>
      </c>
      <c r="C36" s="359"/>
      <c r="D36" s="360"/>
      <c r="E36" s="360"/>
      <c r="F36" s="376">
        <f>SUMPRODUCT(F22:F24,R22:R24)+SUMPRODUCT(F25:F35,R25:R35)/0.87</f>
        <v>3.6731843177542222E-4</v>
      </c>
      <c r="G36" s="376">
        <f>SUMPRODUCT(G22:G24,R22:R24)+SUMPRODUCT(G25:G35,R25:R35)/0.87</f>
        <v>2.6800966182328111E-5</v>
      </c>
      <c r="H36" s="376">
        <f>SUMPRODUCT(H22:H24,R22:R24)+SUMPRODUCT(H25:H35,R25:R35)/0.87</f>
        <v>9.8985070507188795E-7</v>
      </c>
      <c r="I36" s="376">
        <f>SUMPRODUCT(I22:I24,R22:R24)+SUMPRODUCT(I25:I35,R25:R35)/0.87</f>
        <v>2.7578676215847758E-4</v>
      </c>
      <c r="J36" s="376">
        <f>SUMPRODUCT(J22:J24,R22:R24)+SUMPRODUCT(J25:J35,R25:R35)/0.87</f>
        <v>2.7578676215847748E-5</v>
      </c>
      <c r="K36" s="376">
        <f>SUMPRODUCT(K22:K24,R22:R24)+SUMPRODUCT(K25:K35,R25:R35)/0.87</f>
        <v>4.881098535938117E-7</v>
      </c>
      <c r="L36" s="376">
        <f>SUMPRODUCT(L22:L24,R22:R24)+SUMPRODUCT(L25:L35,R25:R35)/0.87</f>
        <v>0</v>
      </c>
      <c r="M36" s="376">
        <f>SUMPRODUCT(M22:M24,R22:R24)+SUMPRODUCT(M25:M35,R25:R35)/0.87</f>
        <v>1.5892470061876371E-8</v>
      </c>
      <c r="N36" s="376">
        <f>SUMPRODUCT(N22:N24,R22:R24)+SUMPRODUCT(N25:N35,R25:R35)/0.87</f>
        <v>4.1200326020497292E-7</v>
      </c>
      <c r="O36" s="376">
        <f>SUMPRODUCT(O22:O24,R22:R24)+SUMPRODUCT(O25:O35,R25:R35)/0.87</f>
        <v>0</v>
      </c>
      <c r="P36" s="376">
        <f>SUMPRODUCT(P22:P24,R22:R24)+SUMPRODUCT(P25:P35,R25:R35)/0.87</f>
        <v>3.4734343015100722E-5</v>
      </c>
      <c r="Q36" s="376">
        <f>SUMPRODUCT(Q22:Q24,R22:R24)+SUMPRODUCT(Q25:Q35,R25:R35)/0.87</f>
        <v>5.1182791473554843E-7</v>
      </c>
      <c r="R36" s="362"/>
      <c r="S36" s="369"/>
    </row>
    <row r="37" spans="1:19" x14ac:dyDescent="0.2">
      <c r="A37" s="363"/>
      <c r="B37" s="364" t="s">
        <v>481</v>
      </c>
      <c r="C37" s="365"/>
      <c r="D37" s="366"/>
      <c r="E37" s="366"/>
      <c r="F37" s="377">
        <f>SUMPRODUCT(F22:F24,S22:S24)+SUMPRODUCT(F25:F35,S25:S35)/0.87</f>
        <v>2.8174055176944008E-4</v>
      </c>
      <c r="G37" s="377">
        <f>SUMPRODUCT(G22:G24,S22:S24)+SUMPRODUCT(G25:G35,S25:S35)/0.87</f>
        <v>1.8669441072294526E-5</v>
      </c>
      <c r="H37" s="377">
        <f>SUMPRODUCT(H22:H24,S22:S24)+SUMPRODUCT(H25:H35,S25:S35)/0.87</f>
        <v>1.0003031836723743E-6</v>
      </c>
      <c r="I37" s="377">
        <f>SUMPRODUCT(I22:I24,S22:S24)+SUMPRODUCT(I25:I35,S25:S35)/0.87</f>
        <v>1.9895264049132368E-4</v>
      </c>
      <c r="J37" s="377">
        <f>SUMPRODUCT(J22:J24,S22:S24)+SUMPRODUCT(J25:J35,S25:S35)/0.87</f>
        <v>1.9895264049132367E-5</v>
      </c>
      <c r="K37" s="377">
        <f>SUMPRODUCT(K22:K24,S22:S24)+SUMPRODUCT(K25:K35,S25:S35)/0.87</f>
        <v>4.2811232108769066E-7</v>
      </c>
      <c r="L37" s="377">
        <f>SUMPRODUCT(L22:L24,S22:S24)+SUMPRODUCT(L25:L35,S25:S35)/0.87</f>
        <v>0</v>
      </c>
      <c r="M37" s="377">
        <f>SUMPRODUCT(M22:M24,S22:S24)+SUMPRODUCT(M25:M35,S25:S35)/0.87</f>
        <v>1.1827536838483276E-8</v>
      </c>
      <c r="N37" s="377">
        <f>SUMPRODUCT(N22:N24,S22:S24)+SUMPRODUCT(N25:N35,S25:S35)/0.87</f>
        <v>1.839688807927008E-7</v>
      </c>
      <c r="O37" s="377">
        <f>SUMPRODUCT(O22:O24,S22:S24)+SUMPRODUCT(O25:O35,S25:S35)/0.87</f>
        <v>0</v>
      </c>
      <c r="P37" s="377">
        <f>SUMPRODUCT(P22:P24,S22:S24)+SUMPRODUCT(P25:P35,S25:S35)/0.87</f>
        <v>4.2251109818959244E-5</v>
      </c>
      <c r="Q37" s="377">
        <f>SUMPRODUCT(Q22:Q24,S22:S24)+SUMPRODUCT(Q25:Q35,S25:S35)/0.87</f>
        <v>3.4788441533896182E-7</v>
      </c>
      <c r="R37" s="368"/>
      <c r="S37" s="368"/>
    </row>
    <row r="38" spans="1:19" x14ac:dyDescent="0.2">
      <c r="B38" s="58" t="s">
        <v>264</v>
      </c>
      <c r="C38" s="18" t="s">
        <v>463</v>
      </c>
      <c r="D38" s="349" t="s">
        <v>47</v>
      </c>
      <c r="E38" s="349" t="s">
        <v>48</v>
      </c>
      <c r="F38" s="371">
        <f t="shared" ref="F38:F51" si="4">SUM(G38:Q38)</f>
        <v>1.9437586101963772E-4</v>
      </c>
      <c r="G38" s="372">
        <f>'Forage crops, CF'!F21</f>
        <v>5.9862660866469051E-6</v>
      </c>
      <c r="H38" s="372">
        <f>'Forage crops, CF'!G21</f>
        <v>1.1000000000000001E-6</v>
      </c>
      <c r="I38" s="372">
        <f>'Forage crops, CF'!H21</f>
        <v>1.6994172478968788E-4</v>
      </c>
      <c r="J38" s="372">
        <f>'Forage crops, CF'!I21</f>
        <v>1.6994172478968787E-5</v>
      </c>
      <c r="K38" s="372">
        <f>'Forage crops, CF'!J21</f>
        <v>3.5369766433412225E-7</v>
      </c>
      <c r="L38" s="372">
        <f>'Forage crops, CF'!K21</f>
        <v>0</v>
      </c>
      <c r="M38" s="372">
        <f>'Forage crops, CF'!L21</f>
        <v>0</v>
      </c>
      <c r="N38" s="372">
        <f>'Forage crops, CF'!M21</f>
        <v>0</v>
      </c>
      <c r="O38" s="372">
        <f>'Forage crops, CF'!N21</f>
        <v>0</v>
      </c>
      <c r="P38" s="372">
        <f>'Forage crops, CF'!O21</f>
        <v>0</v>
      </c>
      <c r="Q38" s="372">
        <f>'Forage crops, CF'!P21</f>
        <v>0</v>
      </c>
      <c r="R38" s="351">
        <f>'Parameters, country spec'!D17</f>
        <v>0.34769783444479402</v>
      </c>
      <c r="S38" s="351">
        <f>'Parameters, country spec'!D35</f>
        <v>0.26457370102986</v>
      </c>
    </row>
    <row r="39" spans="1:19" x14ac:dyDescent="0.2">
      <c r="B39" s="58" t="s">
        <v>268</v>
      </c>
      <c r="C39" s="18" t="s">
        <v>463</v>
      </c>
      <c r="D39" s="349" t="s">
        <v>47</v>
      </c>
      <c r="E39" s="349" t="s">
        <v>48</v>
      </c>
      <c r="F39" s="371">
        <f t="shared" si="4"/>
        <v>1.8174385638171917E-4</v>
      </c>
      <c r="G39" s="372">
        <f>'Forage crops, CF'!F81</f>
        <v>3.4704182382543476E-6</v>
      </c>
      <c r="H39" s="372">
        <f>'Forage crops, CF'!G81</f>
        <v>1.1000000000000001E-6</v>
      </c>
      <c r="I39" s="372">
        <f>'Forage crops, CF'!H81</f>
        <v>9.8830343830404497E-5</v>
      </c>
      <c r="J39" s="372">
        <f>'Forage crops, CF'!I81</f>
        <v>9.88303438304045E-6</v>
      </c>
      <c r="K39" s="372">
        <f>'Forage crops, CF'!J81</f>
        <v>3.5965416741445819E-7</v>
      </c>
      <c r="L39" s="372"/>
      <c r="M39" s="372">
        <f>'Forage crops, CF'!L81</f>
        <v>4.0576260543632307E-10</v>
      </c>
      <c r="N39" s="372">
        <f>'Forage crops, CF'!M81</f>
        <v>0</v>
      </c>
      <c r="O39" s="372"/>
      <c r="P39" s="372">
        <f>'Forage crops, CF'!O81</f>
        <v>6.8099999999999988E-5</v>
      </c>
      <c r="Q39" s="372"/>
      <c r="R39" s="351">
        <f>'Parameters, country spec'!D18</f>
        <v>0.46608419293585401</v>
      </c>
      <c r="S39" s="351">
        <f>'Parameters, country spec'!D36</f>
        <v>0.47771254487501502</v>
      </c>
    </row>
    <row r="40" spans="1:19" x14ac:dyDescent="0.2">
      <c r="B40" s="58" t="s">
        <v>465</v>
      </c>
      <c r="C40" s="18" t="s">
        <v>463</v>
      </c>
      <c r="D40" s="349" t="s">
        <v>47</v>
      </c>
      <c r="E40" s="349" t="s">
        <v>48</v>
      </c>
      <c r="F40" s="371">
        <f t="shared" si="4"/>
        <v>2.4062521511841574E-4</v>
      </c>
      <c r="G40" s="372">
        <f>'Forage crops, CF'!F141*'Forage, input data per ha'!$D$80+'Forage crops, CF'!F201*'Forage, input data per ha'!$E$80</f>
        <v>5.174438277323081E-6</v>
      </c>
      <c r="H40" s="372">
        <f>'Forage crops, CF'!G141*'Forage, input data per ha'!$D$80+'Forage crops, CF'!G201*'Forage, input data per ha'!$E$80</f>
        <v>1.1000000000000003E-6</v>
      </c>
      <c r="I40" s="372">
        <f>'Forage crops, CF'!H141*'Forage, input data per ha'!$D$80+'Forage crops, CF'!H201*'Forage, input data per ha'!$E$80</f>
        <v>1.5080315323393387E-4</v>
      </c>
      <c r="J40" s="372">
        <f>'Forage crops, CF'!I141*'Forage, input data per ha'!$D$80+'Forage crops, CF'!I201*'Forage, input data per ha'!$E$80</f>
        <v>1.5080315323393386E-5</v>
      </c>
      <c r="K40" s="372">
        <f>'Forage crops, CF'!J141*'Forage, input data per ha'!$D$80+'Forage crops, CF'!J201*'Forage, input data per ha'!$E$80</f>
        <v>3.6730828376537753E-7</v>
      </c>
      <c r="L40" s="372"/>
      <c r="M40" s="372">
        <f>'Forage crops, CF'!L141*'Forage, input data per ha'!$D$80+'Forage crops, CF'!L201*'Forage, input data per ha'!$E$80</f>
        <v>0</v>
      </c>
      <c r="N40" s="372">
        <f>'Forage crops, CF'!M141*'Forage, input data per ha'!$D$80+'Forage crops, CF'!M201*'Forage, input data per ha'!$E$80</f>
        <v>0</v>
      </c>
      <c r="O40" s="372"/>
      <c r="P40" s="372">
        <f>'Forage crops, CF'!O141*'Forage, input data per ha'!$D$80+'Forage crops, CF'!O201*'Forage, input data per ha'!$E$80</f>
        <v>6.8100000000000002E-5</v>
      </c>
      <c r="Q40" s="372"/>
      <c r="R40" s="351">
        <f>'Parameters, country spec'!D19</f>
        <v>2.0074092559238799E-2</v>
      </c>
      <c r="S40" s="351">
        <f>'Parameters, country spec'!D37</f>
        <v>0.13883749692306399</v>
      </c>
    </row>
    <row r="41" spans="1:19" x14ac:dyDescent="0.2">
      <c r="A41" s="353" t="s">
        <v>466</v>
      </c>
      <c r="B41" s="18" t="s">
        <v>274</v>
      </c>
      <c r="C41" s="18" t="s">
        <v>467</v>
      </c>
      <c r="D41" s="349" t="s">
        <v>47</v>
      </c>
      <c r="E41" s="349" t="s">
        <v>48</v>
      </c>
      <c r="F41" s="371">
        <f t="shared" si="4"/>
        <v>5.376323338933249E-4</v>
      </c>
      <c r="G41" s="242">
        <v>1.49552156590464E-5</v>
      </c>
      <c r="H41" s="378">
        <v>1.1000000000000001E-6</v>
      </c>
      <c r="I41" s="373">
        <v>4.7201791683187299E-4</v>
      </c>
      <c r="J41" s="373">
        <v>4.72017916831873E-5</v>
      </c>
      <c r="K41" s="373">
        <v>7.7126055785450695E-7</v>
      </c>
      <c r="L41" s="373">
        <v>0</v>
      </c>
      <c r="M41" s="373">
        <v>1.40315536367128E-9</v>
      </c>
      <c r="N41" s="373">
        <v>1.5847460060000001E-6</v>
      </c>
      <c r="O41" s="373"/>
      <c r="P41" s="373"/>
      <c r="Q41" s="216"/>
      <c r="R41" s="351">
        <f>'Parameters, country spec'!D20</f>
        <v>6.1781281889507905E-4</v>
      </c>
      <c r="S41" s="351">
        <f>'Parameters, country spec'!D38</f>
        <v>1.2989163562948001E-3</v>
      </c>
    </row>
    <row r="42" spans="1:19" x14ac:dyDescent="0.2">
      <c r="A42" s="353" t="s">
        <v>468</v>
      </c>
      <c r="B42" s="18" t="s">
        <v>276</v>
      </c>
      <c r="C42" s="18" t="s">
        <v>467</v>
      </c>
      <c r="D42" s="349" t="s">
        <v>47</v>
      </c>
      <c r="E42" s="349" t="s">
        <v>48</v>
      </c>
      <c r="F42" s="371">
        <f t="shared" si="4"/>
        <v>4.7187582415281903E-4</v>
      </c>
      <c r="G42" s="242">
        <v>1.4649089200819099E-5</v>
      </c>
      <c r="H42" s="378">
        <v>1.1000000000000001E-6</v>
      </c>
      <c r="I42" s="373">
        <v>4.1279131446155741E-4</v>
      </c>
      <c r="J42" s="373">
        <v>4.12791314461557E-5</v>
      </c>
      <c r="K42" s="373">
        <v>4.48333919529489E-7</v>
      </c>
      <c r="L42" s="373">
        <v>0</v>
      </c>
      <c r="M42" s="373">
        <v>2.32091187573621E-8</v>
      </c>
      <c r="N42" s="373">
        <v>1.5847460060000001E-6</v>
      </c>
      <c r="O42" s="373"/>
      <c r="P42" s="373"/>
      <c r="Q42" s="216"/>
      <c r="R42" s="351">
        <f>'Parameters, country spec'!D21</f>
        <v>9.1981189774538203E-4</v>
      </c>
      <c r="S42" s="351">
        <f>'Parameters, country spec'!D39</f>
        <v>1.9338522642941001E-3</v>
      </c>
    </row>
    <row r="43" spans="1:19" x14ac:dyDescent="0.2">
      <c r="A43" s="353" t="s">
        <v>469</v>
      </c>
      <c r="B43" s="18" t="s">
        <v>278</v>
      </c>
      <c r="C43" s="18" t="s">
        <v>467</v>
      </c>
      <c r="D43" s="349" t="s">
        <v>47</v>
      </c>
      <c r="E43" s="349" t="s">
        <v>48</v>
      </c>
      <c r="F43" s="371">
        <f t="shared" si="4"/>
        <v>5.9982619502924647E-4</v>
      </c>
      <c r="G43" s="242">
        <v>1.7745600215826799E-5</v>
      </c>
      <c r="H43" s="378">
        <v>1.1000000000000001E-6</v>
      </c>
      <c r="I43" s="373">
        <v>5.2567301542106801E-4</v>
      </c>
      <c r="J43" s="373">
        <v>5.2567301542106802E-5</v>
      </c>
      <c r="K43" s="373">
        <v>1.1545398039684401E-6</v>
      </c>
      <c r="L43" s="373">
        <v>0</v>
      </c>
      <c r="M43" s="373">
        <v>9.9204027640291207E-10</v>
      </c>
      <c r="N43" s="373">
        <v>1.5847460060000001E-6</v>
      </c>
      <c r="O43" s="373"/>
      <c r="P43" s="373"/>
      <c r="Q43" s="216"/>
      <c r="R43" s="351">
        <f>'Parameters, country spec'!D22</f>
        <v>1.2297794835772801E-7</v>
      </c>
      <c r="S43" s="351">
        <f>'Parameters, country spec'!D40</f>
        <v>2.58554211857813E-7</v>
      </c>
    </row>
    <row r="44" spans="1:19" x14ac:dyDescent="0.2">
      <c r="A44" s="353" t="s">
        <v>470</v>
      </c>
      <c r="B44" s="18" t="s">
        <v>280</v>
      </c>
      <c r="C44" s="18" t="s">
        <v>467</v>
      </c>
      <c r="D44" s="349" t="s">
        <v>47</v>
      </c>
      <c r="E44" s="349" t="s">
        <v>48</v>
      </c>
      <c r="F44" s="371">
        <f t="shared" si="4"/>
        <v>6.4409795180664082E-4</v>
      </c>
      <c r="G44" s="242">
        <v>1.9532011643195799E-5</v>
      </c>
      <c r="H44" s="378">
        <v>1.1000000000000001E-6</v>
      </c>
      <c r="I44" s="373">
        <v>5.6444049564118102E-4</v>
      </c>
      <c r="J44" s="373">
        <v>5.6444049564118201E-5</v>
      </c>
      <c r="K44" s="373">
        <v>9.9664890622951805E-7</v>
      </c>
      <c r="L44" s="373">
        <v>0</v>
      </c>
      <c r="M44" s="373">
        <v>4.5916287492000002E-14</v>
      </c>
      <c r="N44" s="373">
        <v>1.5847460060000001E-6</v>
      </c>
      <c r="O44" s="373"/>
      <c r="P44" s="373"/>
      <c r="Q44" s="216"/>
      <c r="R44" s="351">
        <f>'Parameters, country spec'!D23</f>
        <v>1.0091894798092701E-4</v>
      </c>
      <c r="S44" s="351">
        <f>'Parameters, country spec'!D41</f>
        <v>2.1217635552166401E-4</v>
      </c>
    </row>
    <row r="45" spans="1:19" x14ac:dyDescent="0.2">
      <c r="A45" s="353" t="s">
        <v>471</v>
      </c>
      <c r="B45" s="18" t="s">
        <v>281</v>
      </c>
      <c r="C45" s="18" t="s">
        <v>467</v>
      </c>
      <c r="D45" s="349" t="s">
        <v>47</v>
      </c>
      <c r="E45" s="349" t="s">
        <v>48</v>
      </c>
      <c r="F45" s="371">
        <f t="shared" si="4"/>
        <v>7.060668567445685E-4</v>
      </c>
      <c r="G45" s="242">
        <v>2.1924041347400302E-5</v>
      </c>
      <c r="H45" s="378">
        <v>1.1000000000000001E-6</v>
      </c>
      <c r="I45" s="373">
        <v>6.1887583660027101E-4</v>
      </c>
      <c r="J45" s="373">
        <v>6.1887583660027101E-5</v>
      </c>
      <c r="K45" s="373">
        <v>6.9464909994276398E-7</v>
      </c>
      <c r="L45" s="373">
        <v>0</v>
      </c>
      <c r="M45" s="373">
        <v>3.0927274192000003E-14</v>
      </c>
      <c r="N45" s="373">
        <v>1.5847460060000001E-6</v>
      </c>
      <c r="O45" s="373"/>
      <c r="P45" s="373"/>
      <c r="Q45" s="216"/>
      <c r="R45" s="351">
        <f>'Parameters, country spec'!D24</f>
        <v>2.06359990197024E-3</v>
      </c>
      <c r="S45" s="351">
        <f>'Parameters, country spec'!D42</f>
        <v>4.3386015699034596E-3</v>
      </c>
    </row>
    <row r="46" spans="1:19" x14ac:dyDescent="0.2">
      <c r="A46" s="353" t="s">
        <v>472</v>
      </c>
      <c r="B46" s="18" t="s">
        <v>282</v>
      </c>
      <c r="C46" s="18" t="s">
        <v>473</v>
      </c>
      <c r="D46" s="349" t="s">
        <v>47</v>
      </c>
      <c r="E46" s="349" t="s">
        <v>48</v>
      </c>
      <c r="F46" s="371">
        <f t="shared" si="4"/>
        <v>2.0746968068777562E-4</v>
      </c>
      <c r="G46" s="242">
        <v>0</v>
      </c>
      <c r="H46" s="378">
        <v>1.1000000000000001E-6</v>
      </c>
      <c r="I46" s="373">
        <v>1.8457295999999999E-4</v>
      </c>
      <c r="J46" s="373">
        <v>1.8457295999999999E-5</v>
      </c>
      <c r="K46" s="373">
        <v>1.59676558583327E-6</v>
      </c>
      <c r="L46" s="373">
        <v>0</v>
      </c>
      <c r="M46" s="373">
        <v>1.57913095942366E-7</v>
      </c>
      <c r="N46" s="373">
        <v>1.5847460060000001E-6</v>
      </c>
      <c r="O46" s="373"/>
      <c r="P46" s="373"/>
      <c r="Q46" s="216"/>
      <c r="R46" s="351">
        <f>'Parameters, country spec'!D25</f>
        <v>6.4852934547689298E-4</v>
      </c>
      <c r="S46" s="351">
        <f>'Parameters, country spec'!D43</f>
        <v>2.7051994141606402E-4</v>
      </c>
    </row>
    <row r="47" spans="1:19" x14ac:dyDescent="0.2">
      <c r="A47" s="353" t="s">
        <v>474</v>
      </c>
      <c r="B47" s="18" t="s">
        <v>283</v>
      </c>
      <c r="C47" s="18" t="s">
        <v>473</v>
      </c>
      <c r="D47" s="349" t="s">
        <v>47</v>
      </c>
      <c r="E47" s="349" t="s">
        <v>48</v>
      </c>
      <c r="F47" s="371">
        <f t="shared" si="4"/>
        <v>2.1917152433611231E-4</v>
      </c>
      <c r="G47" s="242">
        <v>5.7786233853056701E-7</v>
      </c>
      <c r="H47" s="378">
        <v>1.1000000000000001E-6</v>
      </c>
      <c r="I47" s="373">
        <v>1.950247051206456E-4</v>
      </c>
      <c r="J47" s="373">
        <v>1.95024705120646E-5</v>
      </c>
      <c r="K47" s="373">
        <v>1.28393231579461E-6</v>
      </c>
      <c r="L47" s="373">
        <v>0</v>
      </c>
      <c r="M47" s="373">
        <v>9.7808043076939995E-8</v>
      </c>
      <c r="N47" s="373">
        <v>1.5847460060000001E-6</v>
      </c>
      <c r="O47" s="373"/>
      <c r="P47" s="373"/>
      <c r="Q47" s="216"/>
      <c r="R47" s="351">
        <f>'Parameters, country spec'!D26</f>
        <v>6.3706953318584203E-4</v>
      </c>
      <c r="S47" s="351">
        <f>'Parameters, country spec'!D44</f>
        <v>2.65739729627513E-4</v>
      </c>
    </row>
    <row r="48" spans="1:19" x14ac:dyDescent="0.2">
      <c r="B48" s="58" t="s">
        <v>284</v>
      </c>
      <c r="C48" s="18" t="s">
        <v>475</v>
      </c>
      <c r="D48" s="349" t="s">
        <v>47</v>
      </c>
      <c r="E48" s="349" t="s">
        <v>48</v>
      </c>
      <c r="F48" s="371">
        <f t="shared" si="4"/>
        <v>1.5426052012212821E-3</v>
      </c>
      <c r="G48" s="84">
        <f>'Off-farm feed'!$F$77</f>
        <v>3.5160526410462891E-4</v>
      </c>
      <c r="H48" s="84">
        <f>'Off-farm feed'!$G$77</f>
        <v>5.3103448275862083E-7</v>
      </c>
      <c r="I48" s="84">
        <f>'Off-farm feed'!$H$77</f>
        <v>1.0756102664162706E-3</v>
      </c>
      <c r="J48" s="84">
        <f>'Off-farm feed'!$I$77</f>
        <v>1.0756102664162704E-4</v>
      </c>
      <c r="K48" s="84">
        <f>'Off-farm feed'!$J$77</f>
        <v>6.6339607025480393E-7</v>
      </c>
      <c r="L48" s="84"/>
      <c r="M48" s="84">
        <f>'Off-farm feed'!$L$77</f>
        <v>7.9511067188965528E-9</v>
      </c>
      <c r="N48" s="84">
        <f>'Off-farm feed'!$M$77</f>
        <v>1.2789681892721842E-6</v>
      </c>
      <c r="O48" s="84"/>
      <c r="P48" s="84">
        <f>'Off-farm feed'!$O$77</f>
        <v>4.8776996151562936E-6</v>
      </c>
      <c r="Q48" s="84">
        <f>'Off-farm feed'!$P$77</f>
        <v>4.6959459459459463E-7</v>
      </c>
      <c r="R48" s="351">
        <f>'Parameters, country spec'!D27</f>
        <v>6.5581216657201596E-2</v>
      </c>
      <c r="S48" s="351">
        <f>'Parameters, country spec'!D45</f>
        <v>2.7355781220453599E-2</v>
      </c>
    </row>
    <row r="49" spans="1:19" x14ac:dyDescent="0.2">
      <c r="B49" s="58" t="s">
        <v>476</v>
      </c>
      <c r="C49" s="18" t="s">
        <v>475</v>
      </c>
      <c r="D49" s="349" t="s">
        <v>47</v>
      </c>
      <c r="E49" s="349" t="s">
        <v>48</v>
      </c>
      <c r="F49" s="371">
        <f t="shared" si="4"/>
        <v>1.8866346644602484E-4</v>
      </c>
      <c r="G49" s="84">
        <f>'Off-farm feed'!$F$26</f>
        <v>1.6332109719061435E-5</v>
      </c>
      <c r="H49" s="84">
        <f>'Off-farm feed'!$G$26</f>
        <v>8.7195121951219526E-7</v>
      </c>
      <c r="I49" s="84">
        <f>'Off-farm feed'!$H$26</f>
        <v>1.3333449845358183E-4</v>
      </c>
      <c r="J49" s="84">
        <f>'Off-farm feed'!$I$26</f>
        <v>1.3333449845358186E-5</v>
      </c>
      <c r="K49" s="84">
        <f>'Off-farm feed'!$J$26</f>
        <v>1.1576736579983962E-6</v>
      </c>
      <c r="L49" s="84"/>
      <c r="M49" s="84">
        <f>'Off-farm feed'!$L$26</f>
        <v>7.3437786087804875E-9</v>
      </c>
      <c r="N49" s="84">
        <f>'Off-farm feed'!$M$26</f>
        <v>1.1195281639512195E-6</v>
      </c>
      <c r="O49" s="84"/>
      <c r="P49" s="84">
        <f>'Off-farm feed'!$O$26</f>
        <v>1.3419073770114999E-5</v>
      </c>
      <c r="Q49" s="84">
        <f>'Off-farm feed'!$P$26</f>
        <v>9.087837837837838E-6</v>
      </c>
      <c r="R49" s="351">
        <f>'Parameters, country spec'!D28</f>
        <v>6.3014467773449101E-2</v>
      </c>
      <c r="S49" s="351">
        <f>'Parameters, country spec'!D46</f>
        <v>2.6285117627784502E-2</v>
      </c>
    </row>
    <row r="50" spans="1:19" x14ac:dyDescent="0.2">
      <c r="B50" s="18" t="s">
        <v>286</v>
      </c>
      <c r="C50" s="18" t="s">
        <v>477</v>
      </c>
      <c r="D50" s="349" t="s">
        <v>47</v>
      </c>
      <c r="E50" s="349" t="s">
        <v>48</v>
      </c>
      <c r="F50" s="374">
        <f t="shared" si="4"/>
        <v>8.7744608808351177E-5</v>
      </c>
      <c r="G50" s="373">
        <v>1.9731637212660302E-6</v>
      </c>
      <c r="H50" s="373">
        <v>9.9E-8</v>
      </c>
      <c r="I50" s="373">
        <v>5.5698825294024412E-5</v>
      </c>
      <c r="J50">
        <v>5.56988252940244E-6</v>
      </c>
      <c r="K50" s="373">
        <v>6.2518418994848798E-8</v>
      </c>
      <c r="L50">
        <v>0</v>
      </c>
      <c r="M50">
        <v>2.78345467728E-15</v>
      </c>
      <c r="N50" s="216">
        <v>1.4262714054E-7</v>
      </c>
      <c r="O50" s="216"/>
      <c r="P50" s="373">
        <v>2.3492890101997999E-5</v>
      </c>
      <c r="Q50" s="373">
        <v>7.0570159934197997E-7</v>
      </c>
      <c r="R50" s="351">
        <f>'Parameters, country spec'!D29</f>
        <v>2.8731677883857699E-2</v>
      </c>
      <c r="S50" s="351">
        <f>'Parameters, country spec'!D47</f>
        <v>4.2051693837096303E-2</v>
      </c>
    </row>
    <row r="51" spans="1:19" x14ac:dyDescent="0.2">
      <c r="A51" s="354"/>
      <c r="B51" s="18" t="s">
        <v>478</v>
      </c>
      <c r="C51" s="355" t="s">
        <v>479</v>
      </c>
      <c r="D51" s="349" t="s">
        <v>47</v>
      </c>
      <c r="E51" s="349" t="s">
        <v>48</v>
      </c>
      <c r="F51" s="371">
        <f t="shared" si="4"/>
        <v>1.1561693961562464E-4</v>
      </c>
      <c r="G51" s="375">
        <f t="shared" ref="G51:Q51" si="5">SUMPRODUCT(G41:G49,$R41:$R49)</f>
        <v>2.4158158055554062E-5</v>
      </c>
      <c r="H51" s="375">
        <f t="shared" si="5"/>
        <v>9.525808145373196E-8</v>
      </c>
      <c r="I51" s="375">
        <f t="shared" si="5"/>
        <v>8.1191226240281977E-5</v>
      </c>
      <c r="J51" s="375">
        <f t="shared" si="5"/>
        <v>8.1191226240281967E-6</v>
      </c>
      <c r="K51" s="375">
        <f t="shared" si="5"/>
        <v>1.2073309241765502E-7</v>
      </c>
      <c r="L51" s="375">
        <f t="shared" si="5"/>
        <v>0</v>
      </c>
      <c r="M51" s="375">
        <f t="shared" si="5"/>
        <v>1.1711444553676144E-9</v>
      </c>
      <c r="N51" s="375">
        <f t="shared" si="5"/>
        <v>1.6232726113498671E-7</v>
      </c>
      <c r="O51" s="375">
        <f t="shared" si="5"/>
        <v>0</v>
      </c>
      <c r="P51" s="375">
        <f t="shared" si="5"/>
        <v>1.1654812668867615E-6</v>
      </c>
      <c r="Q51" s="375">
        <f t="shared" si="5"/>
        <v>6.0346184941192262E-7</v>
      </c>
      <c r="R51" s="351">
        <f>'Parameters, country spec'!D30</f>
        <v>3.8286523224026802E-3</v>
      </c>
      <c r="S51" s="351">
        <f>'Parameters, country spec'!D48</f>
        <v>1.48635997154565E-2</v>
      </c>
    </row>
    <row r="52" spans="1:19" x14ac:dyDescent="0.2">
      <c r="A52" s="357"/>
      <c r="B52" s="358" t="s">
        <v>480</v>
      </c>
      <c r="C52" s="359"/>
      <c r="D52" s="360"/>
      <c r="E52" s="360"/>
      <c r="F52" s="376">
        <f>SUMPRODUCT(F38:F40,R38:R40)+SUMPRODUCT(F41:F51,R41:R51)/0.87</f>
        <v>2.9342193110488675E-4</v>
      </c>
      <c r="G52" s="376">
        <f>SUMPRODUCT(G38:G40,R38:R40)+SUMPRODUCT(G41:G51,R41:R51)/0.87</f>
        <v>3.1742266333856352E-5</v>
      </c>
      <c r="H52" s="376">
        <f>SUMPRODUCT(H38:H40,R38:R40)+SUMPRODUCT(H41:H51,R41:R51)/0.87</f>
        <v>1.0304224533580357E-6</v>
      </c>
      <c r="I52" s="376">
        <f>SUMPRODUCT(I38:I40,R38:R40)+SUMPRODUCT(I41:I51,R41:R51)/0.87</f>
        <v>2.0369886710189055E-4</v>
      </c>
      <c r="J52" s="376">
        <f>SUMPRODUCT(J38:J40,R38:R40)+SUMPRODUCT(J41:J51,R41:R51)/0.87</f>
        <v>2.036988671018905E-5</v>
      </c>
      <c r="K52" s="376">
        <f>SUMPRODUCT(K38:K40,R38:R40)+SUMPRODUCT(K41:K51,R41:R51)/0.87</f>
        <v>4.39352065961034E-7</v>
      </c>
      <c r="L52" s="376">
        <f>SUMPRODUCT(L38:L40,R38:R40)+SUMPRODUCT(L41:L51,R41:R51)/0.87</f>
        <v>0</v>
      </c>
      <c r="M52" s="376">
        <f>SUMPRODUCT(M38:M40,R38:R40)+SUMPRODUCT(M41:M51,R41:R51)/0.87</f>
        <v>1.5404165942712687E-9</v>
      </c>
      <c r="N52" s="376">
        <f>SUMPRODUCT(N38:N40,R38:R40)+SUMPRODUCT(N41:N51,R41:R51)/0.87</f>
        <v>1.9200766993081774E-7</v>
      </c>
      <c r="O52" s="376">
        <f>SUMPRODUCT(O38:O40,R38:R40)+SUMPRODUCT(O41:O51,R41:R51)/0.87</f>
        <v>0</v>
      </c>
      <c r="P52" s="376">
        <f>SUMPRODUCT(P38:P40,R38:R40)+SUMPRODUCT(P41:P51,R41:R51)/0.87</f>
        <v>3.5227992622005953E-5</v>
      </c>
      <c r="Q52" s="376">
        <f>SUMPRODUCT(Q38:Q40,R38:R40)+SUMPRODUCT(Q41:Q51,R41:R51)/0.87</f>
        <v>7.1959573110065741E-7</v>
      </c>
      <c r="R52" s="362"/>
      <c r="S52" s="369"/>
    </row>
    <row r="53" spans="1:19" x14ac:dyDescent="0.2">
      <c r="A53" s="363"/>
      <c r="B53" s="364" t="s">
        <v>481</v>
      </c>
      <c r="C53" s="365"/>
      <c r="D53" s="366"/>
      <c r="E53" s="366"/>
      <c r="F53" s="377">
        <f>SUMPRODUCT(F38:F40,S38:S40)+SUMPRODUCT(F41:F51,S41:S51)/0.87</f>
        <v>2.3773851903743438E-4</v>
      </c>
      <c r="G53" s="377">
        <f>SUMPRODUCT(G38:G40,S38:S40)+SUMPRODUCT(G41:G51,S41:S51)/0.87</f>
        <v>1.6186464297191748E-5</v>
      </c>
      <c r="H53" s="377">
        <f>SUMPRODUCT(H38:H40,S38:S40)+SUMPRODUCT(H41:H51,S41:S51)/0.87</f>
        <v>1.0292099911706057E-6</v>
      </c>
      <c r="I53" s="377">
        <f>SUMPRODUCT(I38:I40,S38:S40)+SUMPRODUCT(I41:I51,S41:S51)/0.87</f>
        <v>1.6000368576630304E-4</v>
      </c>
      <c r="J53" s="377">
        <f>SUMPRODUCT(J38:J40,S38:S40)+SUMPRODUCT(J41:J51,S41:S51)/0.87</f>
        <v>1.6000368576630302E-5</v>
      </c>
      <c r="K53" s="377">
        <f>SUMPRODUCT(K38:K40,S38:S40)+SUMPRODUCT(K41:K51,S41:S51)/0.87</f>
        <v>3.8405136650474247E-7</v>
      </c>
      <c r="L53" s="377">
        <f>SUMPRODUCT(L38:L40,S38:S40)+SUMPRODUCT(L41:L51,S41:S51)/0.87</f>
        <v>0</v>
      </c>
      <c r="M53" s="377">
        <f>SUMPRODUCT(M38:M40,S38:S40)+SUMPRODUCT(M41:M51,S41:S51)/0.87</f>
        <v>8.1839475236193418E-10</v>
      </c>
      <c r="N53" s="377">
        <f>SUMPRODUCT(N38:N40,S38:S40)+SUMPRODUCT(N41:N51,S41:S51)/0.87</f>
        <v>9.8861808213702251E-8</v>
      </c>
      <c r="O53" s="377">
        <f>SUMPRODUCT(O38:O40,S38:S40)+SUMPRODUCT(O41:O51,S41:S51)/0.87</f>
        <v>0</v>
      </c>
      <c r="P53" s="377">
        <f>SUMPRODUCT(P38:P40,S38:S40)+SUMPRODUCT(P41:P51,S41:S51)/0.87</f>
        <v>4.3701304151023127E-5</v>
      </c>
      <c r="Q53" s="377">
        <f>SUMPRODUCT(Q38:Q40,S38:S40)+SUMPRODUCT(Q41:Q51,S41:S51)/0.87</f>
        <v>3.3375468564473764E-7</v>
      </c>
      <c r="R53" s="368"/>
      <c r="S53" s="368"/>
    </row>
    <row r="54" spans="1:19" x14ac:dyDescent="0.2">
      <c r="B54" s="58" t="s">
        <v>264</v>
      </c>
      <c r="C54" s="18" t="s">
        <v>463</v>
      </c>
      <c r="D54" s="349" t="s">
        <v>49</v>
      </c>
      <c r="E54" s="349" t="s">
        <v>50</v>
      </c>
      <c r="F54" s="371">
        <f t="shared" ref="F54:F67" si="6">SUM(G54:Q54)</f>
        <v>1.5651202259672544E-4</v>
      </c>
      <c r="G54" s="372">
        <f>'Forage crops, CF'!F26</f>
        <v>1.845507987608262E-6</v>
      </c>
      <c r="H54" s="372">
        <f>'Forage crops, CF'!G26</f>
        <v>1.1000000000000001E-6</v>
      </c>
      <c r="I54" s="372">
        <f>'Forage crops, CF'!H26</f>
        <v>1.3881405226144812E-4</v>
      </c>
      <c r="J54" s="372">
        <f>'Forage crops, CF'!I26</f>
        <v>1.3881405226144813E-5</v>
      </c>
      <c r="K54" s="372">
        <f>'Forage crops, CF'!J26</f>
        <v>8.7105712152424373E-7</v>
      </c>
      <c r="L54" s="372">
        <f>'Forage crops, CF'!K26</f>
        <v>0</v>
      </c>
      <c r="M54" s="372">
        <f>'Forage crops, CF'!L26</f>
        <v>0</v>
      </c>
      <c r="N54" s="372">
        <f>'Forage crops, CF'!M26</f>
        <v>0</v>
      </c>
      <c r="O54" s="372">
        <f>'Forage crops, CF'!N26</f>
        <v>0</v>
      </c>
      <c r="P54" s="372">
        <f>'Forage crops, CF'!O26</f>
        <v>0</v>
      </c>
      <c r="Q54" s="372">
        <f>'Forage crops, CF'!P26</f>
        <v>0</v>
      </c>
      <c r="R54" s="351">
        <f>'Parameters, country spec'!E17</f>
        <v>8.26774498415217E-2</v>
      </c>
      <c r="S54" s="351">
        <f>'Parameters, country spec'!E35</f>
        <v>0.37076972499536498</v>
      </c>
    </row>
    <row r="55" spans="1:19" x14ac:dyDescent="0.2">
      <c r="B55" s="58" t="s">
        <v>268</v>
      </c>
      <c r="C55" s="18" t="s">
        <v>463</v>
      </c>
      <c r="D55" s="349" t="s">
        <v>49</v>
      </c>
      <c r="E55" s="349" t="s">
        <v>50</v>
      </c>
      <c r="F55" s="371">
        <f t="shared" si="6"/>
        <v>5.6856791941491797E-4</v>
      </c>
      <c r="G55" s="372">
        <f>'Forage crops, CF'!F86</f>
        <v>8.4775511796441287E-6</v>
      </c>
      <c r="H55" s="372">
        <f>'Forage crops, CF'!G86</f>
        <v>1.1000000000000001E-6</v>
      </c>
      <c r="I55" s="372">
        <f>'Forage crops, CF'!H86</f>
        <v>4.4539146348171341E-4</v>
      </c>
      <c r="J55" s="372">
        <f>'Forage crops, CF'!I86</f>
        <v>4.4539146348171342E-5</v>
      </c>
      <c r="K55" s="372">
        <f>'Forage crops, CF'!J86</f>
        <v>8.3108126667827761E-7</v>
      </c>
      <c r="L55" s="372"/>
      <c r="M55" s="372">
        <f>'Forage crops, CF'!L86</f>
        <v>1.2867713871083583E-7</v>
      </c>
      <c r="N55" s="372">
        <f>'Forage crops, CF'!M86</f>
        <v>0</v>
      </c>
      <c r="O55" s="372"/>
      <c r="P55" s="372">
        <f>'Forage crops, CF'!O86</f>
        <v>6.8099999999999988E-5</v>
      </c>
      <c r="Q55" s="372"/>
      <c r="R55" s="351">
        <f>'Parameters, country spec'!E18</f>
        <v>0.37327838127398499</v>
      </c>
      <c r="S55" s="351">
        <f>'Parameters, country spec'!E36</f>
        <v>0.135443882227997</v>
      </c>
    </row>
    <row r="56" spans="1:19" x14ac:dyDescent="0.2">
      <c r="B56" s="58" t="s">
        <v>465</v>
      </c>
      <c r="C56" s="18" t="s">
        <v>463</v>
      </c>
      <c r="D56" s="349" t="s">
        <v>49</v>
      </c>
      <c r="E56" s="349" t="s">
        <v>50</v>
      </c>
      <c r="F56" s="371">
        <f t="shared" si="6"/>
        <v>1.6556290380863938E-4</v>
      </c>
      <c r="G56" s="372">
        <f>'Forage crops, CF'!F146*'Forage, input data per ha'!$D$81+'Forage crops, CF'!F206*'Forage, input data per ha'!$E$81</f>
        <v>7.7577264355697755E-7</v>
      </c>
      <c r="H56" s="372">
        <f>'Forage crops, CF'!G146*'Forage, input data per ha'!$D$81+'Forage crops, CF'!G206*'Forage, input data per ha'!$E$81</f>
        <v>1.1000000000000001E-6</v>
      </c>
      <c r="I56" s="372">
        <f>'Forage crops, CF'!H146*'Forage, input data per ha'!$D$81+'Forage crops, CF'!H206*'Forage, input data per ha'!$E$81</f>
        <v>8.6191236782800874E-5</v>
      </c>
      <c r="J56" s="372">
        <f>'Forage crops, CF'!I146*'Forage, input data per ha'!$D$81+'Forage crops, CF'!I206*'Forage, input data per ha'!$E$81</f>
        <v>8.6191236782800874E-6</v>
      </c>
      <c r="K56" s="372">
        <f>'Forage crops, CF'!J146*'Forage, input data per ha'!$D$81+'Forage crops, CF'!J206*'Forage, input data per ha'!$E$81</f>
        <v>7.7677070400142444E-7</v>
      </c>
      <c r="L56" s="372"/>
      <c r="M56" s="372">
        <f>'Forage crops, CF'!L146*'Forage, input data per ha'!$D$81+'Forage crops, CF'!L206*'Forage, input data per ha'!$E$81</f>
        <v>0</v>
      </c>
      <c r="N56" s="372">
        <f>'Forage crops, CF'!M146*'Forage, input data per ha'!$D$81+'Forage crops, CF'!M206*'Forage, input data per ha'!$E$81</f>
        <v>0</v>
      </c>
      <c r="O56" s="372"/>
      <c r="P56" s="372">
        <f>'Forage crops, CF'!O146*'Forage, input data per ha'!$D$81+'Forage crops, CF'!O206*'Forage, input data per ha'!$E$81</f>
        <v>6.8099999999999988E-5</v>
      </c>
      <c r="Q56" s="372"/>
      <c r="R56" s="351">
        <f>'Parameters, country spec'!E19</f>
        <v>3.3371391200029701E-2</v>
      </c>
      <c r="S56" s="351">
        <f>'Parameters, country spec'!E37</f>
        <v>3.5518223853143398E-2</v>
      </c>
    </row>
    <row r="57" spans="1:19" x14ac:dyDescent="0.2">
      <c r="A57" s="353" t="s">
        <v>466</v>
      </c>
      <c r="B57" s="18" t="s">
        <v>274</v>
      </c>
      <c r="C57" s="18" t="s">
        <v>467</v>
      </c>
      <c r="D57" s="349" t="s">
        <v>49</v>
      </c>
      <c r="E57" s="349" t="s">
        <v>50</v>
      </c>
      <c r="F57" s="371">
        <f t="shared" si="6"/>
        <v>8.0424114716977791E-4</v>
      </c>
      <c r="G57" s="373">
        <v>1.05371357003096E-5</v>
      </c>
      <c r="H57" s="373">
        <v>1.1000000000000001E-6</v>
      </c>
      <c r="I57" s="373">
        <v>7.1743610463472103E-4</v>
      </c>
      <c r="J57" s="373">
        <v>7.1743610463472098E-5</v>
      </c>
      <c r="K57" s="373">
        <v>1.8142750866751799E-6</v>
      </c>
      <c r="L57" s="373">
        <v>0</v>
      </c>
      <c r="M57" s="373">
        <v>0</v>
      </c>
      <c r="N57" s="373">
        <v>1.6100212846E-6</v>
      </c>
      <c r="O57" s="373"/>
      <c r="P57" s="373"/>
      <c r="Q57" s="373"/>
      <c r="R57" s="351">
        <f>'Parameters, country spec'!E20</f>
        <v>8.1233791668593805E-2</v>
      </c>
      <c r="S57" s="351">
        <f>'Parameters, country spec'!E38</f>
        <v>6.7240073264057107E-2</v>
      </c>
    </row>
    <row r="58" spans="1:19" x14ac:dyDescent="0.2">
      <c r="A58" s="353" t="s">
        <v>468</v>
      </c>
      <c r="B58" s="18" t="s">
        <v>276</v>
      </c>
      <c r="C58" s="18" t="s">
        <v>467</v>
      </c>
      <c r="D58" s="349" t="s">
        <v>49</v>
      </c>
      <c r="E58" s="349" t="s">
        <v>50</v>
      </c>
      <c r="F58" s="371">
        <f t="shared" si="6"/>
        <v>3.4886143898670517E-4</v>
      </c>
      <c r="G58" s="373">
        <v>4.0207208294968496E-6</v>
      </c>
      <c r="H58" s="373">
        <v>1.1000000000000001E-6</v>
      </c>
      <c r="I58" s="373">
        <v>3.1019526728381599E-4</v>
      </c>
      <c r="J58" s="373">
        <v>3.1019526728381603E-5</v>
      </c>
      <c r="K58" s="373">
        <v>4.1083460314251599E-7</v>
      </c>
      <c r="L58" s="373">
        <v>0</v>
      </c>
      <c r="M58" s="373">
        <v>5.0506825726825797E-7</v>
      </c>
      <c r="N58" s="373">
        <v>1.6100212846E-6</v>
      </c>
      <c r="O58" s="373"/>
      <c r="P58" s="373"/>
      <c r="Q58" s="373"/>
      <c r="R58" s="351">
        <f>'Parameters, country spec'!E21</f>
        <v>0.24296307089861899</v>
      </c>
      <c r="S58" s="351">
        <f>'Parameters, country spec'!E39</f>
        <v>0.201109099496879</v>
      </c>
    </row>
    <row r="59" spans="1:19" x14ac:dyDescent="0.2">
      <c r="A59" s="353" t="s">
        <v>469</v>
      </c>
      <c r="B59" s="18" t="s">
        <v>278</v>
      </c>
      <c r="C59" s="18" t="s">
        <v>467</v>
      </c>
      <c r="D59" s="349" t="s">
        <v>49</v>
      </c>
      <c r="E59" s="349" t="s">
        <v>50</v>
      </c>
      <c r="F59" s="371">
        <f t="shared" si="6"/>
        <v>1.2830889552105768E-3</v>
      </c>
      <c r="G59" s="373">
        <v>1.9584863602335901E-5</v>
      </c>
      <c r="H59" s="373">
        <v>1.1000000000000001E-6</v>
      </c>
      <c r="I59" s="373">
        <v>1.1423031173943749E-3</v>
      </c>
      <c r="J59" s="373">
        <v>1.1423031173943699E-4</v>
      </c>
      <c r="K59" s="373">
        <v>4.2541313021400102E-6</v>
      </c>
      <c r="L59" s="373">
        <v>0</v>
      </c>
      <c r="M59" s="373">
        <v>6.5098876890479201E-9</v>
      </c>
      <c r="N59" s="373">
        <v>1.6100212846E-6</v>
      </c>
      <c r="O59" s="373"/>
      <c r="P59" s="373"/>
      <c r="Q59" s="373"/>
      <c r="R59" s="351">
        <f>'Parameters, country spec'!E22</f>
        <v>2.2076768828459801E-2</v>
      </c>
      <c r="S59" s="351">
        <f>'Parameters, country spec'!E40</f>
        <v>1.82737198718744E-2</v>
      </c>
    </row>
    <row r="60" spans="1:19" x14ac:dyDescent="0.2">
      <c r="A60" s="353" t="s">
        <v>470</v>
      </c>
      <c r="B60" s="18" t="s">
        <v>280</v>
      </c>
      <c r="C60" s="18" t="s">
        <v>467</v>
      </c>
      <c r="D60" s="349" t="s">
        <v>49</v>
      </c>
      <c r="E60" s="349" t="s">
        <v>50</v>
      </c>
      <c r="F60" s="371">
        <f t="shared" si="6"/>
        <v>1.0682165552884225E-3</v>
      </c>
      <c r="G60" s="373">
        <v>1.58250003955344E-5</v>
      </c>
      <c r="H60" s="373">
        <v>1.1000000000000001E-6</v>
      </c>
      <c r="I60" s="373">
        <v>9.5176891161277493E-4</v>
      </c>
      <c r="J60" s="373">
        <v>9.5176891161277501E-5</v>
      </c>
      <c r="K60" s="373">
        <v>2.6959452694810602E-6</v>
      </c>
      <c r="L60" s="373">
        <v>0</v>
      </c>
      <c r="M60" s="373">
        <v>3.9785564754896802E-8</v>
      </c>
      <c r="N60" s="373">
        <v>1.6100212846E-6</v>
      </c>
      <c r="O60" s="373"/>
      <c r="P60" s="373"/>
      <c r="Q60" s="373"/>
      <c r="R60" s="351">
        <f>'Parameters, country spec'!E23</f>
        <v>4.8693567263410099E-3</v>
      </c>
      <c r="S60" s="351">
        <f>'Parameters, country spec'!E41</f>
        <v>4.0305382311056201E-3</v>
      </c>
    </row>
    <row r="61" spans="1:19" x14ac:dyDescent="0.2">
      <c r="A61" s="353" t="s">
        <v>471</v>
      </c>
      <c r="B61" s="18" t="s">
        <v>281</v>
      </c>
      <c r="C61" s="18" t="s">
        <v>467</v>
      </c>
      <c r="D61" s="349" t="s">
        <v>49</v>
      </c>
      <c r="E61" s="349" t="s">
        <v>50</v>
      </c>
      <c r="F61" s="371">
        <f t="shared" si="6"/>
        <v>1.0928562458315128E-3</v>
      </c>
      <c r="G61" s="373">
        <v>1.63548553132347E-5</v>
      </c>
      <c r="H61" s="373">
        <v>1.1000000000000001E-6</v>
      </c>
      <c r="I61" s="373">
        <v>9.7457378580730199E-4</v>
      </c>
      <c r="J61" s="373">
        <v>9.7457378580730199E-5</v>
      </c>
      <c r="K61" s="373">
        <v>1.7300700704720199E-6</v>
      </c>
      <c r="L61" s="373">
        <v>0</v>
      </c>
      <c r="M61" s="373">
        <v>3.01347751738259E-8</v>
      </c>
      <c r="N61" s="373">
        <v>1.6100212846E-6</v>
      </c>
      <c r="O61" s="373"/>
      <c r="P61" s="373"/>
      <c r="Q61" s="373"/>
      <c r="R61" s="351">
        <f>'Parameters, country spec'!E24</f>
        <v>3.4919458703584899E-3</v>
      </c>
      <c r="S61" s="351">
        <f>'Parameters, country spec'!E42</f>
        <v>2.89040670515525E-3</v>
      </c>
    </row>
    <row r="62" spans="1:19" x14ac:dyDescent="0.2">
      <c r="A62" s="353" t="s">
        <v>472</v>
      </c>
      <c r="B62" s="18" t="s">
        <v>282</v>
      </c>
      <c r="C62" s="18" t="s">
        <v>473</v>
      </c>
      <c r="D62" s="349" t="s">
        <v>49</v>
      </c>
      <c r="E62" s="349" t="s">
        <v>50</v>
      </c>
      <c r="F62" s="371">
        <f t="shared" si="6"/>
        <v>3.4617528017266859E-4</v>
      </c>
      <c r="G62" s="373">
        <v>0</v>
      </c>
      <c r="H62" s="373">
        <v>1.1000000000000001E-6</v>
      </c>
      <c r="I62" s="373">
        <v>3.0762159999999999E-4</v>
      </c>
      <c r="J62" s="373">
        <v>3.0762159999999999E-5</v>
      </c>
      <c r="K62" s="373">
        <v>2.9629318429048401E-6</v>
      </c>
      <c r="L62" s="373">
        <v>0</v>
      </c>
      <c r="M62" s="373">
        <v>2.11856704516376E-6</v>
      </c>
      <c r="N62" s="373">
        <v>1.6100212846E-6</v>
      </c>
      <c r="O62" s="373"/>
      <c r="P62" s="373"/>
      <c r="Q62" s="373"/>
      <c r="R62" s="351">
        <f>'Parameters, country spec'!E25</f>
        <v>3.4441220927794902E-4</v>
      </c>
      <c r="S62" s="351">
        <f>'Parameters, country spec'!E43</f>
        <v>2.7727022810161402E-4</v>
      </c>
    </row>
    <row r="63" spans="1:19" x14ac:dyDescent="0.2">
      <c r="A63" s="353" t="s">
        <v>474</v>
      </c>
      <c r="B63" s="18" t="s">
        <v>283</v>
      </c>
      <c r="C63" s="18" t="s">
        <v>473</v>
      </c>
      <c r="D63" s="349" t="s">
        <v>49</v>
      </c>
      <c r="E63" s="349" t="s">
        <v>50</v>
      </c>
      <c r="F63" s="371">
        <f t="shared" si="6"/>
        <v>3.5115298621492871E-4</v>
      </c>
      <c r="G63" s="373">
        <v>2.26624667947615E-7</v>
      </c>
      <c r="H63" s="373">
        <v>1.1000000000000001E-6</v>
      </c>
      <c r="I63" s="373">
        <v>3.1348452422699368E-4</v>
      </c>
      <c r="J63" s="373">
        <v>3.13484524226994E-5</v>
      </c>
      <c r="K63" s="373">
        <v>1.68111352317712E-6</v>
      </c>
      <c r="L63" s="373">
        <v>0</v>
      </c>
      <c r="M63" s="373">
        <v>1.70225008951088E-6</v>
      </c>
      <c r="N63" s="373">
        <v>1.6100212846E-6</v>
      </c>
      <c r="O63" s="373"/>
      <c r="P63" s="373"/>
      <c r="Q63" s="373"/>
      <c r="R63" s="351">
        <f>'Parameters, country spec'!E26</f>
        <v>3.3832628680436602E-4</v>
      </c>
      <c r="S63" s="351">
        <f>'Parameters, country spec'!E44</f>
        <v>2.7237073543291999E-4</v>
      </c>
    </row>
    <row r="64" spans="1:19" x14ac:dyDescent="0.2">
      <c r="B64" s="58" t="s">
        <v>284</v>
      </c>
      <c r="C64" s="18" t="s">
        <v>475</v>
      </c>
      <c r="D64" s="349" t="s">
        <v>49</v>
      </c>
      <c r="E64" s="349" t="s">
        <v>50</v>
      </c>
      <c r="F64" s="371">
        <f t="shared" si="6"/>
        <v>1.5426052012212821E-3</v>
      </c>
      <c r="G64" s="372">
        <f>'Off-farm feed'!$F$77</f>
        <v>3.5160526410462891E-4</v>
      </c>
      <c r="H64" s="372">
        <f>'Off-farm feed'!$G$77</f>
        <v>5.3103448275862083E-7</v>
      </c>
      <c r="I64" s="372">
        <f>'Off-farm feed'!$H$77</f>
        <v>1.0756102664162706E-3</v>
      </c>
      <c r="J64" s="372">
        <f>'Off-farm feed'!$I$77</f>
        <v>1.0756102664162704E-4</v>
      </c>
      <c r="K64" s="372">
        <f>'Off-farm feed'!$J$77</f>
        <v>6.6339607025480393E-7</v>
      </c>
      <c r="L64" s="372"/>
      <c r="M64" s="372">
        <f>'Off-farm feed'!$L$77</f>
        <v>7.9511067188965528E-9</v>
      </c>
      <c r="N64" s="372">
        <f>'Off-farm feed'!$M$77</f>
        <v>1.2789681892721842E-6</v>
      </c>
      <c r="O64" s="372"/>
      <c r="P64" s="372">
        <f>'Off-farm feed'!$O$77</f>
        <v>4.8776996151562936E-6</v>
      </c>
      <c r="Q64" s="372">
        <f>'Off-farm feed'!$P$77</f>
        <v>4.6959459459459463E-7</v>
      </c>
      <c r="R64" s="351">
        <f>'Parameters, country spec'!E27</f>
        <v>3.7586046391160401E-4</v>
      </c>
      <c r="S64" s="351">
        <f>'Parameters, country spec'!E45</f>
        <v>3.0258775338687599E-4</v>
      </c>
    </row>
    <row r="65" spans="1:19" x14ac:dyDescent="0.2">
      <c r="B65" s="58" t="s">
        <v>476</v>
      </c>
      <c r="C65" s="18" t="s">
        <v>475</v>
      </c>
      <c r="D65" s="349" t="s">
        <v>49</v>
      </c>
      <c r="E65" s="349" t="s">
        <v>50</v>
      </c>
      <c r="F65" s="371">
        <f t="shared" si="6"/>
        <v>1.8866346644602484E-4</v>
      </c>
      <c r="G65" s="372">
        <f>'Off-farm feed'!$F$26</f>
        <v>1.6332109719061435E-5</v>
      </c>
      <c r="H65" s="372">
        <f>'Off-farm feed'!$G$26</f>
        <v>8.7195121951219526E-7</v>
      </c>
      <c r="I65" s="372">
        <f>'Off-farm feed'!$H$26</f>
        <v>1.3333449845358183E-4</v>
      </c>
      <c r="J65" s="372">
        <f>'Off-farm feed'!$I$26</f>
        <v>1.3333449845358186E-5</v>
      </c>
      <c r="K65" s="372">
        <f>'Off-farm feed'!$J$26</f>
        <v>1.1576736579983962E-6</v>
      </c>
      <c r="L65" s="372"/>
      <c r="M65" s="372">
        <f>'Off-farm feed'!$L$26</f>
        <v>7.3437786087804875E-9</v>
      </c>
      <c r="N65" s="372">
        <f>'Off-farm feed'!$M$26</f>
        <v>1.1195281639512195E-6</v>
      </c>
      <c r="O65" s="372"/>
      <c r="P65" s="372">
        <f>'Off-farm feed'!$O$26</f>
        <v>1.3419073770114999E-5</v>
      </c>
      <c r="Q65" s="372">
        <f>'Off-farm feed'!$P$26</f>
        <v>9.087837837837838E-6</v>
      </c>
      <c r="R65" s="351">
        <f>'Parameters, country spec'!E28</f>
        <v>6.6229033989623307E-2</v>
      </c>
      <c r="S65" s="351">
        <f>'Parameters, country spec'!E46</f>
        <v>5.3317910590755302E-2</v>
      </c>
    </row>
    <row r="66" spans="1:19" x14ac:dyDescent="0.2">
      <c r="B66" s="18" t="s">
        <v>286</v>
      </c>
      <c r="C66" s="18" t="s">
        <v>477</v>
      </c>
      <c r="D66" s="349" t="s">
        <v>49</v>
      </c>
      <c r="E66" s="349" t="s">
        <v>50</v>
      </c>
      <c r="F66" s="374">
        <f t="shared" si="6"/>
        <v>1.2541804183091736E-4</v>
      </c>
      <c r="G66" s="373">
        <v>1.47193697819112E-6</v>
      </c>
      <c r="H66" s="373">
        <v>9.9E-8</v>
      </c>
      <c r="I66" s="373">
        <v>8.7711640722657209E-5</v>
      </c>
      <c r="J66">
        <v>8.7711640722657203E-6</v>
      </c>
      <c r="K66" s="373">
        <v>1.55706306342482E-7</v>
      </c>
      <c r="L66">
        <v>0</v>
      </c>
      <c r="M66">
        <v>2.7121297656443401E-9</v>
      </c>
      <c r="N66" s="216">
        <v>1.4490191561399999E-7</v>
      </c>
      <c r="O66" s="216"/>
      <c r="P66" s="373">
        <v>2.4913162191712101E-5</v>
      </c>
      <c r="Q66" s="373">
        <v>2.14781751436908E-6</v>
      </c>
      <c r="R66" s="351">
        <f>'Parameters, country spec'!E29</f>
        <v>4.7111416374646303E-2</v>
      </c>
      <c r="S66" s="351">
        <f>'Parameters, country spec'!E47</f>
        <v>4.6947510766466402E-2</v>
      </c>
    </row>
    <row r="67" spans="1:19" x14ac:dyDescent="0.2">
      <c r="A67" s="354"/>
      <c r="B67" s="18" t="s">
        <v>478</v>
      </c>
      <c r="C67" s="355" t="s">
        <v>479</v>
      </c>
      <c r="D67" s="349" t="s">
        <v>49</v>
      </c>
      <c r="E67" s="349" t="s">
        <v>50</v>
      </c>
      <c r="F67" s="371">
        <f t="shared" si="6"/>
        <v>2.0074901962595048E-4</v>
      </c>
      <c r="G67" s="375">
        <f t="shared" ref="G67:Q67" si="7">SUMPRODUCT(G57:G65,$R57:$R65)</f>
        <v>3.6132875545691504E-6</v>
      </c>
      <c r="H67" s="375">
        <f t="shared" si="7"/>
        <v>4.4879752155870923E-7</v>
      </c>
      <c r="I67" s="375">
        <f t="shared" si="7"/>
        <v>1.7634897598378118E-4</v>
      </c>
      <c r="J67" s="375">
        <f t="shared" si="7"/>
        <v>1.7634897598378106E-5</v>
      </c>
      <c r="K67" s="375">
        <f t="shared" si="7"/>
        <v>4.3879457202162114E-7</v>
      </c>
      <c r="L67" s="375">
        <f t="shared" si="7"/>
        <v>0</v>
      </c>
      <c r="M67" s="375">
        <f t="shared" si="7"/>
        <v>1.2495054737427105E-7</v>
      </c>
      <c r="N67" s="375">
        <f t="shared" si="7"/>
        <v>6.4669499790055733E-7</v>
      </c>
      <c r="O67" s="375">
        <f t="shared" si="7"/>
        <v>0</v>
      </c>
      <c r="P67" s="375">
        <f t="shared" si="7"/>
        <v>8.905656272703829E-7</v>
      </c>
      <c r="Q67" s="375">
        <f t="shared" si="7"/>
        <v>6.0205522309652164E-7</v>
      </c>
      <c r="R67" s="351">
        <f>'Parameters, country spec'!E30</f>
        <v>4.1638794367828399E-2</v>
      </c>
      <c r="S67" s="351">
        <f>'Parameters, country spec'!E48</f>
        <v>6.36066812802797E-2</v>
      </c>
    </row>
    <row r="68" spans="1:19" x14ac:dyDescent="0.2">
      <c r="A68" s="357"/>
      <c r="B68" s="358" t="s">
        <v>480</v>
      </c>
      <c r="C68" s="359"/>
      <c r="D68" s="360"/>
      <c r="E68" s="360"/>
      <c r="F68" s="376">
        <f>SUMPRODUCT(F54:F56,R54:R56)+SUMPRODUCT(F57:F67,R57:R67)/0.87</f>
        <v>4.7784469579841292E-4</v>
      </c>
      <c r="G68" s="376">
        <f>SUMPRODUCT(G54:G56,R54:R56)+SUMPRODUCT(G57:G67,R57:R67)/0.87</f>
        <v>7.7488025223236308E-6</v>
      </c>
      <c r="H68" s="376">
        <f>SUMPRODUCT(H54:H56,R54:R56)+SUMPRODUCT(H57:H67,R57:R67)/0.87</f>
        <v>1.0809598749985538E-6</v>
      </c>
      <c r="I68" s="376">
        <f>SUMPRODUCT(I54:I56,R54:R56)+SUMPRODUCT(I57:I67,R57:R67)/0.87</f>
        <v>3.9649795044179032E-4</v>
      </c>
      <c r="J68" s="376">
        <f>SUMPRODUCT(J54:J56,R54:R56)+SUMPRODUCT(J57:J67,R57:R67)/0.87</f>
        <v>3.9649795044179017E-5</v>
      </c>
      <c r="K68" s="376">
        <f>SUMPRODUCT(K54:K56,R54:R56)+SUMPRODUCT(K57:K67,R57:R67)/0.87</f>
        <v>9.4195761596682196E-7</v>
      </c>
      <c r="L68" s="376">
        <f>SUMPRODUCT(L54:L56,R54:R56)+SUMPRODUCT(L57:L67,R57:R67)/0.87</f>
        <v>0</v>
      </c>
      <c r="M68" s="376">
        <f>SUMPRODUCT(M54:M56,R54:R56)+SUMPRODUCT(M57:M67,R57:R67)/0.87</f>
        <v>1.9778079611068131E-7</v>
      </c>
      <c r="N68" s="376">
        <f>SUMPRODUCT(N54:N56,R54:R56)+SUMPRODUCT(N57:N67,R57:R67)/0.87</f>
        <v>7.8212543955955965E-7</v>
      </c>
      <c r="O68" s="376">
        <f>SUMPRODUCT(O54:O56,R54:R56)+SUMPRODUCT(O57:O67,R57:R67)/0.87</f>
        <v>0</v>
      </c>
      <c r="P68" s="376">
        <f>SUMPRODUCT(P54:P56,R54:R56)+SUMPRODUCT(P57:P67,R57:R67)/0.87</f>
        <v>3.0108185210673726E-5</v>
      </c>
      <c r="Q68" s="376">
        <f>SUMPRODUCT(Q54:Q56,R54:R56)+SUMPRODUCT(Q57:Q67,R57:R67)/0.87</f>
        <v>8.3713885281070604E-7</v>
      </c>
      <c r="R68" s="362"/>
      <c r="S68" s="369"/>
    </row>
    <row r="69" spans="1:19" x14ac:dyDescent="0.2">
      <c r="A69" s="363"/>
      <c r="B69" s="364" t="s">
        <v>481</v>
      </c>
      <c r="C69" s="365"/>
      <c r="D69" s="366"/>
      <c r="E69" s="366"/>
      <c r="F69" s="377">
        <f>SUMPRODUCT(F54:F56,S54:S56)+SUMPRODUCT(F57:F67,S57:S67)/0.87</f>
        <v>3.5301386304227513E-4</v>
      </c>
      <c r="G69" s="377">
        <f>SUMPRODUCT(G54:G56,S54:S56)+SUMPRODUCT(G57:G67,S57:S67)/0.87</f>
        <v>5.609752161322122E-6</v>
      </c>
      <c r="H69" s="377">
        <f>SUMPRODUCT(H54:H56,S54:S56)+SUMPRODUCT(H57:H67,S57:S67)/0.87</f>
        <v>1.0595239251697548E-6</v>
      </c>
      <c r="I69" s="377">
        <f>SUMPRODUCT(I54:I56,S54:S56)+SUMPRODUCT(I57:I67,S57:S67)/0.87</f>
        <v>3.0001680467139674E-4</v>
      </c>
      <c r="J69" s="377">
        <f>SUMPRODUCT(J54:J56,S54:S56)+SUMPRODUCT(J57:J67,S57:S67)/0.87</f>
        <v>3.0001680467139659E-5</v>
      </c>
      <c r="K69" s="377">
        <f>SUMPRODUCT(K54:K56,S54:S56)+SUMPRODUCT(K57:K67,S57:S67)/0.87</f>
        <v>9.1903010429566463E-7</v>
      </c>
      <c r="L69" s="377">
        <f>SUMPRODUCT(L54:L56,S54:S56)+SUMPRODUCT(L57:L67,S57:S67)/0.87</f>
        <v>0</v>
      </c>
      <c r="M69" s="377">
        <f>SUMPRODUCT(M54:M56,S54:S56)+SUMPRODUCT(M57:M67,S57:S67)/0.87</f>
        <v>1.4554379347746026E-7</v>
      </c>
      <c r="N69" s="377">
        <f>SUMPRODUCT(N54:N56,S54:S56)+SUMPRODUCT(N57:N67,S57:S67)/0.87</f>
        <v>6.6840410301190704E-7</v>
      </c>
      <c r="O69" s="377">
        <f>SUMPRODUCT(O54:O56,S54:S56)+SUMPRODUCT(O57:O67,S57:S67)/0.87</f>
        <v>0</v>
      </c>
      <c r="P69" s="377">
        <f>SUMPRODUCT(P54:P56,S54:S56)+SUMPRODUCT(P57:P67,S57:S67)/0.87</f>
        <v>1.3876093886067124E-5</v>
      </c>
      <c r="Q69" s="377">
        <f>SUMPRODUCT(Q54:Q56,S54:S56)+SUMPRODUCT(Q57:Q67,S57:S67)/0.87</f>
        <v>7.1702993039468677E-7</v>
      </c>
      <c r="R69" s="368"/>
      <c r="S69" s="368"/>
    </row>
    <row r="70" spans="1:19" x14ac:dyDescent="0.2">
      <c r="B70" s="58" t="s">
        <v>264</v>
      </c>
      <c r="C70" s="18" t="s">
        <v>463</v>
      </c>
      <c r="D70" s="349" t="s">
        <v>51</v>
      </c>
      <c r="E70" s="349" t="s">
        <v>52</v>
      </c>
      <c r="F70" s="371">
        <f t="shared" ref="F70:F83" si="8">SUM(G70:Q70)</f>
        <v>2.0098105149425548E-4</v>
      </c>
      <c r="G70" s="372">
        <f>'Forage crops, CF'!F31</f>
        <v>7.0918375053744449E-6</v>
      </c>
      <c r="H70" s="372">
        <f>'Forage crops, CF'!G31</f>
        <v>1.1000000000000001E-6</v>
      </c>
      <c r="I70" s="372">
        <f>'Forage crops, CF'!H31</f>
        <v>1.7407334076117404E-4</v>
      </c>
      <c r="J70" s="372">
        <f>'Forage crops, CF'!I31</f>
        <v>1.7407334076117404E-5</v>
      </c>
      <c r="K70" s="372">
        <f>'Forage crops, CF'!J31</f>
        <v>1.3085391515895941E-6</v>
      </c>
      <c r="L70" s="372">
        <f>'Forage crops, CF'!K31</f>
        <v>0</v>
      </c>
      <c r="M70" s="372">
        <f>'Forage crops, CF'!L31</f>
        <v>0</v>
      </c>
      <c r="N70" s="372">
        <f>'Forage crops, CF'!M31</f>
        <v>0</v>
      </c>
      <c r="O70" s="372">
        <f>'Forage crops, CF'!N31</f>
        <v>0</v>
      </c>
      <c r="P70" s="372">
        <f>'Forage crops, CF'!O31</f>
        <v>0</v>
      </c>
      <c r="Q70" s="372">
        <f>'Forage crops, CF'!P31</f>
        <v>0</v>
      </c>
      <c r="R70" s="351">
        <f>'Parameters, country spec'!F17</f>
        <v>5.3418699404756603E-2</v>
      </c>
      <c r="S70" s="351">
        <f>'Parameters, country spec'!F35</f>
        <v>7.7439143939213403E-2</v>
      </c>
    </row>
    <row r="71" spans="1:19" x14ac:dyDescent="0.2">
      <c r="B71" s="58" t="s">
        <v>268</v>
      </c>
      <c r="C71" s="18" t="s">
        <v>463</v>
      </c>
      <c r="D71" s="349" t="s">
        <v>51</v>
      </c>
      <c r="E71" s="349" t="s">
        <v>52</v>
      </c>
      <c r="F71" s="371">
        <f t="shared" si="8"/>
        <v>4.4294701540057617E-4</v>
      </c>
      <c r="G71" s="372">
        <f>'Forage crops, CF'!F91</f>
        <v>1.5063564777111198E-5</v>
      </c>
      <c r="H71" s="372">
        <f>'Forage crops, CF'!G91</f>
        <v>1.1000000000000001E-6</v>
      </c>
      <c r="I71" s="372">
        <f>'Forage crops, CF'!H91</f>
        <v>3.2555010041627135E-4</v>
      </c>
      <c r="J71" s="372">
        <f>'Forage crops, CF'!I91</f>
        <v>3.2555010041627139E-5</v>
      </c>
      <c r="K71" s="372">
        <f>'Forage crops, CF'!J91</f>
        <v>5.7798727160526381E-7</v>
      </c>
      <c r="L71" s="372"/>
      <c r="M71" s="372">
        <f>'Forage crops, CF'!L91</f>
        <v>3.5289396128023991E-10</v>
      </c>
      <c r="N71" s="372">
        <f>'Forage crops, CF'!M91</f>
        <v>0</v>
      </c>
      <c r="O71" s="372">
        <f>'Forage crops, CF'!N91</f>
        <v>0</v>
      </c>
      <c r="P71" s="372">
        <f>'Forage crops, CF'!O91</f>
        <v>6.8099999999999988E-5</v>
      </c>
      <c r="Q71" s="372"/>
      <c r="R71" s="351">
        <f>'Parameters, country spec'!F18</f>
        <v>0.25046523624431899</v>
      </c>
      <c r="S71" s="351">
        <f>'Parameters, country spec'!F36</f>
        <v>0.38082943222890397</v>
      </c>
    </row>
    <row r="72" spans="1:19" x14ac:dyDescent="0.2">
      <c r="B72" s="58" t="s">
        <v>465</v>
      </c>
      <c r="C72" s="18" t="s">
        <v>463</v>
      </c>
      <c r="D72" s="349" t="s">
        <v>51</v>
      </c>
      <c r="E72" s="349" t="s">
        <v>52</v>
      </c>
      <c r="F72" s="371">
        <f t="shared" si="8"/>
        <v>1.2898278032204256E-4</v>
      </c>
      <c r="G72" s="372">
        <f>'Forage crops, CF'!F151*'Forage, input data per ha'!$D$82+'Forage crops, CF'!F211*'Forage, input data per ha'!$E$82</f>
        <v>1.158035605927484E-6</v>
      </c>
      <c r="H72" s="372">
        <f>'Forage crops, CF'!G151*'Forage, input data per ha'!$D$82+'Forage crops, CF'!G211*'Forage, input data per ha'!$E$82</f>
        <v>1.1000000000000001E-6</v>
      </c>
      <c r="I72" s="372">
        <f>'Forage crops, CF'!H151*'Forage, input data per ha'!$D$82+'Forage crops, CF'!H211*'Forage, input data per ha'!$E$82</f>
        <v>5.2536508039072704E-5</v>
      </c>
      <c r="J72" s="372">
        <f>'Forage crops, CF'!I151*'Forage, input data per ha'!$D$82+'Forage crops, CF'!I211*'Forage, input data per ha'!$E$82</f>
        <v>5.2536508039072711E-6</v>
      </c>
      <c r="K72" s="372">
        <f>'Forage crops, CF'!J151*'Forage, input data per ha'!$D$82+'Forage crops, CF'!J211*'Forage, input data per ha'!$E$82</f>
        <v>8.3458587313510686E-7</v>
      </c>
      <c r="L72" s="372"/>
      <c r="M72" s="372">
        <f>'Forage crops, CF'!L151*'Forage, input data per ha'!$D$82+'Forage crops, CF'!L211*'Forage, input data per ha'!$E$82</f>
        <v>0</v>
      </c>
      <c r="N72" s="372">
        <f>'Forage crops, CF'!M151*'Forage, input data per ha'!$D$82+'Forage crops, CF'!M211*'Forage, input data per ha'!$E$82</f>
        <v>0</v>
      </c>
      <c r="O72" s="372">
        <f>'Forage crops, CF'!N151*'Forage, input data per ha'!$D$82+'Forage crops, CF'!N211*'Forage, input data per ha'!$E$82</f>
        <v>0</v>
      </c>
      <c r="P72" s="372">
        <f>'Forage crops, CF'!O151*'Forage, input data per ha'!$D$82+'Forage crops, CF'!O211*'Forage, input data per ha'!$E$82</f>
        <v>6.8099999999999988E-5</v>
      </c>
      <c r="Q72" s="372"/>
      <c r="R72" s="351">
        <f>'Parameters, country spec'!F19</f>
        <v>9.7106054001350806E-2</v>
      </c>
      <c r="S72" s="351">
        <f>'Parameters, country spec'!F37</f>
        <v>0.18201404564523599</v>
      </c>
    </row>
    <row r="73" spans="1:19" x14ac:dyDescent="0.2">
      <c r="A73" s="353" t="s">
        <v>466</v>
      </c>
      <c r="B73" s="18" t="s">
        <v>274</v>
      </c>
      <c r="C73" s="18" t="s">
        <v>467</v>
      </c>
      <c r="D73" s="349" t="s">
        <v>51</v>
      </c>
      <c r="E73" s="349" t="s">
        <v>52</v>
      </c>
      <c r="F73" s="371">
        <f t="shared" si="8"/>
        <v>6.2529149780172143E-4</v>
      </c>
      <c r="G73" s="373">
        <v>2.0840455424550699E-5</v>
      </c>
      <c r="H73" s="373">
        <v>1.1000000000000001E-6</v>
      </c>
      <c r="I73" s="373">
        <v>5.46310338305571E-4</v>
      </c>
      <c r="J73" s="373">
        <v>5.4631033830557102E-5</v>
      </c>
      <c r="K73" s="373">
        <v>9.3378076224258701E-7</v>
      </c>
      <c r="L73" s="373">
        <v>0</v>
      </c>
      <c r="M73" s="373">
        <v>0</v>
      </c>
      <c r="N73" s="373">
        <v>1.4758894788E-6</v>
      </c>
      <c r="O73" s="373"/>
      <c r="P73" s="373"/>
      <c r="Q73" s="373"/>
      <c r="R73" s="351">
        <f>'Parameters, country spec'!F20</f>
        <v>3.3128681692208201E-2</v>
      </c>
      <c r="S73" s="351">
        <f>'Parameters, country spec'!F38</f>
        <v>1.3777713958130201E-2</v>
      </c>
    </row>
    <row r="74" spans="1:19" x14ac:dyDescent="0.2">
      <c r="A74" s="353" t="s">
        <v>468</v>
      </c>
      <c r="B74" s="18" t="s">
        <v>276</v>
      </c>
      <c r="C74" s="18" t="s">
        <v>467</v>
      </c>
      <c r="D74" s="349" t="s">
        <v>51</v>
      </c>
      <c r="E74" s="349" t="s">
        <v>52</v>
      </c>
      <c r="F74" s="371">
        <f t="shared" si="8"/>
        <v>6.7121811720300198E-4</v>
      </c>
      <c r="G74" s="373">
        <v>2.5234639471025001E-5</v>
      </c>
      <c r="H74" s="373">
        <v>1.1000000000000001E-6</v>
      </c>
      <c r="I74" s="373">
        <v>5.8430276339029345E-4</v>
      </c>
      <c r="J74" s="373">
        <v>5.8430276339029297E-5</v>
      </c>
      <c r="K74" s="373">
        <v>6.7099201689440703E-7</v>
      </c>
      <c r="L74" s="373">
        <v>0</v>
      </c>
      <c r="M74" s="373">
        <v>3.5565069597836901E-9</v>
      </c>
      <c r="N74" s="373">
        <v>1.4758894788E-6</v>
      </c>
      <c r="O74" s="373"/>
      <c r="P74" s="373"/>
      <c r="Q74" s="373"/>
      <c r="R74" s="351">
        <f>'Parameters, country spec'!F21</f>
        <v>0.196499875628766</v>
      </c>
      <c r="S74" s="351">
        <f>'Parameters, country spec'!F39</f>
        <v>8.1721304315358401E-2</v>
      </c>
    </row>
    <row r="75" spans="1:19" x14ac:dyDescent="0.2">
      <c r="A75" s="353" t="s">
        <v>469</v>
      </c>
      <c r="B75" s="18" t="s">
        <v>278</v>
      </c>
      <c r="C75" s="18" t="s">
        <v>467</v>
      </c>
      <c r="D75" s="349" t="s">
        <v>51</v>
      </c>
      <c r="E75" s="349" t="s">
        <v>52</v>
      </c>
      <c r="F75" s="371">
        <f t="shared" si="8"/>
        <v>8.4989071317922169E-4</v>
      </c>
      <c r="G75" s="373">
        <v>3.0917889724284498E-5</v>
      </c>
      <c r="H75" s="373">
        <v>1.1000000000000001E-6</v>
      </c>
      <c r="I75" s="373">
        <v>7.4059024764441502E-4</v>
      </c>
      <c r="J75" s="373">
        <v>7.40590247644416E-5</v>
      </c>
      <c r="K75" s="373">
        <v>1.7476615672806699E-6</v>
      </c>
      <c r="L75" s="373">
        <v>0</v>
      </c>
      <c r="M75" s="373">
        <v>0</v>
      </c>
      <c r="N75" s="373">
        <v>1.4758894788E-6</v>
      </c>
      <c r="O75" s="373"/>
      <c r="P75" s="373"/>
      <c r="Q75" s="373"/>
      <c r="R75" s="351">
        <f>'Parameters, country spec'!F22</f>
        <v>1.7743951673345099E-2</v>
      </c>
      <c r="S75" s="351">
        <f>'Parameters, country spec'!F40</f>
        <v>7.3794391499110096E-3</v>
      </c>
    </row>
    <row r="76" spans="1:19" x14ac:dyDescent="0.2">
      <c r="A76" s="353" t="s">
        <v>470</v>
      </c>
      <c r="B76" s="18" t="s">
        <v>280</v>
      </c>
      <c r="C76" s="18" t="s">
        <v>467</v>
      </c>
      <c r="D76" s="349" t="s">
        <v>51</v>
      </c>
      <c r="E76" s="349" t="s">
        <v>52</v>
      </c>
      <c r="F76" s="371">
        <f t="shared" si="8"/>
        <v>9.8766602869040801E-4</v>
      </c>
      <c r="G76" s="373">
        <v>3.6934244569794703E-5</v>
      </c>
      <c r="H76" s="373">
        <v>1.1000000000000001E-6</v>
      </c>
      <c r="I76" s="373">
        <v>8.6047136243440109E-4</v>
      </c>
      <c r="J76" s="373">
        <v>8.6047136243440098E-5</v>
      </c>
      <c r="K76" s="373">
        <v>1.63739596397218E-6</v>
      </c>
      <c r="L76" s="373">
        <v>0</v>
      </c>
      <c r="M76" s="373">
        <v>0</v>
      </c>
      <c r="N76" s="373">
        <v>1.4758894788E-6</v>
      </c>
      <c r="O76" s="373"/>
      <c r="P76" s="373"/>
      <c r="Q76" s="373"/>
      <c r="R76" s="351">
        <f>'Parameters, country spec'!F23</f>
        <v>6.8964610637078797E-3</v>
      </c>
      <c r="S76" s="351">
        <f>'Parameters, country spec'!F41</f>
        <v>2.8681330795635499E-3</v>
      </c>
    </row>
    <row r="77" spans="1:19" x14ac:dyDescent="0.2">
      <c r="A77" s="353" t="s">
        <v>471</v>
      </c>
      <c r="B77" s="18" t="s">
        <v>281</v>
      </c>
      <c r="C77" s="18" t="s">
        <v>467</v>
      </c>
      <c r="D77" s="349" t="s">
        <v>51</v>
      </c>
      <c r="E77" s="349" t="s">
        <v>52</v>
      </c>
      <c r="F77" s="371">
        <f t="shared" si="8"/>
        <v>9.2821826558983265E-4</v>
      </c>
      <c r="G77" s="373">
        <v>3.45284431496848E-5</v>
      </c>
      <c r="H77" s="373">
        <v>1.1000000000000001E-6</v>
      </c>
      <c r="I77" s="373">
        <v>8.0923948646907402E-4</v>
      </c>
      <c r="J77" s="373">
        <v>8.0923948646907404E-5</v>
      </c>
      <c r="K77" s="373">
        <v>9.5049784536643499E-7</v>
      </c>
      <c r="L77" s="373">
        <v>0</v>
      </c>
      <c r="M77" s="373">
        <v>0</v>
      </c>
      <c r="N77" s="373">
        <v>1.4758894788E-6</v>
      </c>
      <c r="O77" s="373"/>
      <c r="P77" s="373"/>
      <c r="Q77" s="373"/>
      <c r="R77" s="351">
        <f>'Parameters, country spec'!F24</f>
        <v>3.10248353470601E-2</v>
      </c>
      <c r="S77" s="351">
        <f>'Parameters, country spec'!F42</f>
        <v>1.29027563161922E-2</v>
      </c>
    </row>
    <row r="78" spans="1:19" x14ac:dyDescent="0.2">
      <c r="A78" s="353" t="s">
        <v>472</v>
      </c>
      <c r="B78" s="18" t="s">
        <v>282</v>
      </c>
      <c r="C78" s="18" t="s">
        <v>473</v>
      </c>
      <c r="D78" s="349" t="s">
        <v>51</v>
      </c>
      <c r="E78" s="349" t="s">
        <v>52</v>
      </c>
      <c r="F78" s="371">
        <f t="shared" si="8"/>
        <v>2.0874575176417238E-4</v>
      </c>
      <c r="G78" s="373">
        <v>0</v>
      </c>
      <c r="H78" s="373">
        <v>1.1000000000000001E-6</v>
      </c>
      <c r="I78" s="373">
        <v>1.8457295999999999E-4</v>
      </c>
      <c r="J78" s="373">
        <v>1.8457295999999999E-5</v>
      </c>
      <c r="K78" s="373">
        <v>2.0386135462280298E-6</v>
      </c>
      <c r="L78" s="373">
        <v>0</v>
      </c>
      <c r="M78" s="373">
        <v>1.10099273914435E-6</v>
      </c>
      <c r="N78" s="373">
        <v>1.4758894788E-6</v>
      </c>
      <c r="O78" s="373"/>
      <c r="P78" s="373"/>
      <c r="Q78" s="373"/>
      <c r="R78" s="351">
        <f>'Parameters, country spec'!F25</f>
        <v>1.11577561574704E-3</v>
      </c>
      <c r="S78" s="351">
        <f>'Parameters, country spec'!F43</f>
        <v>9.2331122908701499E-4</v>
      </c>
    </row>
    <row r="79" spans="1:19" x14ac:dyDescent="0.2">
      <c r="A79" s="353" t="s">
        <v>474</v>
      </c>
      <c r="B79" s="18" t="s">
        <v>283</v>
      </c>
      <c r="C79" s="18" t="s">
        <v>473</v>
      </c>
      <c r="D79" s="349" t="s">
        <v>51</v>
      </c>
      <c r="E79" s="349" t="s">
        <v>52</v>
      </c>
      <c r="F79" s="371">
        <f t="shared" si="8"/>
        <v>2.4593199333482814E-4</v>
      </c>
      <c r="G79" s="373">
        <v>1.6660580890879601E-6</v>
      </c>
      <c r="H79" s="373">
        <v>1.1000000000000001E-6</v>
      </c>
      <c r="I79" s="373">
        <v>2.155261909452459E-4</v>
      </c>
      <c r="J79" s="373">
        <v>2.1552619094524601E-5</v>
      </c>
      <c r="K79" s="373">
        <v>3.2161563517915298E-6</v>
      </c>
      <c r="L79" s="373">
        <v>0</v>
      </c>
      <c r="M79" s="373">
        <v>1.3950793753781901E-6</v>
      </c>
      <c r="N79" s="373">
        <v>1.4758894788E-6</v>
      </c>
      <c r="O79" s="373"/>
      <c r="P79" s="373"/>
      <c r="Q79" s="373"/>
      <c r="R79" s="351">
        <f>'Parameters, country spec'!F26</f>
        <v>1.09605934664696E-3</v>
      </c>
      <c r="S79" s="351">
        <f>'Parameters, country spec'!F44</f>
        <v>9.0699589423403595E-4</v>
      </c>
    </row>
    <row r="80" spans="1:19" x14ac:dyDescent="0.2">
      <c r="B80" s="58" t="s">
        <v>284</v>
      </c>
      <c r="C80" s="18" t="s">
        <v>475</v>
      </c>
      <c r="D80" s="349" t="s">
        <v>51</v>
      </c>
      <c r="E80" s="349" t="s">
        <v>52</v>
      </c>
      <c r="F80" s="371">
        <f t="shared" si="8"/>
        <v>1.5426052012212821E-3</v>
      </c>
      <c r="G80" s="372">
        <f>'Off-farm feed'!$F$77</f>
        <v>3.5160526410462891E-4</v>
      </c>
      <c r="H80" s="372">
        <f>'Off-farm feed'!$G$77</f>
        <v>5.3103448275862083E-7</v>
      </c>
      <c r="I80" s="372">
        <f>'Off-farm feed'!$H$77</f>
        <v>1.0756102664162706E-3</v>
      </c>
      <c r="J80" s="372">
        <f>'Off-farm feed'!$I$77</f>
        <v>1.0756102664162704E-4</v>
      </c>
      <c r="K80" s="372">
        <f>'Off-farm feed'!$J$77</f>
        <v>6.6339607025480393E-7</v>
      </c>
      <c r="L80" s="372"/>
      <c r="M80" s="372">
        <f>'Off-farm feed'!$L$77</f>
        <v>7.9511067188965528E-9</v>
      </c>
      <c r="N80" s="372">
        <f>'Off-farm feed'!$M$77</f>
        <v>1.2789681892721842E-6</v>
      </c>
      <c r="O80" s="372"/>
      <c r="P80" s="372">
        <f>'Off-farm feed'!$O$77</f>
        <v>4.8776996151562936E-6</v>
      </c>
      <c r="Q80" s="372">
        <f>'Off-farm feed'!$P$77</f>
        <v>4.6959459459459463E-7</v>
      </c>
      <c r="R80" s="351">
        <f>'Parameters, country spec'!F27</f>
        <v>4.8155919990539102E-4</v>
      </c>
      <c r="S80" s="351">
        <f>'Parameters, country spec'!F45</f>
        <v>3.9849321881062699E-4</v>
      </c>
    </row>
    <row r="81" spans="1:19" x14ac:dyDescent="0.2">
      <c r="B81" s="58" t="s">
        <v>476</v>
      </c>
      <c r="C81" s="18" t="s">
        <v>475</v>
      </c>
      <c r="D81" s="349" t="s">
        <v>51</v>
      </c>
      <c r="E81" s="349" t="s">
        <v>52</v>
      </c>
      <c r="F81" s="371">
        <f t="shared" si="8"/>
        <v>1.8866346644602484E-4</v>
      </c>
      <c r="G81" s="372">
        <f>'Off-farm feed'!$F$26</f>
        <v>1.6332109719061435E-5</v>
      </c>
      <c r="H81" s="372">
        <f>'Off-farm feed'!$G$26</f>
        <v>8.7195121951219526E-7</v>
      </c>
      <c r="I81" s="372">
        <f>'Off-farm feed'!$H$26</f>
        <v>1.3333449845358183E-4</v>
      </c>
      <c r="J81" s="372">
        <f>'Off-farm feed'!$I$26</f>
        <v>1.3333449845358186E-5</v>
      </c>
      <c r="K81" s="372">
        <f>'Off-farm feed'!$J$26</f>
        <v>1.1576736579983962E-6</v>
      </c>
      <c r="L81" s="372"/>
      <c r="M81" s="372">
        <f>'Off-farm feed'!$L$26</f>
        <v>7.3437786087804875E-9</v>
      </c>
      <c r="N81" s="372">
        <f>'Off-farm feed'!$M$26</f>
        <v>1.1195281639512195E-6</v>
      </c>
      <c r="O81" s="372"/>
      <c r="P81" s="372">
        <f>'Off-farm feed'!$O$26</f>
        <v>1.3419073770114999E-5</v>
      </c>
      <c r="Q81" s="372">
        <f>'Off-farm feed'!$P$26</f>
        <v>9.087837837837838E-6</v>
      </c>
      <c r="R81" s="351">
        <f>'Parameters, country spec'!F28</f>
        <v>9.1823937462469196E-2</v>
      </c>
      <c r="S81" s="351">
        <f>'Parameters, country spec'!F46</f>
        <v>7.5984876674379795E-2</v>
      </c>
    </row>
    <row r="82" spans="1:19" x14ac:dyDescent="0.2">
      <c r="B82" s="18" t="s">
        <v>286</v>
      </c>
      <c r="C82" s="18" t="s">
        <v>477</v>
      </c>
      <c r="D82" s="349" t="s">
        <v>51</v>
      </c>
      <c r="E82" s="349" t="s">
        <v>52</v>
      </c>
      <c r="F82" s="374">
        <f t="shared" si="8"/>
        <v>1.0112842036935186E-4</v>
      </c>
      <c r="G82" s="373">
        <v>3.10755988347163E-6</v>
      </c>
      <c r="H82" s="373">
        <v>9.9E-8</v>
      </c>
      <c r="I82" s="373">
        <v>7.2831553782216611E-5</v>
      </c>
      <c r="J82">
        <v>7.2831553782216598E-6</v>
      </c>
      <c r="K82" s="373">
        <v>8.5544806082979093E-8</v>
      </c>
      <c r="L82">
        <v>0</v>
      </c>
      <c r="M82">
        <v>0</v>
      </c>
      <c r="N82" s="216">
        <v>1.3283005309199999E-7</v>
      </c>
      <c r="O82" s="216"/>
      <c r="P82" s="373">
        <v>1.7376008471844101E-5</v>
      </c>
      <c r="Q82" s="373">
        <v>2.1276799442287201E-7</v>
      </c>
      <c r="R82" s="351">
        <f>'Parameters, country spec'!F29</f>
        <v>0.15922163374012799</v>
      </c>
      <c r="S82" s="351">
        <f>'Parameters, country spec'!F47</f>
        <v>9.4871367549450705E-2</v>
      </c>
    </row>
    <row r="83" spans="1:19" x14ac:dyDescent="0.2">
      <c r="A83" s="354"/>
      <c r="B83" s="18" t="s">
        <v>478</v>
      </c>
      <c r="C83" s="355" t="s">
        <v>479</v>
      </c>
      <c r="D83" s="349" t="s">
        <v>51</v>
      </c>
      <c r="E83" s="349" t="s">
        <v>52</v>
      </c>
      <c r="F83" s="371">
        <f t="shared" si="8"/>
        <v>2.2186814600533316E-4</v>
      </c>
      <c r="G83" s="375">
        <f t="shared" ref="G83:Q83" si="9">SUMPRODUCT(G73:G81,$R73:$R81)</f>
        <v>9.1944041855642568E-6</v>
      </c>
      <c r="H83" s="375">
        <f t="shared" si="9"/>
        <v>3.9657792319568039E-7</v>
      </c>
      <c r="I83" s="375">
        <f t="shared" si="9"/>
        <v>1.9029912844510883E-4</v>
      </c>
      <c r="J83" s="375">
        <f t="shared" si="9"/>
        <v>1.9029912844510874E-5</v>
      </c>
      <c r="K83" s="375">
        <f t="shared" si="9"/>
        <v>3.4699782413239132E-7</v>
      </c>
      <c r="L83" s="375">
        <f t="shared" si="9"/>
        <v>0</v>
      </c>
      <c r="M83" s="375">
        <f t="shared" si="9"/>
        <v>4.1345674117206039E-9</v>
      </c>
      <c r="N83" s="375">
        <f t="shared" si="9"/>
        <v>5.2774193272608226E-7</v>
      </c>
      <c r="O83" s="375">
        <f t="shared" si="9"/>
        <v>0</v>
      </c>
      <c r="P83" s="375">
        <f t="shared" si="9"/>
        <v>1.2345410917953539E-6</v>
      </c>
      <c r="Q83" s="375">
        <f t="shared" si="9"/>
        <v>8.347071908879357E-7</v>
      </c>
      <c r="R83" s="351">
        <f>'Parameters, country spec'!F30</f>
        <v>5.9977239579590301E-2</v>
      </c>
      <c r="S83" s="351">
        <f>'Parameters, country spec'!F48</f>
        <v>6.7982986801529102E-2</v>
      </c>
    </row>
    <row r="84" spans="1:19" x14ac:dyDescent="0.2">
      <c r="A84" s="357"/>
      <c r="B84" s="358" t="s">
        <v>480</v>
      </c>
      <c r="C84" s="359"/>
      <c r="D84" s="360"/>
      <c r="E84" s="360"/>
      <c r="F84" s="376">
        <f>SUMPRODUCT(F70:F72,R70:R72)+SUMPRODUCT(F73:F83,R73:R83)/0.87</f>
        <v>4.2302814183561762E-4</v>
      </c>
      <c r="G84" s="376">
        <f>SUMPRODUCT(G70:G72,R70:R72)+SUMPRODUCT(G73:G83,R73:R83)/0.87</f>
        <v>1.6035050302851116E-5</v>
      </c>
      <c r="H84" s="376">
        <f>SUMPRODUCT(H70:H72,R70:R72)+SUMPRODUCT(H73:H83,R73:R83)/0.87</f>
        <v>9.4238383234815498E-7</v>
      </c>
      <c r="I84" s="376">
        <f>SUMPRODUCT(I70:I72,R70:R72)+SUMPRODUCT(I73:I83,R73:R83)/0.87</f>
        <v>3.4112224524370709E-4</v>
      </c>
      <c r="J84" s="376">
        <f>SUMPRODUCT(J70:J72,R70:R72)+SUMPRODUCT(J73:J83,R73:R83)/0.87</f>
        <v>3.4112224524370695E-5</v>
      </c>
      <c r="K84" s="376">
        <f>SUMPRODUCT(K70:K72,R70:R72)+SUMPRODUCT(K73:K83,R73:R83)/0.87</f>
        <v>7.3413524260901969E-7</v>
      </c>
      <c r="L84" s="376">
        <f>SUMPRODUCT(L70:L72,R70:R72)+SUMPRODUCT(L73:L83,R73:R83)/0.87</f>
        <v>0</v>
      </c>
      <c r="M84" s="376">
        <f>SUMPRODUCT(M70:M72,R70:R72)+SUMPRODUCT(M73:M83,R73:R83)/0.87</f>
        <v>5.1257984187276132E-9</v>
      </c>
      <c r="N84" s="376">
        <f>SUMPRODUCT(N70:N72,R70:R72)+SUMPRODUCT(N73:N83,R73:R83)/0.87</f>
        <v>6.6729178749941E-7</v>
      </c>
      <c r="O84" s="376">
        <f>SUMPRODUCT(O70:O72,R70:R72)+SUMPRODUCT(O73:O83,R73:R83)/0.87</f>
        <v>0</v>
      </c>
      <c r="P84" s="376">
        <f>SUMPRODUCT(P70:P72,R70:R72)+SUMPRODUCT(P73:P83,R73:R83)/0.87</f>
        <v>2.8353767986877391E-5</v>
      </c>
      <c r="Q84" s="376">
        <f>SUMPRODUCT(Q70:Q72,R70:R72)+SUMPRODUCT(Q73:Q83,R73:R83)/0.87</f>
        <v>1.0559171169359176E-6</v>
      </c>
      <c r="R84" s="362"/>
      <c r="S84" s="369"/>
    </row>
    <row r="85" spans="1:19" x14ac:dyDescent="0.2">
      <c r="A85" s="363"/>
      <c r="B85" s="364" t="s">
        <v>481</v>
      </c>
      <c r="C85" s="365"/>
      <c r="D85" s="366"/>
      <c r="E85" s="366"/>
      <c r="F85" s="377">
        <f>SUMPRODUCT(F70:F72,S70:S72)+SUMPRODUCT(F73:F83,S73:S83)/0.87</f>
        <v>3.5093749867201471E-4</v>
      </c>
      <c r="G85" s="377">
        <f>SUMPRODUCT(G70:G72,S70:S72)+SUMPRODUCT(G73:G83,S73:S83)/0.87</f>
        <v>1.2739648870493843E-5</v>
      </c>
      <c r="H85" s="377">
        <f>SUMPRODUCT(H70:H72,S70:S72)+SUMPRODUCT(H73:H83,S73:S83)/0.87</f>
        <v>9.7482485636658816E-7</v>
      </c>
      <c r="I85" s="377">
        <f>SUMPRODUCT(I70:I72,S70:S72)+SUMPRODUCT(I73:I83,S73:S83)/0.87</f>
        <v>2.6704918699159874E-4</v>
      </c>
      <c r="J85" s="377">
        <f>SUMPRODUCT(J70:J72,S70:S72)+SUMPRODUCT(J73:J83,S73:S83)/0.87</f>
        <v>2.6704918699159872E-5</v>
      </c>
      <c r="K85" s="377">
        <f>SUMPRODUCT(K70:K72,S70:S72)+SUMPRODUCT(K73:K83,S73:S83)/0.87</f>
        <v>7.2886093686451876E-7</v>
      </c>
      <c r="L85" s="377">
        <f>SUMPRODUCT(L70:L72,S70:S72)+SUMPRODUCT(L73:L83,S73:S83)/0.87</f>
        <v>0</v>
      </c>
      <c r="M85" s="377">
        <f>SUMPRODUCT(M70:M72,S70:S72)+SUMPRODUCT(M73:M83,S73:S83)/0.87</f>
        <v>4.0594469220340206E-9</v>
      </c>
      <c r="N85" s="377">
        <f>SUMPRODUCT(N70:N72,S70:S72)+SUMPRODUCT(N73:N83,S73:S83)/0.87</f>
        <v>3.584721435869293E-7</v>
      </c>
      <c r="O85" s="377">
        <f>SUMPRODUCT(O70:O72,S70:S72)+SUMPRODUCT(O73:O83,S73:S83)/0.87</f>
        <v>0</v>
      </c>
      <c r="P85" s="377">
        <f>SUMPRODUCT(P70:P72,S70:S72)+SUMPRODUCT(P73:P83,S73:S83)/0.87</f>
        <v>4.1495162536045924E-5</v>
      </c>
      <c r="Q85" s="377">
        <f>SUMPRODUCT(Q70:Q72,S70:S72)+SUMPRODUCT(Q73:Q83,S73:S83)/0.87</f>
        <v>8.8236419097624626E-7</v>
      </c>
      <c r="R85" s="368"/>
      <c r="S85" s="368"/>
    </row>
    <row r="86" spans="1:19" x14ac:dyDescent="0.2">
      <c r="B86" s="58" t="s">
        <v>264</v>
      </c>
      <c r="C86" s="18" t="s">
        <v>463</v>
      </c>
      <c r="D86" s="349" t="s">
        <v>89</v>
      </c>
      <c r="E86" s="349" t="s">
        <v>54</v>
      </c>
      <c r="F86" s="371">
        <f>SUM(G86:Q86)</f>
        <v>1.9946598300792228E-4</v>
      </c>
      <c r="G86" s="372">
        <f>'Forage crops, CF'!F36</f>
        <v>6.4900041646029807E-6</v>
      </c>
      <c r="H86" s="372">
        <f>'Forage crops, CF'!G36</f>
        <v>1.1000000000000001E-6</v>
      </c>
      <c r="I86" s="372">
        <f>'Forage crops, CF'!H36</f>
        <v>1.7407334076117393E-4</v>
      </c>
      <c r="J86" s="372">
        <f>'Forage crops, CF'!I36</f>
        <v>1.7407334076117394E-5</v>
      </c>
      <c r="K86" s="372">
        <f>'Forage crops, CF'!J36</f>
        <v>3.9530400602795201E-7</v>
      </c>
      <c r="L86" s="372">
        <f>'Forage crops, CF'!K36</f>
        <v>0</v>
      </c>
      <c r="M86" s="372">
        <f>'Forage crops, CF'!L36</f>
        <v>0</v>
      </c>
      <c r="N86" s="372">
        <f>'Forage crops, CF'!M36</f>
        <v>0</v>
      </c>
      <c r="O86" s="372">
        <f>'Forage crops, CF'!N36</f>
        <v>0</v>
      </c>
      <c r="P86" s="372">
        <f>'Forage crops, CF'!O36</f>
        <v>0</v>
      </c>
      <c r="Q86" s="372">
        <f>'Forage crops, CF'!P36</f>
        <v>0</v>
      </c>
      <c r="R86" s="351">
        <f>'Parameters, country spec'!G17</f>
        <v>0.88396763790970601</v>
      </c>
      <c r="S86" s="351">
        <f>'Parameters, country spec'!G35</f>
        <v>0.75114991922794205</v>
      </c>
    </row>
    <row r="87" spans="1:19" x14ac:dyDescent="0.2">
      <c r="B87" s="58" t="s">
        <v>268</v>
      </c>
      <c r="C87" s="18" t="s">
        <v>463</v>
      </c>
      <c r="D87" s="349" t="s">
        <v>89</v>
      </c>
      <c r="E87" s="349" t="s">
        <v>54</v>
      </c>
      <c r="F87" s="371">
        <f>SUM(G87:Q87)</f>
        <v>3.3785547832523464E-4</v>
      </c>
      <c r="G87" s="372">
        <f>'Forage crops, CF'!F96</f>
        <v>9.7420756872887754E-6</v>
      </c>
      <c r="H87" s="372">
        <f>'Forage crops, CF'!G96</f>
        <v>1.1000000000000001E-6</v>
      </c>
      <c r="I87" s="372">
        <f>'Forage crops, CF'!H96</f>
        <v>2.3505839106167025E-4</v>
      </c>
      <c r="J87" s="372">
        <f>'Forage crops, CF'!I96</f>
        <v>2.3505839106167026E-5</v>
      </c>
      <c r="K87" s="372">
        <f>'Forage crops, CF'!J96</f>
        <v>3.4917247010855877E-7</v>
      </c>
      <c r="L87" s="372"/>
      <c r="M87" s="372">
        <f>'Forage crops, CF'!L96</f>
        <v>0</v>
      </c>
      <c r="N87" s="372">
        <f>'Forage crops, CF'!M96</f>
        <v>0</v>
      </c>
      <c r="O87" s="372">
        <f>'Forage crops, CF'!N96</f>
        <v>0</v>
      </c>
      <c r="P87" s="372">
        <f>'Forage crops, CF'!O96</f>
        <v>6.8099999999999988E-5</v>
      </c>
      <c r="Q87" s="372"/>
      <c r="R87" s="351">
        <f>'Parameters, country spec'!G18</f>
        <v>2.2255993489188101E-3</v>
      </c>
      <c r="S87" s="351">
        <f>'Parameters, country spec'!G36</f>
        <v>1.9608947623101902E-2</v>
      </c>
    </row>
    <row r="88" spans="1:19" x14ac:dyDescent="0.2">
      <c r="B88" s="58" t="s">
        <v>465</v>
      </c>
      <c r="C88" s="18" t="s">
        <v>463</v>
      </c>
      <c r="D88" s="349" t="s">
        <v>89</v>
      </c>
      <c r="E88" s="349" t="s">
        <v>54</v>
      </c>
      <c r="F88" s="371">
        <f>SUM(G88:Q88)</f>
        <v>2.6755184089914067E-4</v>
      </c>
      <c r="G88" s="372">
        <f>'Forage crops, CF'!F156*'Forage, input data per ha'!$D$83+'Forage crops, CF'!F216*'Forage, input data per ha'!$E$83</f>
        <v>6.4894521409429898E-6</v>
      </c>
      <c r="H88" s="372">
        <f>'Forage crops, CF'!G156*'Forage, input data per ha'!$D$83+'Forage crops, CF'!G216*'Forage, input data per ha'!$E$83</f>
        <v>1.1000000000000001E-6</v>
      </c>
      <c r="I88" s="372">
        <f>'Forage crops, CF'!H156*'Forage, input data per ha'!$D$83+'Forage crops, CF'!H216*'Forage, input data per ha'!$E$83</f>
        <v>1.7406098565835666E-4</v>
      </c>
      <c r="J88" s="372">
        <f>'Forage crops, CF'!I156*'Forage, input data per ha'!$D$83+'Forage crops, CF'!I216*'Forage, input data per ha'!$E$83</f>
        <v>1.7406098565835668E-5</v>
      </c>
      <c r="K88" s="372">
        <f>'Forage crops, CF'!J156*'Forage, input data per ha'!$D$83+'Forage crops, CF'!J216*'Forage, input data per ha'!$E$83</f>
        <v>3.9530453400534232E-7</v>
      </c>
      <c r="L88" s="372"/>
      <c r="M88" s="372">
        <f>'Forage crops, CF'!L156*'Forage, input data per ha'!$D$83+'Forage crops, CF'!L216*'Forage, input data per ha'!$E$83</f>
        <v>0</v>
      </c>
      <c r="N88" s="372">
        <f>'Forage crops, CF'!M156*'Forage, input data per ha'!$D$83+'Forage crops, CF'!M216*'Forage, input data per ha'!$E$83</f>
        <v>0</v>
      </c>
      <c r="O88" s="372">
        <f>'Forage crops, CF'!N156*'Forage, input data per ha'!$D$83+'Forage crops, CF'!N216*'Forage, input data per ha'!$E$83</f>
        <v>0</v>
      </c>
      <c r="P88" s="372">
        <f>'Forage crops, CF'!O156*'Forage, input data per ha'!$D$83+'Forage crops, CF'!O216*'Forage, input data per ha'!$E$83</f>
        <v>6.8099999999999988E-5</v>
      </c>
      <c r="Q88" s="372"/>
      <c r="R88" s="351">
        <f>'Parameters, country spec'!G19</f>
        <v>3.8602337218792001E-4</v>
      </c>
      <c r="S88" s="351">
        <f>'Parameters, country spec'!G37</f>
        <v>4.0112374212542402E-4</v>
      </c>
    </row>
    <row r="89" spans="1:19" x14ac:dyDescent="0.2">
      <c r="A89" s="353" t="s">
        <v>466</v>
      </c>
      <c r="B89" s="18" t="s">
        <v>274</v>
      </c>
      <c r="C89" s="18" t="s">
        <v>467</v>
      </c>
      <c r="D89" s="349" t="s">
        <v>89</v>
      </c>
      <c r="E89" s="349" t="s">
        <v>54</v>
      </c>
      <c r="F89" s="371">
        <f>SUM(G89:Q89)</f>
        <v>5.0076308556644162E-4</v>
      </c>
      <c r="G89" s="373">
        <v>1.42900987499634E-5</v>
      </c>
      <c r="H89" s="373">
        <v>1.1000000000000001E-6</v>
      </c>
      <c r="I89" s="373">
        <v>4.3928712789075599E-4</v>
      </c>
      <c r="J89" s="373">
        <v>4.3928712789075603E-5</v>
      </c>
      <c r="K89" s="373">
        <v>6.9965951964663698E-7</v>
      </c>
      <c r="L89" s="373">
        <v>0</v>
      </c>
      <c r="M89" s="373">
        <v>0</v>
      </c>
      <c r="N89" s="373">
        <v>1.4574866170000001E-6</v>
      </c>
      <c r="O89" s="373"/>
      <c r="P89" s="373"/>
      <c r="Q89" s="373"/>
      <c r="R89" s="351">
        <f>'Parameters, country spec'!G20</f>
        <v>4.7677794309569303E-2</v>
      </c>
      <c r="S89" s="351">
        <f>'Parameters, country spec'!G38</f>
        <v>9.7140944486754505E-2</v>
      </c>
    </row>
    <row r="90" spans="1:19" x14ac:dyDescent="0.2">
      <c r="A90" s="353" t="s">
        <v>468</v>
      </c>
      <c r="B90" s="18" t="s">
        <v>276</v>
      </c>
      <c r="C90" s="18" t="s">
        <v>467</v>
      </c>
      <c r="D90" s="349" t="s">
        <v>89</v>
      </c>
      <c r="E90" s="349" t="s">
        <v>54</v>
      </c>
      <c r="F90" s="371"/>
      <c r="G90" s="373">
        <v>1.40447733404797E-5</v>
      </c>
      <c r="H90" s="373">
        <v>1.1000000000000001E-6</v>
      </c>
      <c r="I90" s="373">
        <v>4.4216887877114938E-4</v>
      </c>
      <c r="J90" s="373">
        <v>4.4216887877115002E-5</v>
      </c>
      <c r="K90" s="373">
        <v>4.8647220484656601E-7</v>
      </c>
      <c r="L90" s="373">
        <v>0</v>
      </c>
      <c r="M90" s="373">
        <v>1.3774933630536099E-7</v>
      </c>
      <c r="N90" s="373">
        <v>1.3328538814200001E-6</v>
      </c>
      <c r="O90" s="373"/>
      <c r="P90" s="373"/>
      <c r="Q90" s="373"/>
      <c r="R90" s="351">
        <f>'Parameters, country spec'!G21</f>
        <v>1.3140930176321799E-2</v>
      </c>
      <c r="S90" s="351">
        <f>'Parameters, country spec'!G39</f>
        <v>2.6773939262145899E-2</v>
      </c>
    </row>
    <row r="91" spans="1:19" x14ac:dyDescent="0.2">
      <c r="A91" s="353" t="s">
        <v>469</v>
      </c>
      <c r="B91" s="18" t="s">
        <v>278</v>
      </c>
      <c r="C91" s="18" t="s">
        <v>467</v>
      </c>
      <c r="D91" s="349" t="s">
        <v>89</v>
      </c>
      <c r="E91" s="349" t="s">
        <v>54</v>
      </c>
      <c r="F91" s="371">
        <f t="shared" ref="F91:F99" si="10">SUM(G91:Q91)</f>
        <v>3.8830254117131944E-4</v>
      </c>
      <c r="G91" s="373">
        <v>1.0423347933344499E-5</v>
      </c>
      <c r="H91" s="373">
        <v>1.1000000000000001E-6</v>
      </c>
      <c r="I91" s="373">
        <v>3.4061625508795799E-4</v>
      </c>
      <c r="J91" s="373">
        <v>3.4061625508795799E-5</v>
      </c>
      <c r="K91" s="373">
        <v>6.438260242211E-7</v>
      </c>
      <c r="L91" s="373">
        <v>0</v>
      </c>
      <c r="M91" s="373">
        <v>0</v>
      </c>
      <c r="N91" s="373">
        <v>1.4574866170000001E-6</v>
      </c>
      <c r="O91" s="373"/>
      <c r="P91" s="373"/>
      <c r="Q91" s="373"/>
      <c r="R91" s="351">
        <f>'Parameters, country spec'!G22</f>
        <v>2.7481478125062899E-3</v>
      </c>
      <c r="S91" s="351">
        <f>'Parameters, country spec'!G40</f>
        <v>5.5992035288690298E-3</v>
      </c>
    </row>
    <row r="92" spans="1:19" x14ac:dyDescent="0.2">
      <c r="A92" s="353" t="s">
        <v>470</v>
      </c>
      <c r="B92" s="18" t="s">
        <v>280</v>
      </c>
      <c r="C92" s="18" t="s">
        <v>467</v>
      </c>
      <c r="D92" s="349" t="s">
        <v>89</v>
      </c>
      <c r="E92" s="349" t="s">
        <v>54</v>
      </c>
      <c r="F92" s="371">
        <f t="shared" si="10"/>
        <v>7.8191616855976414E-4</v>
      </c>
      <c r="G92" s="373">
        <v>2.1873707810918101E-5</v>
      </c>
      <c r="H92" s="373">
        <v>1.1000000000000001E-6</v>
      </c>
      <c r="I92" s="373">
        <v>6.8758656983667894E-4</v>
      </c>
      <c r="J92" s="373">
        <v>6.8758656983667997E-5</v>
      </c>
      <c r="K92" s="373">
        <v>1.2631936945080999E-6</v>
      </c>
      <c r="L92" s="373">
        <v>0</v>
      </c>
      <c r="M92" s="373">
        <v>1.1863525710000401E-9</v>
      </c>
      <c r="N92" s="373">
        <v>1.3328538814200001E-6</v>
      </c>
      <c r="O92" s="373"/>
      <c r="P92" s="373"/>
      <c r="Q92" s="373"/>
      <c r="R92" s="351">
        <f>'Parameters, country spec'!G23</f>
        <v>0</v>
      </c>
      <c r="S92" s="351">
        <f>'Parameters, country spec'!G41</f>
        <v>0</v>
      </c>
    </row>
    <row r="93" spans="1:19" x14ac:dyDescent="0.2">
      <c r="A93" s="353" t="s">
        <v>471</v>
      </c>
      <c r="B93" s="18" t="s">
        <v>281</v>
      </c>
      <c r="C93" s="18" t="s">
        <v>467</v>
      </c>
      <c r="D93" s="349" t="s">
        <v>89</v>
      </c>
      <c r="E93" s="349" t="s">
        <v>54</v>
      </c>
      <c r="F93" s="371">
        <f t="shared" si="10"/>
        <v>6.0382498978413788E-4</v>
      </c>
      <c r="G93" s="373">
        <v>1.9066159328693E-5</v>
      </c>
      <c r="H93" s="373">
        <v>1.1000000000000001E-6</v>
      </c>
      <c r="I93" s="373">
        <v>5.2875256401532398E-4</v>
      </c>
      <c r="J93" s="373">
        <v>5.2875256401532301E-5</v>
      </c>
      <c r="K93" s="373">
        <v>5.7352342158859497E-7</v>
      </c>
      <c r="L93" s="373">
        <v>0</v>
      </c>
      <c r="M93" s="373">
        <v>0</v>
      </c>
      <c r="N93" s="373">
        <v>1.4574866170000001E-6</v>
      </c>
      <c r="O93" s="373"/>
      <c r="P93" s="373"/>
      <c r="Q93" s="373"/>
      <c r="R93" s="351">
        <f>'Parameters, country spec'!G24</f>
        <v>2.0477632235899601E-2</v>
      </c>
      <c r="S93" s="351">
        <f>'Parameters, country spec'!G42</f>
        <v>4.17220755624313E-2</v>
      </c>
    </row>
    <row r="94" spans="1:19" x14ac:dyDescent="0.2">
      <c r="A94" s="353" t="s">
        <v>472</v>
      </c>
      <c r="B94" s="18" t="s">
        <v>282</v>
      </c>
      <c r="C94" s="18" t="s">
        <v>473</v>
      </c>
      <c r="D94" s="349" t="s">
        <v>89</v>
      </c>
      <c r="E94" s="349" t="s">
        <v>54</v>
      </c>
      <c r="F94" s="371">
        <f t="shared" si="10"/>
        <v>2.0662178533731066E-4</v>
      </c>
      <c r="G94" s="373">
        <v>0</v>
      </c>
      <c r="H94" s="373">
        <v>1.1000000000000001E-6</v>
      </c>
      <c r="I94" s="373">
        <v>1.8457295999999999E-4</v>
      </c>
      <c r="J94" s="373">
        <v>1.8457295999999999E-5</v>
      </c>
      <c r="K94" s="373">
        <v>1.0340427203106899E-6</v>
      </c>
      <c r="L94" s="373">
        <v>0</v>
      </c>
      <c r="M94" s="373">
        <v>0</v>
      </c>
      <c r="N94" s="373">
        <v>1.4574866170000001E-6</v>
      </c>
      <c r="O94" s="373"/>
      <c r="P94" s="373"/>
      <c r="Q94" s="373"/>
      <c r="R94" s="351">
        <f>'Parameters, country spec'!G25</f>
        <v>2.8121535473625199E-5</v>
      </c>
      <c r="S94" s="351">
        <f>'Parameters, country spec'!G43</f>
        <v>8.7938670638632895E-5</v>
      </c>
    </row>
    <row r="95" spans="1:19" x14ac:dyDescent="0.2">
      <c r="A95" s="353" t="s">
        <v>474</v>
      </c>
      <c r="B95" s="18" t="s">
        <v>283</v>
      </c>
      <c r="C95" s="18" t="s">
        <v>473</v>
      </c>
      <c r="D95" s="349" t="s">
        <v>89</v>
      </c>
      <c r="E95" s="349" t="s">
        <v>54</v>
      </c>
      <c r="F95" s="371">
        <f t="shared" si="10"/>
        <v>2.147503579809894E-4</v>
      </c>
      <c r="G95" s="373">
        <v>4.56233062574511E-7</v>
      </c>
      <c r="H95" s="373">
        <v>1.1000000000000001E-6</v>
      </c>
      <c r="I95" s="373">
        <v>1.9161296011702001E-4</v>
      </c>
      <c r="J95" s="373">
        <v>1.9161296011701999E-5</v>
      </c>
      <c r="K95" s="373">
        <v>9.6238217269290007E-7</v>
      </c>
      <c r="L95" s="373">
        <v>0</v>
      </c>
      <c r="M95" s="373">
        <v>0</v>
      </c>
      <c r="N95" s="373">
        <v>1.4574866170000001E-6</v>
      </c>
      <c r="O95" s="373"/>
      <c r="P95" s="373"/>
      <c r="Q95" s="373"/>
      <c r="R95" s="351">
        <f>'Parameters, country spec'!G26</f>
        <v>2.76246147491182E-5</v>
      </c>
      <c r="S95" s="351">
        <f>'Parameters, country spec'!G44</f>
        <v>8.6384753409677397E-5</v>
      </c>
    </row>
    <row r="96" spans="1:19" x14ac:dyDescent="0.2">
      <c r="B96" s="58" t="s">
        <v>284</v>
      </c>
      <c r="C96" s="18" t="s">
        <v>475</v>
      </c>
      <c r="D96" s="349" t="s">
        <v>89</v>
      </c>
      <c r="E96" s="349" t="s">
        <v>54</v>
      </c>
      <c r="F96" s="371">
        <f t="shared" si="10"/>
        <v>1.5426052012212821E-3</v>
      </c>
      <c r="G96" s="372">
        <f>'Off-farm feed'!$F$77</f>
        <v>3.5160526410462891E-4</v>
      </c>
      <c r="H96" s="372">
        <f>'Off-farm feed'!$G$77</f>
        <v>5.3103448275862083E-7</v>
      </c>
      <c r="I96" s="372">
        <f>'Off-farm feed'!$H$77</f>
        <v>1.0756102664162706E-3</v>
      </c>
      <c r="J96" s="372">
        <f>'Off-farm feed'!$I$77</f>
        <v>1.0756102664162704E-4</v>
      </c>
      <c r="K96" s="372">
        <f>'Off-farm feed'!$J$77</f>
        <v>6.6339607025480393E-7</v>
      </c>
      <c r="L96" s="372"/>
      <c r="M96" s="372">
        <f>'Off-farm feed'!$L$77</f>
        <v>7.9511067188965528E-9</v>
      </c>
      <c r="N96" s="372">
        <f>'Off-farm feed'!$M$77</f>
        <v>1.2789681892721842E-6</v>
      </c>
      <c r="O96" s="372"/>
      <c r="P96" s="372">
        <f>'Off-farm feed'!$O$77</f>
        <v>4.8776996151562936E-6</v>
      </c>
      <c r="Q96" s="372">
        <f>'Off-farm feed'!$P$77</f>
        <v>4.6959459459459463E-7</v>
      </c>
      <c r="R96" s="351">
        <f>'Parameters, country spec'!G27</f>
        <v>1.50556518569814E-3</v>
      </c>
      <c r="S96" s="351">
        <f>'Parameters, country spec'!G45</f>
        <v>4.70804310319847E-3</v>
      </c>
    </row>
    <row r="97" spans="1:19" x14ac:dyDescent="0.2">
      <c r="B97" s="58" t="s">
        <v>476</v>
      </c>
      <c r="C97" s="18" t="s">
        <v>475</v>
      </c>
      <c r="D97" s="349" t="s">
        <v>89</v>
      </c>
      <c r="E97" s="349" t="s">
        <v>54</v>
      </c>
      <c r="F97" s="371">
        <f t="shared" si="10"/>
        <v>1.8866346644602484E-4</v>
      </c>
      <c r="G97" s="372">
        <f>'Off-farm feed'!$F$26</f>
        <v>1.6332109719061435E-5</v>
      </c>
      <c r="H97" s="372">
        <f>'Off-farm feed'!$G$26</f>
        <v>8.7195121951219526E-7</v>
      </c>
      <c r="I97" s="372">
        <f>'Off-farm feed'!$H$26</f>
        <v>1.3333449845358183E-4</v>
      </c>
      <c r="J97" s="372">
        <f>'Off-farm feed'!$I$26</f>
        <v>1.3333449845358186E-5</v>
      </c>
      <c r="K97" s="372">
        <f>'Off-farm feed'!$J$26</f>
        <v>1.1576736579983962E-6</v>
      </c>
      <c r="L97" s="372"/>
      <c r="M97" s="372">
        <f>'Off-farm feed'!$L$26</f>
        <v>7.3437786087804875E-9</v>
      </c>
      <c r="N97" s="372">
        <f>'Off-farm feed'!$M$26</f>
        <v>1.1195281639512195E-6</v>
      </c>
      <c r="O97" s="372"/>
      <c r="P97" s="372">
        <f>'Off-farm feed'!$O$26</f>
        <v>1.3419073770114999E-5</v>
      </c>
      <c r="Q97" s="372">
        <f>'Off-farm feed'!$P$26</f>
        <v>9.087837837837838E-6</v>
      </c>
      <c r="R97" s="351">
        <f>'Parameters, country spec'!G28</f>
        <v>2.86495692625428E-3</v>
      </c>
      <c r="S97" s="351">
        <f>'Parameters, country spec'!G46</f>
        <v>8.9589881795904807E-3</v>
      </c>
    </row>
    <row r="98" spans="1:19" x14ac:dyDescent="0.2">
      <c r="B98" s="18" t="s">
        <v>286</v>
      </c>
      <c r="C98" s="18" t="s">
        <v>477</v>
      </c>
      <c r="D98" s="349" t="s">
        <v>89</v>
      </c>
      <c r="E98" s="349" t="s">
        <v>54</v>
      </c>
      <c r="F98" s="374">
        <f t="shared" si="10"/>
        <v>7.2397887078904451E-5</v>
      </c>
      <c r="G98" s="373">
        <v>1.7159543395823699E-6</v>
      </c>
      <c r="H98" s="373">
        <v>9.9E-8</v>
      </c>
      <c r="I98" s="373">
        <v>4.7587730761379113E-5</v>
      </c>
      <c r="J98">
        <v>4.7587730761379099E-6</v>
      </c>
      <c r="K98" s="373">
        <v>5.16171079429735E-8</v>
      </c>
      <c r="L98">
        <v>0</v>
      </c>
      <c r="M98">
        <v>0</v>
      </c>
      <c r="N98" s="216">
        <v>1.3117379553000001E-7</v>
      </c>
      <c r="O98" s="216"/>
      <c r="P98" s="373">
        <v>1.6341912215219399E-5</v>
      </c>
      <c r="Q98" s="373">
        <v>1.71172578311269E-6</v>
      </c>
      <c r="R98" s="351">
        <f>'Parameters, country spec'!G29</f>
        <v>1.02158904527991E-2</v>
      </c>
      <c r="S98" s="351">
        <f>'Parameters, country spec'!G47</f>
        <v>1.74137385912514E-2</v>
      </c>
    </row>
    <row r="99" spans="1:19" x14ac:dyDescent="0.2">
      <c r="A99" s="354"/>
      <c r="B99" s="18" t="s">
        <v>478</v>
      </c>
      <c r="C99" s="355" t="s">
        <v>479</v>
      </c>
      <c r="D99" s="349" t="s">
        <v>89</v>
      </c>
      <c r="E99" s="349" t="s">
        <v>54</v>
      </c>
      <c r="F99" s="371">
        <f t="shared" si="10"/>
        <v>4.6798342153914693E-5</v>
      </c>
      <c r="G99" s="375">
        <f t="shared" ref="G99:Q99" si="11">SUMPRODUCT(G89:G97,$R89:$R97)</f>
        <v>1.8611245132464408E-6</v>
      </c>
      <c r="H99" s="375">
        <f t="shared" si="11"/>
        <v>9.5807885468315649E-8</v>
      </c>
      <c r="I99" s="375">
        <f t="shared" si="11"/>
        <v>4.0530298729105282E-5</v>
      </c>
      <c r="J99" s="375">
        <f t="shared" si="11"/>
        <v>4.0530298729105273E-6</v>
      </c>
      <c r="K99" s="375">
        <f t="shared" si="11"/>
        <v>5.7635786225450093E-8</v>
      </c>
      <c r="L99" s="375">
        <f t="shared" si="11"/>
        <v>0</v>
      </c>
      <c r="M99" s="375">
        <f t="shared" si="11"/>
        <v>1.843164929077263E-9</v>
      </c>
      <c r="N99" s="375">
        <f t="shared" si="11"/>
        <v>1.2607016972992426E-7</v>
      </c>
      <c r="O99" s="375">
        <f t="shared" si="11"/>
        <v>0</v>
      </c>
      <c r="P99" s="375">
        <f t="shared" si="11"/>
        <v>4.5788763068480636E-8</v>
      </c>
      <c r="Q99" s="375">
        <f t="shared" si="11"/>
        <v>2.6743269231202887E-8</v>
      </c>
      <c r="R99" s="351">
        <f>'Parameters, country spec'!G30</f>
        <v>1.4734076119915901E-2</v>
      </c>
      <c r="S99" s="351">
        <f>'Parameters, country spec'!G48</f>
        <v>2.6348753268541001E-2</v>
      </c>
    </row>
    <row r="100" spans="1:19" x14ac:dyDescent="0.2">
      <c r="A100" s="357"/>
      <c r="B100" s="358" t="s">
        <v>480</v>
      </c>
      <c r="C100" s="359"/>
      <c r="D100" s="360"/>
      <c r="E100" s="360"/>
      <c r="F100" s="376">
        <f>SUMPRODUCT(F86:F88,R86:R88)+SUMPRODUCT(F89:F99,R89:R99)/0.87</f>
        <v>2.2500563520498357E-4</v>
      </c>
      <c r="G100" s="376">
        <f>SUMPRODUCT(G86:G88,R86:R88)+SUMPRODUCT(G89:G99,R89:R99)/0.87</f>
        <v>7.9520331774755165E-6</v>
      </c>
      <c r="H100" s="376">
        <f>SUMPRODUCT(H86:H88,R86:R88)+SUMPRODUCT(H89:H99,R89:R99)/0.87</f>
        <v>1.0881462663496655E-6</v>
      </c>
      <c r="I100" s="376">
        <f>SUMPRODUCT(I86:I88,R86:R88)+SUMPRODUCT(I89:I99,R89:R99)/0.87</f>
        <v>2.022972916114019E-4</v>
      </c>
      <c r="J100" s="376">
        <f>SUMPRODUCT(J86:J88,R86:R88)+SUMPRODUCT(J89:J99,R89:R99)/0.87</f>
        <v>2.0229729161140191E-5</v>
      </c>
      <c r="K100" s="376">
        <f>SUMPRODUCT(K86:K88,R86:R88)+SUMPRODUCT(K89:K99,R89:R99)/0.87</f>
        <v>4.1819590581313352E-7</v>
      </c>
      <c r="L100" s="376">
        <f>SUMPRODUCT(L86:L88,R86:R88)+SUMPRODUCT(L89:L99,R89:R99)/0.87</f>
        <v>0</v>
      </c>
      <c r="M100" s="376">
        <f>SUMPRODUCT(M86:M88,R86:R88)+SUMPRODUCT(M89:M99,R89:R99)/0.87</f>
        <v>2.149795702809019E-9</v>
      </c>
      <c r="N100" s="376">
        <f>SUMPRODUCT(N86:N88,R86:R88)+SUMPRODUCT(N89:N99,R89:R99)/0.87</f>
        <v>1.485836256696414E-7</v>
      </c>
      <c r="O100" s="376">
        <f>SUMPRODUCT(O86:O88,R86:R88)+SUMPRODUCT(O89:O99,R89:R99)/0.87</f>
        <v>0</v>
      </c>
      <c r="P100" s="376">
        <f>SUMPRODUCT(P86:P88,R86:R88)+SUMPRODUCT(P89:P99,R89:R99)/0.87</f>
        <v>4.2315105117967779E-7</v>
      </c>
      <c r="Q100" s="376">
        <f>SUMPRODUCT(Q86:Q88,R86:R88)+SUMPRODUCT(Q89:Q99,R89:R99)/0.87</f>
        <v>5.1292080093404407E-8</v>
      </c>
      <c r="R100" s="362"/>
      <c r="S100" s="369"/>
    </row>
    <row r="101" spans="1:19" x14ac:dyDescent="0.2">
      <c r="A101" s="363"/>
      <c r="B101" s="364" t="s">
        <v>481</v>
      </c>
      <c r="C101" s="365"/>
      <c r="D101" s="366"/>
      <c r="E101" s="366"/>
      <c r="F101" s="377">
        <f>SUMPRODUCT(F86:F88,S86:S88)+SUMPRODUCT(F89:F99,S89:S99)/0.87</f>
        <v>2.5713015558360416E-4</v>
      </c>
      <c r="G101" s="377">
        <f>SUMPRODUCT(G86:G88,S86:S88)+SUMPRODUCT(G89:G99,S89:S99)/0.87</f>
        <v>1.0239498274767517E-5</v>
      </c>
      <c r="H101" s="377">
        <f>SUMPRODUCT(H86:H88,S86:S88)+SUMPRODUCT(H89:H99,S89:S99)/0.87</f>
        <v>1.0817378830427102E-6</v>
      </c>
      <c r="I101" s="377">
        <f>SUMPRODUCT(I86:I88,S86:S88)+SUMPRODUCT(I89:I99,S89:S99)/0.87</f>
        <v>2.3505165933094087E-4</v>
      </c>
      <c r="J101" s="377">
        <f>SUMPRODUCT(J86:J88,S86:S88)+SUMPRODUCT(J89:J99,S89:S99)/0.87</f>
        <v>2.3505165933094081E-5</v>
      </c>
      <c r="K101" s="377">
        <f>SUMPRODUCT(K86:K88,S86:S88)+SUMPRODUCT(K89:K99,S89:S99)/0.87</f>
        <v>4.4716826318283815E-7</v>
      </c>
      <c r="L101" s="377">
        <f>SUMPRODUCT(L86:L88,S86:S88)+SUMPRODUCT(L89:L99,S89:S99)/0.87</f>
        <v>0</v>
      </c>
      <c r="M101" s="377">
        <f>SUMPRODUCT(M86:M88,S86:S88)+SUMPRODUCT(M89:M99,S89:S99)/0.87</f>
        <v>4.4136602764257685E-9</v>
      </c>
      <c r="N101" s="377">
        <f>SUMPRODUCT(N86:N88,S86:S88)+SUMPRODUCT(N89:N99,S89:S99)/0.87</f>
        <v>3.0821709814195473E-7</v>
      </c>
      <c r="O101" s="377">
        <f>SUMPRODUCT(O86:O88,S86:S88)+SUMPRODUCT(O89:O99,S89:S99)/0.87</f>
        <v>0</v>
      </c>
      <c r="P101" s="377">
        <f>SUMPRODUCT(P86:P88,S86:S88)+SUMPRODUCT(P89:P99,S89:S99)/0.87</f>
        <v>1.8557502364520901E-6</v>
      </c>
      <c r="Q101" s="377">
        <f>SUMPRODUCT(Q86:Q88,S86:S88)+SUMPRODUCT(Q89:Q99,S89:S99)/0.87</f>
        <v>1.3119643734390951E-7</v>
      </c>
      <c r="R101" s="368"/>
      <c r="S101" s="368"/>
    </row>
    <row r="102" spans="1:19" x14ac:dyDescent="0.2">
      <c r="B102" s="58" t="s">
        <v>264</v>
      </c>
      <c r="C102" s="18" t="s">
        <v>463</v>
      </c>
      <c r="D102" s="349" t="s">
        <v>55</v>
      </c>
      <c r="E102" s="349" t="s">
        <v>56</v>
      </c>
      <c r="F102" s="371">
        <f t="shared" ref="F102:F115" si="12">SUM(G102:Q102)</f>
        <v>1.9379468079684114E-4</v>
      </c>
      <c r="G102" s="372">
        <f>'Forage crops, CF'!F41</f>
        <v>8.8818628926129871E-7</v>
      </c>
      <c r="H102" s="372">
        <f>'Forage crops, CF'!G41</f>
        <v>1.1000000000000001E-6</v>
      </c>
      <c r="I102" s="372">
        <f>'Forage crops, CF'!H41</f>
        <v>1.7407334076117382E-4</v>
      </c>
      <c r="J102" s="372">
        <f>'Forage crops, CF'!I41</f>
        <v>1.7407334076117384E-5</v>
      </c>
      <c r="K102" s="372">
        <f>'Forage crops, CF'!J41</f>
        <v>3.2581967028863549E-7</v>
      </c>
      <c r="L102" s="372">
        <f>'Forage crops, CF'!K41</f>
        <v>0</v>
      </c>
      <c r="M102" s="372">
        <f>'Forage crops, CF'!L41</f>
        <v>0</v>
      </c>
      <c r="N102" s="372">
        <f>'Forage crops, CF'!M41</f>
        <v>0</v>
      </c>
      <c r="O102" s="372">
        <f>'Forage crops, CF'!N41</f>
        <v>0</v>
      </c>
      <c r="P102" s="372">
        <f>'Forage crops, CF'!O41</f>
        <v>0</v>
      </c>
      <c r="Q102" s="372">
        <f>'Forage crops, CF'!P41</f>
        <v>0</v>
      </c>
      <c r="R102" s="351">
        <f>'Parameters, country spec'!H17</f>
        <v>0.23110601329913999</v>
      </c>
      <c r="S102" s="351">
        <f>'Parameters, country spec'!H35</f>
        <v>0.40067105954621901</v>
      </c>
    </row>
    <row r="103" spans="1:19" x14ac:dyDescent="0.2">
      <c r="B103" s="58" t="s">
        <v>268</v>
      </c>
      <c r="C103" s="18" t="s">
        <v>463</v>
      </c>
      <c r="D103" s="349" t="s">
        <v>55</v>
      </c>
      <c r="E103" s="349" t="s">
        <v>56</v>
      </c>
      <c r="F103" s="371">
        <f t="shared" si="12"/>
        <v>3.0158750860571172E-4</v>
      </c>
      <c r="G103" s="372">
        <f>'Forage crops, CF'!F101</f>
        <v>1.1794731973189384E-6</v>
      </c>
      <c r="H103" s="372">
        <f>'Forage crops, CF'!G101</f>
        <v>1.1000000000000001E-6</v>
      </c>
      <c r="I103" s="372">
        <f>'Forage crops, CF'!H101</f>
        <v>2.0990991304100788E-4</v>
      </c>
      <c r="J103" s="372">
        <f>'Forage crops, CF'!I101</f>
        <v>2.0990991304100791E-5</v>
      </c>
      <c r="K103" s="372">
        <f>'Forage crops, CF'!J101</f>
        <v>2.8999286758927927E-7</v>
      </c>
      <c r="L103" s="372"/>
      <c r="M103" s="372">
        <f>'Forage crops, CF'!L101</f>
        <v>1.7138195694812839E-8</v>
      </c>
      <c r="N103" s="372">
        <f>'Forage crops, CF'!M101</f>
        <v>0</v>
      </c>
      <c r="O103" s="372">
        <f>'Forage crops, CF'!N101</f>
        <v>0</v>
      </c>
      <c r="P103" s="372">
        <f>'Forage crops, CF'!O101</f>
        <v>6.8099999999999988E-5</v>
      </c>
      <c r="Q103" s="372"/>
      <c r="R103" s="351">
        <f>'Parameters, country spec'!H18</f>
        <v>0.356828284731325</v>
      </c>
      <c r="S103" s="351">
        <f>'Parameters, country spec'!H36</f>
        <v>0.27744597499526502</v>
      </c>
    </row>
    <row r="104" spans="1:19" x14ac:dyDescent="0.2">
      <c r="B104" s="58" t="s">
        <v>465</v>
      </c>
      <c r="C104" s="18" t="s">
        <v>463</v>
      </c>
      <c r="D104" s="349" t="s">
        <v>55</v>
      </c>
      <c r="E104" s="349" t="s">
        <v>56</v>
      </c>
      <c r="F104" s="371">
        <f t="shared" si="12"/>
        <v>1.8839963084314867E-4</v>
      </c>
      <c r="G104" s="372">
        <f>'Forage crops, CF'!F161*'Forage, input data per ha'!$D$84+'Forage crops, CF'!F221*'Forage, input data per ha'!$E$84</f>
        <v>4.8165274629059909E-7</v>
      </c>
      <c r="H104" s="372">
        <f>'Forage crops, CF'!G161*'Forage, input data per ha'!$D$84+'Forage crops, CF'!G221*'Forage, input data per ha'!$E$84</f>
        <v>1.1000000000000001E-6</v>
      </c>
      <c r="I104" s="372">
        <f>'Forage crops, CF'!H161*'Forage, input data per ha'!$D$84+'Forage crops, CF'!H221*'Forage, input data per ha'!$E$84</f>
        <v>1.0758798954216029E-4</v>
      </c>
      <c r="J104" s="372">
        <f>'Forage crops, CF'!I161*'Forage, input data per ha'!$D$84+'Forage crops, CF'!I221*'Forage, input data per ha'!$E$84</f>
        <v>1.0758798954216029E-5</v>
      </c>
      <c r="K104" s="372">
        <f>'Forage crops, CF'!J161*'Forage, input data per ha'!$D$84+'Forage crops, CF'!J221*'Forage, input data per ha'!$E$84</f>
        <v>3.7118960048178388E-7</v>
      </c>
      <c r="L104" s="372"/>
      <c r="M104" s="372">
        <f>'Forage crops, CF'!L161*'Forage, input data per ha'!$D$84+'Forage crops, CF'!L221*'Forage, input data per ha'!$E$84</f>
        <v>0</v>
      </c>
      <c r="N104" s="372">
        <f>'Forage crops, CF'!M161*'Forage, input data per ha'!$D$84+'Forage crops, CF'!M221*'Forage, input data per ha'!$E$84</f>
        <v>0</v>
      </c>
      <c r="O104" s="372">
        <f>'Forage crops, CF'!N161*'Forage, input data per ha'!$D$84+'Forage crops, CF'!N221*'Forage, input data per ha'!$E$84</f>
        <v>0</v>
      </c>
      <c r="P104" s="372">
        <f>'Forage crops, CF'!O161*'Forage, input data per ha'!$D$84+'Forage crops, CF'!O221*'Forage, input data per ha'!$E$84</f>
        <v>6.8099999999999988E-5</v>
      </c>
      <c r="Q104" s="372"/>
      <c r="R104" s="351">
        <f>'Parameters, country spec'!H19</f>
        <v>3.5685456379476198E-2</v>
      </c>
      <c r="S104" s="351">
        <f>'Parameters, country spec'!H37</f>
        <v>7.1895313213819104E-2</v>
      </c>
    </row>
    <row r="105" spans="1:19" x14ac:dyDescent="0.2">
      <c r="A105" s="353" t="s">
        <v>466</v>
      </c>
      <c r="B105" s="18" t="s">
        <v>274</v>
      </c>
      <c r="C105" s="18" t="s">
        <v>467</v>
      </c>
      <c r="D105" s="349" t="s">
        <v>55</v>
      </c>
      <c r="E105" s="349" t="s">
        <v>56</v>
      </c>
      <c r="F105" s="371">
        <f t="shared" si="12"/>
        <v>7.6121683150041691E-4</v>
      </c>
      <c r="G105" s="373">
        <v>3.4604422826583401E-6</v>
      </c>
      <c r="H105" s="373">
        <v>1.1000000000000001E-6</v>
      </c>
      <c r="I105" s="373">
        <v>6.8538167784717497E-4</v>
      </c>
      <c r="J105" s="373">
        <v>6.8538167784717503E-5</v>
      </c>
      <c r="K105" s="373">
        <v>1.23800967386619E-6</v>
      </c>
      <c r="L105" s="373">
        <v>0</v>
      </c>
      <c r="M105" s="373">
        <v>0</v>
      </c>
      <c r="N105" s="373">
        <v>1.4985339119999999E-6</v>
      </c>
      <c r="O105" s="373"/>
      <c r="P105" s="373"/>
      <c r="Q105" s="373"/>
      <c r="R105" s="351">
        <f>'Parameters, country spec'!H20</f>
        <v>2.0715426785277101E-3</v>
      </c>
      <c r="S105" s="351">
        <f>'Parameters, country spec'!H38</f>
        <v>3.0038264722936601E-3</v>
      </c>
    </row>
    <row r="106" spans="1:19" x14ac:dyDescent="0.2">
      <c r="A106" s="353" t="s">
        <v>468</v>
      </c>
      <c r="B106" s="18" t="s">
        <v>276</v>
      </c>
      <c r="C106" s="18" t="s">
        <v>467</v>
      </c>
      <c r="D106" s="349" t="s">
        <v>55</v>
      </c>
      <c r="E106" s="349" t="s">
        <v>56</v>
      </c>
      <c r="F106" s="371">
        <f t="shared" si="12"/>
        <v>4.3982361019904938E-4</v>
      </c>
      <c r="G106" s="373">
        <v>2.0038682712477099E-6</v>
      </c>
      <c r="H106" s="373">
        <v>1.1000000000000001E-6</v>
      </c>
      <c r="I106" s="373">
        <v>3.9516072590425238E-4</v>
      </c>
      <c r="J106" s="373">
        <v>3.9516072590425301E-5</v>
      </c>
      <c r="K106" s="373">
        <v>4.25445690620501E-7</v>
      </c>
      <c r="L106" s="373">
        <v>0</v>
      </c>
      <c r="M106" s="373">
        <v>1.1896383050346399E-7</v>
      </c>
      <c r="N106" s="373">
        <v>1.4985339119999999E-6</v>
      </c>
      <c r="O106" s="373"/>
      <c r="P106" s="373"/>
      <c r="Q106" s="373"/>
      <c r="R106" s="351">
        <f>'Parameters, country spec'!H21</f>
        <v>1.3545550548587301E-2</v>
      </c>
      <c r="S106" s="351">
        <f>'Parameters, country spec'!H39</f>
        <v>1.9641634105452999E-2</v>
      </c>
    </row>
    <row r="107" spans="1:19" x14ac:dyDescent="0.2">
      <c r="A107" s="353" t="s">
        <v>469</v>
      </c>
      <c r="B107" s="18" t="s">
        <v>278</v>
      </c>
      <c r="C107" s="18" t="s">
        <v>467</v>
      </c>
      <c r="D107" s="349" t="s">
        <v>55</v>
      </c>
      <c r="E107" s="349" t="s">
        <v>56</v>
      </c>
      <c r="F107" s="371">
        <f t="shared" si="12"/>
        <v>9.6609796472621793E-4</v>
      </c>
      <c r="G107" s="373">
        <v>4.6619871080123402E-6</v>
      </c>
      <c r="H107" s="373">
        <v>1.1000000000000001E-6</v>
      </c>
      <c r="I107" s="373">
        <v>8.6975755481815699E-4</v>
      </c>
      <c r="J107" s="373">
        <v>8.6975755481815697E-5</v>
      </c>
      <c r="K107" s="373">
        <v>2.1041334062329101E-6</v>
      </c>
      <c r="L107" s="373">
        <v>0</v>
      </c>
      <c r="M107" s="373">
        <v>0</v>
      </c>
      <c r="N107" s="373">
        <v>1.4985339119999999E-6</v>
      </c>
      <c r="O107" s="373"/>
      <c r="P107" s="373"/>
      <c r="Q107" s="373"/>
      <c r="R107" s="351">
        <f>'Parameters, country spec'!H22</f>
        <v>4.3020459338475702E-4</v>
      </c>
      <c r="S107" s="351">
        <f>'Parameters, country spec'!H40</f>
        <v>6.2381526525205101E-4</v>
      </c>
    </row>
    <row r="108" spans="1:19" x14ac:dyDescent="0.2">
      <c r="A108" s="353" t="s">
        <v>470</v>
      </c>
      <c r="B108" s="18" t="s">
        <v>280</v>
      </c>
      <c r="C108" s="18" t="s">
        <v>467</v>
      </c>
      <c r="D108" s="349" t="s">
        <v>55</v>
      </c>
      <c r="E108" s="349" t="s">
        <v>56</v>
      </c>
      <c r="F108" s="371">
        <f t="shared" si="12"/>
        <v>9.4252772207496283E-4</v>
      </c>
      <c r="G108" s="373">
        <v>4.5545567787407397E-6</v>
      </c>
      <c r="H108" s="373">
        <v>1.1000000000000001E-6</v>
      </c>
      <c r="I108" s="373">
        <v>8.48841595525421E-4</v>
      </c>
      <c r="J108" s="373">
        <v>8.4884159552542194E-5</v>
      </c>
      <c r="K108" s="373">
        <v>1.6122237952389601E-6</v>
      </c>
      <c r="L108" s="373">
        <v>0</v>
      </c>
      <c r="M108" s="373">
        <v>3.6652511019930199E-8</v>
      </c>
      <c r="N108" s="373">
        <v>1.4985339119999999E-6</v>
      </c>
      <c r="O108" s="373"/>
      <c r="P108" s="373"/>
      <c r="Q108" s="373"/>
      <c r="R108" s="351">
        <f>'Parameters, country spec'!H23</f>
        <v>3.4277130847484903E-5</v>
      </c>
      <c r="S108" s="351">
        <f>'Parameters, country spec'!H41</f>
        <v>4.9703321891174897E-5</v>
      </c>
    </row>
    <row r="109" spans="1:19" x14ac:dyDescent="0.2">
      <c r="A109" s="353" t="s">
        <v>471</v>
      </c>
      <c r="B109" s="18" t="s">
        <v>281</v>
      </c>
      <c r="C109" s="18" t="s">
        <v>467</v>
      </c>
      <c r="D109" s="349" t="s">
        <v>55</v>
      </c>
      <c r="E109" s="349" t="s">
        <v>56</v>
      </c>
      <c r="F109" s="371">
        <f t="shared" si="12"/>
        <v>1.2230783061102377E-3</v>
      </c>
      <c r="G109" s="373">
        <v>6.1188597918394202E-6</v>
      </c>
      <c r="H109" s="373">
        <v>1.1000000000000001E-6</v>
      </c>
      <c r="I109" s="373">
        <v>1.1027150359909461E-3</v>
      </c>
      <c r="J109" s="373">
        <v>1.10271503599095E-4</v>
      </c>
      <c r="K109" s="373">
        <v>1.3449289839238301E-6</v>
      </c>
      <c r="L109" s="373">
        <v>0</v>
      </c>
      <c r="M109" s="373">
        <v>2.9443832433219999E-8</v>
      </c>
      <c r="N109" s="373">
        <v>1.4985339119999999E-6</v>
      </c>
      <c r="O109" s="373"/>
      <c r="P109" s="373"/>
      <c r="Q109" s="373"/>
      <c r="R109" s="351">
        <f>'Parameters, country spec'!H24</f>
        <v>1.9621876036942901E-3</v>
      </c>
      <c r="S109" s="351">
        <f>'Parameters, country spec'!H42</f>
        <v>2.8451429826063701E-3</v>
      </c>
    </row>
    <row r="110" spans="1:19" x14ac:dyDescent="0.2">
      <c r="A110" s="353" t="s">
        <v>472</v>
      </c>
      <c r="B110" s="18" t="s">
        <v>282</v>
      </c>
      <c r="C110" s="18" t="s">
        <v>473</v>
      </c>
      <c r="D110" s="349" t="s">
        <v>55</v>
      </c>
      <c r="E110" s="349" t="s">
        <v>56</v>
      </c>
      <c r="F110" s="371">
        <f t="shared" si="12"/>
        <v>2.0732558963819123E-4</v>
      </c>
      <c r="G110" s="373">
        <v>0</v>
      </c>
      <c r="H110" s="373">
        <v>1.1000000000000001E-6</v>
      </c>
      <c r="I110" s="373">
        <v>1.8457295999999999E-4</v>
      </c>
      <c r="J110" s="373">
        <v>1.8457295999999999E-5</v>
      </c>
      <c r="K110" s="373">
        <v>1.69241163572995E-6</v>
      </c>
      <c r="L110" s="373">
        <v>0</v>
      </c>
      <c r="M110" s="373">
        <v>4.3880904612717098E-9</v>
      </c>
      <c r="N110" s="373">
        <v>1.4985339119999999E-6</v>
      </c>
      <c r="O110" s="373"/>
      <c r="P110" s="373"/>
      <c r="Q110" s="373"/>
      <c r="R110" s="351">
        <f>'Parameters, country spec'!H25</f>
        <v>2.2097674164487098E-3</v>
      </c>
      <c r="S110" s="351">
        <f>'Parameters, country spec'!H43</f>
        <v>7.8267619629309002E-4</v>
      </c>
    </row>
    <row r="111" spans="1:19" x14ac:dyDescent="0.2">
      <c r="A111" s="353" t="s">
        <v>474</v>
      </c>
      <c r="B111" s="18" t="s">
        <v>283</v>
      </c>
      <c r="C111" s="18" t="s">
        <v>473</v>
      </c>
      <c r="D111" s="349" t="s">
        <v>55</v>
      </c>
      <c r="E111" s="349" t="s">
        <v>56</v>
      </c>
      <c r="F111" s="371">
        <f t="shared" si="12"/>
        <v>2.3268660968817935E-4</v>
      </c>
      <c r="G111" s="373">
        <v>1.55570415501492E-7</v>
      </c>
      <c r="H111" s="373">
        <v>1.1000000000000001E-6</v>
      </c>
      <c r="I111" s="373">
        <v>2.0684410516885461E-4</v>
      </c>
      <c r="J111" s="373">
        <v>2.06844105168855E-5</v>
      </c>
      <c r="K111" s="373">
        <v>2.3978871315382E-6</v>
      </c>
      <c r="L111" s="373">
        <v>0</v>
      </c>
      <c r="M111" s="373">
        <v>6.1025433995682499E-9</v>
      </c>
      <c r="N111" s="373">
        <v>1.4985339119999999E-6</v>
      </c>
      <c r="O111" s="373"/>
      <c r="P111" s="373"/>
      <c r="Q111" s="373"/>
      <c r="R111" s="351">
        <f>'Parameters, country spec'!H26</f>
        <v>2.1707198077583999E-3</v>
      </c>
      <c r="S111" s="351">
        <f>'Parameters, country spec'!H44</f>
        <v>7.6884594730627497E-4</v>
      </c>
    </row>
    <row r="112" spans="1:19" x14ac:dyDescent="0.2">
      <c r="B112" s="58" t="s">
        <v>284</v>
      </c>
      <c r="C112" s="18" t="s">
        <v>475</v>
      </c>
      <c r="D112" s="349" t="s">
        <v>55</v>
      </c>
      <c r="E112" s="349" t="s">
        <v>56</v>
      </c>
      <c r="F112" s="371">
        <f t="shared" si="12"/>
        <v>1.5426052012212821E-3</v>
      </c>
      <c r="G112" s="372">
        <f>'Off-farm feed'!$F$77</f>
        <v>3.5160526410462891E-4</v>
      </c>
      <c r="H112" s="372">
        <f>'Off-farm feed'!$G$77</f>
        <v>5.3103448275862083E-7</v>
      </c>
      <c r="I112" s="372">
        <f>'Off-farm feed'!$H$77</f>
        <v>1.0756102664162706E-3</v>
      </c>
      <c r="J112" s="372">
        <f>'Off-farm feed'!$I$77</f>
        <v>1.0756102664162704E-4</v>
      </c>
      <c r="K112" s="372">
        <f>'Off-farm feed'!$J$77</f>
        <v>6.6339607025480393E-7</v>
      </c>
      <c r="L112" s="372"/>
      <c r="M112" s="372">
        <f>'Off-farm feed'!$L$77</f>
        <v>7.9511067188965528E-9</v>
      </c>
      <c r="N112" s="372">
        <f>'Off-farm feed'!$M$77</f>
        <v>1.2789681892721842E-6</v>
      </c>
      <c r="O112" s="372"/>
      <c r="P112" s="372">
        <f>'Off-farm feed'!$O$77</f>
        <v>4.8776996151562936E-6</v>
      </c>
      <c r="Q112" s="372">
        <f>'Off-farm feed'!$P$77</f>
        <v>4.6959459459459463E-7</v>
      </c>
      <c r="R112" s="351">
        <f>'Parameters, country spec'!H27</f>
        <v>3.7222010695302202E-3</v>
      </c>
      <c r="S112" s="351">
        <f>'Parameters, country spec'!H45</f>
        <v>1.3183641649379199E-3</v>
      </c>
    </row>
    <row r="113" spans="1:19" x14ac:dyDescent="0.2">
      <c r="B113" s="58" t="s">
        <v>476</v>
      </c>
      <c r="C113" s="18" t="s">
        <v>475</v>
      </c>
      <c r="D113" s="349" t="s">
        <v>55</v>
      </c>
      <c r="E113" s="349" t="s">
        <v>56</v>
      </c>
      <c r="F113" s="371">
        <f t="shared" si="12"/>
        <v>1.8866346644602484E-4</v>
      </c>
      <c r="G113" s="372">
        <f>'Off-farm feed'!$F$26</f>
        <v>1.6332109719061435E-5</v>
      </c>
      <c r="H113" s="372">
        <f>'Off-farm feed'!$G$26</f>
        <v>8.7195121951219526E-7</v>
      </c>
      <c r="I113" s="372">
        <f>'Off-farm feed'!$H$26</f>
        <v>1.3333449845358183E-4</v>
      </c>
      <c r="J113" s="372">
        <f>'Off-farm feed'!$I$26</f>
        <v>1.3333449845358186E-5</v>
      </c>
      <c r="K113" s="372">
        <f>'Off-farm feed'!$J$26</f>
        <v>1.1576736579983962E-6</v>
      </c>
      <c r="L113" s="372"/>
      <c r="M113" s="372">
        <f>'Off-farm feed'!$L$26</f>
        <v>7.3437786087804875E-9</v>
      </c>
      <c r="N113" s="372">
        <f>'Off-farm feed'!$M$26</f>
        <v>1.1195281639512195E-6</v>
      </c>
      <c r="O113" s="372"/>
      <c r="P113" s="372">
        <f>'Off-farm feed'!$O$26</f>
        <v>1.3419073770114999E-5</v>
      </c>
      <c r="Q113" s="372">
        <f>'Off-farm feed'!$P$26</f>
        <v>9.087837837837838E-6</v>
      </c>
      <c r="R113" s="351">
        <f>'Parameters, country spec'!H28</f>
        <v>9.1896848360344105E-2</v>
      </c>
      <c r="S113" s="351">
        <f>'Parameters, country spec'!H46</f>
        <v>3.25488896268918E-2</v>
      </c>
    </row>
    <row r="114" spans="1:19" x14ac:dyDescent="0.2">
      <c r="B114" s="18" t="s">
        <v>286</v>
      </c>
      <c r="C114" s="18" t="s">
        <v>477</v>
      </c>
      <c r="D114" s="349" t="s">
        <v>55</v>
      </c>
      <c r="E114" s="349" t="s">
        <v>56</v>
      </c>
      <c r="F114" s="374">
        <f t="shared" si="12"/>
        <v>1.3082524378321331E-4</v>
      </c>
      <c r="G114" s="373">
        <v>5.5069738126554801E-7</v>
      </c>
      <c r="H114" s="373">
        <v>9.9E-8</v>
      </c>
      <c r="I114" s="373">
        <v>9.9244353239185217E-5</v>
      </c>
      <c r="J114">
        <v>9.9244353239185299E-6</v>
      </c>
      <c r="K114" s="373">
        <v>1.2104360855314501E-7</v>
      </c>
      <c r="L114">
        <v>0</v>
      </c>
      <c r="M114">
        <v>2.6499449189897999E-9</v>
      </c>
      <c r="N114" s="216">
        <v>1.3486805208E-7</v>
      </c>
      <c r="O114" s="216"/>
      <c r="P114" s="373">
        <v>1.8648447718521899E-5</v>
      </c>
      <c r="Q114" s="373">
        <v>2.0997485147699699E-6</v>
      </c>
      <c r="R114" s="351">
        <f>'Parameters, country spec'!H29</f>
        <v>0.113060071774995</v>
      </c>
      <c r="S114" s="351">
        <f>'Parameters, country spec'!H47</f>
        <v>7.1183592363716103E-2</v>
      </c>
    </row>
    <row r="115" spans="1:19" x14ac:dyDescent="0.2">
      <c r="A115" s="354"/>
      <c r="B115" s="18" t="s">
        <v>478</v>
      </c>
      <c r="C115" s="355" t="s">
        <v>479</v>
      </c>
      <c r="D115" s="349" t="s">
        <v>55</v>
      </c>
      <c r="E115" s="349" t="s">
        <v>56</v>
      </c>
      <c r="F115" s="371">
        <f t="shared" si="12"/>
        <v>3.4425085579423597E-5</v>
      </c>
      <c r="G115" s="375">
        <f t="shared" ref="G115:Q115" si="13">SUMPRODUCT(G105:G113,$R105:$R113)</f>
        <v>2.8584326292173462E-6</v>
      </c>
      <c r="H115" s="375">
        <f t="shared" si="13"/>
        <v>1.0677286087398441E-7</v>
      </c>
      <c r="I115" s="375">
        <f t="shared" si="13"/>
        <v>2.6452992086792326E-5</v>
      </c>
      <c r="J115" s="375">
        <f t="shared" si="13"/>
        <v>2.6452992086792353E-6</v>
      </c>
      <c r="K115" s="375">
        <f t="shared" si="13"/>
        <v>1.2972779056948938E-7</v>
      </c>
      <c r="L115" s="375">
        <f t="shared" si="13"/>
        <v>0</v>
      </c>
      <c r="M115" s="375">
        <f t="shared" si="13"/>
        <v>2.3978705437530392E-9</v>
      </c>
      <c r="N115" s="375">
        <f t="shared" si="13"/>
        <v>1.4124518542512634E-7</v>
      </c>
      <c r="O115" s="375">
        <f t="shared" si="13"/>
        <v>0</v>
      </c>
      <c r="P115" s="375">
        <f t="shared" si="13"/>
        <v>1.2513263661129111E-6</v>
      </c>
      <c r="Q115" s="375">
        <f t="shared" si="13"/>
        <v>8.3689158120942693E-7</v>
      </c>
      <c r="R115" s="351">
        <f>'Parameters, country spec'!H30</f>
        <v>0.14527687460593999</v>
      </c>
      <c r="S115" s="351">
        <f>'Parameters, country spec'!H48</f>
        <v>0.117221161798055</v>
      </c>
    </row>
    <row r="116" spans="1:19" x14ac:dyDescent="0.2">
      <c r="A116" s="357"/>
      <c r="B116" s="358" t="s">
        <v>480</v>
      </c>
      <c r="C116" s="359"/>
      <c r="D116" s="360"/>
      <c r="E116" s="360"/>
      <c r="F116" s="376">
        <f>SUMPRODUCT(F102:F104,R102:R104)+SUMPRODUCT(F105:F115,R105:R115)/0.87</f>
        <v>2.2144400762583481E-4</v>
      </c>
      <c r="G116" s="376">
        <f>SUMPRODUCT(G102:G104,R102:R104)+SUMPRODUCT(G105:G115,R105:R115)/0.87</f>
        <v>4.4777578450144377E-6</v>
      </c>
      <c r="H116" s="376">
        <f>SUMPRODUCT(H102:H104,R102:R104)+SUMPRODUCT(H105:H115,R105:R115)/0.87</f>
        <v>8.394040695063563E-7</v>
      </c>
      <c r="I116" s="376">
        <f>SUMPRODUCT(I102:I104,R102:R104)+SUMPRODUCT(I105:I115,R105:R115)/0.87</f>
        <v>1.6669071630324409E-4</v>
      </c>
      <c r="J116" s="376">
        <f>SUMPRODUCT(J102:J104,R102:R104)+SUMPRODUCT(J105:J115,R105:R115)/0.87</f>
        <v>1.6669071630324416E-5</v>
      </c>
      <c r="K116" s="376">
        <f>SUMPRODUCT(K102:K104,R102:R104)+SUMPRODUCT(K105:K115,R105:R115)/0.87</f>
        <v>3.7852771357167239E-7</v>
      </c>
      <c r="L116" s="376">
        <f>SUMPRODUCT(L102:L104,R102:R104)+SUMPRODUCT(L105:L115,R105:R115)/0.87</f>
        <v>0</v>
      </c>
      <c r="M116" s="376">
        <f>SUMPRODUCT(M102:M104,R102:R104)+SUMPRODUCT(M105:M115,R105:R115)/0.87</f>
        <v>9.6163454384570817E-9</v>
      </c>
      <c r="N116" s="376">
        <f>SUMPRODUCT(N102:N104,R102:R104)+SUMPRODUCT(N105:N115,R105:R115)/0.87</f>
        <v>2.0346325995993533E-7</v>
      </c>
      <c r="O116" s="376">
        <f>SUMPRODUCT(O102:O104,R102:R104)+SUMPRODUCT(O105:O115,R105:R115)/0.87</f>
        <v>0</v>
      </c>
      <c r="P116" s="376">
        <f>SUMPRODUCT(P102:P104,R102:R104)+SUMPRODUCT(P105:P115,R105:R115)/0.87</f>
        <v>3.0800886904406622E-5</v>
      </c>
      <c r="Q116" s="376">
        <f>SUMPRODUCT(Q102:Q104,R102:R104)+SUMPRODUCT(Q105:Q115,R105:R115)/0.87</f>
        <v>1.3745635543688365E-6</v>
      </c>
      <c r="R116" s="362"/>
      <c r="S116" s="369"/>
    </row>
    <row r="117" spans="1:19" x14ac:dyDescent="0.2">
      <c r="A117" s="363"/>
      <c r="B117" s="364" t="s">
        <v>481</v>
      </c>
      <c r="C117" s="365"/>
      <c r="D117" s="366"/>
      <c r="E117" s="366"/>
      <c r="F117" s="377">
        <f>SUMPRODUCT(F102:F104,S102:S104)+SUMPRODUCT(F105:F115,S105:S115)/0.87</f>
        <v>2.1730214638297071E-4</v>
      </c>
      <c r="G117" s="377">
        <f>SUMPRODUCT(G102:G104,S102:S104)+SUMPRODUCT(G105:G115,S105:S115)/0.87</f>
        <v>2.3727073459767908E-6</v>
      </c>
      <c r="H117" s="377">
        <f>SUMPRODUCT(H102:H104,S102:S104)+SUMPRODUCT(H105:H115,S105:S115)/0.87</f>
        <v>9.1596940322131062E-7</v>
      </c>
      <c r="I117" s="377">
        <f>SUMPRODUCT(I102:I104,S102:S104)+SUMPRODUCT(I105:I115,S105:S115)/0.87</f>
        <v>1.6993753581538235E-4</v>
      </c>
      <c r="J117" s="377">
        <f>SUMPRODUCT(J102:J104,S102:S104)+SUMPRODUCT(J105:J115,S105:S115)/0.87</f>
        <v>1.699375358153824E-5</v>
      </c>
      <c r="K117" s="377">
        <f>SUMPRODUCT(K102:K104,S102:S104)+SUMPRODUCT(K105:K115,S105:S115)/0.87</f>
        <v>3.3291068260628132E-7</v>
      </c>
      <c r="L117" s="377">
        <f>SUMPRODUCT(L102:L104,S102:S104)+SUMPRODUCT(L105:L115,S105:S115)/0.87</f>
        <v>0</v>
      </c>
      <c r="M117" s="377">
        <f>SUMPRODUCT(M102:M104,S102:S104)+SUMPRODUCT(M105:M115,S105:S115)/0.87</f>
        <v>8.3751442515141436E-9</v>
      </c>
      <c r="N117" s="377">
        <f>SUMPRODUCT(N102:N104,S102:S104)+SUMPRODUCT(N105:N115,S105:S115)/0.87</f>
        <v>1.2162723506974621E-7</v>
      </c>
      <c r="O117" s="377">
        <f>SUMPRODUCT(O102:O104,S102:S104)+SUMPRODUCT(O105:O115,S105:S115)/0.87</f>
        <v>0</v>
      </c>
      <c r="P117" s="377">
        <f>SUMPRODUCT(P102:P104,S102:S104)+SUMPRODUCT(P105:P115,S105:S115)/0.87</f>
        <v>2.5993994562043426E-5</v>
      </c>
      <c r="Q117" s="377">
        <f>SUMPRODUCT(Q102:Q104,S102:S104)+SUMPRODUCT(Q105:Q115,S105:S115)/0.87</f>
        <v>6.2527261288105872E-7</v>
      </c>
      <c r="R117" s="368"/>
      <c r="S117" s="368"/>
    </row>
    <row r="118" spans="1:19" x14ac:dyDescent="0.2">
      <c r="B118" s="58" t="s">
        <v>264</v>
      </c>
      <c r="C118" s="18" t="s">
        <v>463</v>
      </c>
      <c r="D118" s="349" t="s">
        <v>87</v>
      </c>
      <c r="E118" s="349" t="s">
        <v>58</v>
      </c>
      <c r="F118" s="371">
        <f t="shared" ref="F118:F131" si="14">SUM(G118:Q118)</f>
        <v>7.7927566970663602E-4</v>
      </c>
      <c r="G118" s="372">
        <f>'Forage crops, CF'!F46</f>
        <v>3.189970981050869E-5</v>
      </c>
      <c r="H118" s="372">
        <f>'Forage crops, CF'!G46</f>
        <v>1.1000000000000001E-6</v>
      </c>
      <c r="I118" s="372">
        <f>'Forage crops, CF'!H46</f>
        <v>6.7792943235542443E-4</v>
      </c>
      <c r="J118" s="372">
        <f>'Forage crops, CF'!I46</f>
        <v>6.7792943235542451E-5</v>
      </c>
      <c r="K118" s="372">
        <f>'Forage crops, CF'!J46</f>
        <v>5.5358430516045113E-7</v>
      </c>
      <c r="L118" s="372">
        <f>'Forage crops, CF'!K46</f>
        <v>0</v>
      </c>
      <c r="M118" s="372">
        <f>'Forage crops, CF'!L46</f>
        <v>0</v>
      </c>
      <c r="N118" s="372">
        <f>'Forage crops, CF'!M46</f>
        <v>0</v>
      </c>
      <c r="O118" s="372">
        <f>'Forage crops, CF'!N46</f>
        <v>0</v>
      </c>
      <c r="P118" s="372">
        <f>'Forage crops, CF'!O46</f>
        <v>0</v>
      </c>
      <c r="Q118" s="372">
        <f>'Forage crops, CF'!P46</f>
        <v>0</v>
      </c>
      <c r="R118" s="351">
        <f>'Parameters, country spec'!I17</f>
        <v>0.373167232002376</v>
      </c>
      <c r="S118" s="351">
        <f>'Parameters, country spec'!I35</f>
        <v>0.47949543012015899</v>
      </c>
    </row>
    <row r="119" spans="1:19" x14ac:dyDescent="0.2">
      <c r="B119" s="58" t="s">
        <v>268</v>
      </c>
      <c r="C119" s="18" t="s">
        <v>463</v>
      </c>
      <c r="D119" s="349" t="s">
        <v>87</v>
      </c>
      <c r="E119" s="349" t="s">
        <v>58</v>
      </c>
      <c r="F119" s="371">
        <f t="shared" si="14"/>
        <v>9.733014727841767E-5</v>
      </c>
      <c r="G119" s="372">
        <f>'Forage crops, CF'!F106</f>
        <v>3.8755561337179895E-7</v>
      </c>
      <c r="H119" s="372">
        <f>'Forage crops, CF'!G106</f>
        <v>1.1000000000000001E-6</v>
      </c>
      <c r="I119" s="372">
        <f>'Forage crops, CF'!H106</f>
        <v>2.4902567922105631E-5</v>
      </c>
      <c r="J119" s="372">
        <f>'Forage crops, CF'!I106</f>
        <v>2.4902567922105631E-6</v>
      </c>
      <c r="K119" s="372">
        <f>'Forage crops, CF'!J106</f>
        <v>3.4667664521576363E-7</v>
      </c>
      <c r="L119" s="372"/>
      <c r="M119" s="372">
        <f>'Forage crops, CF'!L106</f>
        <v>3.0903055139313664E-9</v>
      </c>
      <c r="N119" s="372">
        <f>'Forage crops, CF'!M106</f>
        <v>0</v>
      </c>
      <c r="O119" s="372">
        <f>'Forage crops, CF'!N106</f>
        <v>0</v>
      </c>
      <c r="P119" s="372">
        <f>'Forage crops, CF'!O106</f>
        <v>6.8099999999999988E-5</v>
      </c>
      <c r="Q119" s="372"/>
      <c r="R119" s="351">
        <f>'Parameters, country spec'!I18</f>
        <v>0.25760749577042003</v>
      </c>
      <c r="S119" s="351">
        <f>'Parameters, country spec'!I36</f>
        <v>0.16379583021525301</v>
      </c>
    </row>
    <row r="120" spans="1:19" x14ac:dyDescent="0.2">
      <c r="B120" s="58" t="s">
        <v>465</v>
      </c>
      <c r="C120" s="18" t="s">
        <v>463</v>
      </c>
      <c r="D120" s="349" t="s">
        <v>87</v>
      </c>
      <c r="E120" s="349" t="s">
        <v>58</v>
      </c>
      <c r="F120" s="371">
        <f t="shared" si="14"/>
        <v>7.46201777699187E-4</v>
      </c>
      <c r="G120" s="372">
        <f>'Forage crops, CF'!F166*'Forage, input data per ha'!$D$85+'Forage crops, CF'!F226*'Forage, input data per ha'!$E$85</f>
        <v>2.757362888482155E-5</v>
      </c>
      <c r="H120" s="372">
        <f>'Forage crops, CF'!G166*'Forage, input data per ha'!$D$85+'Forage crops, CF'!G226*'Forage, input data per ha'!$E$85</f>
        <v>1.1000000000000003E-6</v>
      </c>
      <c r="I120" s="372">
        <f>'Forage crops, CF'!H166*'Forage, input data per ha'!$D$85+'Forage crops, CF'!H226*'Forage, input data per ha'!$E$85</f>
        <v>5.8990007949670943E-4</v>
      </c>
      <c r="J120" s="372">
        <f>'Forage crops, CF'!I166*'Forage, input data per ha'!$D$85+'Forage crops, CF'!I226*'Forage, input data per ha'!$E$85</f>
        <v>5.899000794967096E-5</v>
      </c>
      <c r="K120" s="372">
        <f>'Forage crops, CF'!J166*'Forage, input data per ha'!$D$85+'Forage crops, CF'!J226*'Forage, input data per ha'!$E$85</f>
        <v>5.3806136798514434E-7</v>
      </c>
      <c r="L120" s="372"/>
      <c r="M120" s="372">
        <f>'Forage crops, CF'!L166*'Forage, input data per ha'!$D$85+'Forage crops, CF'!L226*'Forage, input data per ha'!$E$85</f>
        <v>0</v>
      </c>
      <c r="N120" s="372">
        <f>'Forage crops, CF'!M166*'Forage, input data per ha'!$D$85+'Forage crops, CF'!M226*'Forage, input data per ha'!$E$85</f>
        <v>0</v>
      </c>
      <c r="O120" s="372">
        <f>'Forage crops, CF'!N166*'Forage, input data per ha'!$D$85+'Forage crops, CF'!N226*'Forage, input data per ha'!$E$85</f>
        <v>0</v>
      </c>
      <c r="P120" s="372">
        <f>'Forage crops, CF'!O166*'Forage, input data per ha'!$D$85+'Forage crops, CF'!O226*'Forage, input data per ha'!$E$85</f>
        <v>6.8100000000000002E-5</v>
      </c>
      <c r="Q120" s="372"/>
      <c r="R120" s="351">
        <f>'Parameters, country spec'!I19</f>
        <v>3.5613863046085999E-2</v>
      </c>
      <c r="S120" s="351">
        <f>'Parameters, country spec'!I37</f>
        <v>0.17110749103346001</v>
      </c>
    </row>
    <row r="121" spans="1:19" x14ac:dyDescent="0.2">
      <c r="A121" s="353" t="s">
        <v>466</v>
      </c>
      <c r="B121" s="18" t="s">
        <v>274</v>
      </c>
      <c r="C121" s="18" t="s">
        <v>467</v>
      </c>
      <c r="D121" s="349" t="s">
        <v>87</v>
      </c>
      <c r="E121" s="349" t="s">
        <v>58</v>
      </c>
      <c r="F121" s="371">
        <f t="shared" si="14"/>
        <v>5.4050107801737271E-4</v>
      </c>
      <c r="G121" s="373">
        <v>1.7348280495920599E-5</v>
      </c>
      <c r="H121" s="373">
        <v>1.1000000000000001E-6</v>
      </c>
      <c r="I121" s="373">
        <v>4.72465531207451E-4</v>
      </c>
      <c r="J121" s="373">
        <v>4.7246553120745103E-5</v>
      </c>
      <c r="K121" s="373">
        <v>7.7223974763406999E-7</v>
      </c>
      <c r="L121" s="373">
        <v>0</v>
      </c>
      <c r="M121" s="373">
        <v>5.8804621981939997E-11</v>
      </c>
      <c r="N121" s="373">
        <v>1.5684146409999999E-6</v>
      </c>
      <c r="O121" s="373"/>
      <c r="P121" s="373"/>
      <c r="Q121" s="373"/>
      <c r="R121" s="351">
        <f>'Parameters, country spec'!I20</f>
        <v>1.3879724923939201E-2</v>
      </c>
      <c r="S121" s="351">
        <f>'Parameters, country spec'!I38</f>
        <v>3.7649623151768401E-3</v>
      </c>
    </row>
    <row r="122" spans="1:19" x14ac:dyDescent="0.2">
      <c r="A122" s="353" t="s">
        <v>468</v>
      </c>
      <c r="B122" s="18" t="s">
        <v>276</v>
      </c>
      <c r="C122" s="18" t="s">
        <v>467</v>
      </c>
      <c r="D122" s="349" t="s">
        <v>87</v>
      </c>
      <c r="E122" s="349" t="s">
        <v>58</v>
      </c>
      <c r="F122" s="371">
        <f t="shared" si="14"/>
        <v>4.9170687326348568E-4</v>
      </c>
      <c r="G122" s="373">
        <v>1.77198396121134E-5</v>
      </c>
      <c r="H122" s="373">
        <v>1.1000000000000001E-6</v>
      </c>
      <c r="I122" s="373">
        <v>4.2801643748347341E-4</v>
      </c>
      <c r="J122" s="373">
        <v>4.28016437483474E-5</v>
      </c>
      <c r="K122" s="373">
        <v>4.68099345950762E-7</v>
      </c>
      <c r="L122" s="373">
        <v>0</v>
      </c>
      <c r="M122" s="373">
        <v>3.24384326007302E-8</v>
      </c>
      <c r="N122" s="373">
        <v>1.5684146409999999E-6</v>
      </c>
      <c r="O122" s="373"/>
      <c r="P122" s="373"/>
      <c r="Q122" s="373"/>
      <c r="R122" s="351">
        <f>'Parameters, country spec'!I21</f>
        <v>4.1683562538490301E-2</v>
      </c>
      <c r="S122" s="351">
        <f>'Parameters, country spec'!I39</f>
        <v>1.13069274080103E-2</v>
      </c>
    </row>
    <row r="123" spans="1:19" x14ac:dyDescent="0.2">
      <c r="A123" s="353" t="s">
        <v>469</v>
      </c>
      <c r="B123" s="18" t="s">
        <v>278</v>
      </c>
      <c r="C123" s="18" t="s">
        <v>467</v>
      </c>
      <c r="D123" s="349" t="s">
        <v>87</v>
      </c>
      <c r="E123" s="349" t="s">
        <v>58</v>
      </c>
      <c r="F123" s="371">
        <f t="shared" si="14"/>
        <v>5.4823029373005669E-4</v>
      </c>
      <c r="G123" s="373">
        <v>1.8237463588767599E-5</v>
      </c>
      <c r="H123" s="373">
        <v>1.1000000000000001E-6</v>
      </c>
      <c r="I123" s="373">
        <v>4.78431800356391E-4</v>
      </c>
      <c r="J123" s="373">
        <v>4.7843180035639103E-5</v>
      </c>
      <c r="K123" s="373">
        <v>1.02416499646555E-6</v>
      </c>
      <c r="L123" s="373">
        <v>0</v>
      </c>
      <c r="M123" s="373">
        <v>2.5270111793474001E-8</v>
      </c>
      <c r="N123" s="373">
        <v>1.5684146409999999E-6</v>
      </c>
      <c r="O123" s="373"/>
      <c r="P123" s="373"/>
      <c r="Q123" s="373"/>
      <c r="R123" s="351">
        <f>'Parameters, country spec'!I22</f>
        <v>4.55917367778715E-4</v>
      </c>
      <c r="S123" s="351">
        <f>'Parameters, country spec'!I40</f>
        <v>1.2367044164683099E-4</v>
      </c>
    </row>
    <row r="124" spans="1:19" x14ac:dyDescent="0.2">
      <c r="A124" s="353" t="s">
        <v>470</v>
      </c>
      <c r="B124" s="18" t="s">
        <v>280</v>
      </c>
      <c r="C124" s="18" t="s">
        <v>467</v>
      </c>
      <c r="D124" s="349" t="s">
        <v>87</v>
      </c>
      <c r="E124" s="349" t="s">
        <v>58</v>
      </c>
      <c r="F124" s="371">
        <f t="shared" si="14"/>
        <v>8.8503529959118872E-4</v>
      </c>
      <c r="G124" s="373">
        <v>3.2781637272394797E-5</v>
      </c>
      <c r="H124" s="373">
        <v>1.1000000000000001E-6</v>
      </c>
      <c r="I124" s="373">
        <v>7.710376612810421E-4</v>
      </c>
      <c r="J124" s="373">
        <v>7.7103766128104205E-5</v>
      </c>
      <c r="K124" s="373">
        <v>1.44382026864755E-6</v>
      </c>
      <c r="L124" s="373">
        <v>0</v>
      </c>
      <c r="M124" s="373">
        <v>0</v>
      </c>
      <c r="N124" s="373">
        <v>1.5684146409999999E-6</v>
      </c>
      <c r="O124" s="373"/>
      <c r="P124" s="373"/>
      <c r="Q124" s="373"/>
      <c r="R124" s="351">
        <f>'Parameters, country spec'!I23</f>
        <v>1.71561062458586E-3</v>
      </c>
      <c r="S124" s="351">
        <f>'Parameters, country spec'!I41</f>
        <v>4.6537012747958797E-4</v>
      </c>
    </row>
    <row r="125" spans="1:19" x14ac:dyDescent="0.2">
      <c r="A125" s="353" t="s">
        <v>471</v>
      </c>
      <c r="B125" s="18" t="s">
        <v>281</v>
      </c>
      <c r="C125" s="18" t="s">
        <v>467</v>
      </c>
      <c r="D125" s="349" t="s">
        <v>87</v>
      </c>
      <c r="E125" s="349" t="s">
        <v>58</v>
      </c>
      <c r="F125" s="371">
        <f t="shared" si="14"/>
        <v>6.4934104750531978E-4</v>
      </c>
      <c r="G125" s="373">
        <v>2.28291296848485E-5</v>
      </c>
      <c r="H125" s="373">
        <v>1.1000000000000001E-6</v>
      </c>
      <c r="I125" s="373">
        <v>5.6656287518152301E-4</v>
      </c>
      <c r="J125" s="373">
        <v>5.66562875181523E-5</v>
      </c>
      <c r="K125" s="373">
        <v>6.2434047979596701E-7</v>
      </c>
      <c r="L125" s="373">
        <v>0</v>
      </c>
      <c r="M125" s="373">
        <v>0</v>
      </c>
      <c r="N125" s="373">
        <v>1.5684146409999999E-6</v>
      </c>
      <c r="O125" s="373"/>
      <c r="P125" s="373"/>
      <c r="Q125" s="373"/>
      <c r="R125" s="351">
        <f>'Parameters, country spec'!I24</f>
        <v>4.6964740317371599E-2</v>
      </c>
      <c r="S125" s="351">
        <f>'Parameters, country spec'!I42</f>
        <v>1.2739490248206E-2</v>
      </c>
    </row>
    <row r="126" spans="1:19" x14ac:dyDescent="0.2">
      <c r="A126" s="353" t="s">
        <v>472</v>
      </c>
      <c r="B126" s="18" t="s">
        <v>282</v>
      </c>
      <c r="C126" s="18" t="s">
        <v>473</v>
      </c>
      <c r="D126" s="349" t="s">
        <v>87</v>
      </c>
      <c r="E126" s="349" t="s">
        <v>58</v>
      </c>
      <c r="F126" s="371">
        <f t="shared" si="14"/>
        <v>2.0727300008761834E-4</v>
      </c>
      <c r="G126" s="373">
        <v>0</v>
      </c>
      <c r="H126" s="373">
        <v>1.1000000000000001E-6</v>
      </c>
      <c r="I126" s="373">
        <v>1.8457295999999999E-4</v>
      </c>
      <c r="J126" s="373">
        <v>1.8457295999999999E-5</v>
      </c>
      <c r="K126" s="373">
        <v>1.6098807704065999E-6</v>
      </c>
      <c r="L126" s="373">
        <v>0</v>
      </c>
      <c r="M126" s="373">
        <v>2.0000943579174501E-7</v>
      </c>
      <c r="N126" s="373">
        <v>1.3328538814200001E-6</v>
      </c>
      <c r="O126" s="373"/>
      <c r="P126" s="373"/>
      <c r="Q126" s="373"/>
      <c r="R126" s="351">
        <f>'Parameters, country spec'!I25</f>
        <v>0</v>
      </c>
      <c r="S126" s="351">
        <f>'Parameters, country spec'!I43</f>
        <v>0</v>
      </c>
    </row>
    <row r="127" spans="1:19" x14ac:dyDescent="0.2">
      <c r="A127" s="353" t="s">
        <v>474</v>
      </c>
      <c r="B127" s="18" t="s">
        <v>283</v>
      </c>
      <c r="C127" s="18" t="s">
        <v>473</v>
      </c>
      <c r="D127" s="349" t="s">
        <v>87</v>
      </c>
      <c r="E127" s="349" t="s">
        <v>58</v>
      </c>
      <c r="F127" s="371">
        <f t="shared" si="14"/>
        <v>2.1998305327249396E-4</v>
      </c>
      <c r="G127" s="373">
        <v>7.0244415562254001E-7</v>
      </c>
      <c r="H127" s="373">
        <v>1.1000000000000001E-6</v>
      </c>
      <c r="I127" s="373">
        <v>1.956954923493564E-4</v>
      </c>
      <c r="J127" s="373">
        <v>1.9569549234935701E-5</v>
      </c>
      <c r="K127" s="373">
        <v>1.34715267052615E-6</v>
      </c>
      <c r="L127" s="373">
        <v>0</v>
      </c>
      <c r="M127" s="373">
        <v>2.2105314722E-13</v>
      </c>
      <c r="N127" s="373">
        <v>1.5684146409999999E-6</v>
      </c>
      <c r="O127" s="373"/>
      <c r="P127" s="373"/>
      <c r="Q127" s="373"/>
      <c r="R127" s="351">
        <f>'Parameters, country spec'!I26</f>
        <v>0</v>
      </c>
      <c r="S127" s="351">
        <f>'Parameters, country spec'!I44</f>
        <v>0</v>
      </c>
    </row>
    <row r="128" spans="1:19" x14ac:dyDescent="0.2">
      <c r="B128" s="58" t="s">
        <v>284</v>
      </c>
      <c r="C128" s="18" t="s">
        <v>475</v>
      </c>
      <c r="D128" s="349" t="s">
        <v>87</v>
      </c>
      <c r="E128" s="349" t="s">
        <v>58</v>
      </c>
      <c r="F128" s="371">
        <f t="shared" si="14"/>
        <v>1.5426052012212821E-3</v>
      </c>
      <c r="G128" s="372">
        <f>'Off-farm feed'!$F$77</f>
        <v>3.5160526410462891E-4</v>
      </c>
      <c r="H128" s="372">
        <f>'Off-farm feed'!$G$77</f>
        <v>5.3103448275862083E-7</v>
      </c>
      <c r="I128" s="372">
        <f>'Off-farm feed'!$H$77</f>
        <v>1.0756102664162706E-3</v>
      </c>
      <c r="J128" s="372">
        <f>'Off-farm feed'!$I$77</f>
        <v>1.0756102664162704E-4</v>
      </c>
      <c r="K128" s="372">
        <f>'Off-farm feed'!$J$77</f>
        <v>6.6339607025480393E-7</v>
      </c>
      <c r="L128" s="372"/>
      <c r="M128" s="372">
        <f>'Off-farm feed'!$L$77</f>
        <v>7.9511067188965528E-9</v>
      </c>
      <c r="N128" s="372">
        <f>'Off-farm feed'!$M$77</f>
        <v>1.2789681892721842E-6</v>
      </c>
      <c r="O128" s="372"/>
      <c r="P128" s="372">
        <f>'Off-farm feed'!$O$77</f>
        <v>4.8776996151562936E-6</v>
      </c>
      <c r="Q128" s="372">
        <f>'Off-farm feed'!$P$77</f>
        <v>4.6959459459459463E-7</v>
      </c>
      <c r="R128" s="351">
        <f>'Parameters, country spec'!I27</f>
        <v>8.6279293190231102E-2</v>
      </c>
      <c r="S128" s="351">
        <f>'Parameters, country spec'!I45</f>
        <v>4.3197597637154403E-2</v>
      </c>
    </row>
    <row r="129" spans="1:20" x14ac:dyDescent="0.2">
      <c r="B129" s="58" t="s">
        <v>476</v>
      </c>
      <c r="C129" s="18" t="s">
        <v>475</v>
      </c>
      <c r="D129" s="349" t="s">
        <v>87</v>
      </c>
      <c r="E129" s="349" t="s">
        <v>58</v>
      </c>
      <c r="F129" s="371">
        <f t="shared" si="14"/>
        <v>1.8866346644602484E-4</v>
      </c>
      <c r="G129" s="372">
        <f>'Off-farm feed'!$F$26</f>
        <v>1.6332109719061435E-5</v>
      </c>
      <c r="H129" s="372">
        <f>'Off-farm feed'!$G$26</f>
        <v>8.7195121951219526E-7</v>
      </c>
      <c r="I129" s="372">
        <f>'Off-farm feed'!$H$26</f>
        <v>1.3333449845358183E-4</v>
      </c>
      <c r="J129" s="372">
        <f>'Off-farm feed'!$I$26</f>
        <v>1.3333449845358186E-5</v>
      </c>
      <c r="K129" s="372">
        <f>'Off-farm feed'!$J$26</f>
        <v>1.1576736579983962E-6</v>
      </c>
      <c r="L129" s="372"/>
      <c r="M129" s="372">
        <f>'Off-farm feed'!$L$26</f>
        <v>7.3437786087804875E-9</v>
      </c>
      <c r="N129" s="372">
        <f>'Off-farm feed'!$M$26</f>
        <v>1.1195281639512195E-6</v>
      </c>
      <c r="O129" s="372"/>
      <c r="P129" s="372">
        <f>'Off-farm feed'!$O$26</f>
        <v>1.3419073770114999E-5</v>
      </c>
      <c r="Q129" s="372">
        <f>'Off-farm feed'!$P$26</f>
        <v>9.087837837837838E-6</v>
      </c>
      <c r="R129" s="351">
        <f>'Parameters, country spec'!I28</f>
        <v>0.111425490586606</v>
      </c>
      <c r="S129" s="351">
        <f>'Parameters, country spec'!I46</f>
        <v>5.5787586237705702E-2</v>
      </c>
    </row>
    <row r="130" spans="1:20" x14ac:dyDescent="0.2">
      <c r="B130" s="18" t="s">
        <v>286</v>
      </c>
      <c r="C130" s="18" t="s">
        <v>477</v>
      </c>
      <c r="D130" s="349" t="s">
        <v>87</v>
      </c>
      <c r="E130" s="349" t="s">
        <v>58</v>
      </c>
      <c r="F130" s="374">
        <f t="shared" si="14"/>
        <v>8.2639285976818797E-5</v>
      </c>
      <c r="G130" s="373">
        <v>2.0546216716363599E-6</v>
      </c>
      <c r="H130" s="373">
        <v>9.9E-8</v>
      </c>
      <c r="I130" s="373">
        <v>5.0990658766337112E-5</v>
      </c>
      <c r="J130">
        <v>5.0990658766337097E-6</v>
      </c>
      <c r="K130" s="373">
        <v>5.6190643181637003E-8</v>
      </c>
      <c r="L130">
        <v>0</v>
      </c>
      <c r="M130">
        <v>0</v>
      </c>
      <c r="N130" s="216">
        <v>1.4115731769000001E-7</v>
      </c>
      <c r="O130" s="216"/>
      <c r="P130" s="373">
        <v>2.3492890101997999E-5</v>
      </c>
      <c r="Q130" s="373">
        <v>7.0570159934197997E-7</v>
      </c>
      <c r="R130" s="351">
        <f>'Parameters, country spec'!I29</f>
        <v>1.38916945292026E-2</v>
      </c>
      <c r="S130" s="351">
        <f>'Parameters, country spec'!I47</f>
        <v>3.9631874829556102E-2</v>
      </c>
      <c r="T130" t="s">
        <v>373</v>
      </c>
    </row>
    <row r="131" spans="1:20" x14ac:dyDescent="0.2">
      <c r="A131" s="354"/>
      <c r="B131" s="18" t="s">
        <v>478</v>
      </c>
      <c r="C131" s="355" t="s">
        <v>479</v>
      </c>
      <c r="D131" s="349" t="s">
        <v>87</v>
      </c>
      <c r="E131" s="349" t="s">
        <v>58</v>
      </c>
      <c r="F131" s="371">
        <f t="shared" si="14"/>
        <v>2.1437936357278573E-4</v>
      </c>
      <c r="G131" s="375">
        <f t="shared" ref="G131:Q131" si="15">SUMPRODUCT(G121:G129,$R121:$R129)</f>
        <v>3.4272201859413584E-5</v>
      </c>
      <c r="H131" s="375">
        <f t="shared" si="15"/>
        <v>2.5814438358317178E-7</v>
      </c>
      <c r="I131" s="375">
        <f t="shared" si="15"/>
        <v>1.6020810106250118E-4</v>
      </c>
      <c r="J131" s="375">
        <f t="shared" si="15"/>
        <v>1.602081010625012E-5</v>
      </c>
      <c r="K131" s="375">
        <f t="shared" si="15"/>
        <v>2.4872817946756609E-7</v>
      </c>
      <c r="L131" s="375">
        <f t="shared" si="15"/>
        <v>0</v>
      </c>
      <c r="M131" s="375">
        <f t="shared" si="15"/>
        <v>2.8687867108221406E-9</v>
      </c>
      <c r="N131" s="375">
        <f t="shared" si="15"/>
        <v>3.9930476245624143E-7</v>
      </c>
      <c r="O131" s="375">
        <f t="shared" si="15"/>
        <v>0</v>
      </c>
      <c r="P131" s="375">
        <f t="shared" si="15"/>
        <v>1.916071353242868E-6</v>
      </c>
      <c r="Q131" s="375">
        <f t="shared" si="15"/>
        <v>1.0531330791601764E-6</v>
      </c>
      <c r="R131" s="351">
        <f>'Parameters, country spec'!I30</f>
        <v>1.73153751029133E-2</v>
      </c>
      <c r="S131" s="351">
        <f>'Parameters, country spec'!I48</f>
        <v>1.8583769386191801E-2</v>
      </c>
    </row>
    <row r="132" spans="1:20" x14ac:dyDescent="0.2">
      <c r="A132" s="357"/>
      <c r="B132" s="358" t="s">
        <v>480</v>
      </c>
      <c r="C132" s="359"/>
      <c r="D132" s="360"/>
      <c r="E132" s="360"/>
      <c r="F132" s="376">
        <f>SUMPRODUCT(F118:F120,R118:R120)+SUMPRODUCT(F121:F131,R121:R131)/0.87</f>
        <v>5.9444758412418512E-4</v>
      </c>
      <c r="G132" s="376">
        <f>SUMPRODUCT(G118:G120,R118:R120)+SUMPRODUCT(G121:G131,R121:R131)/0.87</f>
        <v>5.3094020035886155E-5</v>
      </c>
      <c r="H132" s="376">
        <f>SUMPRODUCT(H118:H120,R118:R120)+SUMPRODUCT(H121:H131,R121:R131)/0.87</f>
        <v>1.0364636891812482E-6</v>
      </c>
      <c r="I132" s="376">
        <f>SUMPRODUCT(I118:I120,R118:R120)+SUMPRODUCT(I121:I131,R121:R131)/0.87</f>
        <v>4.6855477130608491E-4</v>
      </c>
      <c r="J132" s="376">
        <f>SUMPRODUCT(J118:J120,R118:R120)+SUMPRODUCT(J121:J131,R121:R131)/0.87</f>
        <v>4.6855477130608499E-5</v>
      </c>
      <c r="K132" s="376">
        <f>SUMPRODUCT(K118:K120,R118:R120)+SUMPRODUCT(K121:K131,R121:R131)/0.87</f>
        <v>6.0679052020789648E-7</v>
      </c>
      <c r="L132" s="376">
        <f>SUMPRODUCT(L118:L120,R118:R120)+SUMPRODUCT(L121:L131,R121:R131)/0.87</f>
        <v>0</v>
      </c>
      <c r="M132" s="376">
        <f>SUMPRODUCT(M118:M120,R118:R120)+SUMPRODUCT(M121:M131,R121:R131)/0.87</f>
        <v>4.1506385414028042E-9</v>
      </c>
      <c r="N132" s="376">
        <f>SUMPRODUCT(N118:N120,R118:R120)+SUMPRODUCT(N121:N131,R121:R131)/0.87</f>
        <v>4.6917217073156557E-7</v>
      </c>
      <c r="O132" s="376">
        <f>SUMPRODUCT(O118:O120,R118:R120)+SUMPRODUCT(O121:O131,R121:R131)/0.87</f>
        <v>0</v>
      </c>
      <c r="P132" s="376">
        <f>SUMPRODUCT(P118:P120,R118:R120)+SUMPRODUCT(P121:P131,R121:R131)/0.87</f>
        <v>2.25840123519021E-5</v>
      </c>
      <c r="Q132" s="376">
        <f>SUMPRODUCT(Q118:Q120,R118:R120)+SUMPRODUCT(Q121:Q131,R121:R131)/0.87</f>
        <v>1.2427262810413211E-6</v>
      </c>
      <c r="R132" s="362"/>
      <c r="S132" s="369"/>
    </row>
    <row r="133" spans="1:20" x14ac:dyDescent="0.2">
      <c r="A133" s="363"/>
      <c r="B133" s="364" t="s">
        <v>481</v>
      </c>
      <c r="C133" s="365"/>
      <c r="D133" s="366"/>
      <c r="E133" s="366"/>
      <c r="F133" s="377">
        <f>SUMPRODUCT(F118:F120,S118:S120)+SUMPRODUCT(F121:F131,S121:S131)/0.87</f>
        <v>6.3310699101351781E-4</v>
      </c>
      <c r="G133" s="377">
        <f>SUMPRODUCT(G118:G120,S118:S120)+SUMPRODUCT(G121:G131,S121:S131)/0.87</f>
        <v>4.0068083408847683E-5</v>
      </c>
      <c r="H133" s="377">
        <f>SUMPRODUCT(H118:H120,S118:S120)+SUMPRODUCT(H121:H131,S121:S131)/0.87</f>
        <v>1.0240510192262401E-6</v>
      </c>
      <c r="I133" s="377">
        <f>SUMPRODUCT(I118:I120,S118:S120)+SUMPRODUCT(I121:I131,S121:S131)/0.87</f>
        <v>5.1416482852494191E-4</v>
      </c>
      <c r="J133" s="377">
        <f>SUMPRODUCT(J118:J120,S118:S120)+SUMPRODUCT(J121:J131,S121:S131)/0.87</f>
        <v>5.1416482852494205E-5</v>
      </c>
      <c r="K133" s="377">
        <f>SUMPRODUCT(K118:K120,S118:S120)+SUMPRODUCT(K121:K131,S121:S131)/0.87</f>
        <v>5.4882356217195697E-7</v>
      </c>
      <c r="L133" s="377">
        <f>SUMPRODUCT(L118:L120,S118:S120)+SUMPRODUCT(L121:L131,S121:S131)/0.87</f>
        <v>0</v>
      </c>
      <c r="M133" s="377">
        <f>SUMPRODUCT(M118:M120,S118:S120)+SUMPRODUCT(M121:M131,S121:S131)/0.87</f>
        <v>1.8585916028257985E-9</v>
      </c>
      <c r="N133" s="377">
        <f>SUMPRODUCT(N118:N120,S118:S120)+SUMPRODUCT(N121:N131,S121:S131)/0.87</f>
        <v>2.0145135560395131E-7</v>
      </c>
      <c r="O133" s="377">
        <f>SUMPRODUCT(O118:O120,S118:S120)+SUMPRODUCT(O121:O131,S121:S131)/0.87</f>
        <v>0</v>
      </c>
      <c r="P133" s="377">
        <f>SUMPRODUCT(P118:P120,S118:S120)+SUMPRODUCT(P121:P131,S121:S131)/0.87</f>
        <v>2.5020706692685525E-5</v>
      </c>
      <c r="Q133" s="377">
        <f>SUMPRODUCT(Q118:Q120,S118:S120)+SUMPRODUCT(Q121:Q131,S121:S131)/0.87</f>
        <v>6.6070500594340796E-7</v>
      </c>
      <c r="R133" s="368"/>
      <c r="S133" s="368"/>
    </row>
    <row r="134" spans="1:20" x14ac:dyDescent="0.2">
      <c r="B134" s="58" t="s">
        <v>264</v>
      </c>
      <c r="C134" s="18" t="s">
        <v>463</v>
      </c>
      <c r="D134" s="349" t="s">
        <v>59</v>
      </c>
      <c r="E134" s="349" t="s">
        <v>60</v>
      </c>
      <c r="F134" s="371">
        <f t="shared" ref="F134:F147" si="16">SUM(G134:Q134)</f>
        <v>1.9999483797895743E-4</v>
      </c>
      <c r="G134" s="372">
        <f>'Forage crops, CF'!F51</f>
        <v>7.0051200992561676E-6</v>
      </c>
      <c r="H134" s="372">
        <f>'Forage crops, CF'!G51</f>
        <v>1.1000000000000001E-6</v>
      </c>
      <c r="I134" s="372">
        <f>'Forage crops, CF'!H51</f>
        <v>1.740733407611739E-4</v>
      </c>
      <c r="J134" s="372">
        <f>'Forage crops, CF'!I51</f>
        <v>1.7407334076117391E-5</v>
      </c>
      <c r="K134" s="372">
        <f>'Forage crops, CF'!J51</f>
        <v>4.0904304240996526E-7</v>
      </c>
      <c r="L134" s="372">
        <f>'Forage crops, CF'!K51</f>
        <v>0</v>
      </c>
      <c r="M134" s="372">
        <f>'Forage crops, CF'!L51</f>
        <v>0</v>
      </c>
      <c r="N134" s="372">
        <f>'Forage crops, CF'!M51</f>
        <v>0</v>
      </c>
      <c r="O134" s="372">
        <f>'Forage crops, CF'!N51</f>
        <v>0</v>
      </c>
      <c r="P134" s="372">
        <f>'Forage crops, CF'!O51</f>
        <v>0</v>
      </c>
      <c r="Q134" s="372">
        <f>'Forage crops, CF'!P51</f>
        <v>0</v>
      </c>
      <c r="R134" s="351">
        <f>'Parameters, country spec'!J17</f>
        <v>0.25455862443412097</v>
      </c>
      <c r="S134" s="351">
        <f>'Parameters, country spec'!J35</f>
        <v>0.26557017524746102</v>
      </c>
    </row>
    <row r="135" spans="1:20" x14ac:dyDescent="0.2">
      <c r="B135" s="58" t="s">
        <v>268</v>
      </c>
      <c r="C135" s="18" t="s">
        <v>463</v>
      </c>
      <c r="D135" s="349" t="s">
        <v>59</v>
      </c>
      <c r="E135" s="349" t="s">
        <v>60</v>
      </c>
      <c r="F135" s="371">
        <f t="shared" si="16"/>
        <v>3.1875964128809273E-4</v>
      </c>
      <c r="G135" s="372">
        <f>'Forage crops, CF'!F111</f>
        <v>9.6804331234618994E-6</v>
      </c>
      <c r="H135" s="372">
        <f>'Forage crops, CF'!G111</f>
        <v>1.1000000000000001E-6</v>
      </c>
      <c r="I135" s="372">
        <f>'Forage crops, CF'!H111</f>
        <v>2.1774664567274219E-4</v>
      </c>
      <c r="J135" s="372">
        <f>'Forage crops, CF'!I111</f>
        <v>2.1774664567274219E-5</v>
      </c>
      <c r="K135" s="372">
        <f>'Forage crops, CF'!J111</f>
        <v>3.5716604560303268E-7</v>
      </c>
      <c r="L135" s="372"/>
      <c r="M135" s="372">
        <f>'Forage crops, CF'!L111</f>
        <v>7.3187901141189163E-10</v>
      </c>
      <c r="N135" s="372">
        <f>'Forage crops, CF'!M111</f>
        <v>0</v>
      </c>
      <c r="O135" s="372">
        <f>'Forage crops, CF'!N111</f>
        <v>0</v>
      </c>
      <c r="P135" s="372">
        <f>'Forage crops, CF'!O111</f>
        <v>6.8099999999999988E-5</v>
      </c>
      <c r="Q135" s="372"/>
      <c r="R135" s="351">
        <f>'Parameters, country spec'!J18</f>
        <v>0.33395684495061101</v>
      </c>
      <c r="S135" s="351">
        <f>'Parameters, country spec'!J36</f>
        <v>0.30897238471141197</v>
      </c>
    </row>
    <row r="136" spans="1:20" x14ac:dyDescent="0.2">
      <c r="B136" s="58" t="s">
        <v>465</v>
      </c>
      <c r="C136" s="18" t="s">
        <v>463</v>
      </c>
      <c r="D136" s="349" t="s">
        <v>59</v>
      </c>
      <c r="E136" s="349" t="s">
        <v>60</v>
      </c>
      <c r="F136" s="371">
        <f t="shared" si="16"/>
        <v>2.3269983696593574E-4</v>
      </c>
      <c r="G136" s="372">
        <f>'Forage crops, CF'!F171*'Forage, input data per ha'!$D$86+'Forage crops, CF'!F231*'Forage, input data per ha'!$E$86</f>
        <v>5.5186314948743617E-6</v>
      </c>
      <c r="H136" s="372">
        <f>'Forage crops, CF'!G171*'Forage, input data per ha'!$D$86+'Forage crops, CF'!G231*'Forage, input data per ha'!$E$86</f>
        <v>1.1000000000000001E-6</v>
      </c>
      <c r="I136" s="372">
        <f>'Forage crops, CF'!H171*'Forage, input data per ha'!$D$86+'Forage crops, CF'!H231*'Forage, input data per ha'!$E$86</f>
        <v>1.4325000437471252E-4</v>
      </c>
      <c r="J136" s="372">
        <f>'Forage crops, CF'!I171*'Forage, input data per ha'!$D$86+'Forage crops, CF'!I231*'Forage, input data per ha'!$E$86</f>
        <v>1.4325000437471253E-5</v>
      </c>
      <c r="K136" s="372">
        <f>'Forage crops, CF'!J171*'Forage, input data per ha'!$D$86+'Forage crops, CF'!J231*'Forage, input data per ha'!$E$86</f>
        <v>4.0620065887760901E-7</v>
      </c>
      <c r="L136" s="372"/>
      <c r="M136" s="372">
        <f>'Forage crops, CF'!L171*'Forage, input data per ha'!$D$86+'Forage crops, CF'!L231*'Forage, input data per ha'!$E$86</f>
        <v>0</v>
      </c>
      <c r="N136" s="372">
        <f>'Forage crops, CF'!M171*'Forage, input data per ha'!$D$86+'Forage crops, CF'!M231*'Forage, input data per ha'!$E$86</f>
        <v>0</v>
      </c>
      <c r="O136" s="372">
        <f>'Forage crops, CF'!N171*'Forage, input data per ha'!$D$86+'Forage crops, CF'!N231*'Forage, input data per ha'!$E$86</f>
        <v>0</v>
      </c>
      <c r="P136" s="372">
        <f>'Forage crops, CF'!O171*'Forage, input data per ha'!$D$86+'Forage crops, CF'!O231*'Forage, input data per ha'!$E$86</f>
        <v>6.8100000000000002E-5</v>
      </c>
      <c r="Q136" s="372"/>
      <c r="R136" s="351">
        <f>'Parameters, country spec'!J19</f>
        <v>1.15898887697602E-2</v>
      </c>
      <c r="S136" s="351">
        <f>'Parameters, country spec'!J37</f>
        <v>0.152808046794979</v>
      </c>
    </row>
    <row r="137" spans="1:20" x14ac:dyDescent="0.2">
      <c r="A137" s="353" t="s">
        <v>466</v>
      </c>
      <c r="B137" s="18" t="s">
        <v>274</v>
      </c>
      <c r="C137" s="18" t="s">
        <v>467</v>
      </c>
      <c r="D137" s="349" t="s">
        <v>59</v>
      </c>
      <c r="E137" s="349" t="s">
        <v>60</v>
      </c>
      <c r="F137" s="371">
        <f t="shared" si="16"/>
        <v>7.6696358474400187E-4</v>
      </c>
      <c r="G137" s="373">
        <v>2.6533375174134799E-5</v>
      </c>
      <c r="H137" s="373">
        <v>1.1000000000000001E-6</v>
      </c>
      <c r="I137" s="373">
        <v>6.6964096180350803E-4</v>
      </c>
      <c r="J137" s="373">
        <v>6.6964096180350798E-5</v>
      </c>
      <c r="K137" s="373">
        <v>1.2035756853396901E-6</v>
      </c>
      <c r="L137" s="373">
        <v>0</v>
      </c>
      <c r="M137" s="373">
        <v>4.0468638400000002E-14</v>
      </c>
      <c r="N137" s="373">
        <v>1.5215758602E-6</v>
      </c>
      <c r="O137" s="373"/>
      <c r="P137" s="373"/>
      <c r="Q137" s="373"/>
      <c r="R137" s="351">
        <f>'Parameters, country spec'!J20</f>
        <v>4.8218892985114399E-2</v>
      </c>
      <c r="S137" s="351">
        <f>'Parameters, country spec'!J38</f>
        <v>1.4852072857038301E-2</v>
      </c>
    </row>
    <row r="138" spans="1:20" x14ac:dyDescent="0.2">
      <c r="A138" s="353" t="s">
        <v>468</v>
      </c>
      <c r="B138" s="18" t="s">
        <v>276</v>
      </c>
      <c r="C138" s="18" t="s">
        <v>467</v>
      </c>
      <c r="D138" s="349" t="s">
        <v>59</v>
      </c>
      <c r="E138" s="349" t="s">
        <v>60</v>
      </c>
      <c r="F138" s="371">
        <f t="shared" si="16"/>
        <v>6.1017364080065493E-4</v>
      </c>
      <c r="G138" s="373">
        <v>2.2376108534218499E-5</v>
      </c>
      <c r="H138" s="373">
        <v>1.1000000000000001E-6</v>
      </c>
      <c r="I138" s="373">
        <v>5.3142748224594837E-4</v>
      </c>
      <c r="J138" s="373">
        <v>5.3142748224594797E-5</v>
      </c>
      <c r="K138" s="373">
        <v>6.0234873056705096E-7</v>
      </c>
      <c r="L138" s="373">
        <v>0</v>
      </c>
      <c r="M138" s="373">
        <v>3.3772051261859101E-9</v>
      </c>
      <c r="N138" s="373">
        <v>1.5215758602E-6</v>
      </c>
      <c r="O138" s="373"/>
      <c r="P138" s="373"/>
      <c r="Q138" s="373"/>
      <c r="R138" s="351">
        <f>'Parameters, country spec'!J21</f>
        <v>6.6054588822439503E-2</v>
      </c>
      <c r="S138" s="351">
        <f>'Parameters, country spec'!J39</f>
        <v>2.0345709016517801E-2</v>
      </c>
    </row>
    <row r="139" spans="1:20" x14ac:dyDescent="0.2">
      <c r="A139" s="353" t="s">
        <v>469</v>
      </c>
      <c r="B139" s="18" t="s">
        <v>278</v>
      </c>
      <c r="C139" s="18" t="s">
        <v>467</v>
      </c>
      <c r="D139" s="349" t="s">
        <v>59</v>
      </c>
      <c r="E139" s="349" t="s">
        <v>60</v>
      </c>
      <c r="F139" s="371">
        <f t="shared" si="16"/>
        <v>7.7542919636243814E-4</v>
      </c>
      <c r="G139" s="373">
        <v>2.74338362257975E-5</v>
      </c>
      <c r="H139" s="373">
        <v>1.1000000000000001E-6</v>
      </c>
      <c r="I139" s="373">
        <v>6.7618533197909996E-4</v>
      </c>
      <c r="J139" s="373">
        <v>6.7618533197909994E-5</v>
      </c>
      <c r="K139" s="373">
        <v>1.5699189230533901E-6</v>
      </c>
      <c r="L139" s="373">
        <v>0</v>
      </c>
      <c r="M139" s="373">
        <v>1.7637740003599999E-13</v>
      </c>
      <c r="N139" s="373">
        <v>1.5215758602E-6</v>
      </c>
      <c r="O139" s="373"/>
      <c r="P139" s="373"/>
      <c r="Q139" s="373"/>
      <c r="R139" s="351">
        <f>'Parameters, country spec'!J22</f>
        <v>1.4441270481012601E-3</v>
      </c>
      <c r="S139" s="351">
        <f>'Parameters, country spec'!J40</f>
        <v>4.4481071240192398E-4</v>
      </c>
    </row>
    <row r="140" spans="1:20" x14ac:dyDescent="0.2">
      <c r="A140" s="353" t="s">
        <v>470</v>
      </c>
      <c r="B140" s="18" t="s">
        <v>280</v>
      </c>
      <c r="C140" s="18" t="s">
        <v>467</v>
      </c>
      <c r="D140" s="349" t="s">
        <v>59</v>
      </c>
      <c r="E140" s="349" t="s">
        <v>60</v>
      </c>
      <c r="F140" s="371">
        <f t="shared" si="16"/>
        <v>9.1547339181212797E-4</v>
      </c>
      <c r="G140" s="373">
        <v>3.34732159669112E-5</v>
      </c>
      <c r="H140" s="373">
        <v>1.1000000000000001E-6</v>
      </c>
      <c r="I140" s="373">
        <v>7.9806933701305092E-4</v>
      </c>
      <c r="J140" s="373">
        <v>7.9806933701305198E-5</v>
      </c>
      <c r="K140" s="373">
        <v>1.5023292575201099E-6</v>
      </c>
      <c r="L140" s="373">
        <v>0</v>
      </c>
      <c r="M140" s="373">
        <v>1.3140560710799999E-14</v>
      </c>
      <c r="N140" s="373">
        <v>1.5215758602E-6</v>
      </c>
      <c r="O140" s="373"/>
      <c r="P140" s="373"/>
      <c r="Q140" s="373"/>
      <c r="R140" s="351">
        <f>'Parameters, country spec'!J23</f>
        <v>1.8855002677230601E-2</v>
      </c>
      <c r="S140" s="351">
        <f>'Parameters, country spec'!J41</f>
        <v>5.80759649035195E-3</v>
      </c>
    </row>
    <row r="141" spans="1:20" x14ac:dyDescent="0.2">
      <c r="A141" s="353" t="s">
        <v>471</v>
      </c>
      <c r="B141" s="18" t="s">
        <v>281</v>
      </c>
      <c r="C141" s="18" t="s">
        <v>467</v>
      </c>
      <c r="D141" s="349" t="s">
        <v>59</v>
      </c>
      <c r="E141" s="349" t="s">
        <v>60</v>
      </c>
      <c r="F141" s="371">
        <f t="shared" si="16"/>
        <v>9.7067859991607406E-4</v>
      </c>
      <c r="G141" s="373">
        <v>3.5903303170938602E-5</v>
      </c>
      <c r="H141" s="373">
        <v>1.1000000000000001E-6</v>
      </c>
      <c r="I141" s="373">
        <v>8.4650285551226103E-4</v>
      </c>
      <c r="J141" s="373">
        <v>8.4650285551226095E-5</v>
      </c>
      <c r="K141" s="373">
        <v>1.00057981336048E-6</v>
      </c>
      <c r="L141" s="373">
        <v>0</v>
      </c>
      <c r="M141" s="373">
        <v>8.0878203452000004E-15</v>
      </c>
      <c r="N141" s="373">
        <v>1.5215758602E-6</v>
      </c>
      <c r="O141" s="373"/>
      <c r="P141" s="373"/>
      <c r="Q141" s="373"/>
      <c r="R141" s="351">
        <f>'Parameters, country spec'!J24</f>
        <v>7.5812285069041793E-2</v>
      </c>
      <c r="S141" s="351">
        <f>'Parameters, country spec'!J42</f>
        <v>2.3351211772125801E-2</v>
      </c>
    </row>
    <row r="142" spans="1:20" x14ac:dyDescent="0.2">
      <c r="A142" s="353" t="s">
        <v>472</v>
      </c>
      <c r="B142" s="18" t="s">
        <v>282</v>
      </c>
      <c r="C142" s="18" t="s">
        <v>473</v>
      </c>
      <c r="D142" s="349" t="s">
        <v>59</v>
      </c>
      <c r="E142" s="349" t="s">
        <v>60</v>
      </c>
      <c r="F142" s="371">
        <f t="shared" si="16"/>
        <v>2.0790138888415369E-4</v>
      </c>
      <c r="G142" s="373">
        <v>0</v>
      </c>
      <c r="H142" s="373">
        <v>1.1000000000000001E-6</v>
      </c>
      <c r="I142" s="373">
        <v>1.8457295999999999E-4</v>
      </c>
      <c r="J142" s="373">
        <v>1.8457295999999999E-5</v>
      </c>
      <c r="K142" s="373">
        <v>2.2494532199271001E-6</v>
      </c>
      <c r="L142" s="373">
        <v>0</v>
      </c>
      <c r="M142" s="373">
        <v>1.038040266076E-10</v>
      </c>
      <c r="N142" s="373">
        <v>1.5215758602E-6</v>
      </c>
      <c r="O142" s="373"/>
      <c r="P142" s="373"/>
      <c r="Q142" s="373"/>
      <c r="R142" s="351">
        <f>'Parameters, country spec'!J25</f>
        <v>2.6118274940683198E-3</v>
      </c>
      <c r="S142" s="351">
        <f>'Parameters, country spec'!J43</f>
        <v>2.6962503550840601E-3</v>
      </c>
    </row>
    <row r="143" spans="1:20" x14ac:dyDescent="0.2">
      <c r="A143" s="353" t="s">
        <v>474</v>
      </c>
      <c r="B143" s="18" t="s">
        <v>283</v>
      </c>
      <c r="C143" s="18" t="s">
        <v>473</v>
      </c>
      <c r="D143" s="349" t="s">
        <v>59</v>
      </c>
      <c r="E143" s="349" t="s">
        <v>60</v>
      </c>
      <c r="F143" s="371">
        <f t="shared" si="16"/>
        <v>2.2514369738538717E-4</v>
      </c>
      <c r="G143" s="373">
        <v>8.9196149290068503E-7</v>
      </c>
      <c r="H143" s="373">
        <v>1.1000000000000001E-6</v>
      </c>
      <c r="I143" s="373">
        <v>1.9989721070580411E-4</v>
      </c>
      <c r="J143" s="373">
        <v>1.9989721070580399E-5</v>
      </c>
      <c r="K143" s="373">
        <v>1.74315622218462E-6</v>
      </c>
      <c r="L143" s="373">
        <v>0</v>
      </c>
      <c r="M143" s="373">
        <v>7.2033717345296003E-11</v>
      </c>
      <c r="N143" s="373">
        <v>1.5215758602E-6</v>
      </c>
      <c r="O143" s="373"/>
      <c r="P143" s="373"/>
      <c r="Q143" s="373"/>
      <c r="R143" s="351">
        <f>'Parameters, country spec'!J26</f>
        <v>2.5656753005735599E-3</v>
      </c>
      <c r="S143" s="351">
        <f>'Parameters, country spec'!J44</f>
        <v>2.6486063692714198E-3</v>
      </c>
    </row>
    <row r="144" spans="1:20" x14ac:dyDescent="0.2">
      <c r="B144" s="58" t="s">
        <v>284</v>
      </c>
      <c r="C144" s="18" t="s">
        <v>475</v>
      </c>
      <c r="D144" s="349" t="s">
        <v>59</v>
      </c>
      <c r="E144" s="349" t="s">
        <v>60</v>
      </c>
      <c r="F144" s="371">
        <f t="shared" si="16"/>
        <v>1.5426052012212821E-3</v>
      </c>
      <c r="G144" s="372">
        <f>'Off-farm feed'!$F$77</f>
        <v>3.5160526410462891E-4</v>
      </c>
      <c r="H144" s="372">
        <f>'Off-farm feed'!$G$77</f>
        <v>5.3103448275862083E-7</v>
      </c>
      <c r="I144" s="372">
        <f>'Off-farm feed'!$H$77</f>
        <v>1.0756102664162706E-3</v>
      </c>
      <c r="J144" s="372">
        <f>'Off-farm feed'!$I$77</f>
        <v>1.0756102664162704E-4</v>
      </c>
      <c r="K144" s="372">
        <f>'Off-farm feed'!$J$77</f>
        <v>6.6339607025480393E-7</v>
      </c>
      <c r="L144" s="372"/>
      <c r="M144" s="372">
        <f>'Off-farm feed'!$L$77</f>
        <v>7.9511067188965528E-9</v>
      </c>
      <c r="N144" s="372">
        <f>'Off-farm feed'!$M$77</f>
        <v>1.2789681892721842E-6</v>
      </c>
      <c r="O144" s="372"/>
      <c r="P144" s="372">
        <f>'Off-farm feed'!$O$77</f>
        <v>4.8776996151562936E-6</v>
      </c>
      <c r="Q144" s="372">
        <f>'Off-farm feed'!$P$77</f>
        <v>4.6959459459459463E-7</v>
      </c>
      <c r="R144" s="351">
        <f>'Parameters, country spec'!J27</f>
        <v>1.8824856081612201E-2</v>
      </c>
      <c r="S144" s="351">
        <f>'Parameters, country spec'!J45</f>
        <v>1.94333373800013E-2</v>
      </c>
    </row>
    <row r="145" spans="1:19" x14ac:dyDescent="0.2">
      <c r="B145" s="58" t="s">
        <v>476</v>
      </c>
      <c r="C145" s="18" t="s">
        <v>475</v>
      </c>
      <c r="D145" s="349" t="s">
        <v>59</v>
      </c>
      <c r="E145" s="349" t="s">
        <v>60</v>
      </c>
      <c r="F145" s="371">
        <f t="shared" si="16"/>
        <v>1.8866346644602484E-4</v>
      </c>
      <c r="G145" s="372">
        <f>'Off-farm feed'!$F$26</f>
        <v>1.6332109719061435E-5</v>
      </c>
      <c r="H145" s="372">
        <f>'Off-farm feed'!$G$26</f>
        <v>8.7195121951219526E-7</v>
      </c>
      <c r="I145" s="372">
        <f>'Off-farm feed'!$H$26</f>
        <v>1.3333449845358183E-4</v>
      </c>
      <c r="J145" s="372">
        <f>'Off-farm feed'!$I$26</f>
        <v>1.3333449845358186E-5</v>
      </c>
      <c r="K145" s="372">
        <f>'Off-farm feed'!$J$26</f>
        <v>1.1576736579983962E-6</v>
      </c>
      <c r="L145" s="372"/>
      <c r="M145" s="372">
        <f>'Off-farm feed'!$L$26</f>
        <v>7.3437786087804875E-9</v>
      </c>
      <c r="N145" s="372">
        <f>'Off-farm feed'!$M$26</f>
        <v>1.1195281639512195E-6</v>
      </c>
      <c r="O145" s="372"/>
      <c r="P145" s="372">
        <f>'Off-farm feed'!$O$26</f>
        <v>1.3419073770114999E-5</v>
      </c>
      <c r="Q145" s="372">
        <f>'Off-farm feed'!$P$26</f>
        <v>9.087837837837838E-6</v>
      </c>
      <c r="R145" s="351">
        <f>'Parameters, country spec'!J28</f>
        <v>6.5660448709878402E-2</v>
      </c>
      <c r="S145" s="351">
        <f>'Parameters, country spec'!J46</f>
        <v>6.7782810502236002E-2</v>
      </c>
    </row>
    <row r="146" spans="1:19" x14ac:dyDescent="0.2">
      <c r="B146" s="18" t="s">
        <v>286</v>
      </c>
      <c r="C146" s="18" t="s">
        <v>477</v>
      </c>
      <c r="D146" s="349" t="s">
        <v>59</v>
      </c>
      <c r="E146" s="349" t="s">
        <v>60</v>
      </c>
      <c r="F146" s="374">
        <f t="shared" si="16"/>
        <v>1.0756621758759058E-4</v>
      </c>
      <c r="G146" s="373">
        <v>3.23129728538447E-6</v>
      </c>
      <c r="H146" s="373">
        <v>9.9E-8</v>
      </c>
      <c r="I146" s="373">
        <v>7.6185256996103506E-5</v>
      </c>
      <c r="J146">
        <v>7.6185256996103501E-6</v>
      </c>
      <c r="K146" s="373">
        <v>9.0052183202443105E-8</v>
      </c>
      <c r="L146">
        <v>0</v>
      </c>
      <c r="M146">
        <v>7.2790383106799998E-16</v>
      </c>
      <c r="N146" s="216">
        <v>1.36941827418E-7</v>
      </c>
      <c r="O146" s="216"/>
      <c r="P146" s="373">
        <v>1.9943224185242898E-5</v>
      </c>
      <c r="Q146" s="373">
        <v>2.6191940990099401E-7</v>
      </c>
      <c r="R146" s="351">
        <f>'Parameters, country spec'!J29</f>
        <v>5.9455463626576097E-2</v>
      </c>
      <c r="S146" s="351">
        <f>'Parameters, country spec'!J47</f>
        <v>4.7732591070968902E-2</v>
      </c>
    </row>
    <row r="147" spans="1:19" x14ac:dyDescent="0.2">
      <c r="A147" s="354"/>
      <c r="B147" s="18" t="s">
        <v>478</v>
      </c>
      <c r="C147" s="355" t="s">
        <v>479</v>
      </c>
      <c r="D147" s="349" t="s">
        <v>59</v>
      </c>
      <c r="E147" s="349" t="s">
        <v>60</v>
      </c>
      <c r="F147" s="371">
        <f t="shared" si="16"/>
        <v>2.118050351795384E-4</v>
      </c>
      <c r="G147" s="375">
        <f t="shared" ref="G147:Q147" si="17">SUMPRODUCT(G137:G145,$R137:$R145)</f>
        <v>1.3843702233654318E-5</v>
      </c>
      <c r="H147" s="375">
        <f t="shared" si="17"/>
        <v>3.0436799537482722E-7</v>
      </c>
      <c r="I147" s="375">
        <f t="shared" si="17"/>
        <v>1.7758993804155396E-4</v>
      </c>
      <c r="J147" s="375">
        <f t="shared" si="17"/>
        <v>1.7758993804155392E-5</v>
      </c>
      <c r="K147" s="375">
        <f t="shared" si="17"/>
        <v>3.0312207551591055E-7</v>
      </c>
      <c r="L147" s="375">
        <f t="shared" si="17"/>
        <v>0</v>
      </c>
      <c r="M147" s="375">
        <f t="shared" si="17"/>
        <v>8.5541313465640329E-10</v>
      </c>
      <c r="N147" s="375">
        <f t="shared" si="17"/>
        <v>4.2557965697300353E-7</v>
      </c>
      <c r="O147" s="375">
        <f t="shared" si="17"/>
        <v>0</v>
      </c>
      <c r="P147" s="375">
        <f t="shared" si="17"/>
        <v>9.7292439828136298E-7</v>
      </c>
      <c r="Q147" s="375">
        <f t="shared" si="17"/>
        <v>6.0555156089498985E-7</v>
      </c>
      <c r="R147" s="351">
        <f>'Parameters, country spec'!J30</f>
        <v>4.0391474030872003E-2</v>
      </c>
      <c r="S147" s="351">
        <f>'Parameters, country spec'!J48</f>
        <v>6.7554396720150997E-2</v>
      </c>
    </row>
    <row r="148" spans="1:19" x14ac:dyDescent="0.2">
      <c r="A148" s="357"/>
      <c r="B148" s="358" t="s">
        <v>480</v>
      </c>
      <c r="C148" s="359"/>
      <c r="D148" s="360"/>
      <c r="E148" s="360"/>
      <c r="F148" s="376">
        <f>SUMPRODUCT(F134:F136,R134:R136)+SUMPRODUCT(F137:F147,R137:R147)/0.87</f>
        <v>4.2069790580542398E-4</v>
      </c>
      <c r="G148" s="376">
        <f>SUMPRODUCT(G134:G136,R134:R136)+SUMPRODUCT(G137:G147,R137:R147)/0.87</f>
        <v>2.1855869299952768E-5</v>
      </c>
      <c r="H148" s="376">
        <f>SUMPRODUCT(H134:H136,R134:R136)+SUMPRODUCT(H137:H147,R137:R147)/0.87</f>
        <v>1.0308606735732394E-6</v>
      </c>
      <c r="I148" s="376">
        <f>SUMPRODUCT(I134:I136,R134:R136)+SUMPRODUCT(I137:I147,R137:R147)/0.87</f>
        <v>3.3626790594511592E-4</v>
      </c>
      <c r="J148" s="376">
        <f>SUMPRODUCT(J134:J136,R134:R136)+SUMPRODUCT(J137:J147,R137:R147)/0.87</f>
        <v>3.3626790594511589E-5</v>
      </c>
      <c r="K148" s="376">
        <f>SUMPRODUCT(K134:K136,R134:R136)+SUMPRODUCT(K137:K147,R137:R147)/0.87</f>
        <v>5.9675465355052132E-7</v>
      </c>
      <c r="L148" s="376">
        <f>SUMPRODUCT(L134:L136,R134:R136)+SUMPRODUCT(L137:L147,R137:R147)/0.87</f>
        <v>0</v>
      </c>
      <c r="M148" s="376">
        <f>SUMPRODUCT(M134:M136,R134:R136)+SUMPRODUCT(M137:M147,R137:R147)/0.87</f>
        <v>1.2673637932934738E-9</v>
      </c>
      <c r="N148" s="376">
        <f>SUMPRODUCT(N134:N136,R134:R136)+SUMPRODUCT(N137:N147,R137:R147)/0.87</f>
        <v>5.1828894997092381E-7</v>
      </c>
      <c r="O148" s="376">
        <f>SUMPRODUCT(O134:O136,R134:R136)+SUMPRODUCT(O137:O147,R137:R147)/0.87</f>
        <v>0</v>
      </c>
      <c r="P148" s="376">
        <f>SUMPRODUCT(P134:P136,R134:R136)+SUMPRODUCT(P137:P147,R137:R147)/0.87</f>
        <v>2.6058118645657169E-5</v>
      </c>
      <c r="Q148" s="376">
        <f>SUMPRODUCT(Q134:Q136,R134:R136)+SUMPRODUCT(Q137:Q147,R137:R147)/0.87</f>
        <v>7.4204967929850199E-7</v>
      </c>
      <c r="R148" s="362"/>
      <c r="S148" s="369"/>
    </row>
    <row r="149" spans="1:19" x14ac:dyDescent="0.2">
      <c r="A149" s="363"/>
      <c r="B149" s="364" t="s">
        <v>481</v>
      </c>
      <c r="C149" s="365"/>
      <c r="D149" s="366"/>
      <c r="E149" s="366"/>
      <c r="F149" s="377">
        <f>SUMPRODUCT(F134:F136,S134:S136)+SUMPRODUCT(F137:F147,S137:S147)/0.87</f>
        <v>3.199168251553992E-4</v>
      </c>
      <c r="G149" s="377">
        <f>SUMPRODUCT(G134:G136,S134:S136)+SUMPRODUCT(G137:G147,S137:S147)/0.87</f>
        <v>1.8253277590317475E-5</v>
      </c>
      <c r="H149" s="377">
        <f>SUMPRODUCT(H134:H136,S134:S136)+SUMPRODUCT(H137:H147,S137:S147)/0.87</f>
        <v>9.9763840616235903E-7</v>
      </c>
      <c r="I149" s="377">
        <f>SUMPRODUCT(I134:I136,S134:S136)+SUMPRODUCT(I137:I147,S137:S147)/0.87</f>
        <v>2.4121386652518683E-4</v>
      </c>
      <c r="J149" s="377">
        <f>SUMPRODUCT(J134:J136,S134:S136)+SUMPRODUCT(J137:J147,S137:S147)/0.87</f>
        <v>2.4121386652518683E-5</v>
      </c>
      <c r="K149" s="377">
        <f>SUMPRODUCT(K134:K136,S134:S136)+SUMPRODUCT(K137:K147,S137:S147)/0.87</f>
        <v>4.9914543451365431E-7</v>
      </c>
      <c r="L149" s="377">
        <f>SUMPRODUCT(L134:L136,S134:S136)+SUMPRODUCT(L137:L147,S137:S147)/0.87</f>
        <v>0</v>
      </c>
      <c r="M149" s="377">
        <f>SUMPRODUCT(M134:M136,S134:S136)+SUMPRODUCT(M137:M147,S137:S147)/0.87</f>
        <v>1.1218415463391894E-9</v>
      </c>
      <c r="N149" s="377">
        <f>SUMPRODUCT(N134:N136,S134:S136)+SUMPRODUCT(N137:N147,S137:S147)/0.87</f>
        <v>2.7903287718092262E-7</v>
      </c>
      <c r="O149" s="377">
        <f>SUMPRODUCT(O134:O136,S134:S136)+SUMPRODUCT(O137:O147,S137:S147)/0.87</f>
        <v>0</v>
      </c>
      <c r="P149" s="377">
        <f>SUMPRODUCT(P134:P136,S134:S136)+SUMPRODUCT(P137:P147,S137:S147)/0.87</f>
        <v>3.3771430836373656E-5</v>
      </c>
      <c r="Q149" s="377">
        <f>SUMPRODUCT(Q134:Q136,S134:S136)+SUMPRODUCT(Q137:Q147,S137:S147)/0.87</f>
        <v>7.7992499159925798E-7</v>
      </c>
      <c r="R149" s="368"/>
      <c r="S149" s="368"/>
    </row>
    <row r="150" spans="1:19" x14ac:dyDescent="0.2">
      <c r="B150" s="58" t="s">
        <v>264</v>
      </c>
      <c r="C150" s="18" t="s">
        <v>463</v>
      </c>
      <c r="D150" s="349" t="s">
        <v>61</v>
      </c>
      <c r="E150" s="349" t="s">
        <v>62</v>
      </c>
      <c r="F150" s="371">
        <f t="shared" ref="F150:F163" si="18">SUM(G150:Q150)</f>
        <v>1.5759508789243859E-4</v>
      </c>
      <c r="G150" s="372">
        <f>'Forage crops, CF'!F56</f>
        <v>3.2106552869327245E-6</v>
      </c>
      <c r="H150" s="372">
        <f>'Forage crops, CF'!G56</f>
        <v>1.1000000000000001E-6</v>
      </c>
      <c r="I150" s="372">
        <f>'Forage crops, CF'!H56</f>
        <v>1.3881405226144817E-4</v>
      </c>
      <c r="J150" s="372">
        <f>'Forage crops, CF'!I56</f>
        <v>1.3881405226144818E-5</v>
      </c>
      <c r="K150" s="372">
        <f>'Forage crops, CF'!J56</f>
        <v>5.8897511791287848E-7</v>
      </c>
      <c r="L150" s="372">
        <f>'Forage crops, CF'!K56</f>
        <v>0</v>
      </c>
      <c r="M150" s="372">
        <f>'Forage crops, CF'!L56</f>
        <v>0</v>
      </c>
      <c r="N150" s="372">
        <f>'Forage crops, CF'!M56</f>
        <v>0</v>
      </c>
      <c r="O150" s="372">
        <f>'Forage crops, CF'!N56</f>
        <v>0</v>
      </c>
      <c r="P150" s="372">
        <f>'Forage crops, CF'!O56</f>
        <v>0</v>
      </c>
      <c r="Q150" s="372">
        <f>'Forage crops, CF'!P56</f>
        <v>0</v>
      </c>
      <c r="R150" s="351">
        <f>'Parameters, country spec'!K17</f>
        <v>0.19304395433532501</v>
      </c>
      <c r="S150" s="351">
        <f>'Parameters, country spec'!K35</f>
        <v>0.42695226222969901</v>
      </c>
    </row>
    <row r="151" spans="1:19" x14ac:dyDescent="0.2">
      <c r="B151" s="58" t="s">
        <v>268</v>
      </c>
      <c r="C151" s="18" t="s">
        <v>463</v>
      </c>
      <c r="D151" s="349" t="s">
        <v>61</v>
      </c>
      <c r="E151" s="349" t="s">
        <v>62</v>
      </c>
      <c r="F151" s="371">
        <f t="shared" si="18"/>
        <v>2.0168513161680421E-4</v>
      </c>
      <c r="G151" s="372">
        <f>'Forage crops, CF'!F116</f>
        <v>3.1330372496434433E-6</v>
      </c>
      <c r="H151" s="372">
        <f>'Forage crops, CF'!G116</f>
        <v>1.1000000000000001E-6</v>
      </c>
      <c r="I151" s="372">
        <f>'Forage crops, CF'!H116</f>
        <v>1.1695081161600189E-4</v>
      </c>
      <c r="J151" s="372">
        <f>'Forage crops, CF'!I116</f>
        <v>1.1695081161600189E-5</v>
      </c>
      <c r="K151" s="372">
        <f>'Forage crops, CF'!J116</f>
        <v>5.7779089790897923E-7</v>
      </c>
      <c r="L151" s="372"/>
      <c r="M151" s="372">
        <f>'Forage crops, CF'!L116</f>
        <v>1.2841069164971677E-7</v>
      </c>
      <c r="N151" s="372">
        <f>'Forage crops, CF'!M116</f>
        <v>0</v>
      </c>
      <c r="O151" s="372">
        <f>'Forage crops, CF'!N116</f>
        <v>0</v>
      </c>
      <c r="P151" s="372">
        <f>'Forage crops, CF'!O116</f>
        <v>6.8099999999999988E-5</v>
      </c>
      <c r="Q151" s="372"/>
      <c r="R151" s="351">
        <f>'Parameters, country spec'!K18</f>
        <v>9.1177256039855006E-2</v>
      </c>
      <c r="S151" s="351">
        <f>'Parameters, country spec'!K36</f>
        <v>8.4238508213965599E-2</v>
      </c>
    </row>
    <row r="152" spans="1:19" x14ac:dyDescent="0.2">
      <c r="B152" s="58" t="s">
        <v>465</v>
      </c>
      <c r="C152" s="18" t="s">
        <v>463</v>
      </c>
      <c r="D152" s="349" t="s">
        <v>61</v>
      </c>
      <c r="E152" s="349" t="s">
        <v>62</v>
      </c>
      <c r="F152" s="371">
        <f t="shared" si="18"/>
        <v>1.7626604651520782E-4</v>
      </c>
      <c r="G152" s="372">
        <f>'Forage crops, CF'!F176*'Forage, input data per ha'!$D$87+'Forage crops, CF'!F236*'Forage, input data per ha'!$E$87</f>
        <v>1.6743820427248458E-6</v>
      </c>
      <c r="H152" s="372">
        <f>'Forage crops, CF'!G176*'Forage, input data per ha'!$D$87+'Forage crops, CF'!G236*'Forage, input data per ha'!$E$87</f>
        <v>1.1000000000000001E-6</v>
      </c>
      <c r="I152" s="372">
        <f>'Forage crops, CF'!H176*'Forage, input data per ha'!$D$87+'Forage crops, CF'!H236*'Forage, input data per ha'!$E$87</f>
        <v>9.5374188797029807E-5</v>
      </c>
      <c r="J152" s="372">
        <f>'Forage crops, CF'!I176*'Forage, input data per ha'!$D$87+'Forage crops, CF'!I236*'Forage, input data per ha'!$E$87</f>
        <v>9.5374188797029814E-6</v>
      </c>
      <c r="K152" s="372">
        <f>'Forage crops, CF'!J176*'Forage, input data per ha'!$D$87+'Forage crops, CF'!J236*'Forage, input data per ha'!$E$87</f>
        <v>4.8005679575018303E-7</v>
      </c>
      <c r="L152" s="372"/>
      <c r="M152" s="372">
        <f>'Forage crops, CF'!L176*'Forage, input data per ha'!$D$87+'Forage crops, CF'!L236*'Forage, input data per ha'!$E$87</f>
        <v>0</v>
      </c>
      <c r="N152" s="372">
        <f>'Forage crops, CF'!M176*'Forage, input data per ha'!$D$87+'Forage crops, CF'!M236*'Forage, input data per ha'!$E$87</f>
        <v>0</v>
      </c>
      <c r="O152" s="372">
        <f>'Forage crops, CF'!N176*'Forage, input data per ha'!$D$87+'Forage crops, CF'!N236*'Forage, input data per ha'!$E$87</f>
        <v>0</v>
      </c>
      <c r="P152" s="372">
        <f>'Forage crops, CF'!O176*'Forage, input data per ha'!$D$87+'Forage crops, CF'!O236*'Forage, input data per ha'!$E$87</f>
        <v>6.8099999999999988E-5</v>
      </c>
      <c r="Q152" s="372"/>
      <c r="R152" s="351">
        <f>'Parameters, country spec'!K19</f>
        <v>0.15964203619207701</v>
      </c>
      <c r="S152" s="351">
        <f>'Parameters, country spec'!K37</f>
        <v>6.2955748563960107E-2</v>
      </c>
    </row>
    <row r="153" spans="1:19" x14ac:dyDescent="0.2">
      <c r="A153" s="353" t="s">
        <v>466</v>
      </c>
      <c r="B153" s="18" t="s">
        <v>274</v>
      </c>
      <c r="C153" s="18" t="s">
        <v>467</v>
      </c>
      <c r="D153" s="349" t="s">
        <v>61</v>
      </c>
      <c r="E153" s="349" t="s">
        <v>62</v>
      </c>
      <c r="F153" s="371">
        <f t="shared" si="18"/>
        <v>7.5793369764586287E-4</v>
      </c>
      <c r="G153" s="373">
        <v>1.6656438537736301E-5</v>
      </c>
      <c r="H153" s="373">
        <v>1.1000000000000001E-6</v>
      </c>
      <c r="I153" s="373">
        <v>6.7006907764630402E-4</v>
      </c>
      <c r="J153" s="373">
        <v>6.7006907764630393E-5</v>
      </c>
      <c r="K153" s="373">
        <v>1.64848484848485E-6</v>
      </c>
      <c r="L153" s="373">
        <v>0</v>
      </c>
      <c r="M153" s="373">
        <v>4.0461011107327797E-8</v>
      </c>
      <c r="N153" s="373">
        <v>1.4123278375999999E-6</v>
      </c>
      <c r="O153" s="373"/>
      <c r="P153" s="373"/>
      <c r="Q153" s="373"/>
      <c r="R153" s="351">
        <f>'Parameters, country spec'!K20</f>
        <v>0.103733368710492</v>
      </c>
      <c r="S153" s="351">
        <f>'Parameters, country spec'!K38</f>
        <v>7.4482644340220006E-2</v>
      </c>
    </row>
    <row r="154" spans="1:19" x14ac:dyDescent="0.2">
      <c r="A154" s="353" t="s">
        <v>468</v>
      </c>
      <c r="B154" s="18" t="s">
        <v>276</v>
      </c>
      <c r="C154" s="18" t="s">
        <v>467</v>
      </c>
      <c r="D154" s="349" t="s">
        <v>61</v>
      </c>
      <c r="E154" s="349" t="s">
        <v>62</v>
      </c>
      <c r="F154" s="371">
        <f t="shared" si="18"/>
        <v>3.2230444816981531E-4</v>
      </c>
      <c r="G154" s="373">
        <v>6.0676976287880996E-6</v>
      </c>
      <c r="H154" s="373">
        <v>1.1000000000000001E-6</v>
      </c>
      <c r="I154" s="373">
        <v>2.8397749857393798E-4</v>
      </c>
      <c r="J154" s="373">
        <v>2.8397749857393802E-5</v>
      </c>
      <c r="K154" s="373">
        <v>3.5637667829090599E-7</v>
      </c>
      <c r="L154" s="373">
        <v>0</v>
      </c>
      <c r="M154" s="373">
        <v>9.9279759380455499E-7</v>
      </c>
      <c r="N154" s="373">
        <v>1.4123278375999999E-6</v>
      </c>
      <c r="O154" s="373"/>
      <c r="P154" s="373"/>
      <c r="Q154" s="373"/>
      <c r="R154" s="351">
        <f>'Parameters, country spec'!K21</f>
        <v>0.136815021023385</v>
      </c>
      <c r="S154" s="351">
        <f>'Parameters, country spec'!K39</f>
        <v>9.8235935846622893E-2</v>
      </c>
    </row>
    <row r="155" spans="1:19" x14ac:dyDescent="0.2">
      <c r="A155" s="353" t="s">
        <v>469</v>
      </c>
      <c r="B155" s="18" t="s">
        <v>278</v>
      </c>
      <c r="C155" s="18" t="s">
        <v>467</v>
      </c>
      <c r="D155" s="349" t="s">
        <v>61</v>
      </c>
      <c r="E155" s="349" t="s">
        <v>62</v>
      </c>
      <c r="F155" s="371">
        <f t="shared" si="18"/>
        <v>8.2032664331825405E-4</v>
      </c>
      <c r="G155" s="373">
        <v>1.9268303553438E-5</v>
      </c>
      <c r="H155" s="373">
        <v>1.1000000000000001E-6</v>
      </c>
      <c r="I155" s="373">
        <v>7.2371036062986508E-4</v>
      </c>
      <c r="J155" s="373">
        <v>7.2371036062986502E-5</v>
      </c>
      <c r="K155" s="373">
        <v>2.4057808730306002E-6</v>
      </c>
      <c r="L155" s="373">
        <v>0</v>
      </c>
      <c r="M155" s="373">
        <v>5.8834361333881001E-8</v>
      </c>
      <c r="N155" s="373">
        <v>1.4123278375999999E-6</v>
      </c>
      <c r="O155" s="373"/>
      <c r="P155" s="373"/>
      <c r="Q155" s="373"/>
      <c r="R155" s="351">
        <f>'Parameters, country spec'!K22</f>
        <v>1.6173849728810901E-2</v>
      </c>
      <c r="S155" s="351">
        <f>'Parameters, country spec'!K40</f>
        <v>1.1613149284971799E-2</v>
      </c>
    </row>
    <row r="156" spans="1:19" x14ac:dyDescent="0.2">
      <c r="A156" s="353" t="s">
        <v>470</v>
      </c>
      <c r="B156" s="18" t="s">
        <v>280</v>
      </c>
      <c r="C156" s="18" t="s">
        <v>467</v>
      </c>
      <c r="D156" s="349" t="s">
        <v>61</v>
      </c>
      <c r="E156" s="349" t="s">
        <v>62</v>
      </c>
      <c r="F156" s="371">
        <f t="shared" si="18"/>
        <v>9.4685032492134531E-4</v>
      </c>
      <c r="G156" s="373">
        <v>2.3403482752626099E-5</v>
      </c>
      <c r="H156" s="373">
        <v>1.1000000000000001E-6</v>
      </c>
      <c r="I156" s="373">
        <v>8.3505960069387699E-4</v>
      </c>
      <c r="J156" s="373">
        <v>8.3505960069387699E-5</v>
      </c>
      <c r="K156" s="373">
        <v>2.2917649979166499E-6</v>
      </c>
      <c r="L156" s="373">
        <v>0</v>
      </c>
      <c r="M156" s="373">
        <v>7.7188569937927195E-8</v>
      </c>
      <c r="N156" s="373">
        <v>1.4123278375999999E-6</v>
      </c>
      <c r="O156" s="373"/>
      <c r="P156" s="373"/>
      <c r="Q156" s="373"/>
      <c r="R156" s="351">
        <f>'Parameters, country spec'!K23</f>
        <v>4.2692009524630597E-3</v>
      </c>
      <c r="S156" s="351">
        <f>'Parameters, country spec'!K41</f>
        <v>3.06537211910275E-3</v>
      </c>
    </row>
    <row r="157" spans="1:19" x14ac:dyDescent="0.2">
      <c r="A157" s="353" t="s">
        <v>471</v>
      </c>
      <c r="B157" s="18" t="s">
        <v>281</v>
      </c>
      <c r="C157" s="18" t="s">
        <v>467</v>
      </c>
      <c r="D157" s="349" t="s">
        <v>61</v>
      </c>
      <c r="E157" s="349" t="s">
        <v>62</v>
      </c>
      <c r="F157" s="371">
        <f t="shared" si="18"/>
        <v>9.9422818122045834E-4</v>
      </c>
      <c r="G157" s="373">
        <v>2.50158305670159E-5</v>
      </c>
      <c r="H157" s="373">
        <v>1.1000000000000001E-6</v>
      </c>
      <c r="I157" s="373">
        <v>8.7739061438280193E-4</v>
      </c>
      <c r="J157" s="373">
        <v>8.7739061438280199E-5</v>
      </c>
      <c r="K157" s="373">
        <v>1.5210873786407801E-6</v>
      </c>
      <c r="L157" s="373">
        <v>0</v>
      </c>
      <c r="M157" s="373">
        <v>4.92596161193171E-8</v>
      </c>
      <c r="N157" s="373">
        <v>1.4123278375999999E-6</v>
      </c>
      <c r="O157" s="373"/>
      <c r="P157" s="373"/>
      <c r="Q157" s="373"/>
      <c r="R157" s="351">
        <f>'Parameters, country spec'!K24</f>
        <v>8.7872786881358494E-2</v>
      </c>
      <c r="S157" s="351">
        <f>'Parameters, country spec'!K42</f>
        <v>6.3094427706240894E-2</v>
      </c>
    </row>
    <row r="158" spans="1:19" x14ac:dyDescent="0.2">
      <c r="A158" s="353" t="s">
        <v>472</v>
      </c>
      <c r="B158" s="18" t="s">
        <v>282</v>
      </c>
      <c r="C158" s="18" t="s">
        <v>473</v>
      </c>
      <c r="D158" s="349" t="s">
        <v>61</v>
      </c>
      <c r="E158" s="349" t="s">
        <v>62</v>
      </c>
      <c r="F158" s="371">
        <f t="shared" si="18"/>
        <v>3.4494332405198534E-4</v>
      </c>
      <c r="G158" s="373">
        <v>0</v>
      </c>
      <c r="H158" s="373">
        <v>1.1000000000000001E-6</v>
      </c>
      <c r="I158" s="373">
        <v>3.0762159999999999E-4</v>
      </c>
      <c r="J158" s="373">
        <v>3.0762159999999999E-5</v>
      </c>
      <c r="K158" s="373">
        <v>3.5726450367868798E-6</v>
      </c>
      <c r="L158" s="373">
        <v>0</v>
      </c>
      <c r="M158" s="373">
        <v>4.7459117759844598E-7</v>
      </c>
      <c r="N158" s="373">
        <v>1.4123278375999999E-6</v>
      </c>
      <c r="O158" s="373"/>
      <c r="P158" s="373"/>
      <c r="Q158" s="373"/>
      <c r="R158" s="351">
        <f>'Parameters, country spec'!K25</f>
        <v>3.9767845041291496E-3</v>
      </c>
      <c r="S158" s="351">
        <f>'Parameters, country spec'!K43</f>
        <v>2.7198099192756102E-3</v>
      </c>
    </row>
    <row r="159" spans="1:19" x14ac:dyDescent="0.2">
      <c r="A159" s="353" t="s">
        <v>474</v>
      </c>
      <c r="B159" s="18" t="s">
        <v>283</v>
      </c>
      <c r="C159" s="18" t="s">
        <v>473</v>
      </c>
      <c r="D159" s="349" t="s">
        <v>61</v>
      </c>
      <c r="E159" s="349" t="s">
        <v>62</v>
      </c>
      <c r="F159" s="371">
        <f t="shared" si="18"/>
        <v>3.6818817979115932E-4</v>
      </c>
      <c r="G159" s="373">
        <v>8.9627430212095202E-7</v>
      </c>
      <c r="H159" s="373">
        <v>1.1000000000000001E-6</v>
      </c>
      <c r="I159" s="373">
        <v>3.2767948955501999E-4</v>
      </c>
      <c r="J159" s="373">
        <v>3.2767948955502001E-5</v>
      </c>
      <c r="K159" s="373">
        <v>3.8216688707544397E-6</v>
      </c>
      <c r="L159" s="373">
        <v>0</v>
      </c>
      <c r="M159" s="373">
        <v>5.1047027016191603E-7</v>
      </c>
      <c r="N159" s="373">
        <v>1.4123278375999999E-6</v>
      </c>
      <c r="O159" s="373"/>
      <c r="P159" s="373"/>
      <c r="Q159" s="373"/>
      <c r="R159" s="351">
        <f>'Parameters, country spec'!K26</f>
        <v>3.9065128907304902E-3</v>
      </c>
      <c r="S159" s="351">
        <f>'Parameters, country spec'!K44</f>
        <v>2.67174962512282E-3</v>
      </c>
    </row>
    <row r="160" spans="1:19" x14ac:dyDescent="0.2">
      <c r="B160" s="58" t="s">
        <v>284</v>
      </c>
      <c r="C160" s="18" t="s">
        <v>475</v>
      </c>
      <c r="D160" s="349" t="s">
        <v>61</v>
      </c>
      <c r="E160" s="349" t="s">
        <v>62</v>
      </c>
      <c r="F160" s="371">
        <f t="shared" si="18"/>
        <v>1.5426052012212821E-3</v>
      </c>
      <c r="G160" s="372">
        <f>'Off-farm feed'!$F$77</f>
        <v>3.5160526410462891E-4</v>
      </c>
      <c r="H160" s="372">
        <f>'Off-farm feed'!$G$77</f>
        <v>5.3103448275862083E-7</v>
      </c>
      <c r="I160" s="372">
        <f>'Off-farm feed'!$H$77</f>
        <v>1.0756102664162706E-3</v>
      </c>
      <c r="J160" s="372">
        <f>'Off-farm feed'!$I$77</f>
        <v>1.0756102664162704E-4</v>
      </c>
      <c r="K160" s="372">
        <f>'Off-farm feed'!$J$77</f>
        <v>6.6339607025480393E-7</v>
      </c>
      <c r="L160" s="372"/>
      <c r="M160" s="372">
        <f>'Off-farm feed'!$L$77</f>
        <v>7.9511067188965528E-9</v>
      </c>
      <c r="N160" s="372">
        <f>'Off-farm feed'!$M$77</f>
        <v>1.2789681892721842E-6</v>
      </c>
      <c r="O160" s="372"/>
      <c r="P160" s="372">
        <f>'Off-farm feed'!$O$77</f>
        <v>4.8776996151562936E-6</v>
      </c>
      <c r="Q160" s="372">
        <f>'Off-farm feed'!$P$77</f>
        <v>4.6959459459459463E-7</v>
      </c>
      <c r="R160" s="351">
        <f>'Parameters, country spec'!K27</f>
        <v>1.15171449475378E-2</v>
      </c>
      <c r="S160" s="351">
        <f>'Parameters, country spec'!K45</f>
        <v>7.8768273776592904E-3</v>
      </c>
    </row>
    <row r="161" spans="1:19" x14ac:dyDescent="0.2">
      <c r="B161" s="58" t="s">
        <v>476</v>
      </c>
      <c r="C161" s="18" t="s">
        <v>475</v>
      </c>
      <c r="D161" s="349" t="s">
        <v>61</v>
      </c>
      <c r="E161" s="349" t="s">
        <v>62</v>
      </c>
      <c r="F161" s="371">
        <f t="shared" si="18"/>
        <v>1.8866346644602484E-4</v>
      </c>
      <c r="G161" s="372">
        <f>'Off-farm feed'!$F$26</f>
        <v>1.6332109719061435E-5</v>
      </c>
      <c r="H161" s="372">
        <f>'Off-farm feed'!$G$26</f>
        <v>8.7195121951219526E-7</v>
      </c>
      <c r="I161" s="372">
        <f>'Off-farm feed'!$H$26</f>
        <v>1.3333449845358183E-4</v>
      </c>
      <c r="J161" s="372">
        <f>'Off-farm feed'!$I$26</f>
        <v>1.3333449845358186E-5</v>
      </c>
      <c r="K161" s="372">
        <f>'Off-farm feed'!$J$26</f>
        <v>1.1576736579983962E-6</v>
      </c>
      <c r="L161" s="372"/>
      <c r="M161" s="372">
        <f>'Off-farm feed'!$L$26</f>
        <v>7.3437786087804875E-9</v>
      </c>
      <c r="N161" s="372">
        <f>'Off-farm feed'!$M$26</f>
        <v>1.1195281639512195E-6</v>
      </c>
      <c r="O161" s="372"/>
      <c r="P161" s="372">
        <f>'Off-farm feed'!$O$26</f>
        <v>1.3419073770114999E-5</v>
      </c>
      <c r="Q161" s="372">
        <f>'Off-farm feed'!$P$26</f>
        <v>9.087837837837838E-6</v>
      </c>
      <c r="R161" s="351">
        <f>'Parameters, country spec'!K28</f>
        <v>9.8452568021241901E-2</v>
      </c>
      <c r="S161" s="351">
        <f>'Parameters, country spec'!K46</f>
        <v>6.7333865050956496E-2</v>
      </c>
    </row>
    <row r="162" spans="1:19" x14ac:dyDescent="0.2">
      <c r="B162" s="18" t="s">
        <v>286</v>
      </c>
      <c r="C162" s="18" t="s">
        <v>477</v>
      </c>
      <c r="D162" s="349" t="s">
        <v>61</v>
      </c>
      <c r="E162" s="349" t="s">
        <v>62</v>
      </c>
      <c r="F162" s="374">
        <f t="shared" si="18"/>
        <v>1.0933806362560572E-4</v>
      </c>
      <c r="G162" s="373">
        <v>2.2514247510314298E-6</v>
      </c>
      <c r="H162" s="373">
        <v>9.9E-8</v>
      </c>
      <c r="I162" s="373">
        <v>7.8965155294452198E-5</v>
      </c>
      <c r="J162">
        <v>7.8965155294452204E-6</v>
      </c>
      <c r="K162" s="373">
        <v>1.3689786407767001E-7</v>
      </c>
      <c r="L162">
        <v>0</v>
      </c>
      <c r="M162">
        <v>4.4333654507385397E-9</v>
      </c>
      <c r="N162" s="216">
        <v>1.2710950538399999E-7</v>
      </c>
      <c r="O162" s="216"/>
      <c r="P162" s="373">
        <v>1.3804343589274599E-5</v>
      </c>
      <c r="Q162" s="373">
        <v>6.0531837264898599E-6</v>
      </c>
      <c r="R162" s="351">
        <f>'Parameters, country spec'!K29</f>
        <v>7.0975010538760902E-2</v>
      </c>
      <c r="S162" s="351">
        <f>'Parameters, country spec'!K47</f>
        <v>6.2556425026192006E-2</v>
      </c>
    </row>
    <row r="163" spans="1:19" x14ac:dyDescent="0.2">
      <c r="A163" s="354"/>
      <c r="B163" s="18" t="s">
        <v>478</v>
      </c>
      <c r="C163" s="355" t="s">
        <v>479</v>
      </c>
      <c r="D163" s="349" t="s">
        <v>61</v>
      </c>
      <c r="E163" s="349" t="s">
        <v>62</v>
      </c>
      <c r="F163" s="371">
        <f t="shared" si="18"/>
        <v>2.6654574841383132E-4</v>
      </c>
      <c r="G163" s="375">
        <f t="shared" ref="G163:Q163" si="19">SUMPRODUCT(G153:G161,$R153:$R161)</f>
        <v>1.0828676465192747E-5</v>
      </c>
      <c r="H163" s="375">
        <f t="shared" si="19"/>
        <v>4.8438411502080699E-7</v>
      </c>
      <c r="I163" s="375">
        <f t="shared" si="19"/>
        <v>2.2874840054851127E-4</v>
      </c>
      <c r="J163" s="375">
        <f t="shared" si="19"/>
        <v>2.2874840054851126E-5</v>
      </c>
      <c r="K163" s="375">
        <f t="shared" si="19"/>
        <v>5.5287091140614242E-7</v>
      </c>
      <c r="L163" s="375">
        <f t="shared" si="19"/>
        <v>0</v>
      </c>
      <c r="M163" s="375">
        <f t="shared" si="19"/>
        <v>1.503325654796262E-7</v>
      </c>
      <c r="N163" s="375">
        <f t="shared" si="19"/>
        <v>6.2879494484875496E-7</v>
      </c>
      <c r="O163" s="375">
        <f t="shared" si="19"/>
        <v>0</v>
      </c>
      <c r="P163" s="375">
        <f t="shared" si="19"/>
        <v>1.3773194466126144E-6</v>
      </c>
      <c r="Q163" s="375">
        <f t="shared" si="19"/>
        <v>9.001293619082718E-7</v>
      </c>
      <c r="R163" s="351">
        <f>'Parameters, country spec'!K30</f>
        <v>1.8444505233833501E-2</v>
      </c>
      <c r="S163" s="351">
        <f>'Parameters, country spec'!K48</f>
        <v>3.2203274696010503E-2</v>
      </c>
    </row>
    <row r="164" spans="1:19" x14ac:dyDescent="0.2">
      <c r="A164" s="357"/>
      <c r="B164" s="358" t="s">
        <v>480</v>
      </c>
      <c r="C164" s="359"/>
      <c r="D164" s="360"/>
      <c r="E164" s="360"/>
      <c r="F164" s="376">
        <f>SUMPRODUCT(F150:F152,R150:R152)+SUMPRODUCT(F153:F163,R153:R163)/0.87</f>
        <v>3.9789654535934309E-4</v>
      </c>
      <c r="G164" s="376">
        <f>SUMPRODUCT(G150:G152,R150:R152)+SUMPRODUCT(G153:G163,R153:R163)/0.87</f>
        <v>1.4032762171630352E-5</v>
      </c>
      <c r="H164" s="376">
        <f>SUMPRODUCT(H150:H152,R150:R152)+SUMPRODUCT(H153:H163,R153:R163)/0.87</f>
        <v>1.0633586130732143E-6</v>
      </c>
      <c r="I164" s="376">
        <f>SUMPRODUCT(I150:I152,R150:R152)+SUMPRODUCT(I153:I163,R153:R163)/0.87</f>
        <v>3.2690700695677834E-4</v>
      </c>
      <c r="J164" s="376">
        <f>SUMPRODUCT(J150:J152,R150:R152)+SUMPRODUCT(J153:J163,R153:R163)/0.87</f>
        <v>3.2690700695677831E-5</v>
      </c>
      <c r="K164" s="376">
        <f>SUMPRODUCT(K150:K152,R150:R152)+SUMPRODUCT(K153:K163,R153:R163)/0.87</f>
        <v>9.0138990171956885E-7</v>
      </c>
      <c r="L164" s="376">
        <f>SUMPRODUCT(L150:L152,R150:R152)+SUMPRODUCT(L153:L163,R153:R163)/0.87</f>
        <v>0</v>
      </c>
      <c r="M164" s="376">
        <f>SUMPRODUCT(M150:M152,R150:R152)+SUMPRODUCT(M153:M163,R153:R163)/0.87</f>
        <v>1.8805300052231736E-7</v>
      </c>
      <c r="N164" s="376">
        <f>SUMPRODUCT(N150:N152,R150:R152)+SUMPRODUCT(N153:N163,R153:R163)/0.87</f>
        <v>7.4645328159107124E-7</v>
      </c>
      <c r="O164" s="376">
        <f>SUMPRODUCT(O150:O152,R150:R152)+SUMPRODUCT(O153:O163,R153:R163)/0.87</f>
        <v>0</v>
      </c>
      <c r="P164" s="376">
        <f>SUMPRODUCT(P150:P152,R150:R152)+SUMPRODUCT(P153:P163,R153:R163)/0.87</f>
        <v>1.9819284437872454E-5</v>
      </c>
      <c r="Q164" s="376">
        <f>SUMPRODUCT(Q150:Q152,R150:R152)+SUMPRODUCT(Q153:Q163,R153:R163)/0.87</f>
        <v>1.5475363004779197E-6</v>
      </c>
      <c r="R164" s="362"/>
      <c r="S164" s="369"/>
    </row>
    <row r="165" spans="1:19" x14ac:dyDescent="0.2">
      <c r="A165" s="363"/>
      <c r="B165" s="364" t="s">
        <v>481</v>
      </c>
      <c r="C165" s="365"/>
      <c r="D165" s="366"/>
      <c r="E165" s="366"/>
      <c r="F165" s="377">
        <f>SUMPRODUCT(F150:F152,S150:S152)+SUMPRODUCT(F153:F163,S153:S163)/0.87</f>
        <v>3.3154883171277285E-4</v>
      </c>
      <c r="G165" s="377">
        <f>SUMPRODUCT(G150:G152,S150:S152)+SUMPRODUCT(G153:G163,S153:S163)/0.87</f>
        <v>1.1017992637400887E-5</v>
      </c>
      <c r="H165" s="377">
        <f>SUMPRODUCT(H150:H152,S150:S152)+SUMPRODUCT(H153:H163,S153:S163)/0.87</f>
        <v>1.0524323792022146E-6</v>
      </c>
      <c r="I165" s="377">
        <f>SUMPRODUCT(I150:I152,S150:S152)+SUMPRODUCT(I153:I163,S153:S163)/0.87</f>
        <v>2.7695848490214697E-4</v>
      </c>
      <c r="J165" s="377">
        <f>SUMPRODUCT(J150:J152,S150:S152)+SUMPRODUCT(J153:J163,S153:S163)/0.87</f>
        <v>2.7695848490214699E-5</v>
      </c>
      <c r="K165" s="377">
        <f>SUMPRODUCT(K150:K152,S150:S152)+SUMPRODUCT(K153:K163,S153:S163)/0.87</f>
        <v>8.1104860796471841E-7</v>
      </c>
      <c r="L165" s="377">
        <f>SUMPRODUCT(L150:L152,S150:S152)+SUMPRODUCT(L153:L163,S153:S163)/0.87</f>
        <v>0</v>
      </c>
      <c r="M165" s="377">
        <f>SUMPRODUCT(M150:M152,S150:S152)+SUMPRODUCT(M153:M163,S153:S163)/0.87</f>
        <v>1.4058748426048071E-7</v>
      </c>
      <c r="N165" s="377">
        <f>SUMPRODUCT(N150:N152,S150:S152)+SUMPRODUCT(N153:N163,S153:S163)/0.87</f>
        <v>5.4603212883075098E-7</v>
      </c>
      <c r="O165" s="377">
        <f>SUMPRODUCT(O150:O152,S150:S152)+SUMPRODUCT(O153:O163,S153:S163)/0.87</f>
        <v>0</v>
      </c>
      <c r="P165" s="377">
        <f>SUMPRODUCT(P150:P152,S150:S152)+SUMPRODUCT(P153:P163,S153:S163)/0.87</f>
        <v>1.2150231738848104E-5</v>
      </c>
      <c r="Q165" s="377">
        <f>SUMPRODUCT(Q150:Q152,S150:S152)+SUMPRODUCT(Q153:Q163,S153:S163)/0.87</f>
        <v>1.1761733439039748E-6</v>
      </c>
      <c r="R165" s="368"/>
      <c r="S165" s="368"/>
    </row>
    <row r="166" spans="1:19" x14ac:dyDescent="0.2">
      <c r="B166" s="58" t="s">
        <v>264</v>
      </c>
      <c r="C166" s="18" t="s">
        <v>463</v>
      </c>
      <c r="D166" s="349" t="s">
        <v>63</v>
      </c>
      <c r="E166" s="349" t="s">
        <v>64</v>
      </c>
      <c r="F166" s="371">
        <f t="shared" ref="F166:F179" si="20">SUM(G166:Q166)</f>
        <v>5.0799301372574851E-5</v>
      </c>
      <c r="G166" s="372">
        <f>'Forage crops, CF'!F61</f>
        <v>0</v>
      </c>
      <c r="H166" s="372">
        <f>'Forage crops, CF'!G61</f>
        <v>1.1000000000000001E-6</v>
      </c>
      <c r="I166" s="372">
        <f>'Forage crops, CF'!H61</f>
        <v>4.437409853463729E-5</v>
      </c>
      <c r="J166" s="372">
        <f>'Forage crops, CF'!I61</f>
        <v>4.4374098534637295E-6</v>
      </c>
      <c r="K166" s="372">
        <f>'Forage crops, CF'!J61</f>
        <v>8.8779298447383559E-7</v>
      </c>
      <c r="L166" s="372">
        <f>'Forage crops, CF'!K61</f>
        <v>0</v>
      </c>
      <c r="M166" s="372">
        <f>'Forage crops, CF'!L61</f>
        <v>0</v>
      </c>
      <c r="N166" s="372">
        <f>'Forage crops, CF'!M61</f>
        <v>0</v>
      </c>
      <c r="O166" s="372">
        <f>'Forage crops, CF'!N61</f>
        <v>0</v>
      </c>
      <c r="P166" s="372">
        <f>'Forage crops, CF'!O61</f>
        <v>0</v>
      </c>
      <c r="Q166" s="372">
        <f>'Forage crops, CF'!P61</f>
        <v>0</v>
      </c>
      <c r="R166" s="351">
        <f>'Parameters, country spec'!L17</f>
        <v>0</v>
      </c>
      <c r="S166" s="351">
        <f>'Parameters, country spec'!L35</f>
        <v>8.1492728375395507E-2</v>
      </c>
    </row>
    <row r="167" spans="1:19" x14ac:dyDescent="0.2">
      <c r="B167" s="58" t="s">
        <v>268</v>
      </c>
      <c r="C167" s="18" t="s">
        <v>463</v>
      </c>
      <c r="D167" s="349" t="s">
        <v>63</v>
      </c>
      <c r="E167" s="349" t="s">
        <v>64</v>
      </c>
      <c r="F167" s="371">
        <f t="shared" si="20"/>
        <v>2.7582049551989885E-4</v>
      </c>
      <c r="G167" s="372">
        <f>'Forage crops, CF'!F121</f>
        <v>1.0394460433379655E-5</v>
      </c>
      <c r="H167" s="372">
        <f>'Forage crops, CF'!G121</f>
        <v>1.1000000000000001E-6</v>
      </c>
      <c r="I167" s="372">
        <f>'Forage crops, CF'!H121</f>
        <v>1.7791881525427097E-4</v>
      </c>
      <c r="J167" s="372">
        <f>'Forage crops, CF'!I121</f>
        <v>1.7791881525427097E-5</v>
      </c>
      <c r="K167" s="372">
        <f>'Forage crops, CF'!J121</f>
        <v>5.1533830682117918E-7</v>
      </c>
      <c r="L167" s="372"/>
      <c r="M167" s="372">
        <f>'Forage crops, CF'!L121</f>
        <v>0</v>
      </c>
      <c r="N167" s="372">
        <f>'Forage crops, CF'!M121</f>
        <v>0</v>
      </c>
      <c r="O167" s="372">
        <f>'Forage crops, CF'!N121</f>
        <v>0</v>
      </c>
      <c r="P167" s="372">
        <f>'Forage crops, CF'!O121</f>
        <v>6.8099999999999988E-5</v>
      </c>
      <c r="Q167" s="372"/>
      <c r="R167" s="351">
        <f>'Parameters, country spec'!L18</f>
        <v>5.6833997339727403E-2</v>
      </c>
      <c r="S167" s="351">
        <f>'Parameters, country spec'!L36</f>
        <v>2.0132302839190298E-2</v>
      </c>
    </row>
    <row r="168" spans="1:19" x14ac:dyDescent="0.2">
      <c r="B168" s="58" t="s">
        <v>465</v>
      </c>
      <c r="C168" s="18" t="s">
        <v>463</v>
      </c>
      <c r="D168" s="349" t="s">
        <v>63</v>
      </c>
      <c r="E168" s="349" t="s">
        <v>64</v>
      </c>
      <c r="F168" s="371">
        <f t="shared" si="20"/>
        <v>3.0427529158966161E-4</v>
      </c>
      <c r="G168" s="372">
        <f>'Forage crops, CF'!F181*'Forage, input data per ha'!$D$88+'Forage crops, CF'!F241*'Forage, input data per ha'!$E$88</f>
        <v>1.1249386767424496E-5</v>
      </c>
      <c r="H168" s="372">
        <f>'Forage crops, CF'!G181*'Forage, input data per ha'!$D$88+'Forage crops, CF'!G241*'Forage, input data per ha'!$E$88</f>
        <v>1.1000000000000001E-6</v>
      </c>
      <c r="I168" s="372">
        <f>'Forage crops, CF'!H181*'Forage, input data per ha'!$D$88+'Forage crops, CF'!H241*'Forage, input data per ha'!$E$88</f>
        <v>2.0295386273926468E-4</v>
      </c>
      <c r="J168" s="372">
        <f>'Forage crops, CF'!I181*'Forage, input data per ha'!$D$88+'Forage crops, CF'!I241*'Forage, input data per ha'!$E$88</f>
        <v>2.0295386273926471E-5</v>
      </c>
      <c r="K168" s="372">
        <f>'Forage crops, CF'!J181*'Forage, input data per ha'!$D$88+'Forage crops, CF'!J241*'Forage, input data per ha'!$E$88</f>
        <v>5.7665580904598089E-7</v>
      </c>
      <c r="L168" s="372"/>
      <c r="M168" s="372">
        <f>'Forage crops, CF'!L181*'Forage, input data per ha'!$D$88+'Forage crops, CF'!L241*'Forage, input data per ha'!$E$88</f>
        <v>0</v>
      </c>
      <c r="N168" s="372">
        <f>'Forage crops, CF'!M181*'Forage, input data per ha'!$D$88+'Forage crops, CF'!M241*'Forage, input data per ha'!$E$88</f>
        <v>0</v>
      </c>
      <c r="O168" s="372">
        <f>'Forage crops, CF'!N181*'Forage, input data per ha'!$D$88+'Forage crops, CF'!N241*'Forage, input data per ha'!$E$88</f>
        <v>0</v>
      </c>
      <c r="P168" s="372">
        <f>'Forage crops, CF'!O181*'Forage, input data per ha'!$D$88+'Forage crops, CF'!O241*'Forage, input data per ha'!$E$88</f>
        <v>6.8099999999999988E-5</v>
      </c>
      <c r="Q168" s="372"/>
      <c r="R168" s="351">
        <f>'Parameters, country spec'!L19</f>
        <v>0.64451256332731</v>
      </c>
      <c r="S168" s="351">
        <f>'Parameters, country spec'!L37</f>
        <v>0.72922483150746598</v>
      </c>
    </row>
    <row r="169" spans="1:19" x14ac:dyDescent="0.2">
      <c r="A169" s="353" t="s">
        <v>466</v>
      </c>
      <c r="B169" s="18" t="s">
        <v>274</v>
      </c>
      <c r="C169" s="18" t="s">
        <v>467</v>
      </c>
      <c r="D169" s="349" t="s">
        <v>63</v>
      </c>
      <c r="E169" s="349" t="s">
        <v>64</v>
      </c>
      <c r="F169" s="371">
        <f t="shared" si="20"/>
        <v>7.5143494997671485E-4</v>
      </c>
      <c r="G169" s="373">
        <v>3.4194516835659798E-5</v>
      </c>
      <c r="H169" s="373">
        <v>1.1000000000000001E-6</v>
      </c>
      <c r="I169" s="373">
        <v>6.4877223033503201E-4</v>
      </c>
      <c r="J169" s="373">
        <v>6.4877223033503201E-5</v>
      </c>
      <c r="K169" s="373">
        <v>1.1579237811979299E-6</v>
      </c>
      <c r="L169" s="373">
        <v>0</v>
      </c>
      <c r="M169" s="373">
        <v>4.1974921861488002E-11</v>
      </c>
      <c r="N169" s="373">
        <v>1.3330140164000001E-6</v>
      </c>
      <c r="O169" s="373"/>
      <c r="P169" s="373"/>
      <c r="Q169" s="373"/>
      <c r="R169" s="351">
        <f>'Parameters, country spec'!L20</f>
        <v>2.1854503836809602E-2</v>
      </c>
      <c r="S169" s="351">
        <f>'Parameters, country spec'!L38</f>
        <v>7.1251912744116604E-3</v>
      </c>
    </row>
    <row r="170" spans="1:19" x14ac:dyDescent="0.2">
      <c r="A170" s="353" t="s">
        <v>468</v>
      </c>
      <c r="B170" s="18" t="s">
        <v>276</v>
      </c>
      <c r="C170" s="18" t="s">
        <v>467</v>
      </c>
      <c r="D170" s="349" t="s">
        <v>63</v>
      </c>
      <c r="E170" s="349" t="s">
        <v>64</v>
      </c>
      <c r="F170" s="371">
        <f t="shared" si="20"/>
        <v>6.0020470375904595E-4</v>
      </c>
      <c r="G170" s="373">
        <v>2.9011100690969499E-5</v>
      </c>
      <c r="H170" s="373">
        <v>1.1000000000000001E-6</v>
      </c>
      <c r="I170" s="373">
        <v>5.1652507889928044E-4</v>
      </c>
      <c r="J170" s="373">
        <v>5.1652507889928003E-5</v>
      </c>
      <c r="K170" s="373">
        <v>5.8300226246793003E-7</v>
      </c>
      <c r="L170" s="373">
        <v>0</v>
      </c>
      <c r="M170" s="373">
        <v>0</v>
      </c>
      <c r="N170" s="373">
        <v>1.3330140164000001E-6</v>
      </c>
      <c r="O170" s="373"/>
      <c r="P170" s="373"/>
      <c r="Q170" s="373"/>
      <c r="R170" s="351">
        <f>'Parameters, country spec'!L21</f>
        <v>9.7224227215628796E-4</v>
      </c>
      <c r="S170" s="351">
        <f>'Parameters, country spec'!L39</f>
        <v>3.1697869732220902E-4</v>
      </c>
    </row>
    <row r="171" spans="1:19" x14ac:dyDescent="0.2">
      <c r="A171" s="353" t="s">
        <v>469</v>
      </c>
      <c r="B171" s="18" t="s">
        <v>278</v>
      </c>
      <c r="C171" s="18" t="s">
        <v>467</v>
      </c>
      <c r="D171" s="349" t="s">
        <v>63</v>
      </c>
      <c r="E171" s="349" t="s">
        <v>64</v>
      </c>
      <c r="F171" s="371">
        <f t="shared" si="20"/>
        <v>6.5413213535696639E-4</v>
      </c>
      <c r="G171" s="373">
        <v>2.9531307160612801E-5</v>
      </c>
      <c r="H171" s="373">
        <v>1.1000000000000001E-6</v>
      </c>
      <c r="I171" s="373">
        <v>5.6446016405914097E-4</v>
      </c>
      <c r="J171" s="373">
        <v>5.6446016405914097E-5</v>
      </c>
      <c r="K171" s="373">
        <v>1.2615833469923E-6</v>
      </c>
      <c r="L171" s="373">
        <v>0</v>
      </c>
      <c r="M171" s="373">
        <v>5.0367906295404003E-11</v>
      </c>
      <c r="N171" s="373">
        <v>1.3330140164000001E-6</v>
      </c>
      <c r="O171" s="373"/>
      <c r="P171" s="373"/>
      <c r="Q171" s="373"/>
      <c r="R171" s="351">
        <f>'Parameters, country spec'!L22</f>
        <v>2.3774415383034798E-2</v>
      </c>
      <c r="S171" s="351">
        <f>'Parameters, country spec'!L40</f>
        <v>7.7511371696115704E-3</v>
      </c>
    </row>
    <row r="172" spans="1:19" x14ac:dyDescent="0.2">
      <c r="A172" s="353" t="s">
        <v>470</v>
      </c>
      <c r="B172" s="18" t="s">
        <v>280</v>
      </c>
      <c r="C172" s="18" t="s">
        <v>467</v>
      </c>
      <c r="D172" s="349" t="s">
        <v>63</v>
      </c>
      <c r="E172" s="349" t="s">
        <v>64</v>
      </c>
      <c r="F172" s="371">
        <f t="shared" si="20"/>
        <v>5.9725437088799249E-4</v>
      </c>
      <c r="G172" s="373">
        <v>2.6601012751935601E-5</v>
      </c>
      <c r="H172" s="373">
        <v>1.1000000000000001E-6</v>
      </c>
      <c r="I172" s="373">
        <v>5.1575370530733996E-4</v>
      </c>
      <c r="J172" s="373">
        <v>5.1575370530733998E-5</v>
      </c>
      <c r="K172" s="373">
        <v>8.9126828158292095E-7</v>
      </c>
      <c r="L172" s="373">
        <v>0</v>
      </c>
      <c r="M172" s="373">
        <v>0</v>
      </c>
      <c r="N172" s="373">
        <v>1.3330140164000001E-6</v>
      </c>
      <c r="O172" s="373"/>
      <c r="P172" s="373"/>
      <c r="Q172" s="373"/>
      <c r="R172" s="351">
        <f>'Parameters, country spec'!L23</f>
        <v>1.50302170309128E-5</v>
      </c>
      <c r="S172" s="351">
        <f>'Parameters, country spec'!L41</f>
        <v>4.9002790875207401E-6</v>
      </c>
    </row>
    <row r="173" spans="1:19" x14ac:dyDescent="0.2">
      <c r="A173" s="353" t="s">
        <v>471</v>
      </c>
      <c r="B173" s="18" t="s">
        <v>281</v>
      </c>
      <c r="C173" s="18" t="s">
        <v>467</v>
      </c>
      <c r="D173" s="349" t="s">
        <v>63</v>
      </c>
      <c r="E173" s="349" t="s">
        <v>64</v>
      </c>
      <c r="F173" s="371">
        <f t="shared" si="20"/>
        <v>8.1341848794026252E-4</v>
      </c>
      <c r="G173" s="373">
        <v>3.8715854793773698E-5</v>
      </c>
      <c r="H173" s="373">
        <v>1.1000000000000001E-6</v>
      </c>
      <c r="I173" s="373">
        <v>7.0133104566287802E-4</v>
      </c>
      <c r="J173" s="373">
        <v>7.0133104566287799E-5</v>
      </c>
      <c r="K173" s="373">
        <v>8.0546890092290805E-7</v>
      </c>
      <c r="L173" s="373">
        <v>0</v>
      </c>
      <c r="M173" s="373">
        <v>0</v>
      </c>
      <c r="N173" s="373">
        <v>1.3330140164000001E-6</v>
      </c>
      <c r="O173" s="373"/>
      <c r="P173" s="373"/>
      <c r="Q173" s="373"/>
      <c r="R173" s="351">
        <f>'Parameters, country spec'!L24</f>
        <v>9.4799230366266196E-2</v>
      </c>
      <c r="S173" s="351">
        <f>'Parameters, country spec'!L42</f>
        <v>3.0907251607613699E-2</v>
      </c>
    </row>
    <row r="174" spans="1:19" x14ac:dyDescent="0.2">
      <c r="A174" s="353" t="s">
        <v>472</v>
      </c>
      <c r="B174" s="18" t="s">
        <v>282</v>
      </c>
      <c r="C174" s="18" t="s">
        <v>473</v>
      </c>
      <c r="D174" s="349" t="s">
        <v>63</v>
      </c>
      <c r="E174" s="349" t="s">
        <v>64</v>
      </c>
      <c r="F174" s="371">
        <f t="shared" si="20"/>
        <v>2.0727574098590296E-4</v>
      </c>
      <c r="G174" s="373">
        <v>0</v>
      </c>
      <c r="H174" s="373">
        <v>1.1000000000000001E-6</v>
      </c>
      <c r="I174" s="373">
        <v>1.8457295999999999E-4</v>
      </c>
      <c r="J174" s="373">
        <v>1.8457295999999999E-5</v>
      </c>
      <c r="K174" s="373">
        <v>1.6636926576519699E-6</v>
      </c>
      <c r="L174" s="373">
        <v>0</v>
      </c>
      <c r="M174" s="373">
        <v>1.4877831185101599E-7</v>
      </c>
      <c r="N174" s="373">
        <v>1.3330140164000001E-6</v>
      </c>
      <c r="O174" s="373"/>
      <c r="P174" s="373"/>
      <c r="Q174" s="373"/>
      <c r="R174" s="351">
        <f>'Parameters, country spec'!L25</f>
        <v>8.4440367067629904E-3</v>
      </c>
      <c r="S174" s="351">
        <f>'Parameters, country spec'!L43</f>
        <v>1.47849500760987E-3</v>
      </c>
    </row>
    <row r="175" spans="1:19" x14ac:dyDescent="0.2">
      <c r="A175" s="353" t="s">
        <v>474</v>
      </c>
      <c r="B175" s="18" t="s">
        <v>283</v>
      </c>
      <c r="C175" s="18" t="s">
        <v>473</v>
      </c>
      <c r="D175" s="349" t="s">
        <v>63</v>
      </c>
      <c r="E175" s="349" t="s">
        <v>64</v>
      </c>
      <c r="F175" s="371">
        <f t="shared" si="20"/>
        <v>2.2407611265281446E-4</v>
      </c>
      <c r="G175" s="373">
        <v>1.13015961741459E-6</v>
      </c>
      <c r="H175" s="373">
        <v>1.1000000000000001E-6</v>
      </c>
      <c r="I175" s="373">
        <v>1.9889624794727011E-4</v>
      </c>
      <c r="J175" s="373">
        <v>1.9889624794727002E-5</v>
      </c>
      <c r="K175" s="373">
        <v>1.6488174841183101E-6</v>
      </c>
      <c r="L175" s="373">
        <v>0</v>
      </c>
      <c r="M175" s="373">
        <v>7.8248792884440994E-8</v>
      </c>
      <c r="N175" s="373">
        <v>1.3330140164000001E-6</v>
      </c>
      <c r="O175" s="373"/>
      <c r="P175" s="373"/>
      <c r="Q175" s="373"/>
      <c r="R175" s="351">
        <f>'Parameters, country spec'!L26</f>
        <v>8.2948266885816205E-3</v>
      </c>
      <c r="S175" s="351">
        <f>'Parameters, country spec'!L44</f>
        <v>1.4523693197724E-3</v>
      </c>
    </row>
    <row r="176" spans="1:19" x14ac:dyDescent="0.2">
      <c r="B176" s="58" t="s">
        <v>284</v>
      </c>
      <c r="C176" s="18" t="s">
        <v>475</v>
      </c>
      <c r="D176" s="349" t="s">
        <v>63</v>
      </c>
      <c r="E176" s="349" t="s">
        <v>64</v>
      </c>
      <c r="F176" s="371">
        <f t="shared" si="20"/>
        <v>1.5426052012212821E-3</v>
      </c>
      <c r="G176" s="372">
        <f>'Off-farm feed'!$F$77</f>
        <v>3.5160526410462891E-4</v>
      </c>
      <c r="H176" s="372">
        <f>'Off-farm feed'!$G$77</f>
        <v>5.3103448275862083E-7</v>
      </c>
      <c r="I176" s="372">
        <f>'Off-farm feed'!$H$77</f>
        <v>1.0756102664162706E-3</v>
      </c>
      <c r="J176" s="372">
        <f>'Off-farm feed'!$I$77</f>
        <v>1.0756102664162704E-4</v>
      </c>
      <c r="K176" s="372">
        <f>'Off-farm feed'!$J$77</f>
        <v>6.6339607025480393E-7</v>
      </c>
      <c r="L176" s="372"/>
      <c r="M176" s="372">
        <f>'Off-farm feed'!$L$77</f>
        <v>7.9511067188965528E-9</v>
      </c>
      <c r="N176" s="372">
        <f>'Off-farm feed'!$M$77</f>
        <v>1.2789681892721842E-6</v>
      </c>
      <c r="O176" s="372"/>
      <c r="P176" s="372">
        <f>'Off-farm feed'!$O$77</f>
        <v>4.8776996151562936E-6</v>
      </c>
      <c r="Q176" s="372">
        <f>'Off-farm feed'!$P$77</f>
        <v>4.6959459459459463E-7</v>
      </c>
      <c r="R176" s="351">
        <f>'Parameters, country spec'!L27</f>
        <v>3.7274865300959803E-2</v>
      </c>
      <c r="S176" s="351">
        <f>'Parameters, country spec'!L45</f>
        <v>6.52658250496908E-3</v>
      </c>
    </row>
    <row r="177" spans="1:19" x14ac:dyDescent="0.2">
      <c r="B177" s="58" t="s">
        <v>476</v>
      </c>
      <c r="C177" s="18" t="s">
        <v>475</v>
      </c>
      <c r="D177" s="349" t="s">
        <v>63</v>
      </c>
      <c r="E177" s="349" t="s">
        <v>64</v>
      </c>
      <c r="F177" s="371">
        <f t="shared" si="20"/>
        <v>1.8866346644602484E-4</v>
      </c>
      <c r="G177" s="372">
        <f>'Off-farm feed'!$F$26</f>
        <v>1.6332109719061435E-5</v>
      </c>
      <c r="H177" s="372">
        <f>'Off-farm feed'!$G$26</f>
        <v>8.7195121951219526E-7</v>
      </c>
      <c r="I177" s="372">
        <f>'Off-farm feed'!$H$26</f>
        <v>1.3333449845358183E-4</v>
      </c>
      <c r="J177" s="372">
        <f>'Off-farm feed'!$I$26</f>
        <v>1.3333449845358186E-5</v>
      </c>
      <c r="K177" s="372">
        <f>'Off-farm feed'!$J$26</f>
        <v>1.1576736579983962E-6</v>
      </c>
      <c r="L177" s="372"/>
      <c r="M177" s="372">
        <f>'Off-farm feed'!$L$26</f>
        <v>7.3437786087804875E-9</v>
      </c>
      <c r="N177" s="372">
        <f>'Off-farm feed'!$M$26</f>
        <v>1.1195281639512195E-6</v>
      </c>
      <c r="O177" s="372"/>
      <c r="P177" s="372">
        <f>'Off-farm feed'!$O$26</f>
        <v>1.3419073770114999E-5</v>
      </c>
      <c r="Q177" s="372">
        <f>'Off-farm feed'!$P$26</f>
        <v>9.087837837837838E-6</v>
      </c>
      <c r="R177" s="351">
        <f>'Parameters, country spec'!L28</f>
        <v>5.8079615438750398E-2</v>
      </c>
      <c r="S177" s="351">
        <f>'Parameters, country spec'!L46</f>
        <v>1.0169356726881599E-2</v>
      </c>
    </row>
    <row r="178" spans="1:19" x14ac:dyDescent="0.2">
      <c r="B178" s="18" t="s">
        <v>286</v>
      </c>
      <c r="C178" s="18" t="s">
        <v>477</v>
      </c>
      <c r="D178" s="349" t="s">
        <v>63</v>
      </c>
      <c r="E178" s="349" t="s">
        <v>64</v>
      </c>
      <c r="F178" s="374">
        <f t="shared" si="20"/>
        <v>8.3728956204249578E-5</v>
      </c>
      <c r="G178" s="373">
        <v>3.4844269314396402E-6</v>
      </c>
      <c r="H178" s="373">
        <v>9.9E-8</v>
      </c>
      <c r="I178" s="373">
        <v>6.3119794109659015E-5</v>
      </c>
      <c r="J178">
        <v>6.3119794109659E-6</v>
      </c>
      <c r="K178" s="373">
        <v>7.2492201083061705E-8</v>
      </c>
      <c r="L178">
        <v>0</v>
      </c>
      <c r="M178">
        <v>0</v>
      </c>
      <c r="N178" s="216">
        <v>1.1997126147599999E-7</v>
      </c>
      <c r="O178" s="216"/>
      <c r="P178" s="373">
        <v>9.3475299429580403E-6</v>
      </c>
      <c r="Q178" s="373">
        <v>1.1737623466679099E-6</v>
      </c>
      <c r="R178" s="351">
        <f>'Parameters, country spec'!L29</f>
        <v>0.02</v>
      </c>
      <c r="S178" s="351">
        <f>'Parameters, country spec'!L47</f>
        <v>8.8227403013349595E-2</v>
      </c>
    </row>
    <row r="179" spans="1:19" x14ac:dyDescent="0.2">
      <c r="A179" s="354"/>
      <c r="B179" s="18" t="s">
        <v>478</v>
      </c>
      <c r="C179" s="355" t="s">
        <v>479</v>
      </c>
      <c r="D179" s="349" t="s">
        <v>63</v>
      </c>
      <c r="E179" s="349" t="s">
        <v>64</v>
      </c>
      <c r="F179" s="371">
        <f t="shared" si="20"/>
        <v>1.8174463412035718E-4</v>
      </c>
      <c r="G179" s="375">
        <f t="shared" ref="G179:Q179" si="21">SUMPRODUCT(G169:G177,$R169:$R177)</f>
        <v>1.9212208626045379E-5</v>
      </c>
      <c r="H179" s="375">
        <f t="shared" si="21"/>
        <v>2.4440654434331687E-7</v>
      </c>
      <c r="I179" s="375">
        <f t="shared" si="21"/>
        <v>1.4563948331880634E-4</v>
      </c>
      <c r="J179" s="375">
        <f t="shared" si="21"/>
        <v>1.4563948331880632E-5</v>
      </c>
      <c r="K179" s="375">
        <f t="shared" si="21"/>
        <v>2.5192748070403258E-7</v>
      </c>
      <c r="L179" s="375">
        <f t="shared" si="21"/>
        <v>0</v>
      </c>
      <c r="M179" s="375">
        <f t="shared" si="21"/>
        <v>2.6303647800301968E-9</v>
      </c>
      <c r="N179" s="375">
        <f t="shared" si="21"/>
        <v>3.2351701150056342E-7</v>
      </c>
      <c r="O179" s="375">
        <f t="shared" si="21"/>
        <v>0</v>
      </c>
      <c r="P179" s="375">
        <f t="shared" si="21"/>
        <v>9.6119024024599591E-7</v>
      </c>
      <c r="Q179" s="375">
        <f t="shared" si="21"/>
        <v>5.4532220205091881E-7</v>
      </c>
      <c r="R179" s="351">
        <f>'Parameters, country spec'!L30</f>
        <v>2.9429009738894001E-2</v>
      </c>
      <c r="S179" s="351">
        <f>'Parameters, country spec'!L48</f>
        <v>1.51904716773185E-2</v>
      </c>
    </row>
    <row r="180" spans="1:19" x14ac:dyDescent="0.2">
      <c r="A180" s="357"/>
      <c r="B180" s="358" t="s">
        <v>480</v>
      </c>
      <c r="C180" s="359"/>
      <c r="D180" s="360"/>
      <c r="E180" s="360"/>
      <c r="F180" s="376">
        <f>SUMPRODUCT(F166:F168,R166:R168)+SUMPRODUCT(F169:F179,R169:R179)/0.87</f>
        <v>4.2875968674934339E-4</v>
      </c>
      <c r="G180" s="376">
        <f>SUMPRODUCT(G166:G168,R166:R168)+SUMPRODUCT(G169:G179,R169:R179)/0.87</f>
        <v>3.0654110802820337E-5</v>
      </c>
      <c r="H180" s="376">
        <f>SUMPRODUCT(H166:H168,R166:R168)+SUMPRODUCT(H169:H179,R169:R179)/0.87</f>
        <v>1.062951546523449E-6</v>
      </c>
      <c r="I180" s="376">
        <f>SUMPRODUCT(I166:I168,R166:R168)+SUMPRODUCT(I169:I179,R169:R179)/0.87</f>
        <v>3.1469735290360105E-4</v>
      </c>
      <c r="J180" s="376">
        <f>SUMPRODUCT(J166:J168,R166:R168)+SUMPRODUCT(J169:J179,R169:R179)/0.87</f>
        <v>3.1469735290360106E-5</v>
      </c>
      <c r="K180" s="376">
        <f>SUMPRODUCT(K166:K168,R166:R168)+SUMPRODUCT(K169:K179,R169:R179)/0.87</f>
        <v>7.0071076570684444E-7</v>
      </c>
      <c r="L180" s="376">
        <f>SUMPRODUCT(L166:L168,R166:R168)+SUMPRODUCT(L169:L179,R169:R179)/0.87</f>
        <v>0</v>
      </c>
      <c r="M180" s="376">
        <f>SUMPRODUCT(M166:M168,R166:R168)+SUMPRODUCT(M169:M179,R169:R179)/0.87</f>
        <v>3.112383690527068E-9</v>
      </c>
      <c r="N180" s="376">
        <f>SUMPRODUCT(N166:N168,R166:R168)+SUMPRODUCT(N169:N179,R169:R179)/0.87</f>
        <v>3.8556002530141541E-7</v>
      </c>
      <c r="O180" s="376">
        <f>SUMPRODUCT(O166:O168,R166:R168)+SUMPRODUCT(O169:O179,R169:R179)/0.87</f>
        <v>0</v>
      </c>
      <c r="P180" s="376">
        <f>SUMPRODUCT(P166:P168,R166:R168)+SUMPRODUCT(P169:P179,R169:R179)/0.87</f>
        <v>4.9113916546995684E-5</v>
      </c>
      <c r="Q180" s="376">
        <f>SUMPRODUCT(Q166:Q168,R166:R168)+SUMPRODUCT(Q169:Q179,R169:R179)/0.87</f>
        <v>6.7223648434398685E-7</v>
      </c>
      <c r="R180" s="362"/>
      <c r="S180" s="362"/>
    </row>
    <row r="181" spans="1:19" x14ac:dyDescent="0.2">
      <c r="A181" s="363"/>
      <c r="B181" s="364" t="s">
        <v>481</v>
      </c>
      <c r="C181" s="365"/>
      <c r="D181" s="366"/>
      <c r="E181" s="366"/>
      <c r="F181" s="377">
        <f>SUMPRODUCT(F166:F168,S166:S168)+SUMPRODUCT(F169:F179,S169:S179)/0.87</f>
        <v>2.988473059007163E-4</v>
      </c>
      <c r="G181" s="377">
        <f>SUMPRODUCT(G166:G168,S166:S168)+SUMPRODUCT(G169:G179,S169:S179)/0.87</f>
        <v>1.3861153237505292E-5</v>
      </c>
      <c r="H181" s="377">
        <f>SUMPRODUCT(H166:H168,S166:S168)+SUMPRODUCT(H169:H179,S169:S179)/0.87</f>
        <v>1.004417771572715E-6</v>
      </c>
      <c r="I181" s="377">
        <f>SUMPRODUCT(I166:I168,S166:S168)+SUMPRODUCT(I169:I179,S169:S179)/0.87</f>
        <v>2.0986291549706515E-4</v>
      </c>
      <c r="J181" s="377">
        <f>SUMPRODUCT(J166:J168,S166:S168)+SUMPRODUCT(J169:J179,S169:S179)/0.87</f>
        <v>2.0986291549706515E-5</v>
      </c>
      <c r="K181" s="377">
        <f>SUMPRODUCT(K166:K168,S166:S168)+SUMPRODUCT(K169:K179,S169:S179)/0.87</f>
        <v>5.8862936084183752E-7</v>
      </c>
      <c r="L181" s="377">
        <f>SUMPRODUCT(L166:L168,S166:S168)+SUMPRODUCT(L169:L179,S169:S179)/0.87</f>
        <v>0</v>
      </c>
      <c r="M181" s="377">
        <f>SUMPRODUCT(M166:M168,S166:S168)+SUMPRODUCT(M169:M179,S169:S179)/0.87</f>
        <v>5.7567260390719552E-10</v>
      </c>
      <c r="N181" s="377">
        <f>SUMPRODUCT(N166:N168,S166:S168)+SUMPRODUCT(N169:N179,S169:S179)/0.87</f>
        <v>1.156292044317575E-7</v>
      </c>
      <c r="O181" s="377">
        <f>SUMPRODUCT(O166:O168,S166:S168)+SUMPRODUCT(O169:O179,S169:S179)/0.87</f>
        <v>0</v>
      </c>
      <c r="P181" s="377">
        <f>SUMPRODUCT(P166:P168,S166:S168)+SUMPRODUCT(P169:P179,S169:S179)/0.87</f>
        <v>5.2189390138275206E-5</v>
      </c>
      <c r="Q181" s="377">
        <f>SUMPRODUCT(Q166:Q168,S166:S168)+SUMPRODUCT(Q169:Q179,S169:S179)/0.87</f>
        <v>2.3830346871398458E-7</v>
      </c>
      <c r="R181" s="368"/>
      <c r="S181" s="368"/>
    </row>
    <row r="183" spans="1:19" x14ac:dyDescent="0.2">
      <c r="F183" s="379"/>
      <c r="G183" s="379"/>
      <c r="H183" s="379"/>
      <c r="I183" s="379"/>
      <c r="J183" s="379"/>
      <c r="K183" s="379"/>
      <c r="L183" s="379"/>
      <c r="M183" s="379"/>
      <c r="N183" s="379"/>
      <c r="O183" s="379"/>
      <c r="P183" s="379"/>
      <c r="Q183" s="379"/>
    </row>
    <row r="184" spans="1:19" x14ac:dyDescent="0.2">
      <c r="G184" s="380"/>
      <c r="H184" s="380"/>
      <c r="I184" s="380"/>
      <c r="J184" s="380"/>
      <c r="K184" s="380"/>
      <c r="L184" s="380"/>
      <c r="M184" s="380"/>
      <c r="N184" s="380"/>
      <c r="O184" s="380"/>
      <c r="P184" s="380"/>
      <c r="Q184" s="381"/>
    </row>
    <row r="185" spans="1:19" x14ac:dyDescent="0.2">
      <c r="F185" s="55"/>
    </row>
  </sheetData>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DC3E6"/>
  </sheetPr>
  <dimension ref="A1:P181"/>
  <sheetViews>
    <sheetView topLeftCell="A162" zoomScale="80" zoomScaleNormal="80" workbookViewId="0">
      <selection activeCell="P5" sqref="P5"/>
    </sheetView>
  </sheetViews>
  <sheetFormatPr baseColWidth="10" defaultColWidth="8.6640625" defaultRowHeight="15" x14ac:dyDescent="0.2"/>
  <cols>
    <col min="2" max="2" width="30.5" customWidth="1"/>
    <col min="3" max="3" width="19" customWidth="1"/>
    <col min="4" max="4" width="12.6640625" customWidth="1"/>
    <col min="6" max="10" width="15.6640625" customWidth="1"/>
    <col min="11" max="11" width="15.6640625" style="53" customWidth="1"/>
    <col min="12" max="12" width="15.6640625" customWidth="1"/>
    <col min="14" max="14" width="8.6640625" style="22" customWidth="1"/>
    <col min="16" max="16" width="13.5" customWidth="1"/>
  </cols>
  <sheetData>
    <row r="1" spans="1:16" x14ac:dyDescent="0.2">
      <c r="D1" s="25"/>
    </row>
    <row r="2" spans="1:16" ht="21" customHeight="1" x14ac:dyDescent="0.25">
      <c r="A2" s="9" t="s">
        <v>485</v>
      </c>
      <c r="F2" t="s">
        <v>456</v>
      </c>
      <c r="L2" t="s">
        <v>457</v>
      </c>
    </row>
    <row r="3" spans="1:16" x14ac:dyDescent="0.2">
      <c r="H3" s="26"/>
      <c r="I3" s="26"/>
      <c r="J3" s="26"/>
      <c r="K3" s="86"/>
    </row>
    <row r="4" spans="1:16" x14ac:dyDescent="0.2">
      <c r="A4" s="382" t="s">
        <v>458</v>
      </c>
      <c r="B4" s="276"/>
      <c r="C4" s="276"/>
      <c r="D4" s="276"/>
      <c r="E4" s="276"/>
      <c r="F4" s="383" t="s">
        <v>141</v>
      </c>
      <c r="G4" s="383" t="s">
        <v>132</v>
      </c>
      <c r="H4" s="383" t="s">
        <v>142</v>
      </c>
      <c r="I4" s="383" t="s">
        <v>143</v>
      </c>
      <c r="J4" s="384" t="s">
        <v>144</v>
      </c>
      <c r="K4" s="384" t="s">
        <v>145</v>
      </c>
      <c r="L4" s="384" t="s">
        <v>146</v>
      </c>
      <c r="M4" s="385" t="s">
        <v>459</v>
      </c>
      <c r="N4" s="385" t="s">
        <v>459</v>
      </c>
    </row>
    <row r="5" spans="1:16" ht="43.5" customHeight="1" x14ac:dyDescent="0.2">
      <c r="A5" s="386" t="s">
        <v>13</v>
      </c>
      <c r="B5" s="386" t="s">
        <v>458</v>
      </c>
      <c r="C5" s="386" t="s">
        <v>460</v>
      </c>
      <c r="D5" s="386" t="s">
        <v>16</v>
      </c>
      <c r="E5" s="346" t="s">
        <v>17</v>
      </c>
      <c r="F5" s="387" t="s">
        <v>156</v>
      </c>
      <c r="G5" s="387" t="s">
        <v>486</v>
      </c>
      <c r="H5" s="387" t="s">
        <v>487</v>
      </c>
      <c r="I5" s="388" t="s">
        <v>159</v>
      </c>
      <c r="J5" s="389" t="s">
        <v>160</v>
      </c>
      <c r="K5" s="390" t="s">
        <v>161</v>
      </c>
      <c r="L5" s="390" t="s">
        <v>162</v>
      </c>
      <c r="M5" s="348" t="s">
        <v>171</v>
      </c>
      <c r="N5" s="348" t="s">
        <v>357</v>
      </c>
      <c r="P5" s="348" t="s">
        <v>488</v>
      </c>
    </row>
    <row r="6" spans="1:16" x14ac:dyDescent="0.2">
      <c r="B6" s="58" t="s">
        <v>264</v>
      </c>
      <c r="C6" s="18" t="s">
        <v>463</v>
      </c>
      <c r="D6" s="349" t="s">
        <v>38</v>
      </c>
      <c r="E6" s="349" t="s">
        <v>39</v>
      </c>
      <c r="F6" s="350">
        <v>0</v>
      </c>
      <c r="G6" s="352">
        <f>'Forage crops, footprints'!G8</f>
        <v>1.0762098565245551E-2</v>
      </c>
      <c r="H6" s="391">
        <f>'Forage crops, footprints'!H8</f>
        <v>3.8463374244824273E-5</v>
      </c>
      <c r="I6" s="352">
        <f>'Forage crops, footprints'!I8</f>
        <v>0</v>
      </c>
      <c r="J6" s="371">
        <f>'Forage crops, footprints'!J8</f>
        <v>0</v>
      </c>
      <c r="K6" s="371">
        <f>'Forage crops, footprints'!K8</f>
        <v>3.5793844576218395E-12</v>
      </c>
      <c r="L6" s="371">
        <f>'Forage crops, footprints'!L8</f>
        <v>1.3924589728241983E-4</v>
      </c>
      <c r="M6" s="351">
        <f>'Parameters, country spec'!B17</f>
        <v>0</v>
      </c>
      <c r="N6" s="351">
        <f>'Parameters, country spec'!B35</f>
        <v>0.29561999999999999</v>
      </c>
      <c r="O6" s="83"/>
      <c r="P6" s="59">
        <f>K6*M6/K20*100</f>
        <v>0</v>
      </c>
    </row>
    <row r="7" spans="1:16" x14ac:dyDescent="0.2">
      <c r="B7" s="58" t="s">
        <v>268</v>
      </c>
      <c r="C7" s="18" t="s">
        <v>463</v>
      </c>
      <c r="D7" s="349" t="s">
        <v>38</v>
      </c>
      <c r="E7" s="349" t="s">
        <v>39</v>
      </c>
      <c r="F7" s="350">
        <f>'Forage crops, footprints'!F24</f>
        <v>0.75224590731521113</v>
      </c>
      <c r="G7" s="352">
        <f>'Forage crops, footprints'!G24</f>
        <v>3.0089836292608442E-3</v>
      </c>
      <c r="H7" s="391">
        <f>'Forage crops, footprints'!H24</f>
        <v>3.9413447538205423E-4</v>
      </c>
      <c r="I7" s="352">
        <f>'Forage crops, footprints'!I24</f>
        <v>0</v>
      </c>
      <c r="J7" s="371">
        <f>'Forage crops, footprints'!J24</f>
        <v>2.5056963704554107E-5</v>
      </c>
      <c r="K7" s="371">
        <f>'Forage crops, footprints'!K24</f>
        <v>2.6821313808372407E-12</v>
      </c>
      <c r="L7" s="371">
        <f>'Forage crops, footprints'!L24</f>
        <v>1.8292996426765701E-4</v>
      </c>
      <c r="M7" s="351">
        <f>'Parameters, country spec'!B18</f>
        <v>0.31083</v>
      </c>
      <c r="N7" s="351">
        <f>'Parameters, country spec'!B36</f>
        <v>0.30657000000000001</v>
      </c>
      <c r="O7" s="83"/>
      <c r="P7" s="59">
        <f>K7*M7/K20*100</f>
        <v>5.5823565177157164</v>
      </c>
    </row>
    <row r="8" spans="1:16" x14ac:dyDescent="0.2">
      <c r="B8" s="58" t="s">
        <v>489</v>
      </c>
      <c r="C8" s="18" t="s">
        <v>463</v>
      </c>
      <c r="D8" s="349" t="s">
        <v>38</v>
      </c>
      <c r="E8" s="349" t="s">
        <v>39</v>
      </c>
      <c r="F8" s="350">
        <f>'Forage, input data per ha'!$D$78*'Forage crops, footprints'!F40+'Forage, input data per ha'!$E$78*'Forage crops, footprints'!F56</f>
        <v>0.88092605063387597</v>
      </c>
      <c r="G8" s="352">
        <f>'Forage, input data per ha'!$D$78*'Forage crops, footprints'!G40+'Forage, input data per ha'!$E$78*'Forage crops, footprints'!G56</f>
        <v>1.0778042776791329E-2</v>
      </c>
      <c r="H8" s="391">
        <f>'Forage, input data per ha'!$D$78*'Forage crops, footprints'!H40+'Forage, input data per ha'!$E$78*'Forage crops, footprints'!H56</f>
        <v>4.0533767187275134E-5</v>
      </c>
      <c r="I8" s="352">
        <f>'Forage, input data per ha'!$D$78*'Forage crops, footprints'!I40+'Forage, input data per ha'!$E$78*'Forage crops, footprints'!I56</f>
        <v>0</v>
      </c>
      <c r="J8" s="371">
        <f>'Forage, input data per ha'!$D$78*'Forage crops, footprints'!J40+'Forage, input data per ha'!$E$78*'Forage crops, footprints'!J56</f>
        <v>4.4821524767284914E-5</v>
      </c>
      <c r="K8" s="371">
        <f>'Forage, input data per ha'!$D$78*'Forage crops, footprints'!K40+'Forage, input data per ha'!$E$78*'Forage crops, footprints'!K56</f>
        <v>2.1758103096986377E-12</v>
      </c>
      <c r="L8" s="371">
        <f>'Forage, input data per ha'!$D$78*'Forage crops, footprints'!L40+'Forage, input data per ha'!$E$78*'Forage crops, footprints'!L56</f>
        <v>1.391823026814869E-4</v>
      </c>
      <c r="M8" s="351">
        <f>'Parameters, country spec'!B19</f>
        <v>0.30336999999999997</v>
      </c>
      <c r="N8" s="351">
        <f>'Parameters, country spec'!B37</f>
        <v>0.25495000000000001</v>
      </c>
      <c r="O8" s="83"/>
      <c r="P8" s="59">
        <f>K8*M8/K20*100</f>
        <v>4.4198573751860124</v>
      </c>
    </row>
    <row r="9" spans="1:16" x14ac:dyDescent="0.2">
      <c r="A9" s="353" t="s">
        <v>466</v>
      </c>
      <c r="B9" s="18" t="s">
        <v>274</v>
      </c>
      <c r="C9" s="18" t="s">
        <v>467</v>
      </c>
      <c r="D9" s="349" t="s">
        <v>38</v>
      </c>
      <c r="E9" s="349" t="s">
        <v>39</v>
      </c>
      <c r="F9" s="392">
        <v>1.74399542375601</v>
      </c>
      <c r="G9" s="393">
        <v>3.0781519229293501E-2</v>
      </c>
      <c r="H9" s="394">
        <v>3.4007910763242202E-3</v>
      </c>
      <c r="I9" s="393">
        <v>0</v>
      </c>
      <c r="J9" s="395">
        <v>0.13515964534109101</v>
      </c>
      <c r="K9" s="395">
        <v>6.2182124337334297E-12</v>
      </c>
      <c r="L9" s="395">
        <v>1.81838347417504E-3</v>
      </c>
      <c r="M9" s="351">
        <f>'Parameters, country spec'!B20</f>
        <v>0.12006</v>
      </c>
      <c r="N9" s="351">
        <f>'Parameters, country spec'!B38</f>
        <v>6.0999999999999999E-2</v>
      </c>
      <c r="P9" s="59">
        <f>K9*M9/K20*100</f>
        <v>4.9989464823668914</v>
      </c>
    </row>
    <row r="10" spans="1:16" x14ac:dyDescent="0.2">
      <c r="A10" s="353" t="s">
        <v>468</v>
      </c>
      <c r="B10" s="18" t="s">
        <v>276</v>
      </c>
      <c r="C10" s="18" t="s">
        <v>467</v>
      </c>
      <c r="D10" s="349" t="s">
        <v>38</v>
      </c>
      <c r="E10" s="349" t="s">
        <v>39</v>
      </c>
      <c r="F10" s="396">
        <v>1.5209032948848999</v>
      </c>
      <c r="G10" s="393">
        <v>6.0836131795395897E-3</v>
      </c>
      <c r="H10" s="394">
        <v>1.36881296539641E-3</v>
      </c>
      <c r="I10" s="393">
        <v>0</v>
      </c>
      <c r="J10" s="395">
        <v>3.1938969192582899E-2</v>
      </c>
      <c r="K10" s="395">
        <v>5.4227778639415299E-12</v>
      </c>
      <c r="L10" s="395">
        <v>3.5938257584182702E-4</v>
      </c>
      <c r="M10" s="351">
        <f>'Parameters, country spec'!B21</f>
        <v>0</v>
      </c>
      <c r="N10" s="351">
        <f>'Parameters, country spec'!B39</f>
        <v>0</v>
      </c>
      <c r="P10" s="59">
        <f>K10*M10/K20*100</f>
        <v>0</v>
      </c>
    </row>
    <row r="11" spans="1:16" x14ac:dyDescent="0.2">
      <c r="A11" s="353" t="s">
        <v>469</v>
      </c>
      <c r="B11" s="18" t="s">
        <v>278</v>
      </c>
      <c r="C11" s="18" t="s">
        <v>467</v>
      </c>
      <c r="D11" s="349" t="s">
        <v>38</v>
      </c>
      <c r="E11" s="349" t="s">
        <v>39</v>
      </c>
      <c r="F11" s="396">
        <v>2.0075725637103199</v>
      </c>
      <c r="G11" s="393">
        <v>2.9912831199283701E-2</v>
      </c>
      <c r="H11" s="394">
        <v>4.4166596401626901E-3</v>
      </c>
      <c r="I11" s="393">
        <v>6.2688988000000001E-6</v>
      </c>
      <c r="J11" s="395">
        <v>6.6249894602440407E-2</v>
      </c>
      <c r="K11" s="395">
        <v>7.1579962351048499E-12</v>
      </c>
      <c r="L11" s="395">
        <v>1.76706671017073E-3</v>
      </c>
      <c r="M11" s="351">
        <f>'Parameters, country spec'!B22</f>
        <v>0</v>
      </c>
      <c r="N11" s="351">
        <f>'Parameters, country spec'!B40</f>
        <v>0</v>
      </c>
      <c r="P11" s="59">
        <f>K11*M11/K20*100</f>
        <v>0</v>
      </c>
    </row>
    <row r="12" spans="1:16" x14ac:dyDescent="0.2">
      <c r="A12" s="353" t="s">
        <v>470</v>
      </c>
      <c r="B12" s="18" t="s">
        <v>280</v>
      </c>
      <c r="C12" s="18" t="s">
        <v>467</v>
      </c>
      <c r="D12" s="349" t="s">
        <v>38</v>
      </c>
      <c r="E12" s="349" t="s">
        <v>39</v>
      </c>
      <c r="F12" s="396">
        <v>1.6691314173930201</v>
      </c>
      <c r="G12" s="393">
        <v>2.5370797544373901E-2</v>
      </c>
      <c r="H12" s="394">
        <v>3.3382628347860301E-3</v>
      </c>
      <c r="I12" s="393">
        <v>2.3542927958000001E-3</v>
      </c>
      <c r="J12" s="395">
        <v>0.20363403292194801</v>
      </c>
      <c r="K12" s="395">
        <v>5.9512849585438101E-12</v>
      </c>
      <c r="L12" s="395">
        <v>1.49875120320333E-3</v>
      </c>
      <c r="M12" s="351">
        <f>'Parameters, country spec'!B23</f>
        <v>0</v>
      </c>
      <c r="N12" s="351">
        <f>'Parameters, country spec'!B41</f>
        <v>0</v>
      </c>
      <c r="P12" s="59">
        <f>K12*M12/K20*100</f>
        <v>0</v>
      </c>
    </row>
    <row r="13" spans="1:16" x14ac:dyDescent="0.2">
      <c r="A13" s="353" t="s">
        <v>471</v>
      </c>
      <c r="B13" s="18" t="s">
        <v>281</v>
      </c>
      <c r="C13" s="18" t="s">
        <v>467</v>
      </c>
      <c r="D13" s="349" t="s">
        <v>38</v>
      </c>
      <c r="E13" s="349" t="s">
        <v>39</v>
      </c>
      <c r="F13" s="396">
        <v>1.30502303365654</v>
      </c>
      <c r="G13" s="393">
        <v>2.5056442246205599E-2</v>
      </c>
      <c r="H13" s="394">
        <v>2.4142926122646098E-3</v>
      </c>
      <c r="I13" s="393">
        <v>1.860936398E-3</v>
      </c>
      <c r="J13" s="395">
        <v>0.10113928510838199</v>
      </c>
      <c r="K13" s="395">
        <v>4.6530571947916698E-12</v>
      </c>
      <c r="L13" s="395">
        <v>1.48018101909544E-3</v>
      </c>
      <c r="M13" s="351">
        <f>'Parameters, country spec'!B24</f>
        <v>0</v>
      </c>
      <c r="N13" s="351">
        <f>'Parameters, country spec'!B42</f>
        <v>0</v>
      </c>
      <c r="P13" s="59">
        <f>K13*M13/K20*100</f>
        <v>0</v>
      </c>
    </row>
    <row r="14" spans="1:16" x14ac:dyDescent="0.2">
      <c r="A14" s="353" t="s">
        <v>472</v>
      </c>
      <c r="B14" s="18" t="s">
        <v>282</v>
      </c>
      <c r="C14" s="18" t="s">
        <v>473</v>
      </c>
      <c r="D14" s="349" t="s">
        <v>38</v>
      </c>
      <c r="E14" s="349" t="s">
        <v>39</v>
      </c>
      <c r="F14" s="396">
        <v>2.8087205154563901</v>
      </c>
      <c r="G14" s="393">
        <v>3.44E-2</v>
      </c>
      <c r="H14" s="394">
        <v>3.93220872163894E-3</v>
      </c>
      <c r="I14" s="393">
        <v>0.180512317566</v>
      </c>
      <c r="J14" s="395">
        <v>0.21627147969014199</v>
      </c>
      <c r="K14" s="395">
        <v>1.00144877642388E-11</v>
      </c>
      <c r="L14" s="395">
        <v>0</v>
      </c>
      <c r="M14" s="351">
        <f>'Parameters, country spec'!B25</f>
        <v>0</v>
      </c>
      <c r="N14" s="351">
        <f>'Parameters, country spec'!B43</f>
        <v>0</v>
      </c>
      <c r="P14" s="59">
        <f>K14*M14/K20*100</f>
        <v>0</v>
      </c>
    </row>
    <row r="15" spans="1:16" x14ac:dyDescent="0.2">
      <c r="A15" s="353" t="s">
        <v>474</v>
      </c>
      <c r="B15" s="18" t="s">
        <v>283</v>
      </c>
      <c r="C15" s="18" t="s">
        <v>473</v>
      </c>
      <c r="D15" s="349" t="s">
        <v>38</v>
      </c>
      <c r="E15" s="349" t="s">
        <v>39</v>
      </c>
      <c r="F15" s="397">
        <v>2.6093037333917799</v>
      </c>
      <c r="G15" s="397">
        <v>0.04</v>
      </c>
      <c r="H15" s="398">
        <v>3.6530252267484901E-3</v>
      </c>
      <c r="I15" s="399">
        <v>0.24589923734999999</v>
      </c>
      <c r="J15" s="400">
        <v>0.200916387471167</v>
      </c>
      <c r="K15" s="400">
        <v>9.30346759937015E-12</v>
      </c>
      <c r="L15" s="400">
        <v>0</v>
      </c>
      <c r="M15" s="351">
        <f>'Parameters, country spec'!B26</f>
        <v>0</v>
      </c>
      <c r="N15" s="351">
        <f>'Parameters, country spec'!B44</f>
        <v>0</v>
      </c>
      <c r="P15" s="59">
        <f>K15*M15/K20*100</f>
        <v>0</v>
      </c>
    </row>
    <row r="16" spans="1:16" x14ac:dyDescent="0.2">
      <c r="B16" s="58" t="s">
        <v>284</v>
      </c>
      <c r="C16" s="18" t="s">
        <v>475</v>
      </c>
      <c r="D16" s="349" t="e">
        <f>#NAME?</f>
        <v>#NAME?</v>
      </c>
      <c r="E16" s="349"/>
      <c r="F16" s="54">
        <f>'Off-farm feed'!$F$88</f>
        <v>1.5397450382845068</v>
      </c>
      <c r="G16" s="83">
        <f>'Off-farm feed'!$G$88</f>
        <v>2.276724967641296E-2</v>
      </c>
      <c r="H16" s="55">
        <f>'Off-farm feed'!$H$88</f>
        <v>2.4780679919905292E-3</v>
      </c>
      <c r="I16" s="83">
        <f>'Off-farm feed'!$I$88</f>
        <v>8.1100925319702543E-4</v>
      </c>
      <c r="J16" s="372">
        <f>'Off-farm feed'!$J$88</f>
        <v>0.29368572248181479</v>
      </c>
      <c r="K16" s="372">
        <f>'Off-farm feed'!$K$88</f>
        <v>1.2571008272056975E-11</v>
      </c>
      <c r="L16" s="372">
        <f>'Off-farm feed'!$L$88</f>
        <v>1.3841258986185109E-3</v>
      </c>
      <c r="M16" s="351">
        <f>'Parameters, country spec'!B27</f>
        <v>0.14187</v>
      </c>
      <c r="N16" s="351">
        <f>'Parameters, country spec'!B45</f>
        <v>4.3799999999999999E-2</v>
      </c>
      <c r="P16" s="59">
        <f>K16*M16/K20*100</f>
        <v>11.941950711521784</v>
      </c>
    </row>
    <row r="17" spans="1:16" x14ac:dyDescent="0.2">
      <c r="B17" s="58" t="s">
        <v>476</v>
      </c>
      <c r="C17" s="18" t="s">
        <v>475</v>
      </c>
      <c r="D17" s="349" t="e">
        <f>#NAME?</f>
        <v>#NAME?</v>
      </c>
      <c r="E17" s="349"/>
      <c r="F17" s="54">
        <f>'Off-farm feed'!$F$36</f>
        <v>2.5509164954964105</v>
      </c>
      <c r="G17" s="83">
        <f>'Off-farm feed'!$G$36</f>
        <v>4.2620923125915401E-2</v>
      </c>
      <c r="H17" s="55">
        <f>'Off-farm feed'!$H$36</f>
        <v>3.2959349471355006E-3</v>
      </c>
      <c r="I17" s="83">
        <f>'Off-farm feed'!$I$36</f>
        <v>2.435286335413451E-3</v>
      </c>
      <c r="J17" s="372">
        <f>'Off-farm feed'!$J$36</f>
        <v>0.25920846302270906</v>
      </c>
      <c r="K17" s="372">
        <f>'Off-farm feed'!$K$36</f>
        <v>1.4553836091881654E-10</v>
      </c>
      <c r="L17" s="372">
        <f>'Off-farm feed'!$L$36</f>
        <v>1.0450321677831977E-4</v>
      </c>
      <c r="M17" s="351">
        <f>'Parameters, country spec'!B28</f>
        <v>5.1540000000000002E-2</v>
      </c>
      <c r="N17" s="351">
        <f>'Parameters, country spec'!B46</f>
        <v>0</v>
      </c>
      <c r="P17" s="59">
        <f>K17*M17/K20*100</f>
        <v>50.226913047573404</v>
      </c>
    </row>
    <row r="18" spans="1:16" x14ac:dyDescent="0.2">
      <c r="B18" s="18" t="s">
        <v>286</v>
      </c>
      <c r="C18" s="18" t="s">
        <v>477</v>
      </c>
      <c r="D18" s="349" t="s">
        <v>38</v>
      </c>
      <c r="E18" s="349" t="s">
        <v>39</v>
      </c>
      <c r="F18" s="396">
        <v>0.117452073029089</v>
      </c>
      <c r="G18" s="396">
        <v>2.2550798021585099E-3</v>
      </c>
      <c r="H18" s="396">
        <v>2.17286335103815E-4</v>
      </c>
      <c r="I18" s="395">
        <v>1.6748427582E-4</v>
      </c>
      <c r="J18" s="395">
        <v>9.1025356597544006E-3</v>
      </c>
      <c r="K18" s="395">
        <v>4.1877514753125102E-13</v>
      </c>
      <c r="L18" s="395">
        <v>1.3321629171859001E-4</v>
      </c>
      <c r="M18" s="351">
        <f>'Parameters, country spec'!B29</f>
        <v>0</v>
      </c>
      <c r="N18" s="351">
        <f>'Parameters, country spec'!B47</f>
        <v>0</v>
      </c>
      <c r="O18" t="s">
        <v>373</v>
      </c>
      <c r="P18" s="59">
        <f>K18*M18/K20*100</f>
        <v>0</v>
      </c>
    </row>
    <row r="19" spans="1:16" x14ac:dyDescent="0.2">
      <c r="A19" s="354"/>
      <c r="B19" s="18" t="s">
        <v>478</v>
      </c>
      <c r="C19" s="355" t="s">
        <v>479</v>
      </c>
      <c r="D19" s="349" t="s">
        <v>38</v>
      </c>
      <c r="E19" s="349" t="s">
        <v>39</v>
      </c>
      <c r="F19" s="356">
        <f t="shared" ref="F19:L19" si="0">AVERAGE(F9:F17)</f>
        <v>1.9728123906699864</v>
      </c>
      <c r="G19" s="401">
        <f t="shared" si="0"/>
        <v>2.8554819577891626E-2</v>
      </c>
      <c r="H19" s="402">
        <f t="shared" si="0"/>
        <v>3.144228446271935E-3</v>
      </c>
      <c r="I19" s="401">
        <f t="shared" si="0"/>
        <v>4.8208816510801167E-2</v>
      </c>
      <c r="J19" s="375">
        <f t="shared" si="0"/>
        <v>0.16757820887025301</v>
      </c>
      <c r="K19" s="375">
        <f t="shared" si="0"/>
        <v>2.2981183693399751E-11</v>
      </c>
      <c r="L19" s="375">
        <f t="shared" si="0"/>
        <v>9.3471045532035515E-4</v>
      </c>
      <c r="M19" s="351">
        <f>'Parameters, country spec'!B30</f>
        <v>7.2330000000000005E-2</v>
      </c>
      <c r="N19" s="351">
        <f>'Parameters, country spec'!B48</f>
        <v>3.8059999999999997E-2</v>
      </c>
      <c r="P19" s="59">
        <f>K19*M19/K20*100</f>
        <v>11.130263671713408</v>
      </c>
    </row>
    <row r="20" spans="1:16" x14ac:dyDescent="0.2">
      <c r="A20" s="357"/>
      <c r="B20" s="358" t="s">
        <v>480</v>
      </c>
      <c r="C20" s="359"/>
      <c r="D20" s="360"/>
      <c r="E20" s="360"/>
      <c r="F20" s="361">
        <f>SUMPRODUCT(F6:F8,M6:M8)+SUMPRODUCT(F9:F19,M9:M19)/0.87</f>
        <v>1.3079584825614878</v>
      </c>
      <c r="G20" s="403">
        <f>SUMPRODUCT(G6:G8,M6:M8)+SUMPRODUCT(G9:G19,M9:M19)/0.87</f>
        <v>1.7064409618954501E-2</v>
      </c>
      <c r="H20" s="403">
        <f>SUMPRODUCT(H6:H8,M6:M8)+SUMPRODUCT(H9:H19,M9:M19)/0.87</f>
        <v>1.4648710805109239E-3</v>
      </c>
      <c r="I20" s="403">
        <f>SUMPRODUCT(I6:I8,M6:M8)+SUMPRODUCT(I9:I19,M9:M19)/0.87</f>
        <v>4.284501423798299E-3</v>
      </c>
      <c r="J20" s="376">
        <f>SUMPRODUCT(J6:J8,M6:M8)+SUMPRODUCT(J9:J19,M9:M19)/0.87</f>
        <v>9.585241642167773E-2</v>
      </c>
      <c r="K20" s="376">
        <f>SUMPRODUCT(K6:K8,M6:M8)+SUMPRODUCT(K9:K19,M9:M19)/0.87</f>
        <v>1.493431840943727E-11</v>
      </c>
      <c r="L20" s="376">
        <f>SUMPRODUCT(L6:L8,M6:M8)+SUMPRODUCT(L9:L19,M9:M19)/0.87</f>
        <v>6.5962956190324595E-4</v>
      </c>
      <c r="M20" s="362"/>
      <c r="N20" s="362"/>
    </row>
    <row r="21" spans="1:16" x14ac:dyDescent="0.2">
      <c r="A21" s="363"/>
      <c r="B21" s="364" t="s">
        <v>481</v>
      </c>
      <c r="C21" s="365"/>
      <c r="D21" s="366"/>
      <c r="E21" s="366"/>
      <c r="F21" s="367">
        <f>SUMPRODUCT(F6:F9,N6:N9)+SUMPRODUCT(F10:F20,N10:N20)/0.87</f>
        <v>0.72541491683368797</v>
      </c>
      <c r="G21" s="404">
        <f>SUMPRODUCT(G6:G9,N6:N9)+SUMPRODUCT(G10:G20,N10:N20)/0.87</f>
        <v>1.1124894930034886E-2</v>
      </c>
      <c r="H21" s="404">
        <f>SUMPRODUCT(H6:H9,N6:N9)+SUMPRODUCT(H10:H20,N10:N20)/0.87</f>
        <v>6.1229155360114935E-4</v>
      </c>
      <c r="I21" s="404">
        <f>SUMPRODUCT(I6:I9,N6:N9)+SUMPRODUCT(I10:I20,N10:N20)/0.87</f>
        <v>2.1498273122886459E-3</v>
      </c>
      <c r="J21" s="377">
        <f>SUMPRODUCT(J6:J9,N6:N9)+SUMPRODUCT(J10:J20,N10:N20)/0.87</f>
        <v>3.0380469481282802E-2</v>
      </c>
      <c r="K21" s="377">
        <f>SUMPRODUCT(K6:K9,N6:N9)+SUMPRODUCT(K10:K20,N10:N20)/0.87</f>
        <v>4.4526784404443997E-12</v>
      </c>
      <c r="L21" s="377">
        <f>SUMPRODUCT(L6:L9,N6:N9)+SUMPRODUCT(L10:L20,N10:N20)/0.87</f>
        <v>3.5422510748772099E-4</v>
      </c>
      <c r="M21" s="368"/>
      <c r="N21" s="368"/>
    </row>
    <row r="22" spans="1:16" x14ac:dyDescent="0.2">
      <c r="B22" s="58" t="s">
        <v>264</v>
      </c>
      <c r="C22" s="18" t="s">
        <v>463</v>
      </c>
      <c r="D22" s="349" t="s">
        <v>45</v>
      </c>
      <c r="E22" s="349" t="s">
        <v>46</v>
      </c>
      <c r="F22" s="350">
        <v>0</v>
      </c>
      <c r="G22" s="352">
        <f>'Forage crops, footprints'!G9</f>
        <v>1.3261392141552595E-2</v>
      </c>
      <c r="H22" s="391">
        <f>'Forage crops, footprints'!H9</f>
        <v>2.9377625397606862E-4</v>
      </c>
      <c r="I22" s="352">
        <f>'Forage crops, footprints'!I9</f>
        <v>0</v>
      </c>
      <c r="J22" s="371">
        <f>'Forage crops, footprints'!J9</f>
        <v>0</v>
      </c>
      <c r="K22" s="371">
        <f>'Forage crops, footprints'!K9</f>
        <v>3.2252454611020734E-11</v>
      </c>
      <c r="L22" s="371">
        <f>'Forage crops, footprints'!L9</f>
        <v>2.9118945728129591E-4</v>
      </c>
      <c r="M22" s="351">
        <f>'Parameters, country spec'!C17</f>
        <v>0.13769293067827201</v>
      </c>
      <c r="N22" s="351">
        <f>'Parameters, country spec'!C35</f>
        <v>0.18889688285610401</v>
      </c>
      <c r="O22" s="83"/>
      <c r="P22" s="59">
        <f>K22*M22/K36*100</f>
        <v>20.663421812855113</v>
      </c>
    </row>
    <row r="23" spans="1:16" x14ac:dyDescent="0.2">
      <c r="B23" s="58" t="s">
        <v>268</v>
      </c>
      <c r="C23" s="18" t="s">
        <v>463</v>
      </c>
      <c r="D23" s="349" t="s">
        <v>45</v>
      </c>
      <c r="E23" s="349" t="s">
        <v>46</v>
      </c>
      <c r="F23" s="350">
        <f>'Forage crops, footprints'!F25</f>
        <v>0.7835482278425</v>
      </c>
      <c r="G23" s="352">
        <f>'Forage crops, footprints'!G25</f>
        <v>4.8579990126235003E-3</v>
      </c>
      <c r="H23" s="391">
        <f>'Forage crops, footprints'!H25</f>
        <v>6.5685620452374119E-4</v>
      </c>
      <c r="I23" s="352">
        <f>'Forage crops, footprints'!I25</f>
        <v>7.2251532547729412E-3</v>
      </c>
      <c r="J23" s="371">
        <f>'Forage crops, footprints'!J25</f>
        <v>6.7567011968587524E-5</v>
      </c>
      <c r="K23" s="371">
        <f>'Forage crops, footprints'!K25</f>
        <v>9.4193784415180396E-12</v>
      </c>
      <c r="L23" s="371">
        <f>'Forage crops, footprints'!L25</f>
        <v>2.9534011988288292E-4</v>
      </c>
      <c r="M23" s="351">
        <f>'Parameters, country spec'!C18</f>
        <v>0.26328982040576598</v>
      </c>
      <c r="N23" s="351">
        <f>'Parameters, country spec'!C36</f>
        <v>0.36965765773619202</v>
      </c>
      <c r="O23" s="83"/>
      <c r="P23" s="59">
        <f>K23*M23/K36*100</f>
        <v>11.539424208627223</v>
      </c>
    </row>
    <row r="24" spans="1:16" x14ac:dyDescent="0.2">
      <c r="B24" s="58" t="s">
        <v>465</v>
      </c>
      <c r="C24" s="18" t="s">
        <v>463</v>
      </c>
      <c r="D24" s="349" t="s">
        <v>45</v>
      </c>
      <c r="E24" s="349" t="s">
        <v>46</v>
      </c>
      <c r="F24" s="350">
        <f>'Forage, input data per ha'!$D$79*'Forage crops, footprints'!F41+'Forage, input data per ha'!$E$79*'Forage crops, footprints'!F57</f>
        <v>1.138149635027293</v>
      </c>
      <c r="G24" s="352">
        <f>'Forage, input data per ha'!$D$79*'Forage crops, footprints'!G41+'Forage, input data per ha'!$E$79*'Forage crops, footprints'!G57</f>
        <v>1.6303712476288541E-2</v>
      </c>
      <c r="H24" s="391">
        <f>'Forage, input data per ha'!$D$79*'Forage crops, footprints'!H41+'Forage, input data per ha'!$E$79*'Forage crops, footprints'!H57</f>
        <v>5.8176992086730233E-4</v>
      </c>
      <c r="I24" s="352">
        <f>'Forage, input data per ha'!$D$79*'Forage crops, footprints'!I41+'Forage, input data per ha'!$E$79*'Forage crops, footprints'!I57</f>
        <v>0</v>
      </c>
      <c r="J24" s="371">
        <f>'Forage, input data per ha'!$D$79*'Forage crops, footprints'!J41+'Forage, input data per ha'!$E$79*'Forage crops, footprints'!J57</f>
        <v>4.6476647873701742E-5</v>
      </c>
      <c r="K24" s="371">
        <f>'Forage, input data per ha'!$D$79*'Forage crops, footprints'!K41+'Forage, input data per ha'!$E$79*'Forage crops, footprints'!K57</f>
        <v>9.3211374261595244E-12</v>
      </c>
      <c r="L24" s="371">
        <f>'Forage, input data per ha'!$D$79*'Forage crops, footprints'!L41+'Forage, input data per ha'!$E$79*'Forage crops, footprints'!L57</f>
        <v>2.638571971767311E-4</v>
      </c>
      <c r="M24" s="351">
        <f>'Parameters, country spec'!C19</f>
        <v>0.218490339842211</v>
      </c>
      <c r="N24" s="351">
        <f>'Parameters, country spec'!C37</f>
        <v>0.23243726980023599</v>
      </c>
      <c r="O24" s="83"/>
      <c r="P24" s="59">
        <f>K24*M24/K36*100</f>
        <v>9.4760856211164572</v>
      </c>
    </row>
    <row r="25" spans="1:16" x14ac:dyDescent="0.2">
      <c r="A25" s="353" t="s">
        <v>466</v>
      </c>
      <c r="B25" s="18" t="s">
        <v>274</v>
      </c>
      <c r="C25" s="18" t="s">
        <v>467</v>
      </c>
      <c r="D25" s="349" t="s">
        <v>45</v>
      </c>
      <c r="E25" s="349" t="s">
        <v>46</v>
      </c>
      <c r="F25" s="405">
        <v>1.67615369658936</v>
      </c>
      <c r="G25" s="406">
        <v>1.575584474794E-2</v>
      </c>
      <c r="H25" s="398">
        <v>1.1733075876125499E-3</v>
      </c>
      <c r="I25" s="399">
        <v>2.7117274000000001E-6</v>
      </c>
      <c r="J25" s="400">
        <v>0.37818016640853902</v>
      </c>
      <c r="K25" s="400">
        <v>2.0149782021456099E-11</v>
      </c>
      <c r="L25" s="400">
        <v>1.5160827948018901E-3</v>
      </c>
      <c r="M25" s="351">
        <f>'Parameters, country spec'!C20</f>
        <v>3.3308654791871999E-2</v>
      </c>
      <c r="N25" s="351">
        <f>'Parameters, country spec'!C38</f>
        <v>9.8050025013408596E-3</v>
      </c>
      <c r="P25" s="59">
        <f>K25*M25/K36*100</f>
        <v>3.1228798166364093</v>
      </c>
    </row>
    <row r="26" spans="1:16" x14ac:dyDescent="0.2">
      <c r="A26" s="353" t="s">
        <v>468</v>
      </c>
      <c r="B26" s="18" t="s">
        <v>276</v>
      </c>
      <c r="C26" s="18" t="s">
        <v>467</v>
      </c>
      <c r="D26" s="349" t="s">
        <v>45</v>
      </c>
      <c r="E26" s="349" t="s">
        <v>46</v>
      </c>
      <c r="F26" s="396">
        <v>1.1291040108032699</v>
      </c>
      <c r="G26" s="393">
        <v>1.49038347238525E-2</v>
      </c>
      <c r="H26" s="394">
        <v>4.1775900362313904E-3</v>
      </c>
      <c r="I26" s="393">
        <v>4.0573939566E-2</v>
      </c>
      <c r="J26" s="395">
        <v>0.119829776279331</v>
      </c>
      <c r="K26" s="395">
        <v>1.35734567441708E-11</v>
      </c>
      <c r="L26" s="395">
        <v>1.4340993937730999E-3</v>
      </c>
      <c r="M26" s="351">
        <f>'Parameters, country spec'!C21</f>
        <v>5.4784880420094197E-2</v>
      </c>
      <c r="N26" s="351">
        <f>'Parameters, country spec'!C39</f>
        <v>1.6126916347682999E-2</v>
      </c>
      <c r="P26" s="59">
        <f>K26*M26/K36*100</f>
        <v>3.4600231633828131</v>
      </c>
    </row>
    <row r="27" spans="1:16" x14ac:dyDescent="0.2">
      <c r="A27" s="353" t="s">
        <v>469</v>
      </c>
      <c r="B27" s="18" t="s">
        <v>278</v>
      </c>
      <c r="C27" s="18" t="s">
        <v>467</v>
      </c>
      <c r="D27" s="349" t="s">
        <v>45</v>
      </c>
      <c r="E27" s="349" t="s">
        <v>46</v>
      </c>
      <c r="F27" s="396">
        <v>2.4422767881129501</v>
      </c>
      <c r="G27" s="393">
        <v>1.73382228145719E-2</v>
      </c>
      <c r="H27" s="394">
        <v>3.6630048199799699E-3</v>
      </c>
      <c r="I27" s="393">
        <v>1.5362076347999999E-2</v>
      </c>
      <c r="J27" s="395">
        <v>0.12972202005597699</v>
      </c>
      <c r="K27" s="395">
        <v>2.9359685222586201E-11</v>
      </c>
      <c r="L27" s="395">
        <v>1.6683447775817199E-3</v>
      </c>
      <c r="M27" s="351">
        <f>'Parameters, country spec'!C22</f>
        <v>3.7744392996760601E-3</v>
      </c>
      <c r="N27" s="351">
        <f>'Parameters, country spec'!C40</f>
        <v>1.1110741938309401E-3</v>
      </c>
      <c r="P27" s="59">
        <f>K27*M27/K36*100</f>
        <v>0.51562226868999184</v>
      </c>
    </row>
    <row r="28" spans="1:16" x14ac:dyDescent="0.2">
      <c r="A28" s="353" t="s">
        <v>470</v>
      </c>
      <c r="B28" s="18" t="s">
        <v>280</v>
      </c>
      <c r="C28" s="18" t="s">
        <v>467</v>
      </c>
      <c r="D28" s="349" t="s">
        <v>45</v>
      </c>
      <c r="E28" s="349" t="s">
        <v>46</v>
      </c>
      <c r="F28" s="396">
        <v>2.4432315157319699</v>
      </c>
      <c r="G28" s="393">
        <v>2.3211633118504299E-2</v>
      </c>
      <c r="H28" s="394">
        <v>1.7103308613634701E-3</v>
      </c>
      <c r="I28" s="393">
        <v>3.4943905220000002E-4</v>
      </c>
      <c r="J28" s="395">
        <v>0.21293031415070801</v>
      </c>
      <c r="K28" s="395">
        <v>2.9371162423902602E-11</v>
      </c>
      <c r="L28" s="395">
        <v>2.2335049737538899E-3</v>
      </c>
      <c r="M28" s="351">
        <f>'Parameters, country spec'!C23</f>
        <v>5.7964160617321101E-4</v>
      </c>
      <c r="N28" s="351">
        <f>'Parameters, country spec'!C41</f>
        <v>1.7062794715375299E-4</v>
      </c>
      <c r="P28" s="59">
        <f>K28*M28/K36*100</f>
        <v>7.9215197816722732E-2</v>
      </c>
    </row>
    <row r="29" spans="1:16" x14ac:dyDescent="0.2">
      <c r="A29" s="353" t="s">
        <v>471</v>
      </c>
      <c r="B29" s="18" t="s">
        <v>281</v>
      </c>
      <c r="C29" s="18" t="s">
        <v>467</v>
      </c>
      <c r="D29" s="349" t="s">
        <v>45</v>
      </c>
      <c r="E29" s="349" t="s">
        <v>46</v>
      </c>
      <c r="F29" s="396">
        <v>1.4802621840380401</v>
      </c>
      <c r="G29" s="393">
        <v>2.2648011415782002E-2</v>
      </c>
      <c r="H29" s="394">
        <v>2.0723670576532501E-3</v>
      </c>
      <c r="I29" s="393">
        <v>2.255164634E-4</v>
      </c>
      <c r="J29" s="395">
        <v>0.44839391553031899</v>
      </c>
      <c r="K29" s="395">
        <v>1.77948838484579E-11</v>
      </c>
      <c r="L29" s="395">
        <v>2.17927131126581E-3</v>
      </c>
      <c r="M29" s="351">
        <f>'Parameters, country spec'!C24</f>
        <v>8.1146523169746507E-2</v>
      </c>
      <c r="N29" s="351">
        <f>'Parameters, country spec'!C42</f>
        <v>2.38869407173746E-2</v>
      </c>
      <c r="P29" s="59">
        <f>K29*M29/K36*100</f>
        <v>6.7188183421505343</v>
      </c>
    </row>
    <row r="30" spans="1:16" x14ac:dyDescent="0.2">
      <c r="A30" s="353" t="s">
        <v>472</v>
      </c>
      <c r="B30" s="18" t="s">
        <v>282</v>
      </c>
      <c r="C30" s="18" t="s">
        <v>473</v>
      </c>
      <c r="D30" s="349" t="s">
        <v>45</v>
      </c>
      <c r="E30" s="349" t="s">
        <v>46</v>
      </c>
      <c r="F30" s="396">
        <v>3.39685451272122</v>
      </c>
      <c r="G30" s="393">
        <v>3.44E-2</v>
      </c>
      <c r="H30" s="394">
        <v>1.69862221424959E-3</v>
      </c>
      <c r="I30" s="393">
        <v>5.8912594268000003E-2</v>
      </c>
      <c r="J30" s="395">
        <v>1.1407877305615</v>
      </c>
      <c r="K30" s="395">
        <v>4.0835084592305499E-11</v>
      </c>
      <c r="L30" s="395">
        <v>0</v>
      </c>
      <c r="M30" s="351">
        <f>'Parameters, country spec'!C25</f>
        <v>0</v>
      </c>
      <c r="N30" s="351">
        <f>'Parameters, country spec'!C43</f>
        <v>0</v>
      </c>
      <c r="P30" s="59">
        <f>K30*M30/K36*100</f>
        <v>0</v>
      </c>
    </row>
    <row r="31" spans="1:16" x14ac:dyDescent="0.2">
      <c r="A31" s="353" t="s">
        <v>474</v>
      </c>
      <c r="B31" s="18" t="s">
        <v>283</v>
      </c>
      <c r="C31" s="18" t="s">
        <v>473</v>
      </c>
      <c r="D31" s="349" t="s">
        <v>45</v>
      </c>
      <c r="E31" s="349" t="s">
        <v>46</v>
      </c>
      <c r="F31" s="396">
        <v>4.1670486461258998</v>
      </c>
      <c r="G31" s="393">
        <v>4.0833409729225202E-2</v>
      </c>
      <c r="H31" s="394">
        <v>1.6668194584503601E-3</v>
      </c>
      <c r="I31" s="393">
        <v>6.7232113605999996E-2</v>
      </c>
      <c r="J31" s="395">
        <v>0.53657001891840095</v>
      </c>
      <c r="K31" s="395">
        <v>5.0093927581398302E-11</v>
      </c>
      <c r="L31" s="395">
        <v>8.0193615240083796E-5</v>
      </c>
      <c r="M31" s="351">
        <f>'Parameters, country spec'!C26</f>
        <v>0</v>
      </c>
      <c r="N31" s="351">
        <f>'Parameters, country spec'!C44</f>
        <v>0</v>
      </c>
      <c r="P31" s="59">
        <f>K31*M31/K36*100</f>
        <v>0</v>
      </c>
    </row>
    <row r="32" spans="1:16" x14ac:dyDescent="0.2">
      <c r="B32" s="58" t="s">
        <v>284</v>
      </c>
      <c r="C32" s="18" t="s">
        <v>475</v>
      </c>
      <c r="D32" s="349" t="s">
        <v>490</v>
      </c>
      <c r="E32" s="349"/>
      <c r="F32" s="54">
        <f>'Off-farm feed'!$F$88</f>
        <v>1.5397450382845068</v>
      </c>
      <c r="G32" s="83">
        <f>'Off-farm feed'!$G$88</f>
        <v>2.276724967641296E-2</v>
      </c>
      <c r="H32" s="55">
        <f>'Off-farm feed'!$H$88</f>
        <v>2.4780679919905292E-3</v>
      </c>
      <c r="I32" s="83">
        <f>'Off-farm feed'!$I$88</f>
        <v>8.1100925319702543E-4</v>
      </c>
      <c r="J32" s="372">
        <f>'Off-farm feed'!$J$88</f>
        <v>0.29368572248181479</v>
      </c>
      <c r="K32" s="372">
        <f>'Off-farm feed'!$K$88</f>
        <v>1.2571008272056975E-11</v>
      </c>
      <c r="L32" s="372">
        <f>'Off-farm feed'!$L$88</f>
        <v>1.3841258986185109E-3</v>
      </c>
      <c r="M32" s="351">
        <f>'Parameters, country spec'!C27</f>
        <v>4.6898421015534798E-2</v>
      </c>
      <c r="N32" s="351">
        <f>'Parameters, country spec'!C45</f>
        <v>3.0917251771110502E-2</v>
      </c>
      <c r="P32" s="59">
        <f>K32*M32/K36*100</f>
        <v>2.7431917003770514</v>
      </c>
    </row>
    <row r="33" spans="1:16" x14ac:dyDescent="0.2">
      <c r="B33" s="58" t="s">
        <v>476</v>
      </c>
      <c r="C33" s="18" t="s">
        <v>475</v>
      </c>
      <c r="D33" s="349" t="s">
        <v>491</v>
      </c>
      <c r="E33" s="349"/>
      <c r="F33" s="54">
        <f>'Off-farm feed'!$F$36</f>
        <v>2.5509164954964105</v>
      </c>
      <c r="G33" s="83">
        <f>'Off-farm feed'!$G$36</f>
        <v>4.2620923125915401E-2</v>
      </c>
      <c r="H33" s="55">
        <f>'Off-farm feed'!$H$36</f>
        <v>3.2959349471355006E-3</v>
      </c>
      <c r="I33" s="83">
        <f>'Off-farm feed'!$I$36</f>
        <v>2.435286335413451E-3</v>
      </c>
      <c r="J33" s="372">
        <f>'Off-farm feed'!$J$36</f>
        <v>0.25920846302270906</v>
      </c>
      <c r="K33" s="372">
        <f>'Off-farm feed'!$K$36</f>
        <v>1.4553836091881654E-10</v>
      </c>
      <c r="L33" s="372">
        <f>'Off-farm feed'!$L$36</f>
        <v>1.0450321677831977E-4</v>
      </c>
      <c r="M33" s="351">
        <f>'Parameters, country spec'!C28</f>
        <v>4.2253535396943397E-2</v>
      </c>
      <c r="N33" s="351">
        <f>'Parameters, country spec'!C46</f>
        <v>2.7855163642864798E-2</v>
      </c>
      <c r="P33" s="59">
        <f>K33*M33/K36*100</f>
        <v>28.613326932768228</v>
      </c>
    </row>
    <row r="34" spans="1:16" x14ac:dyDescent="0.2">
      <c r="B34" s="18" t="s">
        <v>286</v>
      </c>
      <c r="C34" s="18" t="s">
        <v>477</v>
      </c>
      <c r="D34" s="349" t="s">
        <v>45</v>
      </c>
      <c r="E34" s="349" t="s">
        <v>46</v>
      </c>
      <c r="F34" s="396">
        <v>0.133223596563423</v>
      </c>
      <c r="G34" s="396">
        <v>2.0383210274203798E-3</v>
      </c>
      <c r="H34" s="396">
        <v>1.8651303518879301E-4</v>
      </c>
      <c r="I34" s="395">
        <v>2.0296481705999999E-5</v>
      </c>
      <c r="J34" s="395">
        <v>4.0355452397728697E-2</v>
      </c>
      <c r="K34" s="395">
        <v>1.6015395463612101E-12</v>
      </c>
      <c r="L34" s="395">
        <v>1.96134418013923E-4</v>
      </c>
      <c r="M34" s="351">
        <f>'Parameters, country spec'!C29</f>
        <v>9.1933196022350699E-2</v>
      </c>
      <c r="N34" s="351">
        <f>'Parameters, country spec'!C47</f>
        <v>5.64996941188496E-2</v>
      </c>
      <c r="P34" s="59">
        <f>K34*M34/K36*100</f>
        <v>0.68507457572254926</v>
      </c>
    </row>
    <row r="35" spans="1:16" x14ac:dyDescent="0.2">
      <c r="A35" s="354"/>
      <c r="B35" s="18" t="s">
        <v>478</v>
      </c>
      <c r="C35" s="355" t="s">
        <v>479</v>
      </c>
      <c r="D35" s="349" t="s">
        <v>45</v>
      </c>
      <c r="E35" s="349" t="s">
        <v>46</v>
      </c>
      <c r="F35" s="356">
        <f t="shared" ref="F35:L35" si="1">AVERAGE(F25:F33)</f>
        <v>2.3139547653226251</v>
      </c>
      <c r="G35" s="401">
        <f t="shared" si="1"/>
        <v>2.6053236594689364E-2</v>
      </c>
      <c r="H35" s="401">
        <f t="shared" si="1"/>
        <v>2.4373383305185126E-3</v>
      </c>
      <c r="I35" s="401">
        <f t="shared" si="1"/>
        <v>2.0656076291067832E-2</v>
      </c>
      <c r="J35" s="407">
        <f t="shared" si="1"/>
        <v>0.39103423637881096</v>
      </c>
      <c r="K35" s="375">
        <f t="shared" si="1"/>
        <v>3.9920816847238988E-11</v>
      </c>
      <c r="L35" s="407">
        <f t="shared" si="1"/>
        <v>1.1777917757570362E-3</v>
      </c>
      <c r="M35" s="351">
        <f>'Parameters, country spec'!C30</f>
        <v>2.5847617351359702E-2</v>
      </c>
      <c r="N35" s="351">
        <f>'Parameters, country spec'!C48</f>
        <v>4.2635518367259602E-2</v>
      </c>
      <c r="P35" s="59">
        <f>K35*M35/K36*100</f>
        <v>4.8011774733947608</v>
      </c>
    </row>
    <row r="36" spans="1:16" x14ac:dyDescent="0.2">
      <c r="A36" s="357"/>
      <c r="B36" s="358" t="s">
        <v>480</v>
      </c>
      <c r="C36" s="359"/>
      <c r="D36" s="360"/>
      <c r="E36" s="360"/>
      <c r="F36" s="361">
        <f>SUMPRODUCT(F22:F24,M22:M24)+SUMPRODUCT(F25:F35,M25:M35)/0.87</f>
        <v>1.0302572102936312</v>
      </c>
      <c r="G36" s="403">
        <f>SUMPRODUCT(G22:G24,M22:M24)+SUMPRODUCT(G25:G35,M25:M35)/0.87</f>
        <v>1.4698818050832105E-2</v>
      </c>
      <c r="H36" s="403">
        <f>SUMPRODUCT(H22:H24,M22:M24)+SUMPRODUCT(H25:H35,M25:M35)/0.87</f>
        <v>1.244598821043841E-3</v>
      </c>
      <c r="I36" s="403">
        <f>SUMPRODUCT(I22:I24,M22:M24)+SUMPRODUCT(I25:I35,M25:M35)/0.87</f>
        <v>5.3231428539774455E-3</v>
      </c>
      <c r="J36" s="376">
        <f>SUMPRODUCT(J22:J24,M22:M24)+SUMPRODUCT(J25:J35,M25:M35)/0.87</f>
        <v>0.10888239342528984</v>
      </c>
      <c r="K36" s="376">
        <f>SUMPRODUCT(K22:K24,M22:M24)+SUMPRODUCT(K25:K35,M25:M35)/0.87</f>
        <v>2.1491769549013423E-11</v>
      </c>
      <c r="L36" s="376">
        <f>SUMPRODUCT(L22:L24,M22:M24)+SUMPRODUCT(L25:L35,M25:M35)/0.87</f>
        <v>6.7125324997523476E-4</v>
      </c>
      <c r="M36" s="362"/>
      <c r="N36" s="369"/>
    </row>
    <row r="37" spans="1:16" x14ac:dyDescent="0.2">
      <c r="A37" s="363"/>
      <c r="B37" s="364" t="s">
        <v>481</v>
      </c>
      <c r="C37" s="365"/>
      <c r="D37" s="366"/>
      <c r="E37" s="366"/>
      <c r="F37" s="367">
        <f>SUMPRODUCT(F22:F25,N22:N25)+SUMPRODUCT(F26:F36,N26:N36)/0.87</f>
        <v>0.89424029685140671</v>
      </c>
      <c r="G37" s="404">
        <f>SUMPRODUCT(G22:G25,N22:N25)+SUMPRODUCT(G26:G36,N26:N36)/0.87</f>
        <v>1.275254150041814E-2</v>
      </c>
      <c r="H37" s="404">
        <f>SUMPRODUCT(H22:H25,N22:N25)+SUMPRODUCT(H26:H36,N26:N36)/0.87</f>
        <v>9.0953444100444567E-4</v>
      </c>
      <c r="I37" s="404">
        <f>SUMPRODUCT(I22:I25,N22:N25)+SUMPRODUCT(I26:I36,N26:N36)/0.87</f>
        <v>4.5692347600846438E-3</v>
      </c>
      <c r="J37" s="377">
        <f>SUMPRODUCT(J22:J25,N22:N25)+SUMPRODUCT(J26:J36,N26:N36)/0.87</f>
        <v>5.9003577241622529E-2</v>
      </c>
      <c r="K37" s="377">
        <f>SUMPRODUCT(K22:K25,N22:N25)+SUMPRODUCT(K26:K36,N26:N36)/0.87</f>
        <v>1.9888806931829524E-11</v>
      </c>
      <c r="L37" s="377">
        <f>SUMPRODUCT(L22:L25,N22:N25)+SUMPRODUCT(L26:L36,N26:N36)/0.87</f>
        <v>4.5235208560242841E-4</v>
      </c>
      <c r="M37" s="368"/>
      <c r="N37" s="368"/>
    </row>
    <row r="38" spans="1:16" x14ac:dyDescent="0.2">
      <c r="B38" s="58" t="s">
        <v>264</v>
      </c>
      <c r="C38" s="18" t="s">
        <v>463</v>
      </c>
      <c r="D38" s="349" t="s">
        <v>47</v>
      </c>
      <c r="E38" s="349" t="s">
        <v>48</v>
      </c>
      <c r="F38" s="350">
        <v>0</v>
      </c>
      <c r="G38" s="352">
        <f>'Forage crops, footprints'!G10</f>
        <v>1.4084562538983793E-2</v>
      </c>
      <c r="H38" s="391">
        <f>'Forage crops, footprints'!H10</f>
        <v>1.5004291926573563E-4</v>
      </c>
      <c r="I38" s="352">
        <f>'Forage crops, footprints'!I10</f>
        <v>0</v>
      </c>
      <c r="J38" s="371">
        <f>'Forage crops, footprints'!J10</f>
        <v>0</v>
      </c>
      <c r="K38" s="371">
        <f>'Forage crops, footprints'!K10</f>
        <v>1.3537280465961739E-11</v>
      </c>
      <c r="L38" s="371">
        <f>'Forage crops, footprints'!L10</f>
        <v>3.4123377454641629E-4</v>
      </c>
      <c r="M38" s="351">
        <f>'Parameters, country spec'!D17</f>
        <v>0.34769783444479402</v>
      </c>
      <c r="N38" s="351">
        <f>'Parameters, country spec'!D35</f>
        <v>0.26457370102986</v>
      </c>
      <c r="O38" s="83"/>
      <c r="P38" s="59">
        <f>K38*M38/K52*100</f>
        <v>24.334187767650853</v>
      </c>
    </row>
    <row r="39" spans="1:16" x14ac:dyDescent="0.2">
      <c r="B39" s="58" t="s">
        <v>268</v>
      </c>
      <c r="C39" s="18" t="s">
        <v>463</v>
      </c>
      <c r="D39" s="349" t="s">
        <v>47</v>
      </c>
      <c r="E39" s="349" t="s">
        <v>48</v>
      </c>
      <c r="F39" s="350">
        <f>'Forage crops, footprints'!F26</f>
        <v>0.63803221792873377</v>
      </c>
      <c r="G39" s="352">
        <f>'Forage crops, footprints'!G26</f>
        <v>3.2539643114365422E-3</v>
      </c>
      <c r="H39" s="391">
        <f>'Forage crops, footprints'!H26</f>
        <v>2.228619578117265E-4</v>
      </c>
      <c r="I39" s="352">
        <f>'Forage crops, footprints'!I26</f>
        <v>1.3139329498191915E-4</v>
      </c>
      <c r="J39" s="371">
        <f>'Forage crops, footprints'!J26</f>
        <v>1.0479214179139347E-4</v>
      </c>
      <c r="K39" s="371">
        <f>'Forage crops, footprints'!K26</f>
        <v>5.8519653024927854E-12</v>
      </c>
      <c r="L39" s="371">
        <f>'Forage crops, footprints'!L26</f>
        <v>1.9782346750937298E-4</v>
      </c>
      <c r="M39" s="351">
        <f>'Parameters, country spec'!D18</f>
        <v>0.46608419293585401</v>
      </c>
      <c r="N39" s="351">
        <f>'Parameters, country spec'!D36</f>
        <v>0.47771254487501502</v>
      </c>
      <c r="O39" s="83"/>
      <c r="P39" s="59">
        <f>K39*M39/K52*100</f>
        <v>14.100988519436697</v>
      </c>
    </row>
    <row r="40" spans="1:16" x14ac:dyDescent="0.2">
      <c r="B40" s="58" t="s">
        <v>465</v>
      </c>
      <c r="C40" s="18" t="s">
        <v>463</v>
      </c>
      <c r="D40" s="349" t="s">
        <v>47</v>
      </c>
      <c r="E40" s="349" t="s">
        <v>48</v>
      </c>
      <c r="F40" s="350">
        <f>'Forage, input data per ha'!$D$80*'Forage crops, footprints'!F42+'Forage, input data per ha'!$E$80*'Forage crops, footprints'!F58</f>
        <v>1.1895684479198325</v>
      </c>
      <c r="G40" s="352">
        <f>'Forage, input data per ha'!$D$80*'Forage crops, footprints'!G42+'Forage, input data per ha'!$E$80*'Forage crops, footprints'!G58</f>
        <v>1.8368475452646738E-2</v>
      </c>
      <c r="H40" s="391">
        <f>'Forage, input data per ha'!$D$80*'Forage crops, footprints'!H42+'Forage, input data per ha'!$E$80*'Forage crops, footprints'!H58</f>
        <v>5.8562883782723547E-4</v>
      </c>
      <c r="I40" s="352">
        <f>'Forage, input data per ha'!$D$80*'Forage crops, footprints'!I42+'Forage, input data per ha'!$E$80*'Forage crops, footprints'!I58</f>
        <v>0</v>
      </c>
      <c r="J40" s="371">
        <f>'Forage, input data per ha'!$D$80*'Forage crops, footprints'!J42+'Forage, input data per ha'!$E$80*'Forage crops, footprints'!J58</f>
        <v>4.721644773408794E-5</v>
      </c>
      <c r="K40" s="371">
        <f>'Forage, input data per ha'!$D$80*'Forage crops, footprints'!K42+'Forage, input data per ha'!$E$80*'Forage crops, footprints'!K58</f>
        <v>7.4329500232516001E-12</v>
      </c>
      <c r="L40" s="371">
        <f>'Forage, input data per ha'!$D$80*'Forage crops, footprints'!L42+'Forage, input data per ha'!$E$80*'Forage crops, footprints'!L58</f>
        <v>2.9495733717333481E-4</v>
      </c>
      <c r="M40" s="351">
        <f>'Parameters, country spec'!D19</f>
        <v>2.0074092559238799E-2</v>
      </c>
      <c r="N40" s="351">
        <f>'Parameters, country spec'!D37</f>
        <v>0.13883749692306399</v>
      </c>
      <c r="O40" s="83"/>
      <c r="P40" s="59">
        <f>K40*M40/K52*100</f>
        <v>0.7714016746774166</v>
      </c>
    </row>
    <row r="41" spans="1:16" x14ac:dyDescent="0.2">
      <c r="A41" s="353" t="s">
        <v>466</v>
      </c>
      <c r="B41" s="18" t="s">
        <v>274</v>
      </c>
      <c r="C41" s="18" t="s">
        <v>467</v>
      </c>
      <c r="D41" s="349" t="s">
        <v>47</v>
      </c>
      <c r="E41" s="349" t="s">
        <v>48</v>
      </c>
      <c r="F41" s="392">
        <v>1.4917491355313801</v>
      </c>
      <c r="G41" s="393">
        <v>1.4022441873994901E-2</v>
      </c>
      <c r="H41" s="394">
        <v>1.0442243948719601E-3</v>
      </c>
      <c r="I41" s="393">
        <v>4.1329811419999997E-4</v>
      </c>
      <c r="J41" s="395">
        <v>0.341339501218759</v>
      </c>
      <c r="K41" s="395">
        <v>1.36821682915835E-11</v>
      </c>
      <c r="L41" s="395">
        <v>1.1576521359024301E-3</v>
      </c>
      <c r="M41" s="351">
        <f>'Parameters, country spec'!D20</f>
        <v>6.1781281889507905E-4</v>
      </c>
      <c r="N41" s="351">
        <f>'Parameters, country spec'!D38</f>
        <v>1.2989163562948001E-3</v>
      </c>
      <c r="P41" s="59">
        <f>K41*M41/K52*100</f>
        <v>4.3701393496723154E-2</v>
      </c>
    </row>
    <row r="42" spans="1:16" x14ac:dyDescent="0.2">
      <c r="A42" s="353" t="s">
        <v>468</v>
      </c>
      <c r="B42" s="18" t="s">
        <v>276</v>
      </c>
      <c r="C42" s="18" t="s">
        <v>467</v>
      </c>
      <c r="D42" s="349" t="s">
        <v>47</v>
      </c>
      <c r="E42" s="349" t="s">
        <v>48</v>
      </c>
      <c r="F42" s="396">
        <v>1.0405848919560701</v>
      </c>
      <c r="G42" s="393">
        <v>1.37354088706301E-2</v>
      </c>
      <c r="H42" s="394">
        <v>3.8500767288887402E-3</v>
      </c>
      <c r="I42" s="393">
        <v>6.8362244573999999E-3</v>
      </c>
      <c r="J42" s="395">
        <v>8.7208089923184004E-2</v>
      </c>
      <c r="K42" s="395">
        <v>9.5441366609880203E-12</v>
      </c>
      <c r="L42" s="395">
        <v>1.1339555235430701E-3</v>
      </c>
      <c r="M42" s="351">
        <f>'Parameters, country spec'!D21</f>
        <v>9.1981189774538203E-4</v>
      </c>
      <c r="N42" s="351">
        <f>'Parameters, country spec'!D39</f>
        <v>1.9338522642941001E-3</v>
      </c>
      <c r="P42" s="59">
        <f>K42*M42/K52*100</f>
        <v>4.5385707979928851E-2</v>
      </c>
    </row>
    <row r="43" spans="1:16" x14ac:dyDescent="0.2">
      <c r="A43" s="353" t="s">
        <v>469</v>
      </c>
      <c r="B43" s="18" t="s">
        <v>278</v>
      </c>
      <c r="C43" s="18" t="s">
        <v>467</v>
      </c>
      <c r="D43" s="349" t="s">
        <v>47</v>
      </c>
      <c r="E43" s="349" t="s">
        <v>48</v>
      </c>
      <c r="F43" s="396">
        <v>2.3437536621151001</v>
      </c>
      <c r="G43" s="393">
        <v>1.6638786976974299E-2</v>
      </c>
      <c r="H43" s="394">
        <v>3.5152366852762599E-3</v>
      </c>
      <c r="I43" s="393">
        <v>2.9220454559999998E-4</v>
      </c>
      <c r="J43" s="395">
        <v>0.124488944513976</v>
      </c>
      <c r="K43" s="395">
        <v>2.1496665407921299E-11</v>
      </c>
      <c r="L43" s="395">
        <v>1.3736500001787701E-3</v>
      </c>
      <c r="M43" s="351">
        <f>'Parameters, country spec'!D22</f>
        <v>1.2297794835772801E-7</v>
      </c>
      <c r="N43" s="351">
        <f>'Parameters, country spec'!D40</f>
        <v>2.58554211857813E-7</v>
      </c>
      <c r="P43" s="59">
        <f>K43*M43/K52*100</f>
        <v>1.3667270265507781E-5</v>
      </c>
    </row>
    <row r="44" spans="1:16" x14ac:dyDescent="0.2">
      <c r="A44" s="353" t="s">
        <v>470</v>
      </c>
      <c r="B44" s="18" t="s">
        <v>280</v>
      </c>
      <c r="C44" s="18" t="s">
        <v>467</v>
      </c>
      <c r="D44" s="349" t="s">
        <v>47</v>
      </c>
      <c r="E44" s="349" t="s">
        <v>48</v>
      </c>
      <c r="F44" s="396">
        <v>1.9276885472167999</v>
      </c>
      <c r="G44" s="393">
        <v>1.8313777894819701E-2</v>
      </c>
      <c r="H44" s="394">
        <v>1.34943626593408E-3</v>
      </c>
      <c r="I44" s="393">
        <v>1.35246E-8</v>
      </c>
      <c r="J44" s="395">
        <v>0.16800017734734601</v>
      </c>
      <c r="K44" s="395">
        <v>1.7680559343768899E-11</v>
      </c>
      <c r="L44" s="395">
        <v>1.51193239286652E-3</v>
      </c>
      <c r="M44" s="351">
        <f>'Parameters, country spec'!D23</f>
        <v>1.0091894798092701E-4</v>
      </c>
      <c r="N44" s="351">
        <f>'Parameters, country spec'!D41</f>
        <v>2.1217635552166401E-4</v>
      </c>
      <c r="P44" s="59">
        <f>K44*M44/K52*100</f>
        <v>9.2246980031721101E-3</v>
      </c>
    </row>
    <row r="45" spans="1:16" x14ac:dyDescent="0.2">
      <c r="A45" s="353" t="s">
        <v>471</v>
      </c>
      <c r="B45" s="18" t="s">
        <v>281</v>
      </c>
      <c r="C45" s="18" t="s">
        <v>467</v>
      </c>
      <c r="D45" s="349" t="s">
        <v>47</v>
      </c>
      <c r="E45" s="349" t="s">
        <v>48</v>
      </c>
      <c r="F45" s="396">
        <v>1.3435695418159099</v>
      </c>
      <c r="G45" s="393">
        <v>2.05566139897835E-2</v>
      </c>
      <c r="H45" s="394">
        <v>1.88099735854228E-3</v>
      </c>
      <c r="I45" s="393">
        <v>9.1096000000000001E-9</v>
      </c>
      <c r="J45" s="395">
        <v>0.299611305331553</v>
      </c>
      <c r="K45" s="395">
        <v>1.2323080432704899E-11</v>
      </c>
      <c r="L45" s="395">
        <v>1.6970944366207501E-3</v>
      </c>
      <c r="M45" s="351">
        <f>'Parameters, country spec'!D24</f>
        <v>2.06359990197024E-3</v>
      </c>
      <c r="N45" s="351">
        <f>'Parameters, country spec'!D42</f>
        <v>4.3386015699034596E-3</v>
      </c>
      <c r="P45" s="59">
        <f>K45*M45/K52*100</f>
        <v>0.13147047257076552</v>
      </c>
    </row>
    <row r="46" spans="1:16" x14ac:dyDescent="0.2">
      <c r="A46" s="353" t="s">
        <v>472</v>
      </c>
      <c r="B46" s="18" t="s">
        <v>282</v>
      </c>
      <c r="C46" s="18" t="s">
        <v>473</v>
      </c>
      <c r="D46" s="349" t="s">
        <v>47</v>
      </c>
      <c r="E46" s="349" t="s">
        <v>48</v>
      </c>
      <c r="F46" s="396">
        <v>3.3691814236813</v>
      </c>
      <c r="G46" s="393">
        <v>3.44E-2</v>
      </c>
      <c r="H46" s="394">
        <v>1.6847840814699601E-3</v>
      </c>
      <c r="I46" s="393">
        <v>4.6513156312000002E-2</v>
      </c>
      <c r="J46" s="395">
        <v>0.36443155171019598</v>
      </c>
      <c r="K46" s="395">
        <v>3.0901782441632898E-11</v>
      </c>
      <c r="L46" s="395">
        <v>0</v>
      </c>
      <c r="M46" s="351">
        <f>'Parameters, country spec'!D25</f>
        <v>6.4852934547689298E-4</v>
      </c>
      <c r="N46" s="351">
        <f>'Parameters, country spec'!D43</f>
        <v>2.7051994141606402E-4</v>
      </c>
      <c r="P46" s="59">
        <f>K46*M46/K52*100</f>
        <v>0.10360879083627565</v>
      </c>
    </row>
    <row r="47" spans="1:16" x14ac:dyDescent="0.2">
      <c r="A47" s="353" t="s">
        <v>474</v>
      </c>
      <c r="B47" s="18" t="s">
        <v>283</v>
      </c>
      <c r="C47" s="18" t="s">
        <v>473</v>
      </c>
      <c r="D47" s="349" t="s">
        <v>47</v>
      </c>
      <c r="E47" s="349" t="s">
        <v>48</v>
      </c>
      <c r="F47" s="396">
        <v>2.7091020410374802</v>
      </c>
      <c r="G47" s="393">
        <v>4.0541820408207502E-2</v>
      </c>
      <c r="H47" s="394">
        <v>1.0836408164149899E-3</v>
      </c>
      <c r="I47" s="393">
        <v>2.8809268598399999E-2</v>
      </c>
      <c r="J47" s="395">
        <v>0.32345594729171101</v>
      </c>
      <c r="K47" s="395">
        <v>2.4847602831922301E-11</v>
      </c>
      <c r="L47" s="395">
        <v>4.4731121617282003E-5</v>
      </c>
      <c r="M47" s="351">
        <f>'Parameters, country spec'!D26</f>
        <v>6.3706953318584203E-4</v>
      </c>
      <c r="N47" s="351">
        <f>'Parameters, country spec'!D44</f>
        <v>2.65739729627513E-4</v>
      </c>
      <c r="P47" s="59">
        <f>K47*M47/K52*100</f>
        <v>8.1837956235072659E-2</v>
      </c>
    </row>
    <row r="48" spans="1:16" x14ac:dyDescent="0.2">
      <c r="B48" s="58" t="s">
        <v>284</v>
      </c>
      <c r="C48" s="18" t="s">
        <v>475</v>
      </c>
      <c r="D48" s="349" t="s">
        <v>490</v>
      </c>
      <c r="E48" s="349"/>
      <c r="F48" s="54">
        <f>'Off-farm feed'!$F$88</f>
        <v>1.5397450382845068</v>
      </c>
      <c r="G48" s="83">
        <f>'Off-farm feed'!$G$88</f>
        <v>2.276724967641296E-2</v>
      </c>
      <c r="H48" s="55">
        <f>'Off-farm feed'!$H$88</f>
        <v>2.4780679919905292E-3</v>
      </c>
      <c r="I48" s="83">
        <f>'Off-farm feed'!$I$88</f>
        <v>8.1100925319702543E-4</v>
      </c>
      <c r="J48" s="372">
        <f>'Off-farm feed'!$J$88</f>
        <v>0.29368572248181479</v>
      </c>
      <c r="K48" s="372">
        <f>'Off-farm feed'!$K$88</f>
        <v>1.2571008272056975E-11</v>
      </c>
      <c r="L48" s="372">
        <f>'Off-farm feed'!$L$88</f>
        <v>1.3841258986185109E-3</v>
      </c>
      <c r="M48" s="351">
        <f>'Parameters, country spec'!D27</f>
        <v>6.5581216657201596E-2</v>
      </c>
      <c r="N48" s="351">
        <f>'Parameters, country spec'!D45</f>
        <v>2.7355781220453599E-2</v>
      </c>
      <c r="P48" s="59">
        <f>K48*M48/K52*100</f>
        <v>4.2621921402485397</v>
      </c>
    </row>
    <row r="49" spans="1:16" x14ac:dyDescent="0.2">
      <c r="B49" s="58" t="s">
        <v>476</v>
      </c>
      <c r="C49" s="18" t="s">
        <v>475</v>
      </c>
      <c r="D49" s="349" t="s">
        <v>491</v>
      </c>
      <c r="E49" s="349"/>
      <c r="F49" s="54">
        <f>'Off-farm feed'!$F$36</f>
        <v>2.5509164954964105</v>
      </c>
      <c r="G49" s="83">
        <f>'Off-farm feed'!$G$36</f>
        <v>4.2620923125915401E-2</v>
      </c>
      <c r="H49" s="55">
        <f>'Off-farm feed'!$H$36</f>
        <v>3.2959349471355006E-3</v>
      </c>
      <c r="I49" s="83">
        <f>'Off-farm feed'!$I$36</f>
        <v>2.435286335413451E-3</v>
      </c>
      <c r="J49" s="372">
        <f>'Off-farm feed'!$J$36</f>
        <v>0.25920846302270906</v>
      </c>
      <c r="K49" s="372">
        <f>'Off-farm feed'!$K$36</f>
        <v>1.4553836091881654E-10</v>
      </c>
      <c r="L49" s="372">
        <f>'Off-farm feed'!$L$36</f>
        <v>1.0450321677831977E-4</v>
      </c>
      <c r="M49" s="351">
        <f>'Parameters, country spec'!D28</f>
        <v>6.3014467773449101E-2</v>
      </c>
      <c r="N49" s="351">
        <f>'Parameters, country spec'!D46</f>
        <v>2.6285117627784502E-2</v>
      </c>
      <c r="P49" s="59">
        <f>K49*M49/K52*100</f>
        <v>47.413410346472503</v>
      </c>
    </row>
    <row r="50" spans="1:16" x14ac:dyDescent="0.2">
      <c r="B50" s="18" t="s">
        <v>286</v>
      </c>
      <c r="C50" s="18" t="s">
        <v>477</v>
      </c>
      <c r="D50" s="349" t="s">
        <v>47</v>
      </c>
      <c r="E50" s="349" t="s">
        <v>48</v>
      </c>
      <c r="F50" s="396">
        <v>0.120921258763432</v>
      </c>
      <c r="G50" s="396">
        <v>1.85009525908051E-3</v>
      </c>
      <c r="H50" s="396">
        <v>1.69289762268805E-4</v>
      </c>
      <c r="I50" s="395">
        <v>8.1986400000000003E-10</v>
      </c>
      <c r="J50" s="395">
        <v>2.69650174798397E-2</v>
      </c>
      <c r="K50" s="395">
        <v>1.10907723894344E-12</v>
      </c>
      <c r="L50" s="395">
        <v>1.52738499295868E-4</v>
      </c>
      <c r="M50" s="351">
        <f>'Parameters, country spec'!D29</f>
        <v>2.8731677883857699E-2</v>
      </c>
      <c r="N50" s="351">
        <f>'Parameters, country spec'!D47</f>
        <v>4.2051693837096303E-2</v>
      </c>
      <c r="P50" s="59">
        <f>K50*M50/K52*100</f>
        <v>0.16474271679223168</v>
      </c>
    </row>
    <row r="51" spans="1:16" x14ac:dyDescent="0.2">
      <c r="A51" s="354"/>
      <c r="B51" s="18" t="s">
        <v>478</v>
      </c>
      <c r="C51" s="355" t="s">
        <v>479</v>
      </c>
      <c r="D51" s="349" t="s">
        <v>47</v>
      </c>
      <c r="E51" s="349" t="s">
        <v>48</v>
      </c>
      <c r="F51" s="356">
        <f t="shared" ref="F51:L51" si="2">AVERAGE(F41:F49)</f>
        <v>2.0351434196816616</v>
      </c>
      <c r="G51" s="401">
        <f t="shared" si="2"/>
        <v>2.4844113646304261E-2</v>
      </c>
      <c r="H51" s="402">
        <f t="shared" si="2"/>
        <v>2.2424888078360333E-3</v>
      </c>
      <c r="I51" s="401">
        <f t="shared" si="2"/>
        <v>9.5678300278233871E-3</v>
      </c>
      <c r="J51" s="407">
        <f t="shared" si="2"/>
        <v>0.25126996698236098</v>
      </c>
      <c r="K51" s="375">
        <f t="shared" si="2"/>
        <v>3.2065040511266144E-11</v>
      </c>
      <c r="L51" s="407">
        <f t="shared" si="2"/>
        <v>9.3418274734729482E-4</v>
      </c>
      <c r="M51" s="351">
        <f>'Parameters, country spec'!D30</f>
        <v>3.8286523224026802E-3</v>
      </c>
      <c r="N51" s="351">
        <f>'Parameters, country spec'!D48</f>
        <v>1.48635997154565E-2</v>
      </c>
      <c r="P51" s="59">
        <f>K51*M51/K52*100</f>
        <v>0.63468928335900088</v>
      </c>
    </row>
    <row r="52" spans="1:16" x14ac:dyDescent="0.2">
      <c r="A52" s="357"/>
      <c r="B52" s="358" t="s">
        <v>480</v>
      </c>
      <c r="C52" s="359"/>
      <c r="D52" s="360"/>
      <c r="E52" s="360"/>
      <c r="F52" s="361">
        <f>SUMPRODUCT(F38:F40,M38:M40)+SUMPRODUCT(F41:F51,M41:M51)/0.87</f>
        <v>0.64510245399635768</v>
      </c>
      <c r="G52" s="403">
        <f>SUMPRODUCT(G38:G40,M38:M40)+SUMPRODUCT(G41:G51,M41:M51)/0.87</f>
        <v>1.1886914527728248E-2</v>
      </c>
      <c r="H52" s="403">
        <f>SUMPRODUCT(H38:H40,M38:M40)+SUMPRODUCT(H41:H51,M41:M51)/0.87</f>
        <v>6.202620235250684E-4</v>
      </c>
      <c r="I52" s="403">
        <f>SUMPRODUCT(I38:I40,M38:M40)+SUMPRODUCT(I41:I51,M41:M51)/0.87</f>
        <v>4.0415902260585292E-4</v>
      </c>
      <c r="J52" s="376">
        <f>SUMPRODUCT(J38:J40,M38:M40)+SUMPRODUCT(J41:J51,M41:M51)/0.87</f>
        <v>4.453218161347381E-2</v>
      </c>
      <c r="K52" s="376">
        <f>SUMPRODUCT(K38:K40,M38:M40)+SUMPRODUCT(K41:K51,M41:M51)/0.87</f>
        <v>1.9342676021198043E-11</v>
      </c>
      <c r="L52" s="376">
        <f>SUMPRODUCT(L38:L40,M38:M40)+SUMPRODUCT(L41:L51,M41:M51)/0.87</f>
        <v>3.4408524543784984E-4</v>
      </c>
      <c r="M52" s="362"/>
      <c r="N52" s="369"/>
    </row>
    <row r="53" spans="1:16" x14ac:dyDescent="0.2">
      <c r="A53" s="363"/>
      <c r="B53" s="364" t="s">
        <v>481</v>
      </c>
      <c r="C53" s="365"/>
      <c r="D53" s="366"/>
      <c r="E53" s="366"/>
      <c r="F53" s="367">
        <f>SUMPRODUCT(F38:F41,N38:N41)+SUMPRODUCT(F42:F52,N42:N52)/0.87</f>
        <v>0.64934907318979085</v>
      </c>
      <c r="G53" s="404">
        <f>SUMPRODUCT(G38:G41,N38:N41)+SUMPRODUCT(G42:G52,N42:N52)/0.87</f>
        <v>1.0527361197932995E-2</v>
      </c>
      <c r="H53" s="404">
        <f>SUMPRODUCT(H38:H41,N38:N41)+SUMPRODUCT(H42:H52,N42:N52)/0.87</f>
        <v>4.7194133344686092E-4</v>
      </c>
      <c r="I53" s="404">
        <f>SUMPRODUCT(I38:I41,N38:N41)+SUMPRODUCT(I42:I52,N42:N52)/0.87</f>
        <v>3.643037768401075E-4</v>
      </c>
      <c r="J53" s="377">
        <f>SUMPRODUCT(J38:J41,N38:N41)+SUMPRODUCT(J42:J52,N42:N52)/0.87</f>
        <v>2.510319288257841E-2</v>
      </c>
      <c r="K53" s="377">
        <f>SUMPRODUCT(K38:K41,N38:N41)+SUMPRODUCT(K42:K52,N42:N52)/0.87</f>
        <v>1.2924915060290506E-11</v>
      </c>
      <c r="L53" s="377">
        <f>SUMPRODUCT(L38:L41,N38:N41)+SUMPRODUCT(L42:L52,N42:N52)/0.87</f>
        <v>3.0862747216407922E-4</v>
      </c>
      <c r="M53" s="368"/>
      <c r="N53" s="368"/>
    </row>
    <row r="54" spans="1:16" x14ac:dyDescent="0.2">
      <c r="B54" s="58" t="s">
        <v>264</v>
      </c>
      <c r="C54" s="18" t="s">
        <v>463</v>
      </c>
      <c r="D54" s="349" t="s">
        <v>49</v>
      </c>
      <c r="E54" s="349" t="s">
        <v>50</v>
      </c>
      <c r="F54" s="350">
        <v>0</v>
      </c>
      <c r="G54" s="352">
        <f>'Forage crops, footprints'!G11</f>
        <v>1.4248888174213355E-2</v>
      </c>
      <c r="H54" s="391">
        <f>'Forage crops, footprints'!H11</f>
        <v>2.3847872238080549E-4</v>
      </c>
      <c r="I54" s="352">
        <f>'Forage crops, footprints'!I11</f>
        <v>0</v>
      </c>
      <c r="J54" s="371">
        <f>'Forage crops, footprints'!J11</f>
        <v>0</v>
      </c>
      <c r="K54" s="371">
        <f>'Forage crops, footprints'!K11</f>
        <v>1.7393226708176557E-10</v>
      </c>
      <c r="L54" s="371">
        <f>'Forage crops, footprints'!L11</f>
        <v>3.5122388625340113E-4</v>
      </c>
      <c r="M54" s="351">
        <f>'Parameters, country spec'!E17</f>
        <v>8.26774498415217E-2</v>
      </c>
      <c r="N54" s="351">
        <f>'Parameters, country spec'!E35</f>
        <v>0.37076972499536498</v>
      </c>
      <c r="O54" s="83"/>
      <c r="P54" s="59">
        <f>K54*M54/K68*100</f>
        <v>13.824590555104965</v>
      </c>
    </row>
    <row r="55" spans="1:16" x14ac:dyDescent="0.2">
      <c r="B55" s="58" t="s">
        <v>268</v>
      </c>
      <c r="C55" s="18" t="s">
        <v>463</v>
      </c>
      <c r="D55" s="349" t="s">
        <v>49</v>
      </c>
      <c r="E55" s="349" t="s">
        <v>50</v>
      </c>
      <c r="F55" s="350">
        <f>'Forage crops, footprints'!F27</f>
        <v>1.4743513961474717</v>
      </c>
      <c r="G55" s="352">
        <f>'Forage crops, footprints'!G27</f>
        <v>2.6538325130654489E-2</v>
      </c>
      <c r="H55" s="352">
        <f>'Forage crops, footprints'!H27</f>
        <v>1.4162079608064444E-3</v>
      </c>
      <c r="I55" s="352">
        <f>'Forage crops, footprints'!I27</f>
        <v>4.1667992608341697E-2</v>
      </c>
      <c r="J55" s="371">
        <f>'Forage crops, footprints'!J27</f>
        <v>6.7567011968587524E-5</v>
      </c>
      <c r="K55" s="371">
        <f>'Forage crops, footprints'!K27</f>
        <v>6.9414276357248976E-11</v>
      </c>
      <c r="L55" s="371">
        <f>'Forage crops, footprints'!L27</f>
        <v>1.6133869326057564E-3</v>
      </c>
      <c r="M55" s="351">
        <f>'Parameters, country spec'!E18</f>
        <v>0.37327838127398499</v>
      </c>
      <c r="N55" s="351">
        <f>'Parameters, country spec'!E36</f>
        <v>0.135443882227997</v>
      </c>
      <c r="O55" s="83"/>
      <c r="P55" s="59">
        <f>K55*M55/K68*100</f>
        <v>24.909596121259518</v>
      </c>
    </row>
    <row r="56" spans="1:16" x14ac:dyDescent="0.2">
      <c r="B56" s="58" t="s">
        <v>465</v>
      </c>
      <c r="C56" s="18" t="s">
        <v>463</v>
      </c>
      <c r="D56" s="349" t="s">
        <v>49</v>
      </c>
      <c r="E56" s="349" t="s">
        <v>50</v>
      </c>
      <c r="F56" s="350">
        <f>'Forage, input data per ha'!$D$81*'Forage crops, footprints'!F43+'Forage, input data per ha'!$E$81*'Forage crops, footprints'!F59</f>
        <v>2.5156577229246477</v>
      </c>
      <c r="G56" s="352">
        <f>'Forage, input data per ha'!$D$81*'Forage crops, footprints'!G43+'Forage, input data per ha'!$E$81*'Forage crops, footprints'!G59</f>
        <v>3.2463840306432158E-2</v>
      </c>
      <c r="H56" s="352">
        <f>'Forage, input data per ha'!$D$81*'Forage crops, footprints'!H43+'Forage, input data per ha'!$E$81*'Forage crops, footprints'!H59</f>
        <v>2.0489888895601823E-3</v>
      </c>
      <c r="I56" s="352">
        <f>'Forage, input data per ha'!$D$81*'Forage crops, footprints'!I43+'Forage, input data per ha'!$E$81*'Forage crops, footprints'!I59</f>
        <v>0</v>
      </c>
      <c r="J56" s="371">
        <f>'Forage, input data per ha'!$D$81*'Forage crops, footprints'!J43+'Forage, input data per ha'!$E$81*'Forage crops, footprints'!J59</f>
        <v>5.5084346079147541E-5</v>
      </c>
      <c r="K56" s="371">
        <f>'Forage, input data per ha'!$D$81*'Forage crops, footprints'!K43+'Forage, input data per ha'!$E$81*'Forage crops, footprints'!K59</f>
        <v>8.0597182826068236E-11</v>
      </c>
      <c r="L56" s="371">
        <f>'Forage, input data per ha'!$D$81*'Forage crops, footprints'!L43+'Forage, input data per ha'!$E$81*'Forage crops, footprints'!L59</f>
        <v>1.476395033501162E-4</v>
      </c>
      <c r="M56" s="351">
        <f>'Parameters, country spec'!E19</f>
        <v>3.3371391200029701E-2</v>
      </c>
      <c r="N56" s="351">
        <f>'Parameters, country spec'!E37</f>
        <v>3.5518223853143398E-2</v>
      </c>
      <c r="O56" s="83"/>
      <c r="P56" s="59">
        <f>K56*M56/K68*100</f>
        <v>2.5857064652017985</v>
      </c>
    </row>
    <row r="57" spans="1:16" x14ac:dyDescent="0.2">
      <c r="A57" s="353" t="s">
        <v>466</v>
      </c>
      <c r="B57" s="18" t="s">
        <v>274</v>
      </c>
      <c r="C57" s="18" t="s">
        <v>467</v>
      </c>
      <c r="D57" s="349" t="s">
        <v>49</v>
      </c>
      <c r="E57" s="349" t="s">
        <v>50</v>
      </c>
      <c r="F57" s="392">
        <v>3.50911668514801</v>
      </c>
      <c r="G57" s="393">
        <v>3.29856968403913E-2</v>
      </c>
      <c r="H57" s="393">
        <v>2.45638167960361E-3</v>
      </c>
      <c r="I57" s="393">
        <v>0</v>
      </c>
      <c r="J57" s="395">
        <v>0.37077186530606498</v>
      </c>
      <c r="K57" s="395">
        <v>1.6521352778529399E-10</v>
      </c>
      <c r="L57" s="395">
        <v>4.3171634906833496E-3</v>
      </c>
      <c r="M57" s="351">
        <f>'Parameters, country spec'!E20</f>
        <v>8.1233791668593805E-2</v>
      </c>
      <c r="N57" s="351">
        <f>'Parameters, country spec'!E38</f>
        <v>6.7240073264057107E-2</v>
      </c>
      <c r="P57" s="59">
        <f>K57*M57/K68*100</f>
        <v>12.902307166667082</v>
      </c>
    </row>
    <row r="58" spans="1:16" x14ac:dyDescent="0.2">
      <c r="A58" s="353" t="s">
        <v>468</v>
      </c>
      <c r="B58" s="18" t="s">
        <v>276</v>
      </c>
      <c r="C58" s="18" t="s">
        <v>467</v>
      </c>
      <c r="D58" s="349" t="s">
        <v>49</v>
      </c>
      <c r="E58" s="349" t="s">
        <v>50</v>
      </c>
      <c r="F58" s="396">
        <v>0.95354882265326901</v>
      </c>
      <c r="G58" s="393">
        <v>1.25865588271519E-2</v>
      </c>
      <c r="H58" s="393">
        <v>3.5280505803380298E-3</v>
      </c>
      <c r="I58" s="393">
        <v>0.14876738789999999</v>
      </c>
      <c r="J58" s="395">
        <v>5.3593544093051101E-2</v>
      </c>
      <c r="K58" s="395">
        <v>4.4894250901609901E-11</v>
      </c>
      <c r="L58" s="395">
        <v>1.64732709770681E-3</v>
      </c>
      <c r="M58" s="351">
        <f>'Parameters, country spec'!E21</f>
        <v>0.24296307089861899</v>
      </c>
      <c r="N58" s="351">
        <f>'Parameters, country spec'!E39</f>
        <v>0.201109099496879</v>
      </c>
      <c r="P58" s="59">
        <f>K58*M58/K68*100</f>
        <v>10.486149495743456</v>
      </c>
    </row>
    <row r="59" spans="1:16" x14ac:dyDescent="0.2">
      <c r="A59" s="353" t="s">
        <v>469</v>
      </c>
      <c r="B59" s="18" t="s">
        <v>278</v>
      </c>
      <c r="C59" s="18" t="s">
        <v>467</v>
      </c>
      <c r="D59" s="349" t="s">
        <v>49</v>
      </c>
      <c r="E59" s="349" t="s">
        <v>50</v>
      </c>
      <c r="F59" s="396">
        <v>8.6360260462545604</v>
      </c>
      <c r="G59" s="393">
        <v>6.1308916561460203E-2</v>
      </c>
      <c r="H59" s="393">
        <v>1.29525880059423E-2</v>
      </c>
      <c r="I59" s="393">
        <v>1.9174813959999999E-3</v>
      </c>
      <c r="J59" s="395">
        <v>0.390875174879527</v>
      </c>
      <c r="K59" s="395">
        <v>4.0659472373379301E-10</v>
      </c>
      <c r="L59" s="395">
        <v>8.0241026137238807E-3</v>
      </c>
      <c r="M59" s="351">
        <f>'Parameters, country spec'!E22</f>
        <v>2.2076768828459801E-2</v>
      </c>
      <c r="N59" s="351">
        <f>'Parameters, country spec'!E40</f>
        <v>1.82737198718744E-2</v>
      </c>
      <c r="P59" s="59">
        <f>K59*M59/K68*100</f>
        <v>8.6294336935459501</v>
      </c>
    </row>
    <row r="60" spans="1:16" x14ac:dyDescent="0.2">
      <c r="A60" s="353" t="s">
        <v>470</v>
      </c>
      <c r="B60" s="18" t="s">
        <v>280</v>
      </c>
      <c r="C60" s="18" t="s">
        <v>467</v>
      </c>
      <c r="D60" s="349" t="s">
        <v>49</v>
      </c>
      <c r="E60" s="349" t="s">
        <v>50</v>
      </c>
      <c r="F60" s="396">
        <v>5.2144168196228904</v>
      </c>
      <c r="G60" s="393">
        <v>4.9538952557176601E-2</v>
      </c>
      <c r="H60" s="393">
        <v>3.6502386094761701E-3</v>
      </c>
      <c r="I60" s="393">
        <v>1.1718801289799999E-2</v>
      </c>
      <c r="J60" s="395">
        <v>8.4176330719172403E-3</v>
      </c>
      <c r="K60" s="395">
        <v>2.45501154680622E-10</v>
      </c>
      <c r="L60" s="395">
        <v>6.4836513347401497E-3</v>
      </c>
      <c r="M60" s="351">
        <f>'Parameters, country spec'!E23</f>
        <v>4.8693567263410099E-3</v>
      </c>
      <c r="N60" s="351">
        <f>'Parameters, country spec'!E41</f>
        <v>4.0305382311056201E-3</v>
      </c>
      <c r="P60" s="59">
        <f>K60*M60/K68*100</f>
        <v>1.1492385311425832</v>
      </c>
    </row>
    <row r="61" spans="1:16" x14ac:dyDescent="0.2">
      <c r="A61" s="353" t="s">
        <v>471</v>
      </c>
      <c r="B61" s="18" t="s">
        <v>281</v>
      </c>
      <c r="C61" s="18" t="s">
        <v>467</v>
      </c>
      <c r="D61" s="349" t="s">
        <v>49</v>
      </c>
      <c r="E61" s="349" t="s">
        <v>50</v>
      </c>
      <c r="F61" s="396">
        <v>3.3462498577843802</v>
      </c>
      <c r="G61" s="393">
        <v>5.1197622824101001E-2</v>
      </c>
      <c r="H61" s="393">
        <v>4.6847498008981301E-3</v>
      </c>
      <c r="I61" s="393">
        <v>8.8761701473999994E-3</v>
      </c>
      <c r="J61" s="395">
        <v>8.3195467839192599E-2</v>
      </c>
      <c r="K61" s="395">
        <v>1.5754555731801701E-10</v>
      </c>
      <c r="L61" s="395">
        <v>6.7007378724021297E-3</v>
      </c>
      <c r="M61" s="351">
        <f>'Parameters, country spec'!E24</f>
        <v>3.4919458703584899E-3</v>
      </c>
      <c r="N61" s="351">
        <f>'Parameters, country spec'!E42</f>
        <v>2.89040670515525E-3</v>
      </c>
      <c r="P61" s="59">
        <f>K61*M61/K68*100</f>
        <v>0.52888190837220728</v>
      </c>
    </row>
    <row r="62" spans="1:16" x14ac:dyDescent="0.2">
      <c r="A62" s="353" t="s">
        <v>472</v>
      </c>
      <c r="B62" s="18" t="s">
        <v>282</v>
      </c>
      <c r="C62" s="18" t="s">
        <v>473</v>
      </c>
      <c r="D62" s="349" t="s">
        <v>49</v>
      </c>
      <c r="E62" s="349" t="s">
        <v>50</v>
      </c>
      <c r="F62" s="396">
        <v>6.2517973917501299</v>
      </c>
      <c r="G62" s="393">
        <v>3.44E-2</v>
      </c>
      <c r="H62" s="393">
        <v>3.1262575093647998E-3</v>
      </c>
      <c r="I62" s="393">
        <v>0.62402196310000002</v>
      </c>
      <c r="J62" s="395">
        <v>0.105818547832502</v>
      </c>
      <c r="K62" s="395">
        <v>2.9434230741357398E-10</v>
      </c>
      <c r="L62" s="395">
        <v>0</v>
      </c>
      <c r="M62" s="351">
        <f>'Parameters, country spec'!E25</f>
        <v>3.4441220927794902E-4</v>
      </c>
      <c r="N62" s="351">
        <f>'Parameters, country spec'!E43</f>
        <v>2.7727022810161402E-4</v>
      </c>
      <c r="P62" s="59">
        <f>K62*M62/K68*100</f>
        <v>9.745772654362965E-2</v>
      </c>
    </row>
    <row r="63" spans="1:16" x14ac:dyDescent="0.2">
      <c r="A63" s="353" t="s">
        <v>474</v>
      </c>
      <c r="B63" s="18" t="s">
        <v>283</v>
      </c>
      <c r="C63" s="18" t="s">
        <v>473</v>
      </c>
      <c r="D63" s="349" t="s">
        <v>49</v>
      </c>
      <c r="E63" s="349" t="s">
        <v>50</v>
      </c>
      <c r="F63" s="396">
        <v>3.5471558904070699</v>
      </c>
      <c r="G63" s="393">
        <v>4.0709431178081401E-2</v>
      </c>
      <c r="H63" s="393">
        <v>1.41886235616283E-3</v>
      </c>
      <c r="I63" s="393">
        <v>0.50139618898000005</v>
      </c>
      <c r="J63" s="395">
        <v>6.0039515316619101E-2</v>
      </c>
      <c r="K63" s="395">
        <v>1.6700446033581199E-10</v>
      </c>
      <c r="L63" s="395">
        <v>9.2850255551224706E-5</v>
      </c>
      <c r="M63" s="351">
        <f>'Parameters, country spec'!E26</f>
        <v>3.3832628680436602E-4</v>
      </c>
      <c r="N63" s="351">
        <f>'Parameters, country spec'!E44</f>
        <v>2.7237073543291999E-4</v>
      </c>
      <c r="P63" s="59">
        <f>K63*M63/K68*100</f>
        <v>5.4318636537078788E-2</v>
      </c>
    </row>
    <row r="64" spans="1:16" x14ac:dyDescent="0.2">
      <c r="B64" s="58" t="s">
        <v>284</v>
      </c>
      <c r="C64" s="18" t="s">
        <v>475</v>
      </c>
      <c r="D64" s="349" t="s">
        <v>490</v>
      </c>
      <c r="E64" s="349"/>
      <c r="F64" s="54">
        <f>'Off-farm feed'!$F$88</f>
        <v>1.5397450382845068</v>
      </c>
      <c r="G64" s="83">
        <f>'Off-farm feed'!$G$88</f>
        <v>2.276724967641296E-2</v>
      </c>
      <c r="H64" s="83">
        <f>'Off-farm feed'!$H$88</f>
        <v>2.4780679919905292E-3</v>
      </c>
      <c r="I64" s="83">
        <f>'Off-farm feed'!$I$88</f>
        <v>8.1100925319702543E-4</v>
      </c>
      <c r="J64" s="372">
        <f>'Off-farm feed'!$J$88</f>
        <v>0.29368572248181479</v>
      </c>
      <c r="K64" s="372">
        <f>'Off-farm feed'!$K$88</f>
        <v>1.2571008272056975E-11</v>
      </c>
      <c r="L64" s="372">
        <f>'Off-farm feed'!$L$88</f>
        <v>1.3841258986185109E-3</v>
      </c>
      <c r="M64" s="351">
        <f>'Parameters, country spec'!E27</f>
        <v>3.7586046391160401E-4</v>
      </c>
      <c r="N64" s="351">
        <f>'Parameters, country spec'!E45</f>
        <v>3.0258775338687599E-4</v>
      </c>
      <c r="P64" s="59">
        <f>K64*M64/K68*100</f>
        <v>4.5423626589651172E-3</v>
      </c>
    </row>
    <row r="65" spans="1:16" x14ac:dyDescent="0.2">
      <c r="B65" s="58" t="s">
        <v>476</v>
      </c>
      <c r="C65" s="18" t="s">
        <v>475</v>
      </c>
      <c r="D65" s="349" t="s">
        <v>491</v>
      </c>
      <c r="E65" s="349"/>
      <c r="F65" s="54">
        <f>'Off-farm feed'!$F$36</f>
        <v>2.5509164954964105</v>
      </c>
      <c r="G65" s="83">
        <f>'Off-farm feed'!$G$36</f>
        <v>4.2620923125915401E-2</v>
      </c>
      <c r="H65" s="83">
        <f>'Off-farm feed'!$H$36</f>
        <v>3.2959349471355006E-3</v>
      </c>
      <c r="I65" s="83">
        <f>'Off-farm feed'!$I$36</f>
        <v>2.435286335413451E-3</v>
      </c>
      <c r="J65" s="372">
        <f>'Off-farm feed'!$J$36</f>
        <v>0.25920846302270906</v>
      </c>
      <c r="K65" s="372">
        <f>'Off-farm feed'!$K$36</f>
        <v>1.4553836091881654E-10</v>
      </c>
      <c r="L65" s="372">
        <f>'Off-farm feed'!$L$36</f>
        <v>1.0450321677831977E-4</v>
      </c>
      <c r="M65" s="351">
        <f>'Parameters, country spec'!E28</f>
        <v>6.6229033989623307E-2</v>
      </c>
      <c r="N65" s="351">
        <f>'Parameters, country spec'!E46</f>
        <v>5.3317910590755302E-2</v>
      </c>
      <c r="P65" s="59">
        <f>K65*M65/K68*100</f>
        <v>9.2663979534988297</v>
      </c>
    </row>
    <row r="66" spans="1:16" x14ac:dyDescent="0.2">
      <c r="B66" s="18" t="s">
        <v>286</v>
      </c>
      <c r="C66" s="18" t="s">
        <v>477</v>
      </c>
      <c r="D66" s="349" t="s">
        <v>49</v>
      </c>
      <c r="E66" s="349" t="s">
        <v>50</v>
      </c>
      <c r="F66" s="396">
        <v>0.30116248720059402</v>
      </c>
      <c r="G66" s="396">
        <v>4.6077860541690902E-3</v>
      </c>
      <c r="H66" s="396">
        <v>4.2162748208083201E-4</v>
      </c>
      <c r="I66" s="395">
        <v>7.9885531326599995E-4</v>
      </c>
      <c r="J66" s="395">
        <v>7.4875921055273303E-3</v>
      </c>
      <c r="K66" s="395">
        <v>1.41791001586215E-11</v>
      </c>
      <c r="L66" s="395">
        <v>6.0306640851619199E-4</v>
      </c>
      <c r="M66" s="351">
        <f>'Parameters, country spec'!E29</f>
        <v>4.7111416374646303E-2</v>
      </c>
      <c r="N66" s="351">
        <f>'Parameters, country spec'!E47</f>
        <v>4.6947510766466402E-2</v>
      </c>
      <c r="P66" s="59">
        <f>K66*M66/K68*100</f>
        <v>0.64218458850865046</v>
      </c>
    </row>
    <row r="67" spans="1:16" x14ac:dyDescent="0.2">
      <c r="A67" s="354"/>
      <c r="B67" s="18" t="s">
        <v>478</v>
      </c>
      <c r="C67" s="355" t="s">
        <v>479</v>
      </c>
      <c r="D67" s="349" t="s">
        <v>49</v>
      </c>
      <c r="E67" s="349" t="s">
        <v>50</v>
      </c>
      <c r="F67" s="356">
        <f t="shared" ref="F67:L67" si="3">AVERAGE(F57:F65)</f>
        <v>3.9498858941556918</v>
      </c>
      <c r="G67" s="401">
        <f t="shared" si="3"/>
        <v>3.8679483510076752E-2</v>
      </c>
      <c r="H67" s="401">
        <f t="shared" si="3"/>
        <v>4.1767923867679895E-3</v>
      </c>
      <c r="I67" s="401">
        <f t="shared" si="3"/>
        <v>0.14443825426686782</v>
      </c>
      <c r="J67" s="375">
        <f t="shared" si="3"/>
        <v>0.18062288153815531</v>
      </c>
      <c r="K67" s="375">
        <f t="shared" si="3"/>
        <v>1.8213392792884392E-10</v>
      </c>
      <c r="L67" s="375">
        <f t="shared" si="3"/>
        <v>3.1949401978004863E-3</v>
      </c>
      <c r="M67" s="351">
        <f>'Parameters, country spec'!E30</f>
        <v>4.1638794367828399E-2</v>
      </c>
      <c r="N67" s="351">
        <f>'Parameters, country spec'!E48</f>
        <v>6.36066812802797E-2</v>
      </c>
      <c r="P67" s="59">
        <f>K67*M67/K68*100</f>
        <v>7.2907809036189004</v>
      </c>
    </row>
    <row r="68" spans="1:16" x14ac:dyDescent="0.2">
      <c r="A68" s="357"/>
      <c r="B68" s="358" t="s">
        <v>480</v>
      </c>
      <c r="C68" s="359"/>
      <c r="D68" s="360"/>
      <c r="E68" s="360"/>
      <c r="F68" s="361">
        <f>SUMPRODUCT(F54:F56,M54:M56)+SUMPRODUCT(F57:F67,M57:M67)/0.87</f>
        <v>1.8940654976010132</v>
      </c>
      <c r="G68" s="403">
        <f>SUMPRODUCT(G54:G56,M54:M56)+SUMPRODUCT(G57:G67,M57:M67)/0.87</f>
        <v>2.6185647678928496E-2</v>
      </c>
      <c r="H68" s="403">
        <f>SUMPRODUCT(H54:H56,M54:M56)+SUMPRODUCT(H57:H67,M57:M67)/0.87</f>
        <v>2.6757762156961983E-3</v>
      </c>
      <c r="I68" s="403">
        <f>SUMPRODUCT(I54:I56,M54:M56)+SUMPRODUCT(I57:I67,M57:M67)/0.87</f>
        <v>6.4833518408757895E-2</v>
      </c>
      <c r="J68" s="376">
        <f>SUMPRODUCT(J54:J56,M54:M56)+SUMPRODUCT(J57:J67,M57:M67)/0.87</f>
        <v>8.888816198171795E-2</v>
      </c>
      <c r="K68" s="376">
        <f>SUMPRODUCT(K54:K56,M54:M56)+SUMPRODUCT(K57:K67,M57:M67)/0.87</f>
        <v>1.0401954567952587E-10</v>
      </c>
      <c r="L68" s="376">
        <f>SUMPRODUCT(L54:L56,M54:M56)+SUMPRODUCT(L57:L67,M57:M67)/0.87</f>
        <v>1.96031443279117E-3</v>
      </c>
      <c r="M68" s="362"/>
      <c r="N68" s="369"/>
    </row>
    <row r="69" spans="1:16" x14ac:dyDescent="0.2">
      <c r="A69" s="363"/>
      <c r="B69" s="364" t="s">
        <v>481</v>
      </c>
      <c r="C69" s="365"/>
      <c r="D69" s="366"/>
      <c r="E69" s="366"/>
      <c r="F69" s="367">
        <f>SUMPRODUCT(F54:F57,N54:N57)+SUMPRODUCT(F58:F68,N58:N68)/0.87</f>
        <v>1.4270906062346782</v>
      </c>
      <c r="G69" s="404">
        <f>SUMPRODUCT(G54:G57,N54:N57)+SUMPRODUCT(G58:G68,N58:N68)/0.87</f>
        <v>2.2565581110192339E-2</v>
      </c>
      <c r="H69" s="404">
        <f>SUMPRODUCT(H54:H57,N54:N57)+SUMPRODUCT(H58:H68,N58:N68)/0.87</f>
        <v>2.1706754166438058E-3</v>
      </c>
      <c r="I69" s="404">
        <f>SUMPRODUCT(I54:I57,N54:N57)+SUMPRODUCT(I58:I68,N58:N68)/0.87</f>
        <v>5.1265311654663429E-2</v>
      </c>
      <c r="J69" s="377">
        <f>SUMPRODUCT(J54:J57,N54:N57)+SUMPRODUCT(J58:J68,N58:N68)/0.87</f>
        <v>7.5505798342988151E-2</v>
      </c>
      <c r="K69" s="377">
        <f>SUMPRODUCT(K54:K57,N54:N57)+SUMPRODUCT(K58:K68,N58:N68)/0.87</f>
        <v>1.3159188119879288E-10</v>
      </c>
      <c r="L69" s="377">
        <f>SUMPRODUCT(L54:L57,N54:N57)+SUMPRODUCT(L58:L68,N58:N68)/0.87</f>
        <v>1.518956334851859E-3</v>
      </c>
      <c r="M69" s="368"/>
      <c r="N69" s="368"/>
    </row>
    <row r="70" spans="1:16" x14ac:dyDescent="0.2">
      <c r="B70" s="58" t="s">
        <v>264</v>
      </c>
      <c r="C70" s="18" t="s">
        <v>463</v>
      </c>
      <c r="D70" s="349" t="s">
        <v>51</v>
      </c>
      <c r="E70" s="349" t="s">
        <v>52</v>
      </c>
      <c r="F70" s="350">
        <v>0</v>
      </c>
      <c r="G70" s="352">
        <f>'Forage crops, footprints'!G12</f>
        <v>1.4248888174213348E-2</v>
      </c>
      <c r="H70" s="391">
        <f>'Forage crops, footprints'!H12</f>
        <v>2.3847872238080524E-4</v>
      </c>
      <c r="I70" s="352">
        <f>'Forage crops, footprints'!I12</f>
        <v>0</v>
      </c>
      <c r="J70" s="371">
        <f>'Forage crops, footprints'!J12</f>
        <v>0</v>
      </c>
      <c r="K70" s="371">
        <f>'Forage crops, footprints'!K12</f>
        <v>5.2095311566368976E-11</v>
      </c>
      <c r="L70" s="371">
        <f>'Forage crops, footprints'!L12</f>
        <v>3.5122388625340092E-4</v>
      </c>
      <c r="M70" s="351">
        <f>'Parameters, country spec'!F17</f>
        <v>5.3418699404756603E-2</v>
      </c>
      <c r="N70" s="351">
        <f>'Parameters, country spec'!F35</f>
        <v>7.7439143939213403E-2</v>
      </c>
      <c r="O70" s="83"/>
      <c r="P70" s="59">
        <f>K70*M70/K84*100</f>
        <v>7.9698314170378257</v>
      </c>
    </row>
    <row r="71" spans="1:16" x14ac:dyDescent="0.2">
      <c r="B71" s="58" t="s">
        <v>268</v>
      </c>
      <c r="C71" s="18" t="s">
        <v>463</v>
      </c>
      <c r="D71" s="349" t="s">
        <v>51</v>
      </c>
      <c r="E71" s="349" t="s">
        <v>52</v>
      </c>
      <c r="F71" s="350">
        <f>'Forage crops, footprints'!F28</f>
        <v>1.0253586201655649</v>
      </c>
      <c r="G71" s="352">
        <f>'Forage crops, footprints'!G28</f>
        <v>1.2271227357465338E-2</v>
      </c>
      <c r="H71" s="352">
        <f>'Forage crops, footprints'!H28</f>
        <v>1.343075375709827E-4</v>
      </c>
      <c r="I71" s="352">
        <f>'Forage crops, footprints'!I28</f>
        <v>1.1427346860111065E-4</v>
      </c>
      <c r="J71" s="371">
        <f>'Forage crops, footprints'!J28</f>
        <v>1.0479214179139347E-4</v>
      </c>
      <c r="K71" s="371">
        <f>'Forage crops, footprints'!K28</f>
        <v>1.2876214228064374E-11</v>
      </c>
      <c r="L71" s="371">
        <f>'Forage crops, footprints'!L28</f>
        <v>7.4602439182191809E-4</v>
      </c>
      <c r="M71" s="351">
        <f>'Parameters, country spec'!F18</f>
        <v>0.25046523624431899</v>
      </c>
      <c r="N71" s="351">
        <f>'Parameters, country spec'!F36</f>
        <v>0.38082943222890397</v>
      </c>
      <c r="O71" s="83"/>
      <c r="P71" s="59">
        <f>K71*M71/K84*100</f>
        <v>9.2361894972513561</v>
      </c>
    </row>
    <row r="72" spans="1:16" x14ac:dyDescent="0.2">
      <c r="B72" s="58" t="s">
        <v>465</v>
      </c>
      <c r="C72" s="18" t="s">
        <v>463</v>
      </c>
      <c r="D72" s="349" t="s">
        <v>51</v>
      </c>
      <c r="E72" s="349" t="s">
        <v>52</v>
      </c>
      <c r="F72" s="350">
        <f>'Forage, input data per ha'!$D$82*'Forage crops, footprints'!F44+'Forage, input data per ha'!$E$82*'Forage crops, footprints'!F60</f>
        <v>2.7028985341242886</v>
      </c>
      <c r="G72" s="352">
        <f>'Forage, input data per ha'!$D$82*'Forage crops, footprints'!G44+'Forage, input data per ha'!$E$82*'Forage crops, footprints'!G60</f>
        <v>4.0541993766796701E-2</v>
      </c>
      <c r="H72" s="352">
        <f>'Forage, input data per ha'!$D$82*'Forage crops, footprints'!H44+'Forage, input data per ha'!$E$82*'Forage crops, footprints'!H60</f>
        <v>2.8519324749103413E-3</v>
      </c>
      <c r="I72" s="352">
        <f>'Forage, input data per ha'!$D$82*'Forage crops, footprints'!I44+'Forage, input data per ha'!$E$82*'Forage crops, footprints'!I60</f>
        <v>0</v>
      </c>
      <c r="J72" s="371">
        <f>'Forage, input data per ha'!$D$82*'Forage crops, footprints'!J44+'Forage, input data per ha'!$E$82*'Forage crops, footprints'!J60</f>
        <v>5.9639396123774295E-5</v>
      </c>
      <c r="K72" s="371">
        <f>'Forage, input data per ha'!$D$82*'Forage crops, footprints'!K44+'Forage, input data per ha'!$E$82*'Forage crops, footprints'!K60</f>
        <v>2.2994442702608487E-11</v>
      </c>
      <c r="L72" s="371">
        <f>'Forage, input data per ha'!$D$82*'Forage crops, footprints'!L44+'Forage, input data per ha'!$E$82*'Forage crops, footprints'!L60</f>
        <v>5.7351816877562223E-5</v>
      </c>
      <c r="M72" s="351">
        <f>'Parameters, country spec'!F19</f>
        <v>9.7106054001350806E-2</v>
      </c>
      <c r="N72" s="351">
        <f>'Parameters, country spec'!F37</f>
        <v>0.18201404564523599</v>
      </c>
      <c r="O72" s="83"/>
      <c r="P72" s="59">
        <f>K72*M72/K84*100</f>
        <v>6.3947913700999548</v>
      </c>
    </row>
    <row r="73" spans="1:16" x14ac:dyDescent="0.2">
      <c r="A73" s="353" t="s">
        <v>466</v>
      </c>
      <c r="B73" s="18" t="s">
        <v>274</v>
      </c>
      <c r="C73" s="18" t="s">
        <v>467</v>
      </c>
      <c r="D73" s="349" t="s">
        <v>51</v>
      </c>
      <c r="E73" s="349" t="s">
        <v>52</v>
      </c>
      <c r="F73" s="392">
        <v>1.80609086081903</v>
      </c>
      <c r="G73" s="393">
        <v>1.6977254091698799E-2</v>
      </c>
      <c r="H73" s="393">
        <v>1.2642636025733201E-3</v>
      </c>
      <c r="I73" s="393">
        <v>0</v>
      </c>
      <c r="J73" s="395">
        <v>0.23878435636340001</v>
      </c>
      <c r="K73" s="395">
        <v>2.26804674792707E-11</v>
      </c>
      <c r="L73" s="395">
        <v>1.2237100149001499E-3</v>
      </c>
      <c r="M73" s="351">
        <f>'Parameters, country spec'!F20</f>
        <v>3.3128681692208201E-2</v>
      </c>
      <c r="N73" s="351">
        <f>'Parameters, country spec'!F38</f>
        <v>1.3777713958130201E-2</v>
      </c>
      <c r="P73" s="59">
        <f>K73*M73/K84*100</f>
        <v>2.1518566727121726</v>
      </c>
    </row>
    <row r="74" spans="1:16" x14ac:dyDescent="0.2">
      <c r="A74" s="353" t="s">
        <v>468</v>
      </c>
      <c r="B74" s="18" t="s">
        <v>276</v>
      </c>
      <c r="C74" s="18" t="s">
        <v>467</v>
      </c>
      <c r="D74" s="349" t="s">
        <v>51</v>
      </c>
      <c r="E74" s="349" t="s">
        <v>52</v>
      </c>
      <c r="F74" s="396">
        <v>1.5573752620283901</v>
      </c>
      <c r="G74" s="393">
        <v>2.0556886953023001E-2</v>
      </c>
      <c r="H74" s="393">
        <v>5.7621577065291698E-3</v>
      </c>
      <c r="I74" s="393">
        <v>1.0475658346000001E-3</v>
      </c>
      <c r="J74" s="395">
        <v>0.21701136572466201</v>
      </c>
      <c r="K74" s="395">
        <v>1.95571550411576E-11</v>
      </c>
      <c r="L74" s="395">
        <v>1.4817277460602201E-3</v>
      </c>
      <c r="M74" s="351">
        <f>'Parameters, country spec'!F21</f>
        <v>0.196499875628766</v>
      </c>
      <c r="N74" s="351">
        <f>'Parameters, country spec'!F39</f>
        <v>8.1721304315358401E-2</v>
      </c>
      <c r="P74" s="59">
        <f>K74*M74/K84*100</f>
        <v>11.005889390171291</v>
      </c>
    </row>
    <row r="75" spans="1:16" x14ac:dyDescent="0.2">
      <c r="A75" s="353" t="s">
        <v>469</v>
      </c>
      <c r="B75" s="18" t="s">
        <v>278</v>
      </c>
      <c r="C75" s="18" t="s">
        <v>467</v>
      </c>
      <c r="D75" s="349" t="s">
        <v>51</v>
      </c>
      <c r="E75" s="349" t="s">
        <v>52</v>
      </c>
      <c r="F75" s="396">
        <v>3.5478102914880898</v>
      </c>
      <c r="G75" s="393">
        <v>2.5186631440402899E-2</v>
      </c>
      <c r="H75" s="393">
        <v>5.3211193183949701E-3</v>
      </c>
      <c r="I75" s="393">
        <v>0</v>
      </c>
      <c r="J75" s="395">
        <v>0.188442653194448</v>
      </c>
      <c r="K75" s="395">
        <v>4.4552573563341E-11</v>
      </c>
      <c r="L75" s="395">
        <v>1.8154368762313699E-3</v>
      </c>
      <c r="M75" s="351">
        <f>'Parameters, country spec'!F22</f>
        <v>1.7743951673345099E-2</v>
      </c>
      <c r="N75" s="351">
        <f>'Parameters, country spec'!F40</f>
        <v>7.3794391499110096E-3</v>
      </c>
      <c r="P75" s="59">
        <f>K75*M75/K84*100</f>
        <v>2.2640203556194014</v>
      </c>
    </row>
    <row r="76" spans="1:16" x14ac:dyDescent="0.2">
      <c r="A76" s="353" t="s">
        <v>470</v>
      </c>
      <c r="B76" s="18" t="s">
        <v>280</v>
      </c>
      <c r="C76" s="18" t="s">
        <v>467</v>
      </c>
      <c r="D76" s="349" t="s">
        <v>51</v>
      </c>
      <c r="E76" s="349" t="s">
        <v>52</v>
      </c>
      <c r="F76" s="396">
        <v>3.1670023689177702</v>
      </c>
      <c r="G76" s="393">
        <v>3.0087732824095499E-2</v>
      </c>
      <c r="H76" s="393">
        <v>2.21699083967019E-3</v>
      </c>
      <c r="I76" s="393">
        <v>0</v>
      </c>
      <c r="J76" s="395">
        <v>0.27600774015378998</v>
      </c>
      <c r="K76" s="395">
        <v>3.9770476554230403E-11</v>
      </c>
      <c r="L76" s="395">
        <v>2.16870524430028E-3</v>
      </c>
      <c r="M76" s="351">
        <f>'Parameters, country spec'!F23</f>
        <v>6.8964610637078797E-3</v>
      </c>
      <c r="N76" s="351">
        <f>'Parameters, country spec'!F41</f>
        <v>2.8681330795635499E-3</v>
      </c>
      <c r="P76" s="59">
        <f>K76*M76/K84*100</f>
        <v>0.78549652646572621</v>
      </c>
    </row>
    <row r="77" spans="1:16" x14ac:dyDescent="0.2">
      <c r="A77" s="353" t="s">
        <v>471</v>
      </c>
      <c r="B77" s="18" t="s">
        <v>281</v>
      </c>
      <c r="C77" s="18" t="s">
        <v>467</v>
      </c>
      <c r="D77" s="349" t="s">
        <v>51</v>
      </c>
      <c r="E77" s="349" t="s">
        <v>52</v>
      </c>
      <c r="F77" s="396">
        <v>1.83842454370303</v>
      </c>
      <c r="G77" s="393">
        <v>2.8127895518656298E-2</v>
      </c>
      <c r="H77" s="393">
        <v>2.57379436118424E-3</v>
      </c>
      <c r="I77" s="393">
        <v>0</v>
      </c>
      <c r="J77" s="395">
        <v>0.17433246804818101</v>
      </c>
      <c r="K77" s="395">
        <v>2.3086506322080101E-11</v>
      </c>
      <c r="L77" s="395">
        <v>2.0274413788196098E-3</v>
      </c>
      <c r="M77" s="351">
        <f>'Parameters, country spec'!F24</f>
        <v>3.10248353470601E-2</v>
      </c>
      <c r="N77" s="351">
        <f>'Parameters, country spec'!F42</f>
        <v>1.29027563161922E-2</v>
      </c>
      <c r="P77" s="59">
        <f>K77*M77/K84*100</f>
        <v>2.0512797218371084</v>
      </c>
    </row>
    <row r="78" spans="1:16" x14ac:dyDescent="0.2">
      <c r="A78" s="353" t="s">
        <v>472</v>
      </c>
      <c r="B78" s="18" t="s">
        <v>282</v>
      </c>
      <c r="C78" s="18" t="s">
        <v>473</v>
      </c>
      <c r="D78" s="349" t="s">
        <v>51</v>
      </c>
      <c r="E78" s="349" t="s">
        <v>52</v>
      </c>
      <c r="F78" s="396">
        <v>4.3014822907974102</v>
      </c>
      <c r="G78" s="393">
        <v>3.44E-2</v>
      </c>
      <c r="H78" s="393">
        <v>2.1509880231804202E-3</v>
      </c>
      <c r="I78" s="393">
        <v>0.32429639269999999</v>
      </c>
      <c r="J78" s="395">
        <v>0.46527499376285097</v>
      </c>
      <c r="K78" s="395">
        <v>5.40170106197471E-11</v>
      </c>
      <c r="L78" s="395">
        <v>0</v>
      </c>
      <c r="M78" s="351">
        <f>'Parameters, country spec'!F25</f>
        <v>1.11577561574704E-3</v>
      </c>
      <c r="N78" s="351">
        <f>'Parameters, country spec'!F43</f>
        <v>9.2331122908701499E-4</v>
      </c>
      <c r="P78" s="59">
        <f>K78*M78/K84*100</f>
        <v>0.17260946139251213</v>
      </c>
    </row>
    <row r="79" spans="1:16" x14ac:dyDescent="0.2">
      <c r="A79" s="353" t="s">
        <v>474</v>
      </c>
      <c r="B79" s="18" t="s">
        <v>283</v>
      </c>
      <c r="C79" s="18" t="s">
        <v>473</v>
      </c>
      <c r="D79" s="349" t="s">
        <v>51</v>
      </c>
      <c r="E79" s="349" t="s">
        <v>52</v>
      </c>
      <c r="F79" s="396">
        <v>6.7861020629750302</v>
      </c>
      <c r="G79" s="393">
        <v>4.1357220412595E-2</v>
      </c>
      <c r="H79" s="393">
        <v>2.7144408251900099E-3</v>
      </c>
      <c r="I79" s="393">
        <v>0.41091933932000002</v>
      </c>
      <c r="J79" s="395">
        <v>0.81023344191096602</v>
      </c>
      <c r="K79" s="395">
        <v>8.5218285795721799E-11</v>
      </c>
      <c r="L79" s="395">
        <v>9.7827611128910807E-5</v>
      </c>
      <c r="M79" s="351">
        <f>'Parameters, country spec'!F26</f>
        <v>1.09605934664696E-3</v>
      </c>
      <c r="N79" s="351">
        <f>'Parameters, country spec'!F44</f>
        <v>9.0699589423403595E-4</v>
      </c>
      <c r="P79" s="59">
        <f>K79*M79/K84*100</f>
        <v>0.26750016182362196</v>
      </c>
    </row>
    <row r="80" spans="1:16" x14ac:dyDescent="0.2">
      <c r="B80" s="58" t="s">
        <v>284</v>
      </c>
      <c r="C80" s="18" t="s">
        <v>475</v>
      </c>
      <c r="D80" s="349" t="s">
        <v>490</v>
      </c>
      <c r="E80" s="349"/>
      <c r="F80" s="54">
        <f>'Off-farm feed'!$F$88</f>
        <v>1.5397450382845068</v>
      </c>
      <c r="G80" s="83">
        <f>'Off-farm feed'!$G$88</f>
        <v>2.276724967641296E-2</v>
      </c>
      <c r="H80" s="83">
        <f>'Off-farm feed'!$H$88</f>
        <v>2.4780679919905292E-3</v>
      </c>
      <c r="I80" s="83">
        <f>'Off-farm feed'!$I$88</f>
        <v>8.1100925319702543E-4</v>
      </c>
      <c r="J80" s="372">
        <f>'Off-farm feed'!$J$88</f>
        <v>0.29368572248181479</v>
      </c>
      <c r="K80" s="372">
        <f>'Off-farm feed'!$K$88</f>
        <v>1.2571008272056975E-11</v>
      </c>
      <c r="L80" s="372">
        <f>'Off-farm feed'!$L$88</f>
        <v>1.3841258986185109E-3</v>
      </c>
      <c r="M80" s="351">
        <f>'Parameters, country spec'!F27</f>
        <v>4.8155919990539102E-4</v>
      </c>
      <c r="N80" s="351">
        <f>'Parameters, country spec'!F45</f>
        <v>3.9849321881062699E-4</v>
      </c>
      <c r="P80" s="59">
        <f>K80*M80/K84*100</f>
        <v>1.7337121057340157E-2</v>
      </c>
    </row>
    <row r="81" spans="1:16" x14ac:dyDescent="0.2">
      <c r="B81" s="58" t="s">
        <v>476</v>
      </c>
      <c r="C81" s="18" t="s">
        <v>475</v>
      </c>
      <c r="D81" s="349" t="s">
        <v>491</v>
      </c>
      <c r="E81" s="349"/>
      <c r="F81" s="54">
        <f>'Off-farm feed'!$F$36</f>
        <v>2.5509164954964105</v>
      </c>
      <c r="G81" s="83">
        <f>'Off-farm feed'!$G$36</f>
        <v>4.2620923125915401E-2</v>
      </c>
      <c r="H81" s="83">
        <f>'Off-farm feed'!$H$36</f>
        <v>3.2959349471355006E-3</v>
      </c>
      <c r="I81" s="83">
        <f>'Off-farm feed'!$I$36</f>
        <v>2.435286335413451E-3</v>
      </c>
      <c r="J81" s="372">
        <f>'Off-farm feed'!$J$36</f>
        <v>0.25920846302270906</v>
      </c>
      <c r="K81" s="372">
        <f>'Off-farm feed'!$K$36</f>
        <v>1.4553836091881654E-10</v>
      </c>
      <c r="L81" s="372">
        <f>'Off-farm feed'!$L$36</f>
        <v>1.0450321677831977E-4</v>
      </c>
      <c r="M81" s="351">
        <f>'Parameters, country spec'!F28</f>
        <v>9.1823937462469196E-2</v>
      </c>
      <c r="N81" s="351">
        <f>'Parameters, country spec'!F46</f>
        <v>7.5984876674379795E-2</v>
      </c>
      <c r="P81" s="59">
        <f>K81*M81/K84*100</f>
        <v>38.27283000569367</v>
      </c>
    </row>
    <row r="82" spans="1:16" x14ac:dyDescent="0.2">
      <c r="B82" s="18" t="s">
        <v>286</v>
      </c>
      <c r="C82" s="18" t="s">
        <v>477</v>
      </c>
      <c r="D82" s="349" t="s">
        <v>51</v>
      </c>
      <c r="E82" s="349" t="s">
        <v>52</v>
      </c>
      <c r="F82" s="396">
        <v>0.16545820893327301</v>
      </c>
      <c r="G82" s="396">
        <v>2.5315105966790701E-3</v>
      </c>
      <c r="H82" s="396">
        <v>2.31641492506582E-4</v>
      </c>
      <c r="I82" s="395">
        <v>0</v>
      </c>
      <c r="J82" s="395">
        <v>1.56899221243363E-2</v>
      </c>
      <c r="K82" s="395">
        <v>2.07778556898721E-12</v>
      </c>
      <c r="L82" s="395">
        <v>1.82469724093765E-4</v>
      </c>
      <c r="M82" s="351">
        <f>'Parameters, country spec'!F29</f>
        <v>0.15922163374012799</v>
      </c>
      <c r="N82" s="351">
        <f>'Parameters, country spec'!F47</f>
        <v>9.4871367549450705E-2</v>
      </c>
      <c r="P82" s="59">
        <f>K82*M82/K84*100</f>
        <v>0.94745804264151934</v>
      </c>
    </row>
    <row r="83" spans="1:16" x14ac:dyDescent="0.2">
      <c r="A83" s="354"/>
      <c r="B83" s="18" t="s">
        <v>478</v>
      </c>
      <c r="C83" s="355" t="s">
        <v>479</v>
      </c>
      <c r="D83" s="349" t="s">
        <v>51</v>
      </c>
      <c r="E83" s="349" t="s">
        <v>52</v>
      </c>
      <c r="F83" s="356">
        <f t="shared" ref="F83:L83" si="4">AVERAGE(F73:F81)</f>
        <v>3.0105499127232962</v>
      </c>
      <c r="G83" s="401">
        <f t="shared" si="4"/>
        <v>2.9120199338088872E-2</v>
      </c>
      <c r="H83" s="401">
        <f t="shared" si="4"/>
        <v>3.0864175128720384E-3</v>
      </c>
      <c r="I83" s="401">
        <f t="shared" si="4"/>
        <v>8.2167732604801161E-2</v>
      </c>
      <c r="J83" s="407">
        <f t="shared" si="4"/>
        <v>0.32477568940698021</v>
      </c>
      <c r="K83" s="375">
        <f t="shared" si="4"/>
        <v>4.9665760507380241E-11</v>
      </c>
      <c r="L83" s="407">
        <f t="shared" si="4"/>
        <v>1.1448308874263745E-3</v>
      </c>
      <c r="M83" s="351">
        <f>'Parameters, country spec'!F30</f>
        <v>5.9977239579590301E-2</v>
      </c>
      <c r="N83" s="351">
        <f>'Parameters, country spec'!F48</f>
        <v>6.7982986801529102E-2</v>
      </c>
      <c r="P83" s="59">
        <f>K83*M83/K84*100</f>
        <v>8.531015853167089</v>
      </c>
    </row>
    <row r="84" spans="1:16" x14ac:dyDescent="0.2">
      <c r="A84" s="357"/>
      <c r="B84" s="358" t="s">
        <v>480</v>
      </c>
      <c r="C84" s="359"/>
      <c r="D84" s="360"/>
      <c r="E84" s="360"/>
      <c r="F84" s="361">
        <f>SUMPRODUCT(F70:F72,M70:M72)+SUMPRODUCT(F73:F83,M73:M83)/0.87</f>
        <v>1.6248140295828906</v>
      </c>
      <c r="G84" s="403">
        <f>SUMPRODUCT(G70:G72,M70:M72)+SUMPRODUCT(G73:G83,M73:M83)/0.87</f>
        <v>2.189436227428759E-2</v>
      </c>
      <c r="H84" s="403">
        <f>SUMPRODUCT(H70:H72,M70:M72)+SUMPRODUCT(H73:H83,M73:M83)/0.87</f>
        <v>2.5013836610938128E-3</v>
      </c>
      <c r="I84" s="403">
        <f>SUMPRODUCT(I70:I72,M70:M72)+SUMPRODUCT(I73:I83,M73:M83)/0.87</f>
        <v>7.1209002201878873E-3</v>
      </c>
      <c r="J84" s="376">
        <f>SUMPRODUCT(J70:J72,M70:M72)+SUMPRODUCT(J73:J83,M73:M83)/0.87</f>
        <v>0.12478680474202038</v>
      </c>
      <c r="K84" s="376">
        <f>SUMPRODUCT(K70:K72,M70:M72)+SUMPRODUCT(K73:K83,M73:M83)/0.87</f>
        <v>3.4917473699780222E-11</v>
      </c>
      <c r="L84" s="376">
        <f>SUMPRODUCT(L70:L72,M70:M72)+SUMPRODUCT(L73:L83,M73:M83)/0.87</f>
        <v>8.4320298791545423E-4</v>
      </c>
      <c r="M84" s="362"/>
      <c r="N84" s="369"/>
    </row>
    <row r="85" spans="1:16" x14ac:dyDescent="0.2">
      <c r="A85" s="363"/>
      <c r="B85" s="364" t="s">
        <v>481</v>
      </c>
      <c r="C85" s="365"/>
      <c r="D85" s="366"/>
      <c r="E85" s="366"/>
      <c r="F85" s="367">
        <f>SUMPRODUCT(F70:F73,N70:N73)+SUMPRODUCT(F74:F84,N74:N84)/0.87</f>
        <v>1.6098537018659869</v>
      </c>
      <c r="G85" s="404">
        <f>SUMPRODUCT(G70:G73,N70:N73)+SUMPRODUCT(G74:G84,N74:N84)/0.87</f>
        <v>2.2414796360531352E-2</v>
      </c>
      <c r="H85" s="404">
        <f>SUMPRODUCT(H70:H73,N70:N73)+SUMPRODUCT(H74:H84,N74:N84)/0.87</f>
        <v>1.7985427571445816E-3</v>
      </c>
      <c r="I85" s="404">
        <f>SUMPRODUCT(I70:I73,N70:N73)+SUMPRODUCT(I74:I84,N74:N84)/0.87</f>
        <v>7.548246396317221E-3</v>
      </c>
      <c r="J85" s="377">
        <f>SUMPRODUCT(J70:J73,N70:N73)+SUMPRODUCT(J74:J84,N74:N84)/0.87</f>
        <v>8.0020231107311629E-2</v>
      </c>
      <c r="K85" s="377">
        <f>SUMPRODUCT(K70:K73,N70:N73)+SUMPRODUCT(K74:K84,N74:N84)/0.87</f>
        <v>3.3094729995870213E-11</v>
      </c>
      <c r="L85" s="377">
        <f>SUMPRODUCT(L70:L73,N70:N73)+SUMPRODUCT(L74:L84,N74:N84)/0.87</f>
        <v>6.496242288082329E-4</v>
      </c>
      <c r="M85" s="368"/>
      <c r="N85" s="368"/>
    </row>
    <row r="86" spans="1:16" x14ac:dyDescent="0.2">
      <c r="B86" s="58" t="s">
        <v>264</v>
      </c>
      <c r="C86" s="18" t="s">
        <v>463</v>
      </c>
      <c r="D86" s="349" t="s">
        <v>89</v>
      </c>
      <c r="E86" s="349" t="s">
        <v>54</v>
      </c>
      <c r="F86" s="350">
        <v>0</v>
      </c>
      <c r="G86" s="352">
        <f>'Forage crops, footprints'!G13</f>
        <v>1.424888817421336E-2</v>
      </c>
      <c r="H86" s="391">
        <f>'Forage crops, footprints'!H13</f>
        <v>2.3847872238080595E-4</v>
      </c>
      <c r="I86" s="352">
        <f>'Forage crops, footprints'!I13</f>
        <v>0</v>
      </c>
      <c r="J86" s="371">
        <f>'Forage crops, footprints'!J13</f>
        <v>0</v>
      </c>
      <c r="K86" s="371">
        <f>'Forage crops, footprints'!K13</f>
        <v>3.5392110708600923E-12</v>
      </c>
      <c r="L86" s="371">
        <f>'Forage crops, footprints'!L13</f>
        <v>3.5122388625340075E-4</v>
      </c>
      <c r="M86" s="351">
        <f>'Parameters, country spec'!G17</f>
        <v>0.88396763790970601</v>
      </c>
      <c r="N86" s="351">
        <f>'Parameters, country spec'!G35</f>
        <v>0.75114991922794205</v>
      </c>
      <c r="O86" s="83"/>
      <c r="P86" s="59">
        <f>K86*M86/K100*100</f>
        <v>65.84730536205879</v>
      </c>
    </row>
    <row r="87" spans="1:16" x14ac:dyDescent="0.2">
      <c r="B87" s="58" t="s">
        <v>268</v>
      </c>
      <c r="C87" s="18" t="s">
        <v>463</v>
      </c>
      <c r="D87" s="349" t="s">
        <v>89</v>
      </c>
      <c r="E87" s="349" t="s">
        <v>54</v>
      </c>
      <c r="F87" s="350">
        <f>'Forage crops, footprints'!F29</f>
        <v>0.61943752006156316</v>
      </c>
      <c r="G87" s="352">
        <f>'Forage crops, footprints'!G29</f>
        <v>8.6721252808618851E-3</v>
      </c>
      <c r="H87" s="352">
        <f>'Forage crops, footprints'!H29</f>
        <v>2.2919188242277837E-3</v>
      </c>
      <c r="I87" s="352">
        <f>'Forage crops, footprints'!I29</f>
        <v>0</v>
      </c>
      <c r="J87" s="371">
        <f>'Forage crops, footprints'!J29</f>
        <v>1.3255962929317451E-4</v>
      </c>
      <c r="K87" s="371">
        <f>'Forage crops, footprints'!K29</f>
        <v>2.7230457417882733E-12</v>
      </c>
      <c r="L87" s="371">
        <f>'Forage crops, footprints'!L29</f>
        <v>5.2721841100292265E-4</v>
      </c>
      <c r="M87" s="351">
        <f>'Parameters, country spec'!G18</f>
        <v>2.2255993489188101E-3</v>
      </c>
      <c r="N87" s="351">
        <f>'Parameters, country spec'!G36</f>
        <v>1.9608947623101902E-2</v>
      </c>
      <c r="O87" s="83"/>
      <c r="P87" s="59">
        <f>K87*M87/K100*100</f>
        <v>0.12755488629956477</v>
      </c>
    </row>
    <row r="88" spans="1:16" x14ac:dyDescent="0.2">
      <c r="B88" s="58" t="s">
        <v>465</v>
      </c>
      <c r="C88" s="18" t="s">
        <v>463</v>
      </c>
      <c r="D88" s="349" t="s">
        <v>89</v>
      </c>
      <c r="E88" s="349" t="s">
        <v>54</v>
      </c>
      <c r="F88" s="350">
        <f>'Forage, input data per ha'!$D$83*'Forage crops, footprints'!F45+'Forage, input data per ha'!$E$83*'Forage crops, footprints'!F61</f>
        <v>1.280237396640856</v>
      </c>
      <c r="G88" s="352">
        <f>'Forage, input data per ha'!$D$83*'Forage crops, footprints'!G45+'Forage, input data per ha'!$E$83*'Forage crops, footprints'!G61</f>
        <v>1.4251561059590623E-2</v>
      </c>
      <c r="H88" s="352">
        <f>'Forage, input data per ha'!$D$83*'Forage crops, footprints'!H45+'Forage, input data per ha'!$E$83*'Forage crops, footprints'!H61</f>
        <v>2.3874439895882327E-4</v>
      </c>
      <c r="I88" s="352">
        <f>'Forage, input data per ha'!$D$83*'Forage crops, footprints'!I45+'Forage, input data per ha'!$E$83*'Forage crops, footprints'!I61</f>
        <v>0</v>
      </c>
      <c r="J88" s="371">
        <f>'Forage, input data per ha'!$D$83*'Forage crops, footprints'!J45+'Forage, input data per ha'!$E$83*'Forage crops, footprints'!J61</f>
        <v>1.1526460023949485E-5</v>
      </c>
      <c r="K88" s="371">
        <f>'Forage, input data per ha'!$D$83*'Forage crops, footprints'!K45+'Forage, input data per ha'!$E$83*'Forage crops, footprints'!K61</f>
        <v>3.9309806577982172E-12</v>
      </c>
      <c r="L88" s="371">
        <f>'Forage, input data per ha'!$D$83*'Forage crops, footprints'!L45+'Forage, input data per ha'!$E$83*'Forage crops, footprints'!L61</f>
        <v>3.5119401202061929E-4</v>
      </c>
      <c r="M88" s="351">
        <f>'Parameters, country spec'!G19</f>
        <v>3.8602337218792001E-4</v>
      </c>
      <c r="N88" s="351">
        <f>'Parameters, country spec'!G37</f>
        <v>4.0112374212542402E-4</v>
      </c>
      <c r="O88" s="83"/>
      <c r="P88" s="59">
        <f>K88*M88/K100*100</f>
        <v>3.1938144749331147E-2</v>
      </c>
    </row>
    <row r="89" spans="1:16" x14ac:dyDescent="0.2">
      <c r="A89" s="353" t="s">
        <v>466</v>
      </c>
      <c r="B89" s="18" t="s">
        <v>274</v>
      </c>
      <c r="C89" s="18" t="s">
        <v>467</v>
      </c>
      <c r="D89" s="349" t="s">
        <v>89</v>
      </c>
      <c r="E89" s="349" t="s">
        <v>54</v>
      </c>
      <c r="F89" s="392">
        <v>1.35326054595943</v>
      </c>
      <c r="G89" s="393">
        <v>1.27206491320187E-2</v>
      </c>
      <c r="H89" s="393">
        <v>9.4728238217160396E-4</v>
      </c>
      <c r="I89" s="393">
        <v>0</v>
      </c>
      <c r="J89" s="395">
        <v>0.49429911929803699</v>
      </c>
      <c r="K89" s="395">
        <v>5.9489298724408499E-12</v>
      </c>
      <c r="L89" s="395">
        <v>1.0205419070028799E-3</v>
      </c>
      <c r="M89" s="351">
        <f>'Parameters, country spec'!G20</f>
        <v>4.7677794309569303E-2</v>
      </c>
      <c r="N89" s="351">
        <f>'Parameters, country spec'!G38</f>
        <v>9.7140944486754505E-2</v>
      </c>
      <c r="P89" s="59">
        <f>K89*M89/K100*100</f>
        <v>5.9696680549743846</v>
      </c>
    </row>
    <row r="90" spans="1:16" x14ac:dyDescent="0.2">
      <c r="A90" s="353" t="s">
        <v>468</v>
      </c>
      <c r="B90" s="18" t="s">
        <v>276</v>
      </c>
      <c r="C90" s="18" t="s">
        <v>467</v>
      </c>
      <c r="D90" s="349" t="s">
        <v>89</v>
      </c>
      <c r="E90" s="349" t="s">
        <v>54</v>
      </c>
      <c r="F90" s="408">
        <v>1.1291040108032699</v>
      </c>
      <c r="G90" s="409">
        <v>1.49038347238525E-2</v>
      </c>
      <c r="H90" s="409">
        <v>4.1775900362313904E-3</v>
      </c>
      <c r="I90" s="409">
        <v>4.0573939566E-2</v>
      </c>
      <c r="J90" s="410">
        <v>0.119829776279331</v>
      </c>
      <c r="K90" s="410">
        <v>1.35734567441708E-11</v>
      </c>
      <c r="L90" s="410">
        <v>1.4340993937730999E-3</v>
      </c>
      <c r="M90" s="351">
        <f>'Parameters, country spec'!G21</f>
        <v>1.3140930176321799E-2</v>
      </c>
      <c r="N90" s="351">
        <f>'Parameters, country spec'!G39</f>
        <v>2.6773939262145899E-2</v>
      </c>
      <c r="O90" t="s">
        <v>492</v>
      </c>
      <c r="P90" s="59">
        <f>K90*M90/K100*100</f>
        <v>3.7541511015892808</v>
      </c>
    </row>
    <row r="91" spans="1:16" x14ac:dyDescent="0.2">
      <c r="A91" s="353" t="s">
        <v>469</v>
      </c>
      <c r="B91" s="18" t="s">
        <v>278</v>
      </c>
      <c r="C91" s="18" t="s">
        <v>467</v>
      </c>
      <c r="D91" s="349" t="s">
        <v>89</v>
      </c>
      <c r="E91" s="349" t="s">
        <v>54</v>
      </c>
      <c r="F91" s="396">
        <v>1.30698794172925</v>
      </c>
      <c r="G91" s="393">
        <v>9.2785749182710594E-3</v>
      </c>
      <c r="H91" s="393">
        <v>1.9602623066769802E-3</v>
      </c>
      <c r="I91" s="393">
        <v>0</v>
      </c>
      <c r="J91" s="395">
        <v>0.27901604719794898</v>
      </c>
      <c r="K91" s="395">
        <v>5.7455156234978196E-12</v>
      </c>
      <c r="L91" s="395">
        <v>7.4439397259428504E-4</v>
      </c>
      <c r="M91" s="351">
        <f>'Parameters, country spec'!G22</f>
        <v>2.7481478125062899E-3</v>
      </c>
      <c r="N91" s="351">
        <f>'Parameters, country spec'!G40</f>
        <v>5.5992035288690298E-3</v>
      </c>
      <c r="P91" s="59">
        <f>K91*M91/K100*100</f>
        <v>0.33232596590355201</v>
      </c>
    </row>
    <row r="92" spans="1:16" x14ac:dyDescent="0.2">
      <c r="A92" s="353" t="s">
        <v>470</v>
      </c>
      <c r="B92" s="18" t="s">
        <v>280</v>
      </c>
      <c r="C92" s="18" t="s">
        <v>467</v>
      </c>
      <c r="D92" s="349" t="s">
        <v>89</v>
      </c>
      <c r="E92" s="349" t="s">
        <v>54</v>
      </c>
      <c r="F92" s="396">
        <v>2.4432315157319699</v>
      </c>
      <c r="G92" s="393">
        <v>2.3211633118504299E-2</v>
      </c>
      <c r="H92" s="393">
        <v>1.7103308613634701E-3</v>
      </c>
      <c r="I92" s="393">
        <v>3.4943905220000002E-4</v>
      </c>
      <c r="J92" s="395">
        <v>0.21293031415070801</v>
      </c>
      <c r="K92" s="395">
        <v>2.9371162423902602E-11</v>
      </c>
      <c r="L92" s="395">
        <v>2.2335049737538899E-3</v>
      </c>
      <c r="M92" s="351">
        <f>'Parameters, country spec'!G23</f>
        <v>0</v>
      </c>
      <c r="N92" s="351">
        <f>'Parameters, country spec'!G41</f>
        <v>0</v>
      </c>
      <c r="P92" s="59">
        <f>K92*M92/K100*100</f>
        <v>0</v>
      </c>
    </row>
    <row r="93" spans="1:16" x14ac:dyDescent="0.2">
      <c r="A93" s="353" t="s">
        <v>471</v>
      </c>
      <c r="B93" s="18" t="s">
        <v>281</v>
      </c>
      <c r="C93" s="18" t="s">
        <v>467</v>
      </c>
      <c r="D93" s="349" t="s">
        <v>89</v>
      </c>
      <c r="E93" s="349" t="s">
        <v>54</v>
      </c>
      <c r="F93" s="396">
        <v>1.10929187244031</v>
      </c>
      <c r="G93" s="393">
        <v>1.6972165648336701E-2</v>
      </c>
      <c r="H93" s="393">
        <v>1.5530086214164301E-3</v>
      </c>
      <c r="I93" s="393">
        <v>0</v>
      </c>
      <c r="J93" s="395">
        <v>0.75710778767266096</v>
      </c>
      <c r="K93" s="395">
        <v>4.8764442124021097E-12</v>
      </c>
      <c r="L93" s="395">
        <v>1.36162912104263E-3</v>
      </c>
      <c r="M93" s="351">
        <f>'Parameters, country spec'!G24</f>
        <v>2.0477632235899601E-2</v>
      </c>
      <c r="N93" s="351">
        <f>'Parameters, country spec'!G42</f>
        <v>4.17220755624313E-2</v>
      </c>
      <c r="P93" s="59">
        <f>K93*M93/K100*100</f>
        <v>2.101736066520735</v>
      </c>
    </row>
    <row r="94" spans="1:16" x14ac:dyDescent="0.2">
      <c r="A94" s="353" t="s">
        <v>472</v>
      </c>
      <c r="B94" s="18" t="s">
        <v>282</v>
      </c>
      <c r="C94" s="18" t="s">
        <v>473</v>
      </c>
      <c r="D94" s="349" t="s">
        <v>89</v>
      </c>
      <c r="E94" s="349" t="s">
        <v>54</v>
      </c>
      <c r="F94" s="396">
        <v>2.18183404970218</v>
      </c>
      <c r="G94" s="393">
        <v>3.44E-2</v>
      </c>
      <c r="H94" s="393">
        <v>1.0910422482772999E-3</v>
      </c>
      <c r="I94" s="393">
        <v>0</v>
      </c>
      <c r="J94" s="395">
        <v>0.38005192765038298</v>
      </c>
      <c r="K94" s="395">
        <v>9.5913368595103996E-12</v>
      </c>
      <c r="L94" s="395">
        <v>0</v>
      </c>
      <c r="M94" s="351">
        <f>'Parameters, country spec'!G25</f>
        <v>2.8121535473625199E-5</v>
      </c>
      <c r="N94" s="351">
        <f>'Parameters, country spec'!G43</f>
        <v>8.7938670638632895E-5</v>
      </c>
      <c r="P94" s="59">
        <f>K94*M94/K100*100</f>
        <v>5.6769275530971818E-3</v>
      </c>
    </row>
    <row r="95" spans="1:16" x14ac:dyDescent="0.2">
      <c r="A95" s="353" t="s">
        <v>474</v>
      </c>
      <c r="B95" s="18" t="s">
        <v>283</v>
      </c>
      <c r="C95" s="18" t="s">
        <v>473</v>
      </c>
      <c r="D95" s="349" t="s">
        <v>89</v>
      </c>
      <c r="E95" s="349" t="s">
        <v>54</v>
      </c>
      <c r="F95" s="411">
        <v>2.0306300232710202</v>
      </c>
      <c r="G95" s="411">
        <v>4.0406126004654201E-2</v>
      </c>
      <c r="H95" s="411">
        <v>8.1225200930840796E-4</v>
      </c>
      <c r="I95" s="412">
        <v>0</v>
      </c>
      <c r="J95" s="413">
        <v>0.37422237023258798</v>
      </c>
      <c r="K95" s="413">
        <v>8.9266443489991099E-12</v>
      </c>
      <c r="L95" s="413">
        <v>3.2582347250661698E-5</v>
      </c>
      <c r="M95" s="351">
        <f>'Parameters, country spec'!G26</f>
        <v>2.76246147491182E-5</v>
      </c>
      <c r="N95" s="351">
        <f>'Parameters, country spec'!G44</f>
        <v>8.6384753409677397E-5</v>
      </c>
      <c r="P95" s="59">
        <f>K95*M95/K100*100</f>
        <v>5.1901467782555881E-3</v>
      </c>
    </row>
    <row r="96" spans="1:16" x14ac:dyDescent="0.2">
      <c r="B96" s="58" t="s">
        <v>284</v>
      </c>
      <c r="C96" s="18" t="s">
        <v>475</v>
      </c>
      <c r="D96" s="349" t="s">
        <v>490</v>
      </c>
      <c r="E96" s="349"/>
      <c r="F96" s="54">
        <f>'Off-farm feed'!$F$88</f>
        <v>1.5397450382845068</v>
      </c>
      <c r="G96" s="83">
        <f>'Off-farm feed'!$G$88</f>
        <v>2.276724967641296E-2</v>
      </c>
      <c r="H96" s="83">
        <f>'Off-farm feed'!$H$88</f>
        <v>2.4780679919905292E-3</v>
      </c>
      <c r="I96" s="83">
        <f>'Off-farm feed'!$I$88</f>
        <v>8.1100925319702543E-4</v>
      </c>
      <c r="J96" s="372">
        <f>'Off-farm feed'!$J$88</f>
        <v>0.29368572248181479</v>
      </c>
      <c r="K96" s="372">
        <f>'Off-farm feed'!$K$88</f>
        <v>1.2571008272056975E-11</v>
      </c>
      <c r="L96" s="372">
        <f>'Off-farm feed'!$L$88</f>
        <v>1.3841258986185109E-3</v>
      </c>
      <c r="M96" s="351">
        <f>'Parameters, country spec'!G27</f>
        <v>1.50556518569814E-3</v>
      </c>
      <c r="N96" s="351">
        <f>'Parameters, country spec'!G45</f>
        <v>4.70804310319847E-3</v>
      </c>
      <c r="P96" s="59">
        <f>K96*M96/K100*100</f>
        <v>0.39835002937984415</v>
      </c>
    </row>
    <row r="97" spans="1:16" x14ac:dyDescent="0.2">
      <c r="B97" s="58" t="s">
        <v>476</v>
      </c>
      <c r="C97" s="18" t="s">
        <v>475</v>
      </c>
      <c r="D97" s="349" t="s">
        <v>491</v>
      </c>
      <c r="E97" s="349"/>
      <c r="F97" s="54">
        <f>'Off-farm feed'!$F$36</f>
        <v>2.5509164954964105</v>
      </c>
      <c r="G97" s="83">
        <f>'Off-farm feed'!$G$36</f>
        <v>4.2620923125915401E-2</v>
      </c>
      <c r="H97" s="83">
        <f>'Off-farm feed'!$H$36</f>
        <v>3.2959349471355006E-3</v>
      </c>
      <c r="I97" s="83">
        <f>'Off-farm feed'!$I$36</f>
        <v>2.435286335413451E-3</v>
      </c>
      <c r="J97" s="372">
        <f>'Off-farm feed'!$J$36</f>
        <v>0.25920846302270906</v>
      </c>
      <c r="K97" s="372">
        <f>'Off-farm feed'!$K$36</f>
        <v>1.4553836091881654E-10</v>
      </c>
      <c r="L97" s="372">
        <f>'Off-farm feed'!$L$36</f>
        <v>1.0450321677831977E-4</v>
      </c>
      <c r="M97" s="351">
        <f>'Parameters, country spec'!G28</f>
        <v>2.86495692625428E-3</v>
      </c>
      <c r="N97" s="351">
        <f>'Parameters, country spec'!G46</f>
        <v>8.9589881795904807E-3</v>
      </c>
      <c r="P97" s="59">
        <f>K97*M97/K100*100</f>
        <v>8.7758815745442273</v>
      </c>
    </row>
    <row r="98" spans="1:16" x14ac:dyDescent="0.2">
      <c r="B98" s="18" t="s">
        <v>286</v>
      </c>
      <c r="C98" s="18" t="s">
        <v>477</v>
      </c>
      <c r="D98" s="349" t="s">
        <v>89</v>
      </c>
      <c r="E98" s="349" t="s">
        <v>54</v>
      </c>
      <c r="F98" s="396">
        <v>9.9836268519627805E-2</v>
      </c>
      <c r="G98" s="396">
        <v>1.52749490835031E-3</v>
      </c>
      <c r="H98" s="396">
        <v>1.3977077592747901E-4</v>
      </c>
      <c r="I98" s="395">
        <v>0</v>
      </c>
      <c r="J98" s="395">
        <v>6.8139700890539501E-2</v>
      </c>
      <c r="K98" s="395">
        <v>4.3887997911619E-13</v>
      </c>
      <c r="L98" s="395">
        <v>1.2254662089383701E-4</v>
      </c>
      <c r="M98" s="351">
        <f>'Parameters, country spec'!G29</f>
        <v>1.02158904527991E-2</v>
      </c>
      <c r="N98" s="351">
        <f>'Parameters, country spec'!G47</f>
        <v>1.74137385912514E-2</v>
      </c>
      <c r="P98" s="59">
        <f>K98*M98/K100*100</f>
        <v>9.4366353746544479E-2</v>
      </c>
    </row>
    <row r="99" spans="1:16" x14ac:dyDescent="0.2">
      <c r="A99" s="354"/>
      <c r="B99" s="18" t="s">
        <v>478</v>
      </c>
      <c r="C99" s="355" t="s">
        <v>479</v>
      </c>
      <c r="D99" s="349" t="s">
        <v>89</v>
      </c>
      <c r="E99" s="349" t="s">
        <v>54</v>
      </c>
      <c r="F99" s="356">
        <f t="shared" ref="F99:L99" si="5">AVERAGE(F89:F97)</f>
        <v>1.7383334992687054</v>
      </c>
      <c r="G99" s="401">
        <f t="shared" si="5"/>
        <v>2.4142350705329538E-2</v>
      </c>
      <c r="H99" s="401">
        <f t="shared" si="5"/>
        <v>2.0028634893968461E-3</v>
      </c>
      <c r="I99" s="401">
        <f t="shared" si="5"/>
        <v>4.9077415785344974E-3</v>
      </c>
      <c r="J99" s="375">
        <f t="shared" si="5"/>
        <v>0.35226128088735348</v>
      </c>
      <c r="K99" s="375">
        <f t="shared" si="5"/>
        <v>2.6238095475088581E-11</v>
      </c>
      <c r="L99" s="375">
        <f t="shared" si="5"/>
        <v>9.2393120342380863E-4</v>
      </c>
      <c r="M99" s="351">
        <f>'Parameters, country spec'!G30</f>
        <v>1.4734076119915901E-2</v>
      </c>
      <c r="N99" s="351">
        <f>'Parameters, country spec'!G48</f>
        <v>2.6348753268541001E-2</v>
      </c>
      <c r="P99" s="59">
        <f>K99*M99/K100*100</f>
        <v>8.1367391770063886</v>
      </c>
    </row>
    <row r="100" spans="1:16" x14ac:dyDescent="0.2">
      <c r="A100" s="357"/>
      <c r="B100" s="358" t="s">
        <v>480</v>
      </c>
      <c r="C100" s="359"/>
      <c r="D100" s="360"/>
      <c r="E100" s="360"/>
      <c r="F100" s="361">
        <f>SUMPRODUCT(F86:F88,M86:M88)+SUMPRODUCT(F89:F99,M89:M99)/0.87</f>
        <v>0.165139465860623</v>
      </c>
      <c r="G100" s="403">
        <f>SUMPRODUCT(G86:G88,M86:M88)+SUMPRODUCT(G89:G99,M89:M99)/0.87</f>
        <v>1.4580334722243671E-2</v>
      </c>
      <c r="H100" s="403">
        <f>SUMPRODUCT(H86:H88,M86:M88)+SUMPRODUCT(H89:H99,M89:M99)/0.87</f>
        <v>4.2452435911717894E-4</v>
      </c>
      <c r="I100" s="403">
        <f>SUMPRODUCT(I86:I88,M86:M88)+SUMPRODUCT(I89:I99,M89:M99)/0.87</f>
        <v>7.0538892248397423E-4</v>
      </c>
      <c r="J100" s="376">
        <f>SUMPRODUCT(J86:J88,M86:M88)+SUMPRODUCT(J89:J99,M89:M99)/0.87</f>
        <v>5.5752575748726454E-2</v>
      </c>
      <c r="K100" s="376">
        <f>SUMPRODUCT(K86:K88,M86:M88)+SUMPRODUCT(K89:K99,M89:M99)/0.87</f>
        <v>4.751216520053296E-12</v>
      </c>
      <c r="L100" s="376">
        <f>SUMPRODUCT(L86:L88,M86:M88)+SUMPRODUCT(L89:L99,M89:M99)/0.87</f>
        <v>4.435962960384348E-4</v>
      </c>
      <c r="M100" s="362"/>
      <c r="N100" s="369"/>
    </row>
    <row r="101" spans="1:16" x14ac:dyDescent="0.2">
      <c r="A101" s="363"/>
      <c r="B101" s="364" t="s">
        <v>481</v>
      </c>
      <c r="C101" s="365"/>
      <c r="D101" s="366"/>
      <c r="E101" s="366"/>
      <c r="F101" s="367">
        <f>SUMPRODUCT(F86:F89,N86:N89)+SUMPRODUCT(F90:F100,N90:N100)/0.87</f>
        <v>0.33014252571102032</v>
      </c>
      <c r="G101" s="404">
        <f>SUMPRODUCT(G86:G89,N86:N89)+SUMPRODUCT(G90:G100,N90:N100)/0.87</f>
        <v>1.4778154404338387E-2</v>
      </c>
      <c r="H101" s="404">
        <f>SUMPRODUCT(H86:H89,N86:N89)+SUMPRODUCT(H90:H100,N90:N100)/0.87</f>
        <v>6.4284541044548377E-4</v>
      </c>
      <c r="I101" s="404">
        <f>SUMPRODUCT(I86:I89,N86:N89)+SUMPRODUCT(I90:I100,N90:N100)/0.87</f>
        <v>1.4267506132628269E-3</v>
      </c>
      <c r="J101" s="377">
        <f>SUMPRODUCT(J86:J89,N86:N89)+SUMPRODUCT(J90:J100,N90:N100)/0.87</f>
        <v>0.10617742819892717</v>
      </c>
      <c r="K101" s="377">
        <f>SUMPRODUCT(K86:K89,N86:N89)+SUMPRODUCT(K90:K100,N90:N100)/0.87</f>
        <v>6.3519104936748783E-12</v>
      </c>
      <c r="L101" s="377">
        <f>SUMPRODUCT(L86:L89,N86:N89)+SUMPRODUCT(L90:L100,N90:N100)/0.87</f>
        <v>5.2666543994186413E-4</v>
      </c>
      <c r="M101" s="368"/>
      <c r="N101" s="368"/>
    </row>
    <row r="102" spans="1:16" x14ac:dyDescent="0.2">
      <c r="B102" s="58" t="s">
        <v>264</v>
      </c>
      <c r="C102" s="18" t="s">
        <v>463</v>
      </c>
      <c r="D102" s="349" t="s">
        <v>55</v>
      </c>
      <c r="E102" s="349" t="s">
        <v>56</v>
      </c>
      <c r="F102" s="350">
        <v>0</v>
      </c>
      <c r="G102" s="352">
        <f>'Forage crops, footprints'!G14</f>
        <v>1.4248888174213348E-2</v>
      </c>
      <c r="H102" s="391">
        <f>'Forage crops, footprints'!H14</f>
        <v>2.3847872238080549E-4</v>
      </c>
      <c r="I102" s="352">
        <f>'Forage crops, footprints'!I14</f>
        <v>0</v>
      </c>
      <c r="J102" s="371">
        <f>'Forage crops, footprints'!J14</f>
        <v>0</v>
      </c>
      <c r="K102" s="371">
        <f>'Forage crops, footprints'!K14</f>
        <v>8.6954670873459005E-11</v>
      </c>
      <c r="L102" s="371">
        <f>'Forage crops, footprints'!L14</f>
        <v>3.5122388625340032E-4</v>
      </c>
      <c r="M102" s="351">
        <f>'Parameters, country spec'!H17</f>
        <v>0.23110601329913999</v>
      </c>
      <c r="N102" s="351">
        <f>'Parameters, country spec'!H35</f>
        <v>0.40067105954621901</v>
      </c>
      <c r="O102" s="83"/>
      <c r="P102" s="59">
        <f>K102*M102/K116*100</f>
        <v>26.361162089772776</v>
      </c>
    </row>
    <row r="103" spans="1:16" x14ac:dyDescent="0.2">
      <c r="B103" s="58" t="s">
        <v>268</v>
      </c>
      <c r="C103" s="18" t="s">
        <v>463</v>
      </c>
      <c r="D103" s="349" t="s">
        <v>55</v>
      </c>
      <c r="E103" s="349" t="s">
        <v>56</v>
      </c>
      <c r="F103" s="350">
        <f>'Forage crops, footprints'!F30</f>
        <v>0.51445196317795649</v>
      </c>
      <c r="G103" s="352">
        <f>'Forage crops, footprints'!G30</f>
        <v>7.6719017232219043E-3</v>
      </c>
      <c r="H103" s="352">
        <f>'Forage crops, footprints'!H30</f>
        <v>1.347719227480283E-4</v>
      </c>
      <c r="I103" s="352">
        <f>'Forage crops, footprints'!I30</f>
        <v>5.5496587714507512E-3</v>
      </c>
      <c r="J103" s="371">
        <f>'Forage crops, footprints'!J30</f>
        <v>6.7567011968587524E-5</v>
      </c>
      <c r="K103" s="371">
        <f>'Forage crops, footprints'!K30</f>
        <v>2.768426540722231E-11</v>
      </c>
      <c r="L103" s="371">
        <f>'Forage crops, footprints'!L30</f>
        <v>4.664102172063691E-4</v>
      </c>
      <c r="M103" s="351">
        <f>'Parameters, country spec'!H18</f>
        <v>0.356828284731325</v>
      </c>
      <c r="N103" s="351">
        <f>'Parameters, country spec'!H36</f>
        <v>0.27744597499526502</v>
      </c>
      <c r="O103" s="83"/>
      <c r="P103" s="59">
        <f>K103*M103/K116*100</f>
        <v>12.958438339616807</v>
      </c>
    </row>
    <row r="104" spans="1:16" x14ac:dyDescent="0.2">
      <c r="B104" s="58" t="s">
        <v>465</v>
      </c>
      <c r="C104" s="18" t="s">
        <v>463</v>
      </c>
      <c r="D104" s="349" t="s">
        <v>55</v>
      </c>
      <c r="E104" s="349" t="s">
        <v>56</v>
      </c>
      <c r="F104" s="350">
        <f>'Forage, input data per ha'!$D$84*'Forage crops, footprints'!F46+'Forage, input data per ha'!$E$84*'Forage crops, footprints'!F62</f>
        <v>1.2021385208157924</v>
      </c>
      <c r="G104" s="352">
        <f>'Forage, input data per ha'!$D$84*'Forage crops, footprints'!G46+'Forage, input data per ha'!$E$84*'Forage crops, footprints'!G62</f>
        <v>2.8632234529458782E-2</v>
      </c>
      <c r="H104" s="352">
        <f>'Forage, input data per ha'!$D$84*'Forage crops, footprints'!H46+'Forage, input data per ha'!$E$84*'Forage crops, footprints'!H62</f>
        <v>1.6681390709343638E-3</v>
      </c>
      <c r="I104" s="352">
        <f>'Forage, input data per ha'!$D$84*'Forage crops, footprints'!I46+'Forage, input data per ha'!$E$84*'Forage crops, footprints'!I62</f>
        <v>0</v>
      </c>
      <c r="J104" s="371">
        <f>'Forage, input data per ha'!$D$84*'Forage crops, footprints'!J46+'Forage, input data per ha'!$E$84*'Forage crops, footprints'!J62</f>
        <v>5.2923808259331617E-5</v>
      </c>
      <c r="K104" s="371">
        <f>'Forage, input data per ha'!$D$84*'Forage crops, footprints'!K46+'Forage, input data per ha'!$E$84*'Forage crops, footprints'!K62</f>
        <v>4.3536205896865046E-11</v>
      </c>
      <c r="L104" s="371">
        <f>'Forage, input data per ha'!$D$84*'Forage crops, footprints'!L46+'Forage, input data per ha'!$E$84*'Forage crops, footprints'!L62</f>
        <v>1.9046449086430241E-4</v>
      </c>
      <c r="M104" s="351">
        <f>'Parameters, country spec'!H19</f>
        <v>3.5685456379476198E-2</v>
      </c>
      <c r="N104" s="351">
        <f>'Parameters, country spec'!H37</f>
        <v>7.1895313213819104E-2</v>
      </c>
      <c r="O104" s="83"/>
      <c r="P104" s="59">
        <f>K104*M104/K116*100</f>
        <v>2.0379908215491978</v>
      </c>
    </row>
    <row r="105" spans="1:16" x14ac:dyDescent="0.2">
      <c r="A105" s="353" t="s">
        <v>466</v>
      </c>
      <c r="B105" s="18" t="s">
        <v>274</v>
      </c>
      <c r="C105" s="18" t="s">
        <v>467</v>
      </c>
      <c r="D105" s="349" t="s">
        <v>55</v>
      </c>
      <c r="E105" s="349" t="s">
        <v>56</v>
      </c>
      <c r="F105" s="392">
        <v>2.3945213351850998</v>
      </c>
      <c r="G105" s="393">
        <v>2.2508500550739899E-2</v>
      </c>
      <c r="H105" s="393">
        <v>1.6761649346295701E-3</v>
      </c>
      <c r="I105" s="393">
        <v>0</v>
      </c>
      <c r="J105" s="395">
        <v>0.25300416646712298</v>
      </c>
      <c r="K105" s="395">
        <v>1.2885666478366499E-10</v>
      </c>
      <c r="L105" s="395">
        <v>3.4813267475086698E-3</v>
      </c>
      <c r="M105" s="351">
        <f>'Parameters, country spec'!H20</f>
        <v>2.0715426785277101E-3</v>
      </c>
      <c r="N105" s="351">
        <f>'Parameters, country spec'!H38</f>
        <v>3.0038264722936601E-3</v>
      </c>
      <c r="P105" s="59">
        <f>K105*M105/K116*100</f>
        <v>0.35015566866626302</v>
      </c>
    </row>
    <row r="106" spans="1:16" x14ac:dyDescent="0.2">
      <c r="A106" s="353" t="s">
        <v>468</v>
      </c>
      <c r="B106" s="18" t="s">
        <v>276</v>
      </c>
      <c r="C106" s="18" t="s">
        <v>467</v>
      </c>
      <c r="D106" s="349" t="s">
        <v>55</v>
      </c>
      <c r="E106" s="349" t="s">
        <v>56</v>
      </c>
      <c r="F106" s="396">
        <v>0.98746121746068405</v>
      </c>
      <c r="G106" s="393">
        <v>1.30341922802828E-2</v>
      </c>
      <c r="H106" s="393">
        <v>3.6535235937156202E-3</v>
      </c>
      <c r="I106" s="393">
        <v>3.5040686212000002E-2</v>
      </c>
      <c r="J106" s="395">
        <v>0.206655389859563</v>
      </c>
      <c r="K106" s="395">
        <v>5.3138369333161899E-11</v>
      </c>
      <c r="L106" s="395">
        <v>2.0159620191149401E-3</v>
      </c>
      <c r="M106" s="351">
        <f>'Parameters, country spec'!H21</f>
        <v>1.3545550548587301E-2</v>
      </c>
      <c r="N106" s="351">
        <f>'Parameters, country spec'!H39</f>
        <v>1.9641634105452999E-2</v>
      </c>
      <c r="P106" s="59">
        <f>K106*M106/K116*100</f>
        <v>0.94420277915792017</v>
      </c>
    </row>
    <row r="107" spans="1:16" x14ac:dyDescent="0.2">
      <c r="A107" s="353" t="s">
        <v>469</v>
      </c>
      <c r="B107" s="18" t="s">
        <v>278</v>
      </c>
      <c r="C107" s="18" t="s">
        <v>467</v>
      </c>
      <c r="D107" s="349" t="s">
        <v>55</v>
      </c>
      <c r="E107" s="349" t="s">
        <v>56</v>
      </c>
      <c r="F107" s="396">
        <v>4.2714598141060698</v>
      </c>
      <c r="G107" s="393">
        <v>3.0323967521176699E-2</v>
      </c>
      <c r="H107" s="393">
        <v>6.4064720115162002E-3</v>
      </c>
      <c r="I107" s="393">
        <v>0</v>
      </c>
      <c r="J107" s="395">
        <v>0.19333054264625499</v>
      </c>
      <c r="K107" s="395">
        <v>2.29860581033669E-10</v>
      </c>
      <c r="L107" s="395">
        <v>4.6901231374377999E-3</v>
      </c>
      <c r="M107" s="351">
        <f>'Parameters, country spec'!H22</f>
        <v>4.3020459338475702E-4</v>
      </c>
      <c r="N107" s="351">
        <f>'Parameters, country spec'!H40</f>
        <v>6.2381526525205101E-4</v>
      </c>
      <c r="P107" s="59">
        <f>K107*M107/K116*100</f>
        <v>0.12971790720191334</v>
      </c>
    </row>
    <row r="108" spans="1:16" x14ac:dyDescent="0.2">
      <c r="A108" s="353" t="s">
        <v>470</v>
      </c>
      <c r="B108" s="18" t="s">
        <v>280</v>
      </c>
      <c r="C108" s="18" t="s">
        <v>467</v>
      </c>
      <c r="D108" s="349" t="s">
        <v>55</v>
      </c>
      <c r="E108" s="349" t="s">
        <v>56</v>
      </c>
      <c r="F108" s="396">
        <v>3.1183151119787</v>
      </c>
      <c r="G108" s="393">
        <v>2.9625185276579299E-2</v>
      </c>
      <c r="H108" s="393">
        <v>2.1829083888005802E-3</v>
      </c>
      <c r="I108" s="393">
        <v>1.0795963210799999E-2</v>
      </c>
      <c r="J108" s="395">
        <v>5.0338960852672103E-3</v>
      </c>
      <c r="K108" s="395">
        <v>1.67806266400636E-10</v>
      </c>
      <c r="L108" s="395">
        <v>4.5820444445316601E-3</v>
      </c>
      <c r="M108" s="351">
        <f>'Parameters, country spec'!H23</f>
        <v>3.4277130847484903E-5</v>
      </c>
      <c r="N108" s="351">
        <f>'Parameters, country spec'!H41</f>
        <v>4.9703321891174897E-5</v>
      </c>
      <c r="P108" s="59">
        <f>K108*M108/K116*100</f>
        <v>7.5452394560195047E-3</v>
      </c>
    </row>
    <row r="109" spans="1:16" x14ac:dyDescent="0.2">
      <c r="A109" s="353" t="s">
        <v>471</v>
      </c>
      <c r="B109" s="18" t="s">
        <v>281</v>
      </c>
      <c r="C109" s="18" t="s">
        <v>467</v>
      </c>
      <c r="D109" s="349" t="s">
        <v>55</v>
      </c>
      <c r="E109" s="349" t="s">
        <v>56</v>
      </c>
      <c r="F109" s="396">
        <v>2.6013214713074202</v>
      </c>
      <c r="G109" s="393">
        <v>3.9800218511003599E-2</v>
      </c>
      <c r="H109" s="393">
        <v>3.6418500598303901E-3</v>
      </c>
      <c r="I109" s="393">
        <v>8.6726536024000003E-3</v>
      </c>
      <c r="J109" s="395">
        <v>0.16899432911919299</v>
      </c>
      <c r="K109" s="395">
        <v>1.3998522539658301E-10</v>
      </c>
      <c r="L109" s="395">
        <v>6.1557883407960699E-3</v>
      </c>
      <c r="M109" s="351">
        <f>'Parameters, country spec'!H24</f>
        <v>1.9621876036942901E-3</v>
      </c>
      <c r="N109" s="351">
        <f>'Parameters, country spec'!H42</f>
        <v>2.8451429826063701E-3</v>
      </c>
      <c r="P109" s="59">
        <f>K109*M109/K116*100</f>
        <v>0.36031564415602857</v>
      </c>
    </row>
    <row r="110" spans="1:16" x14ac:dyDescent="0.2">
      <c r="A110" s="353" t="s">
        <v>472</v>
      </c>
      <c r="B110" s="18" t="s">
        <v>282</v>
      </c>
      <c r="C110" s="18" t="s">
        <v>473</v>
      </c>
      <c r="D110" s="349" t="s">
        <v>55</v>
      </c>
      <c r="E110" s="349" t="s">
        <v>56</v>
      </c>
      <c r="F110" s="396">
        <v>3.57099495061314</v>
      </c>
      <c r="G110" s="393">
        <v>3.44E-2</v>
      </c>
      <c r="H110" s="393">
        <v>1.7857024277514E-3</v>
      </c>
      <c r="I110" s="393">
        <v>1.2925079856000001E-3</v>
      </c>
      <c r="J110" s="395">
        <v>6.0443017633573098E-2</v>
      </c>
      <c r="K110" s="395">
        <v>1.9216638103571101E-10</v>
      </c>
      <c r="L110" s="395">
        <v>0</v>
      </c>
      <c r="M110" s="351">
        <f>'Parameters, country spec'!H25</f>
        <v>2.2097674164487098E-3</v>
      </c>
      <c r="N110" s="351">
        <f>'Parameters, country spec'!H43</f>
        <v>7.8267619629309002E-4</v>
      </c>
      <c r="P110" s="59">
        <f>K110*M110/K116*100</f>
        <v>0.55703741527689865</v>
      </c>
    </row>
    <row r="111" spans="1:16" x14ac:dyDescent="0.2">
      <c r="A111" s="353" t="s">
        <v>474</v>
      </c>
      <c r="B111" s="18" t="s">
        <v>283</v>
      </c>
      <c r="C111" s="18" t="s">
        <v>473</v>
      </c>
      <c r="D111" s="349" t="s">
        <v>55</v>
      </c>
      <c r="E111" s="349" t="s">
        <v>56</v>
      </c>
      <c r="F111" s="396">
        <v>5.0595509142608499</v>
      </c>
      <c r="G111" s="393">
        <v>4.1011910182852197E-2</v>
      </c>
      <c r="H111" s="393">
        <v>2.02382036570434E-3</v>
      </c>
      <c r="I111" s="393">
        <v>1.7974985124000001E-3</v>
      </c>
      <c r="J111" s="395">
        <v>8.5638464729870606E-2</v>
      </c>
      <c r="K111" s="395">
        <v>2.7227022225066201E-10</v>
      </c>
      <c r="L111" s="395">
        <v>1.5650931423434399E-4</v>
      </c>
      <c r="M111" s="351">
        <f>'Parameters, country spec'!H26</f>
        <v>2.1707198077583999E-3</v>
      </c>
      <c r="N111" s="351">
        <f>'Parameters, country spec'!H44</f>
        <v>7.6884594730627497E-4</v>
      </c>
      <c r="P111" s="59">
        <f>K111*M111/K116*100</f>
        <v>0.77529021930219078</v>
      </c>
    </row>
    <row r="112" spans="1:16" x14ac:dyDescent="0.2">
      <c r="B112" s="58" t="s">
        <v>284</v>
      </c>
      <c r="C112" s="18" t="s">
        <v>475</v>
      </c>
      <c r="D112" s="349" t="s">
        <v>490</v>
      </c>
      <c r="E112" s="349"/>
      <c r="F112" s="54">
        <f>'Off-farm feed'!$F$88</f>
        <v>1.5397450382845068</v>
      </c>
      <c r="G112" s="83">
        <f>'Off-farm feed'!$G$88</f>
        <v>2.276724967641296E-2</v>
      </c>
      <c r="H112" s="83">
        <f>'Off-farm feed'!$H$88</f>
        <v>2.4780679919905292E-3</v>
      </c>
      <c r="I112" s="83">
        <f>'Off-farm feed'!$I$88</f>
        <v>8.1100925319702543E-4</v>
      </c>
      <c r="J112" s="372">
        <f>'Off-farm feed'!$J$88</f>
        <v>0.29368572248181479</v>
      </c>
      <c r="K112" s="372">
        <f>'Off-farm feed'!$K$88</f>
        <v>1.2571008272056975E-11</v>
      </c>
      <c r="L112" s="372">
        <f>'Off-farm feed'!$L$88</f>
        <v>1.3841258986185109E-3</v>
      </c>
      <c r="M112" s="351">
        <f>'Parameters, country spec'!H27</f>
        <v>3.7222010695302202E-3</v>
      </c>
      <c r="N112" s="351">
        <f>'Parameters, country spec'!H45</f>
        <v>1.3183641649379199E-3</v>
      </c>
      <c r="P112" s="59">
        <f>K112*M112/K116*100</f>
        <v>6.1380487280545307E-2</v>
      </c>
    </row>
    <row r="113" spans="1:16" x14ac:dyDescent="0.2">
      <c r="B113" s="58" t="s">
        <v>476</v>
      </c>
      <c r="C113" s="18" t="s">
        <v>475</v>
      </c>
      <c r="D113" s="349" t="s">
        <v>491</v>
      </c>
      <c r="E113" s="349"/>
      <c r="F113" s="54">
        <f>'Off-farm feed'!$F$36</f>
        <v>2.5509164954964105</v>
      </c>
      <c r="G113" s="83">
        <f>'Off-farm feed'!$G$36</f>
        <v>4.2620923125915401E-2</v>
      </c>
      <c r="H113" s="83">
        <f>'Off-farm feed'!$H$36</f>
        <v>3.2959349471355006E-3</v>
      </c>
      <c r="I113" s="83">
        <f>'Off-farm feed'!$I$36</f>
        <v>2.435286335413451E-3</v>
      </c>
      <c r="J113" s="372">
        <f>'Off-farm feed'!$J$36</f>
        <v>0.25920846302270906</v>
      </c>
      <c r="K113" s="372">
        <f>'Off-farm feed'!$K$36</f>
        <v>1.4553836091881654E-10</v>
      </c>
      <c r="L113" s="372">
        <f>'Off-farm feed'!$L$36</f>
        <v>1.0450321677831977E-4</v>
      </c>
      <c r="M113" s="351">
        <f>'Parameters, country spec'!H28</f>
        <v>9.1896848360344105E-2</v>
      </c>
      <c r="N113" s="351">
        <f>'Parameters, country spec'!H46</f>
        <v>3.25488896268918E-2</v>
      </c>
      <c r="P113" s="59">
        <f>K113*M113/K116*100</f>
        <v>17.544398648446222</v>
      </c>
    </row>
    <row r="114" spans="1:16" x14ac:dyDescent="0.2">
      <c r="B114" s="18" t="s">
        <v>286</v>
      </c>
      <c r="C114" s="18" t="s">
        <v>477</v>
      </c>
      <c r="D114" s="349" t="s">
        <v>55</v>
      </c>
      <c r="E114" s="349" t="s">
        <v>56</v>
      </c>
      <c r="F114" s="396">
        <v>0.23411893241766801</v>
      </c>
      <c r="G114" s="396">
        <v>3.5820196659903198E-3</v>
      </c>
      <c r="H114" s="396">
        <v>3.2776650538473499E-4</v>
      </c>
      <c r="I114" s="395">
        <v>7.8053882421600003E-4</v>
      </c>
      <c r="J114" s="395">
        <v>1.5209489620727301E-2</v>
      </c>
      <c r="K114" s="395">
        <v>1.25986702856925E-11</v>
      </c>
      <c r="L114" s="395">
        <v>5.5402095067164602E-4</v>
      </c>
      <c r="M114" s="351">
        <f>'Parameters, country spec'!H29</f>
        <v>0.113060071774995</v>
      </c>
      <c r="N114" s="351">
        <f>'Parameters, country spec'!H47</f>
        <v>7.1183592363716103E-2</v>
      </c>
      <c r="P114" s="59">
        <f>K114*M114/K116*100</f>
        <v>1.8685053998869838</v>
      </c>
    </row>
    <row r="115" spans="1:16" x14ac:dyDescent="0.2">
      <c r="A115" s="354"/>
      <c r="B115" s="18" t="s">
        <v>478</v>
      </c>
      <c r="C115" s="355" t="s">
        <v>479</v>
      </c>
      <c r="D115" s="349" t="s">
        <v>55</v>
      </c>
      <c r="E115" s="349" t="s">
        <v>56</v>
      </c>
      <c r="F115" s="356">
        <f t="shared" ref="F115:L115" si="6">AVERAGE(F105:F113)</f>
        <v>2.8993651498547646</v>
      </c>
      <c r="G115" s="401">
        <f t="shared" si="6"/>
        <v>3.0676905236106982E-2</v>
      </c>
      <c r="H115" s="401">
        <f t="shared" si="6"/>
        <v>3.0160494134526808E-3</v>
      </c>
      <c r="I115" s="401">
        <f t="shared" si="6"/>
        <v>6.7606227902011649E-3</v>
      </c>
      <c r="J115" s="407">
        <f t="shared" si="6"/>
        <v>0.16955488800504095</v>
      </c>
      <c r="K115" s="375">
        <f t="shared" si="6"/>
        <v>1.4913256438055125E-10</v>
      </c>
      <c r="L115" s="407">
        <f t="shared" si="6"/>
        <v>2.5078203465578124E-3</v>
      </c>
      <c r="M115" s="351">
        <f>'Parameters, country spec'!H30</f>
        <v>0.14527687460593999</v>
      </c>
      <c r="N115" s="351">
        <f>'Parameters, country spec'!H48</f>
        <v>0.117221161798055</v>
      </c>
      <c r="P115" s="59">
        <f>K115*M115/K116*100</f>
        <v>28.420346202852269</v>
      </c>
    </row>
    <row r="116" spans="1:16" x14ac:dyDescent="0.2">
      <c r="A116" s="357"/>
      <c r="B116" s="358" t="s">
        <v>480</v>
      </c>
      <c r="C116" s="359"/>
      <c r="D116" s="360"/>
      <c r="E116" s="360"/>
      <c r="F116" s="361">
        <f>SUMPRODUCT(F102:F104,M102:M104)+SUMPRODUCT(F105:F115,M105:M115)/0.87</f>
        <v>1.0679542429216504</v>
      </c>
      <c r="G116" s="403">
        <f>SUMPRODUCT(G102:G104,M102:M104)+SUMPRODUCT(G105:G115,M105:M115)/0.87</f>
        <v>1.7791943620805391E-2</v>
      </c>
      <c r="H116" s="403">
        <f>SUMPRODUCT(H102:H104,M102:M104)+SUMPRODUCT(H105:H115,M105:M115)/0.87</f>
        <v>1.1496368792499631E-3</v>
      </c>
      <c r="I116" s="403">
        <f>SUMPRODUCT(I102:I104,M102:M104)+SUMPRODUCT(I105:I115,M105:M115)/0.87</f>
        <v>4.0446598472274314E-3</v>
      </c>
      <c r="J116" s="376">
        <f>SUMPRODUCT(J102:J104,M102:M104)+SUMPRODUCT(J105:J115,M105:M115)/0.87</f>
        <v>6.3616071092877355E-2</v>
      </c>
      <c r="K116" s="376">
        <f>SUMPRODUCT(K102:K104,M102:M104)+SUMPRODUCT(K105:K115,M105:M115)/0.87</f>
        <v>7.6232403013448382E-11</v>
      </c>
      <c r="L116" s="376">
        <f>SUMPRODUCT(L102:L104,M102:M104)+SUMPRODUCT(L105:L115,M105:M115)/0.87</f>
        <v>8.1857192139020928E-4</v>
      </c>
      <c r="M116" s="362"/>
      <c r="N116" s="369"/>
    </row>
    <row r="117" spans="1:16" x14ac:dyDescent="0.2">
      <c r="A117" s="363"/>
      <c r="B117" s="364" t="s">
        <v>481</v>
      </c>
      <c r="C117" s="365"/>
      <c r="D117" s="366"/>
      <c r="E117" s="366"/>
      <c r="F117" s="367">
        <f>SUMPRODUCT(F102:F105,N102:N105)+SUMPRODUCT(F106:F116,N106:N116)/0.87</f>
        <v>0.78565560041493621</v>
      </c>
      <c r="G117" s="404">
        <f>SUMPRODUCT(G102:G105,N102:N105)+SUMPRODUCT(G106:G116,N106:N116)/0.87</f>
        <v>1.6534293719580349E-2</v>
      </c>
      <c r="H117" s="404">
        <f>SUMPRODUCT(H102:H105,N102:N105)+SUMPRODUCT(H106:H116,N106:N116)/0.87</f>
        <v>9.2067270029912249E-4</v>
      </c>
      <c r="I117" s="404">
        <f>SUMPRODUCT(I102:I105,N102:N105)+SUMPRODUCT(I106:I116,N106:N116)/0.87</f>
        <v>3.4296686197056734E-3</v>
      </c>
      <c r="J117" s="377">
        <f>SUMPRODUCT(J102:J105,N102:N105)+SUMPRODUCT(J106:J116,N106:N116)/0.87</f>
        <v>4.0502169576576534E-2</v>
      </c>
      <c r="K117" s="377">
        <f>SUMPRODUCT(K102:K105,N102:N105)+SUMPRODUCT(K106:K116,N106:N116)/0.87</f>
        <v>7.4872091198771509E-11</v>
      </c>
      <c r="L117" s="377">
        <f>SUMPRODUCT(L102:L105,N102:N105)+SUMPRODUCT(L106:L116,N106:N116)/0.87</f>
        <v>7.5292083105158673E-4</v>
      </c>
      <c r="M117" s="368"/>
      <c r="N117" s="368"/>
    </row>
    <row r="118" spans="1:16" x14ac:dyDescent="0.2">
      <c r="B118" s="58" t="s">
        <v>264</v>
      </c>
      <c r="C118" s="18" t="s">
        <v>463</v>
      </c>
      <c r="D118" s="349" t="s">
        <v>87</v>
      </c>
      <c r="E118" s="349" t="s">
        <v>58</v>
      </c>
      <c r="F118" s="350">
        <v>0</v>
      </c>
      <c r="G118" s="352">
        <f>'Forage crops, footprints'!G15</f>
        <v>3.4288619089893758E-2</v>
      </c>
      <c r="H118" s="391">
        <f>'Forage crops, footprints'!H15</f>
        <v>0</v>
      </c>
      <c r="I118" s="352">
        <f>'Forage crops, footprints'!I15</f>
        <v>0</v>
      </c>
      <c r="J118" s="371">
        <f>'Forage crops, footprints'!J15</f>
        <v>0</v>
      </c>
      <c r="K118" s="371">
        <f>'Forage crops, footprints'!K15</f>
        <v>1.4439923961886749E-11</v>
      </c>
      <c r="L118" s="371">
        <f>'Forage crops, footprints'!L15</f>
        <v>1.5695313654600586E-3</v>
      </c>
      <c r="M118" s="351">
        <f>'Parameters, country spec'!I17</f>
        <v>0.373167232002376</v>
      </c>
      <c r="N118" s="351">
        <f>'Parameters, country spec'!I35</f>
        <v>0.47949543012015899</v>
      </c>
      <c r="O118" s="83"/>
      <c r="P118" s="59">
        <f>K118*M118/K132*100</f>
        <v>18.749231492959197</v>
      </c>
    </row>
    <row r="119" spans="1:16" x14ac:dyDescent="0.2">
      <c r="B119" s="58" t="s">
        <v>268</v>
      </c>
      <c r="C119" s="18" t="s">
        <v>463</v>
      </c>
      <c r="D119" s="349" t="s">
        <v>87</v>
      </c>
      <c r="E119" s="349" t="s">
        <v>58</v>
      </c>
      <c r="F119" s="350">
        <f>'Forage crops, footprints'!F31</f>
        <v>0.61500988697347847</v>
      </c>
      <c r="G119" s="352">
        <f>'Forage crops, footprints'!G31</f>
        <v>3.1365504235647399E-4</v>
      </c>
      <c r="H119" s="352">
        <f>'Forage crops, footprints'!H31</f>
        <v>8.4585514736563842E-5</v>
      </c>
      <c r="I119" s="352">
        <f>'Forage crops, footprints'!I31</f>
        <v>1.0006970049386589E-3</v>
      </c>
      <c r="J119" s="371">
        <f>'Forage crops, footprints'!J31</f>
        <v>7.1677920029330916E-5</v>
      </c>
      <c r="K119" s="371">
        <f>'Forage crops, footprints'!K31</f>
        <v>4.9799456928696033E-12</v>
      </c>
      <c r="L119" s="371">
        <f>'Forage crops, footprints'!L31</f>
        <v>1.9068533684490285E-5</v>
      </c>
      <c r="M119" s="351">
        <f>'Parameters, country spec'!I18</f>
        <v>0.25760749577042003</v>
      </c>
      <c r="N119" s="351">
        <f>'Parameters, country spec'!I36</f>
        <v>0.16379583021525301</v>
      </c>
      <c r="O119" s="83"/>
      <c r="P119" s="59">
        <f>K119*M119/K132*100</f>
        <v>4.4637325594558224</v>
      </c>
    </row>
    <row r="120" spans="1:16" x14ac:dyDescent="0.2">
      <c r="B120" s="58" t="s">
        <v>465</v>
      </c>
      <c r="C120" s="18" t="s">
        <v>463</v>
      </c>
      <c r="D120" s="349" t="s">
        <v>87</v>
      </c>
      <c r="E120" s="349" t="s">
        <v>58</v>
      </c>
      <c r="F120" s="350">
        <f>'Forage, input data per ha'!$D$85*'Forage crops, footprints'!F47+'Forage, input data per ha'!$E$85*'Forage crops, footprints'!F66</f>
        <v>1.9030569421592487</v>
      </c>
      <c r="G120" s="352">
        <f>'Forage, input data per ha'!$D$85*'Forage crops, footprints'!G47+'Forage, input data per ha'!$E$85*'Forage crops, footprints'!G66</f>
        <v>3.583255774718893E-2</v>
      </c>
      <c r="H120" s="352">
        <f>'Forage, input data per ha'!$D$85*'Forage crops, footprints'!H47+'Forage, input data per ha'!$E$85*'Forage crops, footprints'!H66</f>
        <v>4.5593399742885181E-4</v>
      </c>
      <c r="I120" s="352">
        <f>'Forage, input data per ha'!$D$85*'Forage crops, footprints'!I47+'Forage, input data per ha'!$E$85*'Forage crops, footprints'!I66</f>
        <v>0</v>
      </c>
      <c r="J120" s="371">
        <f>'Forage, input data per ha'!$D$85*'Forage crops, footprints'!J47+'Forage, input data per ha'!$E$85*'Forage crops, footprints'!J66</f>
        <v>4.721644773408794E-5</v>
      </c>
      <c r="K120" s="371">
        <f>'Forage, input data per ha'!$D$85*'Forage crops, footprints'!K47+'Forage, input data per ha'!$E$85*'Forage crops, footprints'!K66</f>
        <v>9.1612393206344326E-12</v>
      </c>
      <c r="L120" s="371">
        <f>'Forage, input data per ha'!$D$85*'Forage crops, footprints'!L47+'Forage, input data per ha'!$E$85*'Forage crops, footprints'!L66</f>
        <v>1.3566792817665682E-3</v>
      </c>
      <c r="M120" s="351">
        <f>'Parameters, country spec'!I19</f>
        <v>3.5613863046085999E-2</v>
      </c>
      <c r="N120" s="351">
        <f>'Parameters, country spec'!I37</f>
        <v>0.17110749103346001</v>
      </c>
      <c r="O120" s="83"/>
      <c r="P120" s="59">
        <f>K120*M120/K132*100</f>
        <v>1.1352418075632575</v>
      </c>
    </row>
    <row r="121" spans="1:16" x14ac:dyDescent="0.2">
      <c r="A121" s="353" t="s">
        <v>466</v>
      </c>
      <c r="B121" s="18" t="s">
        <v>274</v>
      </c>
      <c r="C121" s="18" t="s">
        <v>467</v>
      </c>
      <c r="D121" s="349" t="s">
        <v>87</v>
      </c>
      <c r="E121" s="349" t="s">
        <v>58</v>
      </c>
      <c r="F121" s="392">
        <v>1.4936430551572499</v>
      </c>
      <c r="G121" s="393">
        <v>1.4040244718478199E-2</v>
      </c>
      <c r="H121" s="393">
        <v>1.0455501386100799E-3</v>
      </c>
      <c r="I121" s="393">
        <v>1.7320847E-5</v>
      </c>
      <c r="J121" s="395">
        <v>0.25055205047318602</v>
      </c>
      <c r="K121" s="395">
        <v>1.2094539383455E-11</v>
      </c>
      <c r="L121" s="395">
        <v>8.6012034003245198E-4</v>
      </c>
      <c r="M121" s="351">
        <f>'Parameters, country spec'!I20</f>
        <v>1.3879724923939201E-2</v>
      </c>
      <c r="N121" s="351">
        <f>'Parameters, country spec'!I38</f>
        <v>3.7649623151768401E-3</v>
      </c>
      <c r="P121" s="59">
        <f>K121*M121/K132*100</f>
        <v>0.58409737699843212</v>
      </c>
    </row>
    <row r="122" spans="1:16" x14ac:dyDescent="0.2">
      <c r="A122" s="353" t="s">
        <v>468</v>
      </c>
      <c r="B122" s="18" t="s">
        <v>276</v>
      </c>
      <c r="C122" s="18" t="s">
        <v>467</v>
      </c>
      <c r="D122" s="349" t="s">
        <v>87</v>
      </c>
      <c r="E122" s="349" t="s">
        <v>58</v>
      </c>
      <c r="F122" s="396">
        <v>1.0864605288889899</v>
      </c>
      <c r="G122" s="393">
        <v>1.4340953536274501E-2</v>
      </c>
      <c r="H122" s="393">
        <v>4.0198127336526996E-3</v>
      </c>
      <c r="I122" s="393">
        <v>9.5547103112000008E-3</v>
      </c>
      <c r="J122" s="395">
        <v>9.1052780252493401E-2</v>
      </c>
      <c r="K122" s="395">
        <v>8.7974430101265295E-12</v>
      </c>
      <c r="L122" s="395">
        <v>8.7854208237383503E-4</v>
      </c>
      <c r="M122" s="351">
        <f>'Parameters, country spec'!I21</f>
        <v>4.1683562538490301E-2</v>
      </c>
      <c r="N122" s="351">
        <f>'Parameters, country spec'!I39</f>
        <v>1.13069274080103E-2</v>
      </c>
      <c r="P122" s="59">
        <f>K122*M122/K132*100</f>
        <v>1.2759579299721169</v>
      </c>
    </row>
    <row r="123" spans="1:16" x14ac:dyDescent="0.2">
      <c r="A123" s="353" t="s">
        <v>469</v>
      </c>
      <c r="B123" s="18" t="s">
        <v>278</v>
      </c>
      <c r="C123" s="18" t="s">
        <v>467</v>
      </c>
      <c r="D123" s="349" t="s">
        <v>87</v>
      </c>
      <c r="E123" s="349" t="s">
        <v>58</v>
      </c>
      <c r="F123" s="396">
        <v>2.0790885275895001</v>
      </c>
      <c r="G123" s="393">
        <v>1.4759875014174599E-2</v>
      </c>
      <c r="H123" s="393">
        <v>3.1182834536988601E-3</v>
      </c>
      <c r="I123" s="393">
        <v>7.4432880493999999E-3</v>
      </c>
      <c r="J123" s="395">
        <v>0.110431202960622</v>
      </c>
      <c r="K123" s="395">
        <v>1.6835091886108901E-11</v>
      </c>
      <c r="L123" s="395">
        <v>9.04205658133603E-4</v>
      </c>
      <c r="M123" s="351">
        <f>'Parameters, country spec'!I22</f>
        <v>4.55917367778715E-4</v>
      </c>
      <c r="N123" s="351">
        <f>'Parameters, country spec'!I40</f>
        <v>1.2367044164683099E-4</v>
      </c>
      <c r="P123" s="59">
        <f>K123*M123/K132*100</f>
        <v>2.6706482528409629E-2</v>
      </c>
    </row>
    <row r="124" spans="1:16" x14ac:dyDescent="0.2">
      <c r="A124" s="353" t="s">
        <v>470</v>
      </c>
      <c r="B124" s="18" t="s">
        <v>280</v>
      </c>
      <c r="C124" s="18" t="s">
        <v>467</v>
      </c>
      <c r="D124" s="349" t="s">
        <v>87</v>
      </c>
      <c r="E124" s="349" t="s">
        <v>58</v>
      </c>
      <c r="F124" s="396">
        <v>2.7925940406043201</v>
      </c>
      <c r="G124" s="393">
        <v>2.65307106191323E-2</v>
      </c>
      <c r="H124" s="393">
        <v>1.9548944666729099E-3</v>
      </c>
      <c r="I124" s="393">
        <v>0</v>
      </c>
      <c r="J124" s="395">
        <v>0.243377642492111</v>
      </c>
      <c r="K124" s="395">
        <v>2.2612590397332099E-11</v>
      </c>
      <c r="L124" s="395">
        <v>1.6252995796432401E-3</v>
      </c>
      <c r="M124" s="351">
        <f>'Parameters, country spec'!I23</f>
        <v>1.71561062458586E-3</v>
      </c>
      <c r="N124" s="351">
        <f>'Parameters, country spec'!I41</f>
        <v>4.6537012747958797E-4</v>
      </c>
      <c r="P124" s="59">
        <f>K124*M124/K132*100</f>
        <v>0.13498456363790459</v>
      </c>
    </row>
    <row r="125" spans="1:16" x14ac:dyDescent="0.2">
      <c r="A125" s="353" t="s">
        <v>471</v>
      </c>
      <c r="B125" s="18" t="s">
        <v>281</v>
      </c>
      <c r="C125" s="18" t="s">
        <v>467</v>
      </c>
      <c r="D125" s="349" t="s">
        <v>87</v>
      </c>
      <c r="E125" s="349" t="s">
        <v>58</v>
      </c>
      <c r="F125" s="396">
        <v>1.2075807086566599</v>
      </c>
      <c r="G125" s="393">
        <v>1.8475984842446901E-2</v>
      </c>
      <c r="H125" s="393">
        <v>1.69061299211933E-3</v>
      </c>
      <c r="I125" s="393">
        <v>0</v>
      </c>
      <c r="J125" s="395">
        <v>0.195361440981908</v>
      </c>
      <c r="K125" s="395">
        <v>9.7781945888074892E-12</v>
      </c>
      <c r="L125" s="395">
        <v>1.13185850273715E-3</v>
      </c>
      <c r="M125" s="351">
        <f>'Parameters, country spec'!I24</f>
        <v>4.6964740317371599E-2</v>
      </c>
      <c r="N125" s="351">
        <f>'Parameters, country spec'!I42</f>
        <v>1.2739490248206E-2</v>
      </c>
      <c r="P125" s="59">
        <f>K125*M125/K132*100</f>
        <v>1.5978855329427302</v>
      </c>
    </row>
    <row r="126" spans="1:16" x14ac:dyDescent="0.2">
      <c r="A126" s="353" t="s">
        <v>472</v>
      </c>
      <c r="B126" s="18" t="s">
        <v>282</v>
      </c>
      <c r="C126" s="18" t="s">
        <v>473</v>
      </c>
      <c r="D126" s="349" t="s">
        <v>87</v>
      </c>
      <c r="E126" s="349" t="s">
        <v>58</v>
      </c>
      <c r="F126" s="396">
        <v>3.39685451272122</v>
      </c>
      <c r="G126" s="393">
        <v>3.44E-2</v>
      </c>
      <c r="H126" s="393">
        <v>1.69862221424959E-3</v>
      </c>
      <c r="I126" s="393">
        <v>5.8912594268000003E-2</v>
      </c>
      <c r="J126" s="395">
        <v>1.1407877305615</v>
      </c>
      <c r="K126" s="395">
        <v>4.0835084592305499E-11</v>
      </c>
      <c r="L126" s="395">
        <v>0</v>
      </c>
      <c r="M126" s="351">
        <f>'Parameters, country spec'!I25</f>
        <v>0</v>
      </c>
      <c r="N126" s="351">
        <f>'Parameters, country spec'!I43</f>
        <v>0</v>
      </c>
      <c r="P126" s="59">
        <f>K126*M126/K132*100</f>
        <v>0</v>
      </c>
    </row>
    <row r="127" spans="1:16" x14ac:dyDescent="0.2">
      <c r="A127" s="353" t="s">
        <v>474</v>
      </c>
      <c r="B127" s="18" t="s">
        <v>283</v>
      </c>
      <c r="C127" s="18" t="s">
        <v>473</v>
      </c>
      <c r="D127" s="349" t="s">
        <v>87</v>
      </c>
      <c r="E127" s="349" t="s">
        <v>58</v>
      </c>
      <c r="F127" s="396">
        <v>2.8424972285651999</v>
      </c>
      <c r="G127" s="393">
        <v>4.0568499445713002E-2</v>
      </c>
      <c r="H127" s="393">
        <v>1.13699889142608E-3</v>
      </c>
      <c r="I127" s="393">
        <v>6.5111000000000006E-8</v>
      </c>
      <c r="J127" s="395">
        <v>0.33938279910177099</v>
      </c>
      <c r="K127" s="395">
        <v>2.3016673601862799E-11</v>
      </c>
      <c r="L127" s="395">
        <v>3.48268813229035E-5</v>
      </c>
      <c r="M127" s="351">
        <f>'Parameters, country spec'!I26</f>
        <v>0</v>
      </c>
      <c r="N127" s="351">
        <f>'Parameters, country spec'!I44</f>
        <v>0</v>
      </c>
      <c r="P127" s="59">
        <f>K127*M127/K132*100</f>
        <v>0</v>
      </c>
    </row>
    <row r="128" spans="1:16" x14ac:dyDescent="0.2">
      <c r="B128" s="58" t="s">
        <v>284</v>
      </c>
      <c r="C128" s="18" t="s">
        <v>475</v>
      </c>
      <c r="D128" s="349" t="s">
        <v>490</v>
      </c>
      <c r="E128" s="349"/>
      <c r="F128" s="54">
        <f>'Off-farm feed'!$F$88</f>
        <v>1.5397450382845068</v>
      </c>
      <c r="G128" s="83">
        <f>'Off-farm feed'!$G$88</f>
        <v>2.276724967641296E-2</v>
      </c>
      <c r="H128" s="83">
        <f>'Off-farm feed'!$H$88</f>
        <v>2.4780679919905292E-3</v>
      </c>
      <c r="I128" s="83">
        <f>'Off-farm feed'!$I$88</f>
        <v>8.1100925319702543E-4</v>
      </c>
      <c r="J128" s="372">
        <f>'Off-farm feed'!$J$88</f>
        <v>0.29368572248181479</v>
      </c>
      <c r="K128" s="372">
        <f>'Off-farm feed'!$K$88</f>
        <v>1.2571008272056975E-11</v>
      </c>
      <c r="L128" s="372">
        <f>'Off-farm feed'!$L$88</f>
        <v>1.3841258986185109E-3</v>
      </c>
      <c r="M128" s="351">
        <f>'Parameters, country spec'!I27</f>
        <v>8.6279293190231102E-2</v>
      </c>
      <c r="N128" s="351">
        <f>'Parameters, country spec'!I45</f>
        <v>4.3197597637154403E-2</v>
      </c>
      <c r="P128" s="59">
        <f>K128*M128/K132*100</f>
        <v>3.773911874342903</v>
      </c>
    </row>
    <row r="129" spans="1:16" x14ac:dyDescent="0.2">
      <c r="B129" s="58" t="s">
        <v>476</v>
      </c>
      <c r="C129" s="18" t="s">
        <v>475</v>
      </c>
      <c r="D129" s="349" t="s">
        <v>491</v>
      </c>
      <c r="E129" s="349"/>
      <c r="F129" s="54">
        <f>'Off-farm feed'!$F$36</f>
        <v>2.5509164954964105</v>
      </c>
      <c r="G129" s="83">
        <f>'Off-farm feed'!$G$36</f>
        <v>4.2620923125915401E-2</v>
      </c>
      <c r="H129" s="83">
        <f>'Off-farm feed'!$H$36</f>
        <v>3.2959349471355006E-3</v>
      </c>
      <c r="I129" s="83">
        <f>'Off-farm feed'!$I$36</f>
        <v>2.435286335413451E-3</v>
      </c>
      <c r="J129" s="372">
        <f>'Off-farm feed'!$J$36</f>
        <v>0.25920846302270906</v>
      </c>
      <c r="K129" s="372">
        <f>'Off-farm feed'!$K$36</f>
        <v>1.4553836091881654E-10</v>
      </c>
      <c r="L129" s="372">
        <f>'Off-farm feed'!$L$36</f>
        <v>1.0450321677831977E-4</v>
      </c>
      <c r="M129" s="351">
        <f>'Parameters, country spec'!I28</f>
        <v>0.111425490586606</v>
      </c>
      <c r="N129" s="351">
        <f>'Parameters, country spec'!I46</f>
        <v>5.5787586237705702E-2</v>
      </c>
      <c r="P129" s="59">
        <f>K129*M129/K132*100</f>
        <v>56.425718537023783</v>
      </c>
    </row>
    <row r="130" spans="1:16" x14ac:dyDescent="0.2">
      <c r="B130" s="18" t="s">
        <v>286</v>
      </c>
      <c r="C130" s="18" t="s">
        <v>477</v>
      </c>
      <c r="D130" s="349" t="s">
        <v>87</v>
      </c>
      <c r="E130" s="349" t="s">
        <v>58</v>
      </c>
      <c r="F130" s="396">
        <v>0.10868226377909999</v>
      </c>
      <c r="G130" s="396">
        <v>1.6628386358202201E-3</v>
      </c>
      <c r="H130" s="396">
        <v>1.5215516929073999E-4</v>
      </c>
      <c r="I130" s="395">
        <v>0</v>
      </c>
      <c r="J130" s="395">
        <v>1.7582529688371699E-2</v>
      </c>
      <c r="K130" s="395">
        <v>8.8003751299267404E-13</v>
      </c>
      <c r="L130" s="395">
        <v>1.0186726524634401E-4</v>
      </c>
      <c r="M130" s="351">
        <f>'Parameters, country spec'!I29</f>
        <v>1.38916945292026E-2</v>
      </c>
      <c r="N130" s="351">
        <f>'Parameters, country spec'!I47</f>
        <v>3.9631874829556102E-2</v>
      </c>
      <c r="O130" t="s">
        <v>373</v>
      </c>
      <c r="P130" s="59">
        <f>K130*M130/K132*100</f>
        <v>4.2537452160159868E-2</v>
      </c>
    </row>
    <row r="131" spans="1:16" x14ac:dyDescent="0.2">
      <c r="A131" s="354"/>
      <c r="B131" s="18" t="s">
        <v>478</v>
      </c>
      <c r="C131" s="355" t="s">
        <v>479</v>
      </c>
      <c r="D131" s="349" t="s">
        <v>87</v>
      </c>
      <c r="E131" s="349" t="s">
        <v>58</v>
      </c>
      <c r="F131" s="356">
        <f t="shared" ref="F131:L131" si="7">AVERAGE(F121:F129)</f>
        <v>2.1099311262182283</v>
      </c>
      <c r="G131" s="401">
        <f t="shared" si="7"/>
        <v>2.5389382330949763E-2</v>
      </c>
      <c r="H131" s="401">
        <f t="shared" si="7"/>
        <v>2.2709753143950648E-3</v>
      </c>
      <c r="I131" s="401">
        <f t="shared" si="7"/>
        <v>8.7971415750233862E-3</v>
      </c>
      <c r="J131" s="407">
        <f t="shared" si="7"/>
        <v>0.32487109248090174</v>
      </c>
      <c r="K131" s="375">
        <f t="shared" si="7"/>
        <v>3.2453220738985755E-11</v>
      </c>
      <c r="L131" s="407">
        <f t="shared" si="7"/>
        <v>7.6927579551555722E-4</v>
      </c>
      <c r="M131" s="351">
        <f>'Parameters, country spec'!I30</f>
        <v>1.73153751029133E-2</v>
      </c>
      <c r="N131" s="351">
        <f>'Parameters, country spec'!I48</f>
        <v>1.8583769386191801E-2</v>
      </c>
      <c r="P131" s="59">
        <f>K131*M131/K132*100</f>
        <v>1.955261152212471</v>
      </c>
    </row>
    <row r="132" spans="1:16" x14ac:dyDescent="0.2">
      <c r="A132" s="357"/>
      <c r="B132" s="358" t="s">
        <v>480</v>
      </c>
      <c r="C132" s="359"/>
      <c r="D132" s="360"/>
      <c r="E132" s="360"/>
      <c r="F132" s="361">
        <f>SUMPRODUCT(F118:F120,M118:M120)+SUMPRODUCT(F121:F131,M121:M131)/0.87</f>
        <v>0.89701185623844437</v>
      </c>
      <c r="G132" s="403">
        <f>SUMPRODUCT(G118:G120,M118:M120)+SUMPRODUCT(G121:G131,M121:M131)/0.87</f>
        <v>2.4369276555776719E-2</v>
      </c>
      <c r="H132" s="403">
        <f>SUMPRODUCT(H118:H120,M118:M120)+SUMPRODUCT(H121:H131,M121:M131)/0.87</f>
        <v>1.05956810834346E-3</v>
      </c>
      <c r="I132" s="403">
        <f>SUMPRODUCT(I118:I120,M118:M120)+SUMPRODUCT(I121:I131,M121:M131)/0.87</f>
        <v>1.2871668008060766E-3</v>
      </c>
      <c r="J132" s="376">
        <f>SUMPRODUCT(J118:J120,M118:M120)+SUMPRODUCT(J121:J131,M121:M131)/0.87</f>
        <v>8.853385734820314E-2</v>
      </c>
      <c r="K132" s="376">
        <f>SUMPRODUCT(K118:K120,M118:M120)+SUMPRODUCT(K121:K131,M121:M131)/0.87</f>
        <v>2.8739879056939375E-11</v>
      </c>
      <c r="L132" s="376">
        <f>SUMPRODUCT(L118:L120,M118:M120)+SUMPRODUCT(L121:L131,M121:M131)/0.87</f>
        <v>9.2710829794858491E-4</v>
      </c>
      <c r="M132" s="362"/>
      <c r="N132" s="369"/>
    </row>
    <row r="133" spans="1:16" x14ac:dyDescent="0.2">
      <c r="A133" s="363"/>
      <c r="B133" s="364" t="s">
        <v>481</v>
      </c>
      <c r="C133" s="365"/>
      <c r="D133" s="366"/>
      <c r="E133" s="366"/>
      <c r="F133" s="367">
        <f>SUMPRODUCT(F118:F121,N118:N121)+SUMPRODUCT(F122:F132,N122:N132)/0.87</f>
        <v>0.75562562280190604</v>
      </c>
      <c r="G133" s="404">
        <f>SUMPRODUCT(G118:G121,N118:N121)+SUMPRODUCT(G122:G132,N122:N132)/0.87</f>
        <v>2.7631449596842321E-2</v>
      </c>
      <c r="H133" s="404">
        <f>SUMPRODUCT(H118:H121,N118:N121)+SUMPRODUCT(H122:H132,N122:N132)/0.87</f>
        <v>5.6412330484639664E-4</v>
      </c>
      <c r="I133" s="404">
        <f>SUMPRODUCT(I118:I121,N118:N121)+SUMPRODUCT(I122:I132,N122:N132)/0.87</f>
        <v>6.7355150646969083E-4</v>
      </c>
      <c r="J133" s="377">
        <f>SUMPRODUCT(J118:J121,N118:N121)+SUMPRODUCT(J122:J132,N122:N132)/0.87</f>
        <v>4.4097093078396286E-2</v>
      </c>
      <c r="K133" s="377">
        <f>SUMPRODUCT(K118:K121,N118:N121)+SUMPRODUCT(K122:K132,N122:N132)/0.87</f>
        <v>2.0314616252314225E-11</v>
      </c>
      <c r="L133" s="377">
        <f>SUMPRODUCT(L118:L121,N118:N121)+SUMPRODUCT(L122:L132,N122:N132)/0.87</f>
        <v>1.1165715444149246E-3</v>
      </c>
      <c r="M133" s="368"/>
      <c r="N133" s="368"/>
    </row>
    <row r="134" spans="1:16" x14ac:dyDescent="0.2">
      <c r="B134" s="58" t="s">
        <v>264</v>
      </c>
      <c r="C134" s="18" t="s">
        <v>463</v>
      </c>
      <c r="D134" s="349" t="s">
        <v>59</v>
      </c>
      <c r="E134" s="349" t="s">
        <v>60</v>
      </c>
      <c r="F134" s="350">
        <v>0</v>
      </c>
      <c r="G134" s="352">
        <f>'Forage crops, footprints'!G16</f>
        <v>1.4248888174213359E-2</v>
      </c>
      <c r="H134" s="391">
        <f>'Forage crops, footprints'!H16</f>
        <v>2.3847872238080559E-4</v>
      </c>
      <c r="I134" s="352">
        <f>'Forage crops, footprints'!I16</f>
        <v>0</v>
      </c>
      <c r="J134" s="371">
        <f>'Forage crops, footprints'!J16</f>
        <v>0</v>
      </c>
      <c r="K134" s="371">
        <f>'Forage crops, footprints'!K16</f>
        <v>5.6886322522779026E-12</v>
      </c>
      <c r="L134" s="371">
        <f>'Forage crops, footprints'!L16</f>
        <v>3.5122388625340054E-4</v>
      </c>
      <c r="M134" s="351">
        <f>'Parameters, country spec'!J17</f>
        <v>0.25455862443412097</v>
      </c>
      <c r="N134" s="351">
        <f>'Parameters, country spec'!J35</f>
        <v>0.26557017524746102</v>
      </c>
      <c r="O134" s="83"/>
      <c r="P134" s="59">
        <f>K134*M134/K148*100</f>
        <v>8.5950417678904234</v>
      </c>
    </row>
    <row r="135" spans="1:16" x14ac:dyDescent="0.2">
      <c r="B135" s="58" t="s">
        <v>268</v>
      </c>
      <c r="C135" s="18" t="s">
        <v>463</v>
      </c>
      <c r="D135" s="349" t="s">
        <v>59</v>
      </c>
      <c r="E135" s="349" t="s">
        <v>60</v>
      </c>
      <c r="F135" s="350">
        <f>'Forage crops, footprints'!F32</f>
        <v>0.63361825022961549</v>
      </c>
      <c r="G135" s="352">
        <f>'Forage crops, footprints'!G32</f>
        <v>7.9835899528931543E-3</v>
      </c>
      <c r="H135" s="352">
        <f>'Forage crops, footprints'!H32</f>
        <v>1.3832511096562054E-3</v>
      </c>
      <c r="I135" s="352">
        <f>'Forage crops, footprints'!I32</f>
        <v>2.3699570524521687E-4</v>
      </c>
      <c r="J135" s="371">
        <f>'Forage crops, footprints'!J32</f>
        <v>1.0479214179139347E-4</v>
      </c>
      <c r="K135" s="371">
        <f>'Forage crops, footprints'!K32</f>
        <v>2.5239361658889707E-12</v>
      </c>
      <c r="L135" s="371">
        <f>'Forage crops, footprints'!L32</f>
        <v>4.8535917929507855E-4</v>
      </c>
      <c r="M135" s="351">
        <f>'Parameters, country spec'!J18</f>
        <v>0.33395684495061101</v>
      </c>
      <c r="N135" s="351">
        <f>'Parameters, country spec'!J36</f>
        <v>0.30897238471141197</v>
      </c>
      <c r="O135" s="83"/>
      <c r="P135" s="59">
        <f>K135*M135/K148*100</f>
        <v>5.0028909088355897</v>
      </c>
    </row>
    <row r="136" spans="1:16" x14ac:dyDescent="0.2">
      <c r="B136" s="58" t="s">
        <v>465</v>
      </c>
      <c r="C136" s="18" t="s">
        <v>463</v>
      </c>
      <c r="D136" s="349" t="s">
        <v>59</v>
      </c>
      <c r="E136" s="349" t="s">
        <v>60</v>
      </c>
      <c r="F136" s="350">
        <f>'Forage, input data per ha'!$D$86*'Forage crops, footprints'!F48+'Forage, input data per ha'!$E$86*'Forage crops, footprints'!F64</f>
        <v>1.3155257005684697</v>
      </c>
      <c r="G136" s="352">
        <f>'Forage, input data per ha'!$D$86*'Forage crops, footprints'!G48+'Forage, input data per ha'!$E$86*'Forage crops, footprints'!G64</f>
        <v>2.0917164944088143E-2</v>
      </c>
      <c r="H136" s="352">
        <f>'Forage, input data per ha'!$D$86*'Forage crops, footprints'!H48+'Forage, input data per ha'!$E$86*'Forage crops, footprints'!H64</f>
        <v>9.0128490500422773E-4</v>
      </c>
      <c r="I136" s="352">
        <f>'Forage, input data per ha'!$D$86*'Forage crops, footprints'!I48+'Forage, input data per ha'!$E$86*'Forage crops, footprints'!I64</f>
        <v>0</v>
      </c>
      <c r="J136" s="371">
        <f>'Forage, input data per ha'!$D$86*'Forage crops, footprints'!J48+'Forage, input data per ha'!$E$86*'Forage crops, footprints'!J64</f>
        <v>4.8573491292518844E-5</v>
      </c>
      <c r="K136" s="371">
        <f>'Forage, input data per ha'!$D$86*'Forage crops, footprints'!K48+'Forage, input data per ha'!$E$86*'Forage crops, footprints'!K64</f>
        <v>3.6981408145114883E-12</v>
      </c>
      <c r="L136" s="371">
        <f>'Forage, input data per ha'!$D$86*'Forage crops, footprints'!L48+'Forage, input data per ha'!$E$86*'Forage crops, footprints'!L64</f>
        <v>2.7669407133162509E-4</v>
      </c>
      <c r="M136" s="351">
        <f>'Parameters, country spec'!J19</f>
        <v>1.15898887697602E-2</v>
      </c>
      <c r="N136" s="351">
        <f>'Parameters, country spec'!J37</f>
        <v>0.152808046794979</v>
      </c>
      <c r="O136" s="83"/>
      <c r="P136" s="59">
        <f>K136*M136/K148*100</f>
        <v>0.25439878250842524</v>
      </c>
    </row>
    <row r="137" spans="1:16" x14ac:dyDescent="0.2">
      <c r="A137" s="353" t="s">
        <v>466</v>
      </c>
      <c r="B137" s="18" t="s">
        <v>274</v>
      </c>
      <c r="C137" s="18" t="s">
        <v>467</v>
      </c>
      <c r="D137" s="349" t="s">
        <v>59</v>
      </c>
      <c r="E137" s="349" t="s">
        <v>60</v>
      </c>
      <c r="F137" s="392">
        <v>2.3279201430274101</v>
      </c>
      <c r="G137" s="393">
        <v>2.18824493444577E-2</v>
      </c>
      <c r="H137" s="393">
        <v>1.62954410011919E-3</v>
      </c>
      <c r="I137" s="393">
        <v>1.192E-8</v>
      </c>
      <c r="J137" s="395">
        <v>0.258116293578665</v>
      </c>
      <c r="K137" s="395">
        <v>9.2729681289311007E-12</v>
      </c>
      <c r="L137" s="395">
        <v>1.5890878647883001E-3</v>
      </c>
      <c r="M137" s="351">
        <f>'Parameters, country spec'!J20</f>
        <v>4.8218892985114399E-2</v>
      </c>
      <c r="N137" s="351">
        <f>'Parameters, country spec'!J38</f>
        <v>1.4852072857038301E-2</v>
      </c>
      <c r="P137" s="59">
        <f>K137*M137/K148*100</f>
        <v>2.653923007372899</v>
      </c>
    </row>
    <row r="138" spans="1:16" x14ac:dyDescent="0.2">
      <c r="A138" s="353" t="s">
        <v>468</v>
      </c>
      <c r="B138" s="18" t="s">
        <v>276</v>
      </c>
      <c r="C138" s="18" t="s">
        <v>467</v>
      </c>
      <c r="D138" s="349" t="s">
        <v>59</v>
      </c>
      <c r="E138" s="349" t="s">
        <v>60</v>
      </c>
      <c r="F138" s="396">
        <v>1.3980539089587301</v>
      </c>
      <c r="G138" s="393">
        <v>1.84538928166002E-2</v>
      </c>
      <c r="H138" s="393">
        <v>5.17268207738035E-3</v>
      </c>
      <c r="I138" s="393">
        <v>9.9475264539999994E-4</v>
      </c>
      <c r="J138" s="395">
        <v>5.35872665249972E-2</v>
      </c>
      <c r="K138" s="395">
        <v>5.5689665210947796E-12</v>
      </c>
      <c r="L138" s="395">
        <v>1.3401085349886001E-3</v>
      </c>
      <c r="M138" s="351">
        <f>'Parameters, country spec'!J21</f>
        <v>6.6054588822439503E-2</v>
      </c>
      <c r="N138" s="351">
        <f>'Parameters, country spec'!J39</f>
        <v>2.0345709016517801E-2</v>
      </c>
      <c r="P138" s="59">
        <f>K138*M138/K148*100</f>
        <v>2.183382963702468</v>
      </c>
    </row>
    <row r="139" spans="1:16" x14ac:dyDescent="0.2">
      <c r="A139" s="353" t="s">
        <v>469</v>
      </c>
      <c r="B139" s="18" t="s">
        <v>278</v>
      </c>
      <c r="C139" s="18" t="s">
        <v>467</v>
      </c>
      <c r="D139" s="349" t="s">
        <v>59</v>
      </c>
      <c r="E139" s="349" t="s">
        <v>60</v>
      </c>
      <c r="F139" s="396">
        <v>3.1869868951098899</v>
      </c>
      <c r="G139" s="393">
        <v>2.2625072294623301E-2</v>
      </c>
      <c r="H139" s="393">
        <v>4.7799448509767504E-3</v>
      </c>
      <c r="I139" s="393">
        <v>5.1951799999999997E-8</v>
      </c>
      <c r="J139" s="395">
        <v>0.110703176788537</v>
      </c>
      <c r="K139" s="395">
        <v>1.2694949177784999E-11</v>
      </c>
      <c r="L139" s="395">
        <v>1.6430166137891701E-3</v>
      </c>
      <c r="M139" s="351">
        <f>'Parameters, country spec'!J22</f>
        <v>1.4441270481012601E-3</v>
      </c>
      <c r="N139" s="351">
        <f>'Parameters, country spec'!J40</f>
        <v>4.4481071240192398E-4</v>
      </c>
      <c r="P139" s="59">
        <f>K139*M139/K148*100</f>
        <v>0.10881497976116085</v>
      </c>
    </row>
    <row r="140" spans="1:16" x14ac:dyDescent="0.2">
      <c r="A140" s="353" t="s">
        <v>470</v>
      </c>
      <c r="B140" s="18" t="s">
        <v>280</v>
      </c>
      <c r="C140" s="18" t="s">
        <v>467</v>
      </c>
      <c r="D140" s="349" t="s">
        <v>59</v>
      </c>
      <c r="E140" s="349" t="s">
        <v>60</v>
      </c>
      <c r="F140" s="396">
        <v>2.90576037937607</v>
      </c>
      <c r="G140" s="393">
        <v>2.7605834085746399E-2</v>
      </c>
      <c r="H140" s="393">
        <v>2.0341140905286801E-3</v>
      </c>
      <c r="I140" s="393">
        <v>3.8705400000000002E-9</v>
      </c>
      <c r="J140" s="395">
        <v>8.1354607373657503E-2</v>
      </c>
      <c r="K140" s="395">
        <v>1.15747198068503E-11</v>
      </c>
      <c r="L140" s="395">
        <v>2.0047159827713502E-3</v>
      </c>
      <c r="M140" s="351">
        <f>'Parameters, country spec'!J23</f>
        <v>1.8855002677230601E-2</v>
      </c>
      <c r="N140" s="351">
        <f>'Parameters, country spec'!J41</f>
        <v>5.80759649035195E-3</v>
      </c>
      <c r="P140" s="59">
        <f>K140*M140/K148*100</f>
        <v>1.2953567778597921</v>
      </c>
    </row>
    <row r="141" spans="1:16" x14ac:dyDescent="0.2">
      <c r="A141" s="353" t="s">
        <v>471</v>
      </c>
      <c r="B141" s="18" t="s">
        <v>281</v>
      </c>
      <c r="C141" s="18" t="s">
        <v>467</v>
      </c>
      <c r="D141" s="349" t="s">
        <v>59</v>
      </c>
      <c r="E141" s="349" t="s">
        <v>60</v>
      </c>
      <c r="F141" s="396">
        <v>1.9352915903839201</v>
      </c>
      <c r="G141" s="393">
        <v>2.9609961332874E-2</v>
      </c>
      <c r="H141" s="393">
        <v>2.7094082265374901E-3</v>
      </c>
      <c r="I141" s="393">
        <v>2.38226E-9</v>
      </c>
      <c r="J141" s="395">
        <v>0.28518824581299701</v>
      </c>
      <c r="K141" s="395">
        <v>7.7089831846552192E-12</v>
      </c>
      <c r="L141" s="395">
        <v>2.15025427411024E-3</v>
      </c>
      <c r="M141" s="351">
        <f>'Parameters, country spec'!J24</f>
        <v>7.5812285069041793E-2</v>
      </c>
      <c r="N141" s="351">
        <f>'Parameters, country spec'!J42</f>
        <v>2.3351211772125801E-2</v>
      </c>
      <c r="P141" s="59">
        <f>K141*M141/K148*100</f>
        <v>3.4688778087437813</v>
      </c>
    </row>
    <row r="142" spans="1:16" x14ac:dyDescent="0.2">
      <c r="A142" s="353" t="s">
        <v>472</v>
      </c>
      <c r="B142" s="18" t="s">
        <v>282</v>
      </c>
      <c r="C142" s="18" t="s">
        <v>473</v>
      </c>
      <c r="D142" s="349" t="s">
        <v>59</v>
      </c>
      <c r="E142" s="349" t="s">
        <v>60</v>
      </c>
      <c r="F142" s="396">
        <v>4.7463547995139699</v>
      </c>
      <c r="G142" s="393">
        <v>3.44E-2</v>
      </c>
      <c r="H142" s="393">
        <v>2.3734498103970699E-3</v>
      </c>
      <c r="I142" s="393">
        <v>3.0575379999999997E-5</v>
      </c>
      <c r="J142" s="395">
        <v>0.51339516251518802</v>
      </c>
      <c r="K142" s="395">
        <v>1.8906489089120799E-11</v>
      </c>
      <c r="L142" s="395">
        <v>0</v>
      </c>
      <c r="M142" s="351">
        <f>'Parameters, country spec'!J25</f>
        <v>2.6118274940683198E-3</v>
      </c>
      <c r="N142" s="351">
        <f>'Parameters, country spec'!J43</f>
        <v>2.6962503550840601E-3</v>
      </c>
      <c r="P142" s="59">
        <f>K142*M142/K148*100</f>
        <v>0.29309451725959507</v>
      </c>
    </row>
    <row r="143" spans="1:16" x14ac:dyDescent="0.2">
      <c r="A143" s="353" t="s">
        <v>474</v>
      </c>
      <c r="B143" s="18" t="s">
        <v>283</v>
      </c>
      <c r="C143" s="18" t="s">
        <v>473</v>
      </c>
      <c r="D143" s="349" t="s">
        <v>59</v>
      </c>
      <c r="E143" s="349" t="s">
        <v>60</v>
      </c>
      <c r="F143" s="396">
        <v>3.67806621990422</v>
      </c>
      <c r="G143" s="393">
        <v>4.0735613243980798E-2</v>
      </c>
      <c r="H143" s="393">
        <v>1.4712264879616899E-3</v>
      </c>
      <c r="I143" s="393">
        <v>2.1217464799999999E-5</v>
      </c>
      <c r="J143" s="395">
        <v>0.43914639439168501</v>
      </c>
      <c r="K143" s="395">
        <v>1.4651100011066101E-11</v>
      </c>
      <c r="L143" s="395">
        <v>5.3419709137066198E-5</v>
      </c>
      <c r="M143" s="351">
        <f>'Parameters, country spec'!J26</f>
        <v>2.5656753005735599E-3</v>
      </c>
      <c r="N143" s="351">
        <f>'Parameters, country spec'!J44</f>
        <v>2.6486063692714198E-3</v>
      </c>
      <c r="P143" s="59">
        <f>K143*M143/K148*100</f>
        <v>0.22311267490180325</v>
      </c>
    </row>
    <row r="144" spans="1:16" x14ac:dyDescent="0.2">
      <c r="B144" s="58" t="s">
        <v>284</v>
      </c>
      <c r="C144" s="18" t="s">
        <v>475</v>
      </c>
      <c r="D144" s="349" t="s">
        <v>490</v>
      </c>
      <c r="E144" s="349"/>
      <c r="F144" s="54">
        <f>'Off-farm feed'!$F$88</f>
        <v>1.5397450382845068</v>
      </c>
      <c r="G144" s="83">
        <f>'Off-farm feed'!$G$88</f>
        <v>2.276724967641296E-2</v>
      </c>
      <c r="H144" s="83">
        <f>'Off-farm feed'!$H$88</f>
        <v>2.4780679919905292E-3</v>
      </c>
      <c r="I144" s="83">
        <f>'Off-farm feed'!$I$88</f>
        <v>8.1100925319702543E-4</v>
      </c>
      <c r="J144" s="372">
        <f>'Off-farm feed'!$J$88</f>
        <v>0.29368572248181479</v>
      </c>
      <c r="K144" s="372">
        <f>'Off-farm feed'!$K$88</f>
        <v>1.2571008272056975E-11</v>
      </c>
      <c r="L144" s="372">
        <f>'Off-farm feed'!$L$88</f>
        <v>1.3841258986185109E-3</v>
      </c>
      <c r="M144" s="351">
        <f>'Parameters, country spec'!J27</f>
        <v>1.8824856081612201E-2</v>
      </c>
      <c r="N144" s="351">
        <f>'Parameters, country spec'!J45</f>
        <v>1.94333373800013E-2</v>
      </c>
      <c r="P144" s="59">
        <f>K144*M144/K148*100</f>
        <v>1.404604623281996</v>
      </c>
    </row>
    <row r="145" spans="1:16" x14ac:dyDescent="0.2">
      <c r="B145" s="58" t="s">
        <v>476</v>
      </c>
      <c r="C145" s="18" t="s">
        <v>475</v>
      </c>
      <c r="D145" s="349" t="s">
        <v>491</v>
      </c>
      <c r="E145" s="349"/>
      <c r="F145" s="54">
        <f>'Off-farm feed'!$F$36</f>
        <v>2.5509164954964105</v>
      </c>
      <c r="G145" s="83">
        <f>'Off-farm feed'!$G$36</f>
        <v>4.2620923125915401E-2</v>
      </c>
      <c r="H145" s="83">
        <f>'Off-farm feed'!$H$36</f>
        <v>3.2959349471355006E-3</v>
      </c>
      <c r="I145" s="83">
        <f>'Off-farm feed'!$I$36</f>
        <v>2.435286335413451E-3</v>
      </c>
      <c r="J145" s="372">
        <f>'Off-farm feed'!$J$36</f>
        <v>0.25920846302270906</v>
      </c>
      <c r="K145" s="372">
        <f>'Off-farm feed'!$K$36</f>
        <v>1.4553836091881654E-10</v>
      </c>
      <c r="L145" s="372">
        <f>'Off-farm feed'!$L$36</f>
        <v>1.0450321677831977E-4</v>
      </c>
      <c r="M145" s="351">
        <f>'Parameters, country spec'!J28</f>
        <v>6.5660448709878402E-2</v>
      </c>
      <c r="N145" s="351">
        <f>'Parameters, country spec'!J46</f>
        <v>6.7782810502236002E-2</v>
      </c>
      <c r="P145" s="59">
        <f>K145*M145/K148*100</f>
        <v>56.719663093942295</v>
      </c>
    </row>
    <row r="146" spans="1:16" x14ac:dyDescent="0.2">
      <c r="B146" s="18" t="s">
        <v>286</v>
      </c>
      <c r="C146" s="18" t="s">
        <v>477</v>
      </c>
      <c r="D146" s="349" t="s">
        <v>59</v>
      </c>
      <c r="E146" s="349" t="s">
        <v>60</v>
      </c>
      <c r="F146" s="396">
        <v>0.17417624313455299</v>
      </c>
      <c r="G146" s="396">
        <v>2.6648965199586598E-3</v>
      </c>
      <c r="H146" s="396">
        <v>2.4384674038837399E-4</v>
      </c>
      <c r="I146" s="395">
        <v>2.144034E-10</v>
      </c>
      <c r="J146" s="395">
        <v>2.5666942123169698E-2</v>
      </c>
      <c r="K146" s="395">
        <v>6.9380848661897004E-13</v>
      </c>
      <c r="L146" s="395">
        <v>1.9352288466992099E-4</v>
      </c>
      <c r="M146" s="351">
        <f>'Parameters, country spec'!J29</f>
        <v>5.9455463626576097E-2</v>
      </c>
      <c r="N146" s="351">
        <f>'Parameters, country spec'!J47</f>
        <v>4.7732591070968902E-2</v>
      </c>
      <c r="P146" s="59">
        <f>K146*M146/K148*100</f>
        <v>0.24484074629260977</v>
      </c>
    </row>
    <row r="147" spans="1:16" x14ac:dyDescent="0.2">
      <c r="A147" s="354"/>
      <c r="B147" s="18" t="s">
        <v>478</v>
      </c>
      <c r="C147" s="355" t="s">
        <v>479</v>
      </c>
      <c r="D147" s="349" t="s">
        <v>59</v>
      </c>
      <c r="E147" s="349" t="s">
        <v>60</v>
      </c>
      <c r="F147" s="356">
        <f t="shared" ref="F147:L147" si="8">AVERAGE(F137:F145)</f>
        <v>2.6965661633394591</v>
      </c>
      <c r="G147" s="401">
        <f t="shared" si="8"/>
        <v>2.8966777324512312E-2</v>
      </c>
      <c r="H147" s="401">
        <f t="shared" si="8"/>
        <v>2.8827080647808052E-3</v>
      </c>
      <c r="I147" s="401">
        <f t="shared" si="8"/>
        <v>4.7699013371227508E-4</v>
      </c>
      <c r="J147" s="407">
        <f t="shared" si="8"/>
        <v>0.25493170361002782</v>
      </c>
      <c r="K147" s="375">
        <f t="shared" si="8"/>
        <v>2.6498616123375201E-11</v>
      </c>
      <c r="L147" s="407">
        <f t="shared" si="8"/>
        <v>1.1410257883312841E-3</v>
      </c>
      <c r="M147" s="351">
        <f>'Parameters, country spec'!J30</f>
        <v>4.0391474030872003E-2</v>
      </c>
      <c r="N147" s="351">
        <f>'Parameters, country spec'!J48</f>
        <v>6.7554396720150997E-2</v>
      </c>
      <c r="P147" s="59">
        <f>K147*M147/K148*100</f>
        <v>6.352800437347633</v>
      </c>
    </row>
    <row r="148" spans="1:16" x14ac:dyDescent="0.2">
      <c r="A148" s="357"/>
      <c r="B148" s="358" t="s">
        <v>480</v>
      </c>
      <c r="C148" s="359"/>
      <c r="D148" s="360"/>
      <c r="E148" s="360"/>
      <c r="F148" s="361">
        <f>SUMPRODUCT(F134:F136,M134:M136)+SUMPRODUCT(F137:F147,M137:M147)/0.87</f>
        <v>1.0869562417890495</v>
      </c>
      <c r="G148" s="403">
        <f>SUMPRODUCT(G134:G136,M134:M136)+SUMPRODUCT(G137:G147,M137:M147)/0.87</f>
        <v>1.7825441591746101E-2</v>
      </c>
      <c r="H148" s="403">
        <f>SUMPRODUCT(H134:H136,M134:M136)+SUMPRODUCT(H137:H147,M137:M147)/0.87</f>
        <v>1.76860122522968E-3</v>
      </c>
      <c r="I148" s="403">
        <f>SUMPRODUCT(I134:I136,M134:M136)+SUMPRODUCT(I137:I147,M137:M147)/0.87</f>
        <v>3.7831719825732199E-4</v>
      </c>
      <c r="J148" s="376">
        <f>SUMPRODUCT(J134:J136,M134:M136)+SUMPRODUCT(J137:J147,M137:M147)/0.87</f>
        <v>8.755211018028472E-2</v>
      </c>
      <c r="K148" s="376">
        <f>SUMPRODUCT(K134:K136,M134:M136)+SUMPRODUCT(K137:K147,M137:M147)/0.87</f>
        <v>1.6847973984969465E-11</v>
      </c>
      <c r="L148" s="376">
        <f>SUMPRODUCT(L134:L136,M134:M136)+SUMPRODUCT(L137:L147,M137:M147)/0.87</f>
        <v>7.8226636696665378E-4</v>
      </c>
      <c r="M148" s="362"/>
      <c r="N148" s="369"/>
    </row>
    <row r="149" spans="1:16" x14ac:dyDescent="0.2">
      <c r="A149" s="363"/>
      <c r="B149" s="364" t="s">
        <v>481</v>
      </c>
      <c r="C149" s="365"/>
      <c r="D149" s="366"/>
      <c r="E149" s="366"/>
      <c r="F149" s="367">
        <f>SUMPRODUCT(F134:F137,N134:N137)+SUMPRODUCT(F138:F148,N138:N148)/0.87</f>
        <v>1.0150201469212101</v>
      </c>
      <c r="G149" s="404">
        <f>SUMPRODUCT(G134:G137,N134:N137)+SUMPRODUCT(G138:G148,N138:N148)/0.87</f>
        <v>1.7649527258474493E-2</v>
      </c>
      <c r="H149" s="404">
        <f>SUMPRODUCT(H134:H137,N134:N137)+SUMPRODUCT(H138:H148,N138:N148)/0.87</f>
        <v>1.4235522285577723E-3</v>
      </c>
      <c r="I149" s="404">
        <f>SUMPRODUCT(I134:I137,N134:N137)+SUMPRODUCT(I138:I148,N138:N148)/0.87</f>
        <v>3.4153754003468846E-4</v>
      </c>
      <c r="J149" s="377">
        <f>SUMPRODUCT(J134:J137,N134:N137)+SUMPRODUCT(J138:J148,N138:N148)/0.87</f>
        <v>6.4267529566445519E-2</v>
      </c>
      <c r="K149" s="377">
        <f>SUMPRODUCT(K134:K137,N134:N137)+SUMPRODUCT(K138:K148,N138:N148)/0.87</f>
        <v>1.7233017761729564E-11</v>
      </c>
      <c r="L149" s="377">
        <f>SUMPRODUCT(L134:L137,N134:N137)+SUMPRODUCT(L138:L148,N138:N148)/0.87</f>
        <v>5.5083417579649644E-4</v>
      </c>
      <c r="M149" s="368"/>
      <c r="N149" s="368"/>
    </row>
    <row r="150" spans="1:16" x14ac:dyDescent="0.2">
      <c r="B150" s="58" t="s">
        <v>264</v>
      </c>
      <c r="C150" s="18" t="s">
        <v>463</v>
      </c>
      <c r="D150" s="349" t="s">
        <v>61</v>
      </c>
      <c r="E150" s="349" t="s">
        <v>62</v>
      </c>
      <c r="F150" s="350">
        <v>0</v>
      </c>
      <c r="G150" s="352">
        <f>'Forage crops, footprints'!G17</f>
        <v>1.4248888174213376E-2</v>
      </c>
      <c r="H150" s="391">
        <f>'Forage crops, footprints'!H17</f>
        <v>2.3847872238080546E-4</v>
      </c>
      <c r="I150" s="352">
        <f>'Forage crops, footprints'!I17</f>
        <v>0</v>
      </c>
      <c r="J150" s="371">
        <f>'Forage crops, footprints'!J17</f>
        <v>0</v>
      </c>
      <c r="K150" s="371">
        <f>'Forage crops, footprints'!K17</f>
        <v>1.1723811931033977E-10</v>
      </c>
      <c r="L150" s="371">
        <f>'Forage crops, footprints'!L17</f>
        <v>3.5122388625340135E-4</v>
      </c>
      <c r="M150" s="351">
        <f>'Parameters, country spec'!K17</f>
        <v>0.19304395433532501</v>
      </c>
      <c r="N150" s="351">
        <f>'Parameters, country spec'!K35</f>
        <v>0.42695226222969901</v>
      </c>
      <c r="O150" s="83"/>
      <c r="P150" s="59">
        <f>K150*M150/K164*100</f>
        <v>17.182975655237179</v>
      </c>
    </row>
    <row r="151" spans="1:16" x14ac:dyDescent="0.2">
      <c r="B151" s="58" t="s">
        <v>268</v>
      </c>
      <c r="C151" s="18" t="s">
        <v>463</v>
      </c>
      <c r="D151" s="349" t="s">
        <v>61</v>
      </c>
      <c r="E151" s="349" t="s">
        <v>62</v>
      </c>
      <c r="F151" s="350">
        <f>'Forage crops, footprints'!F33</f>
        <v>1.0250102501025009</v>
      </c>
      <c r="G151" s="352">
        <f>'Forage crops, footprints'!G33</f>
        <v>5.6375563755637556E-3</v>
      </c>
      <c r="H151" s="352">
        <f>'Forage crops, footprints'!H33</f>
        <v>1.3426190599934195E-3</v>
      </c>
      <c r="I151" s="352">
        <f>'Forage crops, footprints'!I33</f>
        <v>4.1581712214757788E-2</v>
      </c>
      <c r="J151" s="371">
        <f>'Forage crops, footprints'!J33</f>
        <v>6.7567011968587524E-5</v>
      </c>
      <c r="K151" s="371">
        <f>'Forage crops, footprints'!K33</f>
        <v>7.0036243032082879E-11</v>
      </c>
      <c r="L151" s="371">
        <f>'Forage crops, footprints'!L33</f>
        <v>3.427330000436436E-4</v>
      </c>
      <c r="M151" s="351">
        <f>'Parameters, country spec'!K18</f>
        <v>9.1177256039855006E-2</v>
      </c>
      <c r="N151" s="351">
        <f>'Parameters, country spec'!K36</f>
        <v>8.4238508213965599E-2</v>
      </c>
      <c r="O151" s="83"/>
      <c r="P151" s="59">
        <f>K151*M151/K164*100</f>
        <v>4.8482240968028183</v>
      </c>
    </row>
    <row r="152" spans="1:16" x14ac:dyDescent="0.2">
      <c r="B152" s="58" t="s">
        <v>465</v>
      </c>
      <c r="C152" s="18" t="s">
        <v>463</v>
      </c>
      <c r="D152" s="349" t="s">
        <v>61</v>
      </c>
      <c r="E152" s="349" t="s">
        <v>62</v>
      </c>
      <c r="F152" s="350">
        <f>'Forage, input data per ha'!$D$87*'Forage crops, footprints'!F49+'Forage, input data per ha'!$E$87*'Forage crops, footprints'!F65</f>
        <v>1.5547169575916362</v>
      </c>
      <c r="G152" s="352">
        <f>'Forage, input data per ha'!$D$87*'Forage crops, footprints'!G49+'Forage, input data per ha'!$E$87*'Forage crops, footprints'!G65</f>
        <v>2.9285237454224192E-2</v>
      </c>
      <c r="H152" s="352">
        <f>'Forage, input data per ha'!$D$87*'Forage crops, footprints'!H49+'Forage, input data per ha'!$E$87*'Forage crops, footprints'!H65</f>
        <v>1.733045551385352E-3</v>
      </c>
      <c r="I152" s="352">
        <f>'Forage, input data per ha'!$D$87*'Forage crops, footprints'!I49+'Forage, input data per ha'!$E$87*'Forage crops, footprints'!I65</f>
        <v>0</v>
      </c>
      <c r="J152" s="371">
        <f>'Forage, input data per ha'!$D$87*'Forage crops, footprints'!J49+'Forage, input data per ha'!$E$87*'Forage crops, footprints'!J65</f>
        <v>5.3292018768848181E-5</v>
      </c>
      <c r="K152" s="371">
        <f>'Forage, input data per ha'!$D$87*'Forage crops, footprints'!K49+'Forage, input data per ha'!$E$87*'Forage crops, footprints'!K65</f>
        <v>7.1368896638075897E-11</v>
      </c>
      <c r="L152" s="371">
        <f>'Forage, input data per ha'!$D$87*'Forage crops, footprints'!L49+'Forage, input data per ha'!$E$87*'Forage crops, footprints'!L65</f>
        <v>1.8316602548775946E-4</v>
      </c>
      <c r="M152" s="351">
        <f>'Parameters, country spec'!K19</f>
        <v>0.15964203619207701</v>
      </c>
      <c r="N152" s="351">
        <f>'Parameters, country spec'!K37</f>
        <v>6.2955748563960107E-2</v>
      </c>
      <c r="O152" s="83"/>
      <c r="P152" s="59">
        <f>K152*M152/K164*100</f>
        <v>8.6502680966296577</v>
      </c>
    </row>
    <row r="153" spans="1:16" x14ac:dyDescent="0.2">
      <c r="A153" s="353" t="s">
        <v>466</v>
      </c>
      <c r="B153" s="18" t="s">
        <v>274</v>
      </c>
      <c r="C153" s="18" t="s">
        <v>467</v>
      </c>
      <c r="D153" s="349" t="s">
        <v>61</v>
      </c>
      <c r="E153" s="349" t="s">
        <v>62</v>
      </c>
      <c r="F153" s="392">
        <v>3.1884501581471301</v>
      </c>
      <c r="G153" s="393">
        <v>2.9971431486582999E-2</v>
      </c>
      <c r="H153" s="393">
        <v>2.2319151107029899E-3</v>
      </c>
      <c r="I153" s="393">
        <v>1.1917753388E-2</v>
      </c>
      <c r="J153" s="395">
        <v>0.20501989592898701</v>
      </c>
      <c r="K153" s="395">
        <v>2.17858377659486E-10</v>
      </c>
      <c r="L153" s="395">
        <v>3.36256317678949E-3</v>
      </c>
      <c r="M153" s="351">
        <f>'Parameters, country spec'!K20</f>
        <v>0.103733368710492</v>
      </c>
      <c r="N153" s="351">
        <f>'Parameters, country spec'!K38</f>
        <v>7.4482644340220006E-2</v>
      </c>
      <c r="P153" s="59">
        <f>K153*M153/K164*100</f>
        <v>17.157976692860206</v>
      </c>
    </row>
    <row r="154" spans="1:16" x14ac:dyDescent="0.2">
      <c r="A154" s="353" t="s">
        <v>468</v>
      </c>
      <c r="B154" s="18" t="s">
        <v>276</v>
      </c>
      <c r="C154" s="18" t="s">
        <v>467</v>
      </c>
      <c r="D154" s="349" t="s">
        <v>61</v>
      </c>
      <c r="E154" s="349" t="s">
        <v>62</v>
      </c>
      <c r="F154" s="396">
        <v>0.82715175256913298</v>
      </c>
      <c r="G154" s="393">
        <v>1.09181553637961E-2</v>
      </c>
      <c r="H154" s="393">
        <v>3.0603920337913199E-3</v>
      </c>
      <c r="I154" s="393">
        <v>0.29242761274000001</v>
      </c>
      <c r="J154" s="395">
        <v>9.7673304835198302E-2</v>
      </c>
      <c r="K154" s="395">
        <v>5.6517094498861898E-11</v>
      </c>
      <c r="L154" s="395">
        <v>1.22493272305669E-3</v>
      </c>
      <c r="M154" s="351">
        <f>'Parameters, country spec'!K21</f>
        <v>0.136815021023385</v>
      </c>
      <c r="N154" s="351">
        <f>'Parameters, country spec'!K39</f>
        <v>9.8235935846622893E-2</v>
      </c>
      <c r="P154" s="59">
        <f>K154*M154/K164*100</f>
        <v>5.8706600845172865</v>
      </c>
    </row>
    <row r="155" spans="1:16" x14ac:dyDescent="0.2">
      <c r="A155" s="353" t="s">
        <v>469</v>
      </c>
      <c r="B155" s="18" t="s">
        <v>278</v>
      </c>
      <c r="C155" s="18" t="s">
        <v>467</v>
      </c>
      <c r="D155" s="349" t="s">
        <v>61</v>
      </c>
      <c r="E155" s="349" t="s">
        <v>62</v>
      </c>
      <c r="F155" s="396">
        <v>4.8838140634309797</v>
      </c>
      <c r="G155" s="393">
        <v>3.4671195676445998E-2</v>
      </c>
      <c r="H155" s="393">
        <v>7.3249004950237803E-3</v>
      </c>
      <c r="I155" s="393">
        <v>1.7329606698600002E-2</v>
      </c>
      <c r="J155" s="395">
        <v>0.22104630832494901</v>
      </c>
      <c r="K155" s="395">
        <v>3.33698115346409E-10</v>
      </c>
      <c r="L155" s="395">
        <v>3.8898404278444299E-3</v>
      </c>
      <c r="M155" s="351">
        <f>'Parameters, country spec'!K22</f>
        <v>1.6173849728810901E-2</v>
      </c>
      <c r="N155" s="351">
        <f>'Parameters, country spec'!K40</f>
        <v>1.1613149284971799E-2</v>
      </c>
      <c r="P155" s="59">
        <f>K155*M155/K164*100</f>
        <v>4.0977030617775201</v>
      </c>
    </row>
    <row r="156" spans="1:16" x14ac:dyDescent="0.2">
      <c r="A156" s="353" t="s">
        <v>470</v>
      </c>
      <c r="B156" s="18" t="s">
        <v>280</v>
      </c>
      <c r="C156" s="18" t="s">
        <v>467</v>
      </c>
      <c r="D156" s="349" t="s">
        <v>61</v>
      </c>
      <c r="E156" s="349" t="s">
        <v>62</v>
      </c>
      <c r="F156" s="396">
        <v>4.4326634101366098</v>
      </c>
      <c r="G156" s="393">
        <v>4.2111996407792202E-2</v>
      </c>
      <c r="H156" s="393">
        <v>3.10298920899521E-3</v>
      </c>
      <c r="I156" s="393">
        <v>2.2735821861999999E-2</v>
      </c>
      <c r="J156" s="395">
        <v>7.1556485429835398E-3</v>
      </c>
      <c r="K156" s="395">
        <v>3.0287218283007899E-10</v>
      </c>
      <c r="L156" s="395">
        <v>4.7246408128795497E-3</v>
      </c>
      <c r="M156" s="351">
        <f>'Parameters, country spec'!K23</f>
        <v>4.2692009524630597E-3</v>
      </c>
      <c r="N156" s="351">
        <f>'Parameters, country spec'!K41</f>
        <v>3.06537211910275E-3</v>
      </c>
      <c r="P156" s="59">
        <f>K156*M156/K164*100</f>
        <v>0.98170117733766238</v>
      </c>
    </row>
    <row r="157" spans="1:16" x14ac:dyDescent="0.2">
      <c r="A157" s="353" t="s">
        <v>471</v>
      </c>
      <c r="B157" s="18" t="s">
        <v>281</v>
      </c>
      <c r="C157" s="18" t="s">
        <v>467</v>
      </c>
      <c r="D157" s="349" t="s">
        <v>61</v>
      </c>
      <c r="E157" s="349" t="s">
        <v>62</v>
      </c>
      <c r="F157" s="396">
        <v>2.9420417769932299</v>
      </c>
      <c r="G157" s="393">
        <v>4.5013239187996497E-2</v>
      </c>
      <c r="H157" s="393">
        <v>4.1188584877905297E-3</v>
      </c>
      <c r="I157" s="393">
        <v>1.4509374354E-2</v>
      </c>
      <c r="J157" s="395">
        <v>0.210731979994116</v>
      </c>
      <c r="K157" s="395">
        <v>2.0102194381318101E-10</v>
      </c>
      <c r="L157" s="395">
        <v>5.0501378497497598E-3</v>
      </c>
      <c r="M157" s="351">
        <f>'Parameters, country spec'!K24</f>
        <v>8.7872786881358494E-2</v>
      </c>
      <c r="N157" s="351">
        <f>'Parameters, country spec'!K42</f>
        <v>6.3094427706240894E-2</v>
      </c>
      <c r="P157" s="59">
        <f>K157*M157/K164*100</f>
        <v>13.411309807217156</v>
      </c>
    </row>
    <row r="158" spans="1:16" x14ac:dyDescent="0.2">
      <c r="A158" s="353" t="s">
        <v>472</v>
      </c>
      <c r="B158" s="18" t="s">
        <v>282</v>
      </c>
      <c r="C158" s="18" t="s">
        <v>473</v>
      </c>
      <c r="D158" s="349" t="s">
        <v>61</v>
      </c>
      <c r="E158" s="349" t="s">
        <v>62</v>
      </c>
      <c r="F158" s="396">
        <v>7.5382945362441198</v>
      </c>
      <c r="G158" s="393">
        <v>3.44E-2</v>
      </c>
      <c r="H158" s="393">
        <v>3.7695799183824099E-3</v>
      </c>
      <c r="I158" s="393">
        <v>0.13979039228000001</v>
      </c>
      <c r="J158" s="395">
        <v>0.12759392714992199</v>
      </c>
      <c r="K158" s="395">
        <v>5.1507175478003295E-10</v>
      </c>
      <c r="L158" s="395">
        <v>0</v>
      </c>
      <c r="M158" s="351">
        <f>'Parameters, country spec'!K25</f>
        <v>3.9767845041291496E-3</v>
      </c>
      <c r="N158" s="351">
        <f>'Parameters, country spec'!K43</f>
        <v>2.7198099192756102E-3</v>
      </c>
      <c r="P158" s="59">
        <f>K158*M158/K164*100</f>
        <v>1.5551529890407896</v>
      </c>
    </row>
    <row r="159" spans="1:16" x14ac:dyDescent="0.2">
      <c r="A159" s="353" t="s">
        <v>474</v>
      </c>
      <c r="B159" s="18" t="s">
        <v>283</v>
      </c>
      <c r="C159" s="18" t="s">
        <v>473</v>
      </c>
      <c r="D159" s="349" t="s">
        <v>61</v>
      </c>
      <c r="E159" s="349" t="s">
        <v>62</v>
      </c>
      <c r="F159" s="396">
        <v>8.0637357675063708</v>
      </c>
      <c r="G159" s="393">
        <v>4.16127471535013E-2</v>
      </c>
      <c r="H159" s="393">
        <v>3.2254943070025499E-3</v>
      </c>
      <c r="I159" s="393">
        <v>0.15035854579999999</v>
      </c>
      <c r="J159" s="395">
        <v>0.13648759797439</v>
      </c>
      <c r="K159" s="395">
        <v>5.50973766265362E-10</v>
      </c>
      <c r="L159" s="395">
        <v>1.8093777717167401E-4</v>
      </c>
      <c r="M159" s="351">
        <f>'Parameters, country spec'!K26</f>
        <v>3.9065128907304902E-3</v>
      </c>
      <c r="N159" s="351">
        <f>'Parameters, country spec'!K44</f>
        <v>2.67174962512282E-3</v>
      </c>
      <c r="P159" s="59">
        <f>K159*M159/K164*100</f>
        <v>1.6341559872693923</v>
      </c>
    </row>
    <row r="160" spans="1:16" x14ac:dyDescent="0.2">
      <c r="B160" s="58" t="s">
        <v>284</v>
      </c>
      <c r="C160" s="18" t="s">
        <v>475</v>
      </c>
      <c r="D160" s="349" t="s">
        <v>490</v>
      </c>
      <c r="E160" s="349"/>
      <c r="F160" s="54">
        <f>'Off-farm feed'!$F$88</f>
        <v>1.5397450382845068</v>
      </c>
      <c r="G160" s="83">
        <f>'Off-farm feed'!$G$88</f>
        <v>2.276724967641296E-2</v>
      </c>
      <c r="H160" s="83">
        <f>'Off-farm feed'!$H$88</f>
        <v>2.4780679919905292E-3</v>
      </c>
      <c r="I160" s="83">
        <f>'Off-farm feed'!$I$88</f>
        <v>8.1100925319702543E-4</v>
      </c>
      <c r="J160" s="372">
        <f>'Off-farm feed'!$J$88</f>
        <v>0.29368572248181479</v>
      </c>
      <c r="K160" s="372">
        <f>'Off-farm feed'!$K$88</f>
        <v>1.2571008272056975E-11</v>
      </c>
      <c r="L160" s="372">
        <f>'Off-farm feed'!$L$88</f>
        <v>1.3841258986185109E-3</v>
      </c>
      <c r="M160" s="351">
        <f>'Parameters, country spec'!K27</f>
        <v>1.15171449475378E-2</v>
      </c>
      <c r="N160" s="351">
        <f>'Parameters, country spec'!K45</f>
        <v>7.8768273776592904E-3</v>
      </c>
      <c r="P160" s="59">
        <f>K160*M160/K164*100</f>
        <v>0.10992292377677176</v>
      </c>
    </row>
    <row r="161" spans="1:16" x14ac:dyDescent="0.2">
      <c r="B161" s="58" t="s">
        <v>476</v>
      </c>
      <c r="C161" s="18" t="s">
        <v>475</v>
      </c>
      <c r="D161" s="349" t="s">
        <v>491</v>
      </c>
      <c r="E161" s="349"/>
      <c r="F161" s="54">
        <f>'Off-farm feed'!$F$36</f>
        <v>2.5509164954964105</v>
      </c>
      <c r="G161" s="83">
        <f>'Off-farm feed'!$G$36</f>
        <v>4.2620923125915401E-2</v>
      </c>
      <c r="H161" s="83">
        <f>'Off-farm feed'!$H$36</f>
        <v>3.2959349471355006E-3</v>
      </c>
      <c r="I161" s="83">
        <f>'Off-farm feed'!$I$36</f>
        <v>2.435286335413451E-3</v>
      </c>
      <c r="J161" s="372">
        <f>'Off-farm feed'!$J$36</f>
        <v>0.25920846302270906</v>
      </c>
      <c r="K161" s="372">
        <f>'Off-farm feed'!$K$36</f>
        <v>1.4553836091881654E-10</v>
      </c>
      <c r="L161" s="372">
        <f>'Off-farm feed'!$L$36</f>
        <v>1.0450321677831977E-4</v>
      </c>
      <c r="M161" s="351">
        <f>'Parameters, country spec'!K28</f>
        <v>9.8452568021241901E-2</v>
      </c>
      <c r="N161" s="351">
        <f>'Parameters, country spec'!K46</f>
        <v>6.7333865050956496E-2</v>
      </c>
      <c r="P161" s="59">
        <f>K161*M161/K164*100</f>
        <v>10.87872140100583</v>
      </c>
    </row>
    <row r="162" spans="1:16" x14ac:dyDescent="0.2">
      <c r="B162" s="18" t="s">
        <v>286</v>
      </c>
      <c r="C162" s="18" t="s">
        <v>477</v>
      </c>
      <c r="D162" s="349" t="s">
        <v>61</v>
      </c>
      <c r="E162" s="349" t="s">
        <v>62</v>
      </c>
      <c r="F162" s="396">
        <v>0.26478375992939102</v>
      </c>
      <c r="G162" s="396">
        <v>4.0511915269196798E-3</v>
      </c>
      <c r="H162" s="396">
        <v>3.7069726390114699E-4</v>
      </c>
      <c r="I162" s="395">
        <v>1.30584369186E-3</v>
      </c>
      <c r="J162" s="395">
        <v>1.8965878199470401E-2</v>
      </c>
      <c r="K162" s="395">
        <v>1.80919749431862E-11</v>
      </c>
      <c r="L162" s="395">
        <v>4.5451240647747799E-4</v>
      </c>
      <c r="M162" s="351">
        <f>'Parameters, country spec'!K29</f>
        <v>7.0975010538760902E-2</v>
      </c>
      <c r="N162" s="351">
        <f>'Parameters, country spec'!K47</f>
        <v>6.2556425026192006E-2</v>
      </c>
      <c r="P162" s="59">
        <f>K162*M162/K164*100</f>
        <v>0.97491054946497457</v>
      </c>
    </row>
    <row r="163" spans="1:16" x14ac:dyDescent="0.2">
      <c r="A163" s="354"/>
      <c r="B163" s="18" t="s">
        <v>478</v>
      </c>
      <c r="C163" s="355" t="s">
        <v>479</v>
      </c>
      <c r="D163" s="349" t="s">
        <v>61</v>
      </c>
      <c r="E163" s="349" t="s">
        <v>62</v>
      </c>
      <c r="F163" s="356">
        <f t="shared" ref="F163:L163" si="9">AVERAGE(F153:F161)</f>
        <v>3.9963125554231649</v>
      </c>
      <c r="G163" s="401">
        <f t="shared" si="9"/>
        <v>3.3787437564271494E-2</v>
      </c>
      <c r="H163" s="401">
        <f t="shared" si="9"/>
        <v>3.6231258334238686E-3</v>
      </c>
      <c r="I163" s="401">
        <f t="shared" si="9"/>
        <v>7.24794891901345E-2</v>
      </c>
      <c r="J163" s="375">
        <f t="shared" si="9"/>
        <v>0.1731780942505633</v>
      </c>
      <c r="K163" s="375">
        <f t="shared" si="9"/>
        <v>2.5956917826492061E-10</v>
      </c>
      <c r="L163" s="375">
        <f t="shared" si="9"/>
        <v>2.2135202092098249E-3</v>
      </c>
      <c r="M163" s="351">
        <f>'Parameters, country spec'!K30</f>
        <v>1.8444505233833501E-2</v>
      </c>
      <c r="N163" s="351">
        <f>'Parameters, country spec'!K48</f>
        <v>3.2203274696010503E-2</v>
      </c>
      <c r="P163" s="59">
        <f>K163*M163/K164*100</f>
        <v>3.6349082973898152</v>
      </c>
    </row>
    <row r="164" spans="1:16" x14ac:dyDescent="0.2">
      <c r="A164" s="357"/>
      <c r="B164" s="358" t="s">
        <v>480</v>
      </c>
      <c r="C164" s="359"/>
      <c r="D164" s="360"/>
      <c r="E164" s="360"/>
      <c r="F164" s="361">
        <f>SUMPRODUCT(F150:F152,M150:M152)+SUMPRODUCT(F153:F163,M153:M163)/0.87</f>
        <v>1.7476499650904023</v>
      </c>
      <c r="G164" s="403">
        <f>SUMPRODUCT(G150:G152,M150:M152)+SUMPRODUCT(G153:G163,M153:M163)/0.87</f>
        <v>2.5143553536423478E-2</v>
      </c>
      <c r="H164" s="403">
        <f>SUMPRODUCT(H150:H152,M150:M152)+SUMPRODUCT(H153:H163,M153:M163)/0.87</f>
        <v>2.3044858048672338E-3</v>
      </c>
      <c r="I164" s="403">
        <f>SUMPRODUCT(I150:I152,M150:M152)+SUMPRODUCT(I153:I163,M153:M163)/0.87</f>
        <v>5.6341896368354995E-2</v>
      </c>
      <c r="J164" s="376">
        <f>SUMPRODUCT(J150:J152,M150:M152)+SUMPRODUCT(J153:J163,M153:M163)/0.87</f>
        <v>0.1048847330611936</v>
      </c>
      <c r="K164" s="376">
        <f>SUMPRODUCT(K150:K152,M150:M152)+SUMPRODUCT(K153:K163,M153:M163)/0.87</f>
        <v>1.3171240304706247E-10</v>
      </c>
      <c r="L164" s="376">
        <f>SUMPRODUCT(L150:L152,M150:M152)+SUMPRODUCT(L153:L163,M153:M163)/0.87</f>
        <v>1.4424023950626655E-3</v>
      </c>
      <c r="M164" s="362"/>
      <c r="N164" s="369"/>
    </row>
    <row r="165" spans="1:16" x14ac:dyDescent="0.2">
      <c r="A165" s="363"/>
      <c r="B165" s="364" t="s">
        <v>481</v>
      </c>
      <c r="C165" s="365"/>
      <c r="D165" s="366"/>
      <c r="E165" s="366"/>
      <c r="F165" s="367">
        <f>SUMPRODUCT(F150:F153,N150:N153)+SUMPRODUCT(F154:F164,N154:N164)/0.87</f>
        <v>1.2359416435541233</v>
      </c>
      <c r="G165" s="404">
        <f>SUMPRODUCT(G150:G153,N150:N153)+SUMPRODUCT(G154:G164,N154:N164)/0.87</f>
        <v>2.1025060314437585E-2</v>
      </c>
      <c r="H165" s="404">
        <f>SUMPRODUCT(H150:H153,N150:N153)+SUMPRODUCT(H154:H164,N154:N164)/0.87</f>
        <v>1.7032267014071303E-3</v>
      </c>
      <c r="I165" s="404">
        <f>SUMPRODUCT(I150:I153,N150:N153)+SUMPRODUCT(I154:I164,N154:N164)/0.87</f>
        <v>4.264488496153996E-2</v>
      </c>
      <c r="J165" s="377">
        <f>SUMPRODUCT(J150:J153,N150:N153)+SUMPRODUCT(J154:J164,N154:N164)/0.87</f>
        <v>7.5879322834045498E-2</v>
      </c>
      <c r="K165" s="377">
        <f>SUMPRODUCT(K150:K153,N150:N153)+SUMPRODUCT(K154:K164,N154:N164)/0.87</f>
        <v>1.2874522777846232E-10</v>
      </c>
      <c r="L165" s="377">
        <f>SUMPRODUCT(L150:L153,N150:N153)+SUMPRODUCT(L154:L164,N154:N164)/0.87</f>
        <v>1.1497327870437562E-3</v>
      </c>
      <c r="M165" s="368"/>
      <c r="N165" s="368"/>
    </row>
    <row r="166" spans="1:16" x14ac:dyDescent="0.2">
      <c r="B166" s="58" t="s">
        <v>264</v>
      </c>
      <c r="C166" s="18" t="s">
        <v>463</v>
      </c>
      <c r="D166" s="349" t="s">
        <v>63</v>
      </c>
      <c r="E166" s="349" t="s">
        <v>64</v>
      </c>
      <c r="F166" s="350">
        <v>0</v>
      </c>
      <c r="G166" s="352">
        <f>'Forage crops, footprints'!G18</f>
        <v>1.3044946916826712E-2</v>
      </c>
      <c r="H166" s="391">
        <f>'Forage crops, footprints'!H18</f>
        <v>0</v>
      </c>
      <c r="I166" s="352">
        <f>'Forage crops, footprints'!I18</f>
        <v>0</v>
      </c>
      <c r="J166" s="371">
        <f>'Forage crops, footprints'!J18</f>
        <v>0</v>
      </c>
      <c r="K166" s="371">
        <f>'Forage crops, footprints'!K18</f>
        <v>-1.608036288990619E-11</v>
      </c>
      <c r="L166" s="371">
        <f>'Forage crops, footprints'!L18</f>
        <v>0</v>
      </c>
      <c r="M166" s="351">
        <f>'Parameters, country spec'!L17</f>
        <v>0</v>
      </c>
      <c r="N166" s="351">
        <f>'Parameters, country spec'!L35</f>
        <v>8.1492728375395507E-2</v>
      </c>
      <c r="O166" s="83"/>
      <c r="P166" s="59">
        <f>K166*M166/K180*100</f>
        <v>0</v>
      </c>
    </row>
    <row r="167" spans="1:16" x14ac:dyDescent="0.2">
      <c r="B167" s="58" t="s">
        <v>268</v>
      </c>
      <c r="C167" s="18" t="s">
        <v>463</v>
      </c>
      <c r="D167" s="349" t="s">
        <v>63</v>
      </c>
      <c r="E167" s="349" t="s">
        <v>64</v>
      </c>
      <c r="F167" s="350">
        <f>'Forage crops, footprints'!F34</f>
        <v>0.91421835939926688</v>
      </c>
      <c r="G167" s="352">
        <f>'Forage crops, footprints'!G34</f>
        <v>6.3995285157948684E-3</v>
      </c>
      <c r="H167" s="352">
        <f>'Forage crops, footprints'!H34</f>
        <v>5.4853101563956017E-4</v>
      </c>
      <c r="I167" s="352">
        <f>'Forage crops, footprints'!I34</f>
        <v>0</v>
      </c>
      <c r="J167" s="371">
        <f>'Forage crops, footprints'!J34</f>
        <v>9.1421835939926697E-6</v>
      </c>
      <c r="K167" s="371">
        <f>'Forage crops, footprints'!K34</f>
        <v>1.8706078991556407E-12</v>
      </c>
      <c r="L167" s="371">
        <f>'Forage crops, footprints'!L34</f>
        <v>3.8905679357643464E-4</v>
      </c>
      <c r="M167" s="351">
        <f>'Parameters, country spec'!L18</f>
        <v>5.6833997339727403E-2</v>
      </c>
      <c r="N167" s="351">
        <f>'Parameters, country spec'!L36</f>
        <v>2.0132302839190298E-2</v>
      </c>
      <c r="O167" s="83"/>
      <c r="P167" s="59">
        <f>K167*M167/K180*100</f>
        <v>0.77994267326968758</v>
      </c>
    </row>
    <row r="168" spans="1:16" x14ac:dyDescent="0.2">
      <c r="B168" s="58" t="s">
        <v>465</v>
      </c>
      <c r="C168" s="18" t="s">
        <v>463</v>
      </c>
      <c r="D168" s="349" t="s">
        <v>63</v>
      </c>
      <c r="E168" s="349" t="s">
        <v>64</v>
      </c>
      <c r="F168" s="350">
        <f>'Forage, input data per ha'!$D$88*'Forage crops, footprints'!F50+'Forage, input data per ha'!$E$88*'Forage crops, footprints'!F66</f>
        <v>1.8675635319702051</v>
      </c>
      <c r="G168" s="352">
        <f>'Forage, input data per ha'!$D$88*'Forage crops, footprints'!G50+'Forage, input data per ha'!$E$88*'Forage crops, footprints'!G66</f>
        <v>1.5414535566578808E-2</v>
      </c>
      <c r="H168" s="391">
        <f>'Forage, input data per ha'!$D$88*'Forage crops, footprints'!H50+'Forage, input data per ha'!$E$88*'Forage crops, footprints'!H66</f>
        <v>2.7302838114031671E-4</v>
      </c>
      <c r="I168" s="352">
        <f>'Forage, input data per ha'!$D$88*'Forage crops, footprints'!I50+'Forage, input data per ha'!$E$88*'Forage crops, footprints'!I66</f>
        <v>0</v>
      </c>
      <c r="J168" s="371">
        <f>'Forage, input data per ha'!$D$88*'Forage crops, footprints'!J50+'Forage, input data per ha'!$E$88*'Forage crops, footprints'!J66</f>
        <v>4.4821524767284914E-5</v>
      </c>
      <c r="K168" s="371">
        <f>'Forage, input data per ha'!$D$88*'Forage crops, footprints'!K50+'Forage, input data per ha'!$E$88*'Forage crops, footprints'!K66</f>
        <v>2.7876350006558379E-12</v>
      </c>
      <c r="L168" s="371">
        <f>'Forage, input data per ha'!$D$88*'Forage crops, footprints'!L50+'Forage, input data per ha'!$E$88*'Forage crops, footprints'!L66</f>
        <v>4.2105603975177425E-4</v>
      </c>
      <c r="M168" s="351">
        <f>'Parameters, country spec'!L19</f>
        <v>0.64451256332731</v>
      </c>
      <c r="N168" s="351">
        <f>'Parameters, country spec'!L37</f>
        <v>0.72922483150746598</v>
      </c>
      <c r="O168" s="83"/>
      <c r="P168" s="59">
        <f>K168*M168/K180*100</f>
        <v>13.180716294486567</v>
      </c>
    </row>
    <row r="169" spans="1:16" x14ac:dyDescent="0.2">
      <c r="A169" s="353" t="s">
        <v>466</v>
      </c>
      <c r="B169" s="18" t="s">
        <v>274</v>
      </c>
      <c r="C169" s="18" t="s">
        <v>467</v>
      </c>
      <c r="D169" s="349" t="s">
        <v>63</v>
      </c>
      <c r="E169" s="349" t="s">
        <v>64</v>
      </c>
      <c r="F169" s="392">
        <v>2.2396215935355599</v>
      </c>
      <c r="G169" s="393">
        <v>2.1052442979234198E-2</v>
      </c>
      <c r="H169" s="393">
        <v>1.5677351154748901E-3</v>
      </c>
      <c r="I169" s="393">
        <v>1.23636744E-5</v>
      </c>
      <c r="J169" s="395">
        <v>0.139657427481053</v>
      </c>
      <c r="K169" s="395">
        <v>4.5825527358037798E-12</v>
      </c>
      <c r="L169" s="395">
        <v>1.0871349935439401E-3</v>
      </c>
      <c r="M169" s="351">
        <f>'Parameters, country spec'!L20</f>
        <v>2.1854503836809602E-2</v>
      </c>
      <c r="N169" s="351">
        <f>'Parameters, country spec'!L38</f>
        <v>7.1251912744116604E-3</v>
      </c>
      <c r="P169" s="59">
        <f>K169*M169/K180*100</f>
        <v>0.73471708466916974</v>
      </c>
    </row>
    <row r="170" spans="1:16" x14ac:dyDescent="0.2">
      <c r="A170" s="353" t="s">
        <v>468</v>
      </c>
      <c r="B170" s="18" t="s">
        <v>276</v>
      </c>
      <c r="C170" s="18" t="s">
        <v>467</v>
      </c>
      <c r="D170" s="349" t="s">
        <v>63</v>
      </c>
      <c r="E170" s="349" t="s">
        <v>64</v>
      </c>
      <c r="F170" s="396">
        <v>1.3531506760340799</v>
      </c>
      <c r="G170" s="393">
        <v>1.7861183592585001E-2</v>
      </c>
      <c r="H170" s="393">
        <v>5.0065438858003302E-3</v>
      </c>
      <c r="I170" s="393">
        <v>0</v>
      </c>
      <c r="J170" s="395">
        <v>1.4884657436374901E-2</v>
      </c>
      <c r="K170" s="395">
        <v>2.7687196579604899E-12</v>
      </c>
      <c r="L170" s="395">
        <v>9.2234035398006695E-4</v>
      </c>
      <c r="M170" s="351">
        <f>'Parameters, country spec'!L21</f>
        <v>9.7224227215628796E-4</v>
      </c>
      <c r="N170" s="351">
        <f>'Parameters, country spec'!L39</f>
        <v>3.1697869732220902E-4</v>
      </c>
      <c r="P170" s="59">
        <f>K170*M170/K180*100</f>
        <v>1.974809465639956E-2</v>
      </c>
    </row>
    <row r="171" spans="1:16" x14ac:dyDescent="0.2">
      <c r="A171" s="353" t="s">
        <v>469</v>
      </c>
      <c r="B171" s="18" t="s">
        <v>278</v>
      </c>
      <c r="C171" s="18" t="s">
        <v>467</v>
      </c>
      <c r="D171" s="349" t="s">
        <v>63</v>
      </c>
      <c r="E171" s="349" t="s">
        <v>64</v>
      </c>
      <c r="F171" s="396">
        <v>2.5610555646615301</v>
      </c>
      <c r="G171" s="393">
        <v>1.81814576614431E-2</v>
      </c>
      <c r="H171" s="393">
        <v>3.8411530270654401E-3</v>
      </c>
      <c r="I171" s="393">
        <v>1.4835820200000001E-5</v>
      </c>
      <c r="J171" s="395">
        <v>0.115247500409769</v>
      </c>
      <c r="K171" s="395">
        <v>5.2402478250167298E-12</v>
      </c>
      <c r="L171" s="395">
        <v>9.3887910666182401E-4</v>
      </c>
      <c r="M171" s="351">
        <f>'Parameters, country spec'!L22</f>
        <v>2.3774415383034798E-2</v>
      </c>
      <c r="N171" s="351">
        <f>'Parameters, country spec'!L40</f>
        <v>7.7511371696115704E-3</v>
      </c>
      <c r="P171" s="59">
        <f>K171*M171/K180*100</f>
        <v>0.91397304759873477</v>
      </c>
    </row>
    <row r="172" spans="1:16" x14ac:dyDescent="0.2">
      <c r="A172" s="353" t="s">
        <v>470</v>
      </c>
      <c r="B172" s="18" t="s">
        <v>280</v>
      </c>
      <c r="C172" s="18" t="s">
        <v>467</v>
      </c>
      <c r="D172" s="349" t="s">
        <v>63</v>
      </c>
      <c r="E172" s="349" t="s">
        <v>64</v>
      </c>
      <c r="F172" s="396">
        <v>1.7238644904601299</v>
      </c>
      <c r="G172" s="393">
        <v>1.6377371461087399E-2</v>
      </c>
      <c r="H172" s="393">
        <v>1.20675368660644E-3</v>
      </c>
      <c r="I172" s="393">
        <v>0</v>
      </c>
      <c r="J172" s="395">
        <v>0.11937313391668899</v>
      </c>
      <c r="K172" s="395">
        <v>3.5272476206314401E-12</v>
      </c>
      <c r="L172" s="395">
        <v>8.45717223182979E-4</v>
      </c>
      <c r="M172" s="351">
        <f>'Parameters, country spec'!L23</f>
        <v>1.50302170309128E-5</v>
      </c>
      <c r="N172" s="351">
        <f>'Parameters, country spec'!L41</f>
        <v>4.9002790875207401E-6</v>
      </c>
      <c r="P172" s="59">
        <f>K172*M172/K180*100</f>
        <v>3.8893131948640832E-4</v>
      </c>
    </row>
    <row r="173" spans="1:16" x14ac:dyDescent="0.2">
      <c r="A173" s="353" t="s">
        <v>471</v>
      </c>
      <c r="B173" s="18" t="s">
        <v>281</v>
      </c>
      <c r="C173" s="18" t="s">
        <v>467</v>
      </c>
      <c r="D173" s="349" t="s">
        <v>63</v>
      </c>
      <c r="E173" s="349" t="s">
        <v>64</v>
      </c>
      <c r="F173" s="396">
        <v>1.55791389098342</v>
      </c>
      <c r="G173" s="393">
        <v>2.3836082532046301E-2</v>
      </c>
      <c r="H173" s="393">
        <v>2.18107944737678E-3</v>
      </c>
      <c r="I173" s="393">
        <v>0</v>
      </c>
      <c r="J173" s="395">
        <v>6.6227542671261505E-2</v>
      </c>
      <c r="K173" s="395">
        <v>3.18769143139155E-12</v>
      </c>
      <c r="L173" s="395">
        <v>1.2308803997307699E-3</v>
      </c>
      <c r="M173" s="351">
        <f>'Parameters, country spec'!L24</f>
        <v>9.4799230366266196E-2</v>
      </c>
      <c r="N173" s="351">
        <f>'Parameters, country spec'!L42</f>
        <v>3.0907251607613699E-2</v>
      </c>
      <c r="P173" s="59">
        <f>K173*M173/K180*100</f>
        <v>2.2169341975107124</v>
      </c>
    </row>
    <row r="174" spans="1:16" x14ac:dyDescent="0.2">
      <c r="A174" s="353" t="s">
        <v>472</v>
      </c>
      <c r="B174" s="18" t="s">
        <v>282</v>
      </c>
      <c r="C174" s="18" t="s">
        <v>473</v>
      </c>
      <c r="D174" s="349" t="s">
        <v>63</v>
      </c>
      <c r="E174" s="349" t="s">
        <v>64</v>
      </c>
      <c r="F174" s="396">
        <v>3.5103977982785</v>
      </c>
      <c r="G174" s="393">
        <v>3.44E-2</v>
      </c>
      <c r="H174" s="393">
        <v>1.75540037369216E-3</v>
      </c>
      <c r="I174" s="393">
        <v>4.3822514109200003E-2</v>
      </c>
      <c r="J174" s="395">
        <v>0.20360307230015301</v>
      </c>
      <c r="K174" s="395">
        <v>7.18272367112955E-12</v>
      </c>
      <c r="L174" s="395">
        <v>0</v>
      </c>
      <c r="M174" s="351">
        <f>'Parameters, country spec'!L25</f>
        <v>8.4440367067629904E-3</v>
      </c>
      <c r="N174" s="351">
        <f>'Parameters, country spec'!L43</f>
        <v>1.47849500760987E-3</v>
      </c>
      <c r="P174" s="59">
        <f>K174*M174/K180*100</f>
        <v>0.44494977096467841</v>
      </c>
    </row>
    <row r="175" spans="1:16" x14ac:dyDescent="0.2">
      <c r="A175" s="353" t="s">
        <v>474</v>
      </c>
      <c r="B175" s="18" t="s">
        <v>283</v>
      </c>
      <c r="C175" s="18" t="s">
        <v>473</v>
      </c>
      <c r="D175" s="349" t="s">
        <v>63</v>
      </c>
      <c r="E175" s="349" t="s">
        <v>64</v>
      </c>
      <c r="F175" s="396">
        <v>3.4790111258775802</v>
      </c>
      <c r="G175" s="393">
        <v>4.0695802225175499E-2</v>
      </c>
      <c r="H175" s="393">
        <v>1.39160445035103E-3</v>
      </c>
      <c r="I175" s="393">
        <v>2.3048109550000001E-2</v>
      </c>
      <c r="J175" s="395">
        <v>0.212219678678532</v>
      </c>
      <c r="K175" s="395">
        <v>7.1185025179250203E-12</v>
      </c>
      <c r="L175" s="395">
        <v>3.59307918952768E-5</v>
      </c>
      <c r="M175" s="351">
        <f>'Parameters, country spec'!L26</f>
        <v>8.2948266885816205E-3</v>
      </c>
      <c r="N175" s="351">
        <f>'Parameters, country spec'!L44</f>
        <v>1.4523693197724E-3</v>
      </c>
      <c r="P175" s="59">
        <f>K175*M175/K180*100</f>
        <v>0.43317928036315756</v>
      </c>
    </row>
    <row r="176" spans="1:16" x14ac:dyDescent="0.2">
      <c r="B176" s="58" t="s">
        <v>284</v>
      </c>
      <c r="C176" s="18" t="s">
        <v>475</v>
      </c>
      <c r="D176" s="349" t="s">
        <v>490</v>
      </c>
      <c r="E176" s="349"/>
      <c r="F176" s="54">
        <f>'Off-farm feed'!$F$88</f>
        <v>1.5397450382845068</v>
      </c>
      <c r="G176" s="83">
        <f>'Off-farm feed'!$G$88</f>
        <v>2.276724967641296E-2</v>
      </c>
      <c r="H176" s="83">
        <f>'Off-farm feed'!$H$88</f>
        <v>2.4780679919905292E-3</v>
      </c>
      <c r="I176" s="83">
        <f>'Off-farm feed'!$I$88</f>
        <v>8.1100925319702543E-4</v>
      </c>
      <c r="J176" s="372">
        <f>'Off-farm feed'!$J$88</f>
        <v>0.29368572248181479</v>
      </c>
      <c r="K176" s="372">
        <f>'Off-farm feed'!$K$88</f>
        <v>1.2571008272056975E-11</v>
      </c>
      <c r="L176" s="372">
        <f>'Off-farm feed'!$L$88</f>
        <v>1.3841258986185109E-3</v>
      </c>
      <c r="M176" s="351">
        <f>'Parameters, country spec'!L27</f>
        <v>3.7274865300959803E-2</v>
      </c>
      <c r="N176" s="351">
        <f>'Parameters, country spec'!L45</f>
        <v>6.52658250496908E-3</v>
      </c>
      <c r="P176" s="59">
        <f>K176*M176/K180*100</f>
        <v>3.4376203454102616</v>
      </c>
    </row>
    <row r="177" spans="1:16" x14ac:dyDescent="0.2">
      <c r="B177" s="58" t="s">
        <v>476</v>
      </c>
      <c r="C177" s="18" t="s">
        <v>475</v>
      </c>
      <c r="D177" s="349" t="s">
        <v>491</v>
      </c>
      <c r="E177" s="349"/>
      <c r="F177" s="54">
        <f>'Off-farm feed'!$F$36</f>
        <v>2.5509164954964105</v>
      </c>
      <c r="G177" s="83">
        <f>'Off-farm feed'!$G$36</f>
        <v>4.2620923125915401E-2</v>
      </c>
      <c r="H177" s="83">
        <f>'Off-farm feed'!$H$36</f>
        <v>3.2959349471355006E-3</v>
      </c>
      <c r="I177" s="83">
        <f>'Off-farm feed'!$I$36</f>
        <v>2.435286335413451E-3</v>
      </c>
      <c r="J177" s="372">
        <f>'Off-farm feed'!$J$36</f>
        <v>0.25920846302270906</v>
      </c>
      <c r="K177" s="372">
        <f>'Off-farm feed'!$K$36</f>
        <v>1.4553836091881654E-10</v>
      </c>
      <c r="L177" s="372">
        <f>'Off-farm feed'!$L$36</f>
        <v>1.0450321677831977E-4</v>
      </c>
      <c r="M177" s="351">
        <f>'Parameters, country spec'!L28</f>
        <v>5.8079615438750398E-2</v>
      </c>
      <c r="N177" s="351">
        <f>'Parameters, country spec'!L46</f>
        <v>1.0169356726881599E-2</v>
      </c>
      <c r="P177" s="59">
        <f>K177*M177/K180*100</f>
        <v>62.011598681469636</v>
      </c>
    </row>
    <row r="178" spans="1:16" x14ac:dyDescent="0.2">
      <c r="B178" s="18" t="s">
        <v>286</v>
      </c>
      <c r="C178" s="18" t="s">
        <v>477</v>
      </c>
      <c r="D178" s="349" t="s">
        <v>63</v>
      </c>
      <c r="E178" s="349" t="s">
        <v>64</v>
      </c>
      <c r="F178" s="396">
        <v>0.140212250188508</v>
      </c>
      <c r="G178" s="396">
        <v>2.1452474278841698E-3</v>
      </c>
      <c r="H178" s="396">
        <v>1.96297150263911E-4</v>
      </c>
      <c r="I178" s="395">
        <v>0</v>
      </c>
      <c r="J178" s="395">
        <v>5.9604788404135304E-3</v>
      </c>
      <c r="K178" s="395">
        <v>2.8689222882523901E-13</v>
      </c>
      <c r="L178" s="395">
        <v>1.10779235975769E-4</v>
      </c>
      <c r="M178" s="351">
        <f>'Parameters, country spec'!L29</f>
        <v>0.02</v>
      </c>
      <c r="N178" s="351">
        <f>'Parameters, country spec'!L47</f>
        <v>8.8227403013349595E-2</v>
      </c>
      <c r="P178" s="59">
        <f>K178*M178/K180*100</f>
        <v>4.2094029034852452E-2</v>
      </c>
    </row>
    <row r="179" spans="1:16" x14ac:dyDescent="0.2">
      <c r="A179" s="354"/>
      <c r="B179" s="18" t="s">
        <v>478</v>
      </c>
      <c r="C179" s="355" t="s">
        <v>479</v>
      </c>
      <c r="D179" s="349" t="s">
        <v>63</v>
      </c>
      <c r="E179" s="349" t="s">
        <v>64</v>
      </c>
      <c r="F179" s="356">
        <f t="shared" ref="F179:L179" si="10">AVERAGE(F169:F177)</f>
        <v>2.2795196304013015</v>
      </c>
      <c r="G179" s="401">
        <f t="shared" si="10"/>
        <v>2.6421390361544429E-2</v>
      </c>
      <c r="H179" s="401">
        <f t="shared" si="10"/>
        <v>2.5249192139436775E-3</v>
      </c>
      <c r="I179" s="401">
        <f t="shared" si="10"/>
        <v>7.7937909713789409E-3</v>
      </c>
      <c r="J179" s="375">
        <f t="shared" si="10"/>
        <v>0.15823413315537291</v>
      </c>
      <c r="K179" s="375">
        <f t="shared" si="10"/>
        <v>2.1301894961192455E-11</v>
      </c>
      <c r="L179" s="375">
        <f t="shared" si="10"/>
        <v>7.2772355382129861E-4</v>
      </c>
      <c r="M179" s="351">
        <f>'Parameters, country spec'!L30</f>
        <v>2.9429009738894001E-2</v>
      </c>
      <c r="N179" s="351">
        <f>'Parameters, country spec'!L48</f>
        <v>1.51904716773185E-2</v>
      </c>
      <c r="P179" s="59">
        <f>K179*M179/K180*100</f>
        <v>4.5990232350549558</v>
      </c>
    </row>
    <row r="180" spans="1:16" x14ac:dyDescent="0.2">
      <c r="A180" s="357"/>
      <c r="B180" s="358" t="s">
        <v>480</v>
      </c>
      <c r="C180" s="359"/>
      <c r="D180" s="360"/>
      <c r="E180" s="360"/>
      <c r="F180" s="361">
        <f>SUMPRODUCT(F166:F168,M166:M168)+SUMPRODUCT(F169:F179,M169:M179)/0.87</f>
        <v>1.9370084134232697</v>
      </c>
      <c r="G180" s="403">
        <f>SUMPRODUCT(G166:G168,M166:M168)+SUMPRODUCT(G169:G179,M169:M179)/0.87</f>
        <v>1.9427481624552247E-2</v>
      </c>
      <c r="H180" s="403">
        <f>SUMPRODUCT(H166:H168,M166:M168)+SUMPRODUCT(H169:H179,M169:M179)/0.87</f>
        <v>1.0412000159584342E-3</v>
      </c>
      <c r="I180" s="403">
        <f>SUMPRODUCT(I166:I168,M166:M168)+SUMPRODUCT(I169:I179,M169:M179)/0.87</f>
        <v>1.1067542664062466E-3</v>
      </c>
      <c r="J180" s="376">
        <f>SUMPRODUCT(J166:J168,M166:M168)+SUMPRODUCT(J169:J179,M169:M179)/0.87</f>
        <v>5.3298299338930183E-2</v>
      </c>
      <c r="K180" s="376">
        <f>SUMPRODUCT(K166:K168,M166:M168)+SUMPRODUCT(K169:K179,M169:M179)/0.87</f>
        <v>1.3631017766804971E-11</v>
      </c>
      <c r="L180" s="376">
        <f>SUMPRODUCT(L166:L168,M166:M168)+SUMPRODUCT(L169:L179,M169:M179)/0.87</f>
        <v>5.7540535676507286E-4</v>
      </c>
      <c r="M180" s="362"/>
      <c r="N180" s="362"/>
    </row>
    <row r="181" spans="1:16" x14ac:dyDescent="0.2">
      <c r="A181" s="363"/>
      <c r="B181" s="364" t="s">
        <v>481</v>
      </c>
      <c r="C181" s="365"/>
      <c r="D181" s="366"/>
      <c r="E181" s="366"/>
      <c r="F181" s="367">
        <f>SUMPRODUCT(F166:F169,N166:N169)+SUMPRODUCT(F170:F180,N170:N180)/0.87</f>
        <v>1.5820645774879052</v>
      </c>
      <c r="G181" s="404">
        <f>SUMPRODUCT(G166:G169,N166:N169)+SUMPRODUCT(G170:G180,N170:N180)/0.87</f>
        <v>1.5072208162010547E-2</v>
      </c>
      <c r="H181" s="404">
        <f>SUMPRODUCT(H166:H169,N166:N169)+SUMPRODUCT(H170:H180,N170:N180)/0.87</f>
        <v>4.612646179865039E-4</v>
      </c>
      <c r="I181" s="404">
        <f>SUMPRODUCT(I166:I169,N166:N169)+SUMPRODUCT(I170:I180,N170:N180)/0.87</f>
        <v>2.8380131801369966E-4</v>
      </c>
      <c r="J181" s="377">
        <f>SUMPRODUCT(J166:J169,N166:N169)+SUMPRODUCT(J170:J180,N170:N180)/0.87</f>
        <v>1.3714204536114435E-2</v>
      </c>
      <c r="K181" s="377">
        <f>SUMPRODUCT(K166:K169,N166:N169)+SUMPRODUCT(K170:K180,N170:N180)/0.87</f>
        <v>3.1742644542681942E-12</v>
      </c>
      <c r="L181" s="377">
        <f>SUMPRODUCT(L166:L169,N166:N169)+SUMPRODUCT(L170:L180,N170:N180)/0.87</f>
        <v>4.1066199305745581E-4</v>
      </c>
      <c r="M181" s="368"/>
      <c r="N181" s="368"/>
    </row>
  </sheetData>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G50"/>
  <sheetViews>
    <sheetView topLeftCell="A27" zoomScale="80" zoomScaleNormal="80" workbookViewId="0">
      <selection activeCell="A40" sqref="A40:XFD40"/>
    </sheetView>
  </sheetViews>
  <sheetFormatPr baseColWidth="10" defaultColWidth="8.6640625" defaultRowHeight="15" x14ac:dyDescent="0.2"/>
  <cols>
    <col min="1" max="1" width="46.33203125" customWidth="1"/>
    <col min="2" max="2" width="22.33203125" customWidth="1"/>
    <col min="3" max="3" width="21.6640625" customWidth="1"/>
    <col min="4" max="4" width="14.6640625" customWidth="1"/>
    <col min="5" max="5" width="26.33203125" customWidth="1"/>
  </cols>
  <sheetData>
    <row r="2" spans="1:6" ht="21" customHeight="1" x14ac:dyDescent="0.25">
      <c r="A2" s="9" t="s">
        <v>493</v>
      </c>
    </row>
    <row r="4" spans="1:6" x14ac:dyDescent="0.2">
      <c r="A4" s="197" t="s">
        <v>494</v>
      </c>
      <c r="B4" s="414" t="s">
        <v>495</v>
      </c>
      <c r="C4" s="414" t="s">
        <v>496</v>
      </c>
      <c r="D4" s="414" t="s">
        <v>497</v>
      </c>
      <c r="E4" s="414" t="s">
        <v>498</v>
      </c>
      <c r="F4" s="197" t="s">
        <v>300</v>
      </c>
    </row>
    <row r="5" spans="1:6" x14ac:dyDescent="0.2">
      <c r="A5" s="22" t="s">
        <v>499</v>
      </c>
      <c r="B5" s="13">
        <v>0.290016</v>
      </c>
      <c r="C5" s="53">
        <v>1.1016E-4</v>
      </c>
      <c r="D5" s="53">
        <v>1.0269359999999999E-5</v>
      </c>
      <c r="E5" s="201"/>
      <c r="F5" s="201" t="s">
        <v>500</v>
      </c>
    </row>
    <row r="6" spans="1:6" x14ac:dyDescent="0.2">
      <c r="A6" s="22" t="s">
        <v>501</v>
      </c>
      <c r="B6" s="52">
        <f>0.062*3.6</f>
        <v>0.22320000000000001</v>
      </c>
      <c r="C6" s="53">
        <f>0.00028*3.6</f>
        <v>1.008E-3</v>
      </c>
      <c r="D6" s="53">
        <f>0.000002*3.6</f>
        <v>7.1999999999999997E-6</v>
      </c>
      <c r="F6" s="201" t="s">
        <v>500</v>
      </c>
    </row>
    <row r="7" spans="1:6" x14ac:dyDescent="0.2">
      <c r="A7" s="22" t="s">
        <v>502</v>
      </c>
      <c r="B7" s="13">
        <v>9.6299999999999997E-3</v>
      </c>
      <c r="C7" s="53">
        <v>3.6659999999999903E-5</v>
      </c>
      <c r="D7" s="53">
        <v>1.5258E-5</v>
      </c>
      <c r="E7" s="201"/>
      <c r="F7" s="201" t="s">
        <v>503</v>
      </c>
    </row>
    <row r="8" spans="1:6" x14ac:dyDescent="0.2">
      <c r="A8" s="22" t="s">
        <v>504</v>
      </c>
      <c r="B8" s="13">
        <f>0.07592*3.6</f>
        <v>0.273312</v>
      </c>
      <c r="C8" s="53">
        <f>0.00003363*3.6</f>
        <v>1.2106800000000001E-4</v>
      </c>
      <c r="D8" s="53">
        <f>0.00000204*3.6</f>
        <v>7.3440000000000003E-6</v>
      </c>
      <c r="E8" s="15">
        <f>35.2/3.6</f>
        <v>9.7777777777777786</v>
      </c>
      <c r="F8" s="201" t="s">
        <v>500</v>
      </c>
    </row>
    <row r="10" spans="1:6" x14ac:dyDescent="0.2">
      <c r="A10" s="197" t="s">
        <v>505</v>
      </c>
      <c r="B10" s="414" t="s">
        <v>506</v>
      </c>
      <c r="C10" s="414" t="s">
        <v>507</v>
      </c>
      <c r="D10" s="414" t="s">
        <v>508</v>
      </c>
      <c r="E10" s="197"/>
      <c r="F10" s="197" t="s">
        <v>300</v>
      </c>
    </row>
    <row r="11" spans="1:6" x14ac:dyDescent="0.2">
      <c r="A11" t="s">
        <v>458</v>
      </c>
      <c r="B11">
        <v>2.7E-2</v>
      </c>
      <c r="C11">
        <v>9.5000000000000005E-5</v>
      </c>
      <c r="D11">
        <v>1.1000000000000001E-6</v>
      </c>
      <c r="F11" s="201" t="s">
        <v>509</v>
      </c>
    </row>
    <row r="13" spans="1:6" x14ac:dyDescent="0.2">
      <c r="A13" s="197" t="s">
        <v>494</v>
      </c>
      <c r="B13" s="414" t="s">
        <v>510</v>
      </c>
      <c r="C13" s="414" t="s">
        <v>511</v>
      </c>
      <c r="D13" s="414" t="s">
        <v>512</v>
      </c>
      <c r="E13" s="197"/>
      <c r="F13" s="197" t="s">
        <v>300</v>
      </c>
    </row>
    <row r="14" spans="1:6" x14ac:dyDescent="0.2">
      <c r="A14" s="22" t="s">
        <v>513</v>
      </c>
      <c r="B14" s="350">
        <v>2.2999999999999998</v>
      </c>
      <c r="C14" s="415">
        <v>0</v>
      </c>
      <c r="D14" s="415">
        <v>4.3624161073825499E-3</v>
      </c>
      <c r="F14" s="213" t="s">
        <v>514</v>
      </c>
    </row>
    <row r="15" spans="1:6" x14ac:dyDescent="0.2">
      <c r="A15" s="22" t="s">
        <v>515</v>
      </c>
      <c r="B15" s="253">
        <v>4.3928213588059704</v>
      </c>
      <c r="C15" s="415">
        <v>9.8666566537313396E-3</v>
      </c>
      <c r="D15" s="415">
        <v>9.9480316179104498E-3</v>
      </c>
      <c r="F15" s="416" t="s">
        <v>516</v>
      </c>
    </row>
    <row r="17" spans="1:6" x14ac:dyDescent="0.2">
      <c r="A17" s="197" t="s">
        <v>517</v>
      </c>
      <c r="B17" s="414" t="s">
        <v>518</v>
      </c>
      <c r="C17" s="414" t="s">
        <v>519</v>
      </c>
      <c r="D17" s="414" t="s">
        <v>520</v>
      </c>
      <c r="E17" s="197"/>
      <c r="F17" s="197" t="s">
        <v>300</v>
      </c>
    </row>
    <row r="18" spans="1:6" x14ac:dyDescent="0.2">
      <c r="A18" s="22" t="s">
        <v>521</v>
      </c>
      <c r="B18" s="53">
        <v>7.5028151531289999E-2</v>
      </c>
      <c r="C18" s="53">
        <v>2.5092882000000001E-4</v>
      </c>
      <c r="D18" s="53">
        <v>3.0881530559999999E-6</v>
      </c>
      <c r="F18" s="201" t="s">
        <v>522</v>
      </c>
    </row>
    <row r="19" spans="1:6" x14ac:dyDescent="0.2">
      <c r="B19" s="53"/>
      <c r="C19" s="53"/>
      <c r="D19" s="53"/>
    </row>
    <row r="20" spans="1:6" x14ac:dyDescent="0.2">
      <c r="A20" s="197" t="s">
        <v>523</v>
      </c>
      <c r="B20" s="417" t="s">
        <v>524</v>
      </c>
      <c r="C20" s="417" t="s">
        <v>525</v>
      </c>
      <c r="D20" s="417" t="s">
        <v>526</v>
      </c>
      <c r="E20" s="197"/>
      <c r="F20" s="197" t="s">
        <v>300</v>
      </c>
    </row>
    <row r="21" spans="1:6" x14ac:dyDescent="0.2">
      <c r="A21" s="22" t="s">
        <v>527</v>
      </c>
      <c r="B21" s="53">
        <f>46.7/1000</f>
        <v>4.6700000000000005E-2</v>
      </c>
      <c r="C21" s="53">
        <f>0.708/1000</f>
        <v>7.0799999999999997E-4</v>
      </c>
      <c r="D21" s="53">
        <f>0.0681/1000</f>
        <v>6.8099999999999988E-5</v>
      </c>
      <c r="F21" s="201" t="s">
        <v>528</v>
      </c>
    </row>
    <row r="22" spans="1:6" x14ac:dyDescent="0.2">
      <c r="A22" s="201"/>
    </row>
    <row r="23" spans="1:6" x14ac:dyDescent="0.2">
      <c r="A23" s="197" t="s">
        <v>529</v>
      </c>
      <c r="B23" s="197"/>
    </row>
    <row r="24" spans="1:6" x14ac:dyDescent="0.2">
      <c r="A24" s="224" t="s">
        <v>40</v>
      </c>
      <c r="B24" s="418">
        <v>1</v>
      </c>
      <c r="C24" s="418"/>
    </row>
    <row r="25" spans="1:6" x14ac:dyDescent="0.2">
      <c r="A25" s="22" t="s">
        <v>41</v>
      </c>
      <c r="B25" s="419">
        <v>29.8</v>
      </c>
      <c r="C25" s="419"/>
    </row>
    <row r="26" spans="1:6" x14ac:dyDescent="0.2">
      <c r="A26" s="22" t="s">
        <v>42</v>
      </c>
      <c r="B26" s="419">
        <v>27</v>
      </c>
      <c r="C26" s="418"/>
    </row>
    <row r="27" spans="1:6" x14ac:dyDescent="0.2">
      <c r="A27" s="22" t="s">
        <v>43</v>
      </c>
      <c r="B27" s="420">
        <v>273</v>
      </c>
      <c r="C27" s="420"/>
    </row>
    <row r="29" spans="1:6" ht="15" customHeight="1" x14ac:dyDescent="0.2">
      <c r="A29" s="421" t="s">
        <v>530</v>
      </c>
      <c r="B29" s="422"/>
    </row>
    <row r="30" spans="1:6" x14ac:dyDescent="0.2">
      <c r="A30" s="246" t="s">
        <v>531</v>
      </c>
      <c r="B30" s="423">
        <v>352323</v>
      </c>
    </row>
    <row r="32" spans="1:6" x14ac:dyDescent="0.2">
      <c r="A32" s="424" t="s">
        <v>532</v>
      </c>
      <c r="B32" s="424"/>
    </row>
    <row r="33" spans="1:7" x14ac:dyDescent="0.2">
      <c r="A33" s="246" t="s">
        <v>533</v>
      </c>
      <c r="B33" s="425">
        <v>0.05</v>
      </c>
    </row>
    <row r="34" spans="1:7" x14ac:dyDescent="0.2">
      <c r="A34" s="246" t="s">
        <v>534</v>
      </c>
      <c r="B34" s="425">
        <f>(3*1.008+14.007)/14.007</f>
        <v>1.2158920539730134</v>
      </c>
    </row>
    <row r="35" spans="1:7" x14ac:dyDescent="0.2">
      <c r="A35" s="426" t="s">
        <v>535</v>
      </c>
      <c r="B35" s="246"/>
    </row>
    <row r="37" spans="1:7" ht="15" customHeight="1" x14ac:dyDescent="0.2">
      <c r="A37" s="421" t="s">
        <v>536</v>
      </c>
      <c r="B37" s="422"/>
      <c r="F37" t="s">
        <v>300</v>
      </c>
      <c r="G37" t="s">
        <v>537</v>
      </c>
    </row>
    <row r="38" spans="1:7" x14ac:dyDescent="0.2">
      <c r="A38" s="246" t="s">
        <v>538</v>
      </c>
      <c r="B38" s="537">
        <v>0.86459961807407004</v>
      </c>
      <c r="C38" s="25"/>
      <c r="F38" t="s">
        <v>539</v>
      </c>
    </row>
    <row r="39" spans="1:7" x14ac:dyDescent="0.2">
      <c r="A39" s="22" t="s">
        <v>177</v>
      </c>
      <c r="B39" s="538">
        <v>0.1021112004087</v>
      </c>
      <c r="C39" s="522">
        <f>B39/(AF_beef+AF_offal+AF_tallow)</f>
        <v>0.94978877831646391</v>
      </c>
      <c r="F39" t="s">
        <v>540</v>
      </c>
    </row>
    <row r="40" spans="1:7" x14ac:dyDescent="0.2">
      <c r="A40" s="22" t="s">
        <v>37</v>
      </c>
      <c r="B40" s="538">
        <v>2.7891004325474599E-2</v>
      </c>
      <c r="C40" s="522"/>
      <c r="F40" t="s">
        <v>539</v>
      </c>
    </row>
    <row r="41" spans="1:7" x14ac:dyDescent="0.2">
      <c r="A41" s="22" t="s">
        <v>190</v>
      </c>
      <c r="B41" s="427">
        <v>2.3805626125132798E-3</v>
      </c>
      <c r="C41" s="522">
        <f>B41/(AF_beef+AF_offal+AF_tallow)</f>
        <v>2.2142836891497309E-2</v>
      </c>
      <c r="F41" t="s">
        <v>541</v>
      </c>
    </row>
    <row r="42" spans="1:7" x14ac:dyDescent="0.2">
      <c r="A42" s="22" t="s">
        <v>197</v>
      </c>
      <c r="B42" s="427">
        <v>3.0176145792421899E-3</v>
      </c>
      <c r="C42" s="522">
        <f>B42/(AF_beef+AF_offal+AF_tallow)</f>
        <v>2.8068384792038881E-2</v>
      </c>
      <c r="F42" t="s">
        <v>542</v>
      </c>
    </row>
    <row r="43" spans="1:7" x14ac:dyDescent="0.2">
      <c r="A43" s="22"/>
      <c r="B43" s="428"/>
    </row>
    <row r="44" spans="1:7" x14ac:dyDescent="0.2">
      <c r="A44" s="429" t="s">
        <v>543</v>
      </c>
      <c r="B44" s="430">
        <f>SUM(B38:B42)</f>
        <v>1.0000000000000002</v>
      </c>
      <c r="C44" s="430">
        <f>SUM(C38:C42)</f>
        <v>1</v>
      </c>
    </row>
    <row r="46" spans="1:7" x14ac:dyDescent="0.2">
      <c r="C46" s="534"/>
    </row>
    <row r="47" spans="1:7" x14ac:dyDescent="0.2">
      <c r="C47" s="534"/>
    </row>
    <row r="48" spans="1:7" x14ac:dyDescent="0.2">
      <c r="C48" s="534"/>
    </row>
    <row r="49" spans="3:3" x14ac:dyDescent="0.2">
      <c r="C49" s="522"/>
    </row>
    <row r="50" spans="3:3" x14ac:dyDescent="0.2">
      <c r="C50" s="522"/>
    </row>
  </sheetData>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S242"/>
  <sheetViews>
    <sheetView topLeftCell="A5" zoomScale="80" zoomScaleNormal="80" workbookViewId="0">
      <selection activeCell="F178" sqref="F178"/>
    </sheetView>
  </sheetViews>
  <sheetFormatPr baseColWidth="10" defaultColWidth="8.6640625" defaultRowHeight="15" x14ac:dyDescent="0.2"/>
  <cols>
    <col min="1" max="1" width="15.33203125" customWidth="1"/>
    <col min="2" max="2" width="18.33203125" customWidth="1"/>
    <col min="3" max="3" width="1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5" customWidth="1"/>
    <col min="16" max="16" width="15" customWidth="1"/>
    <col min="17" max="17" width="17.6640625" customWidth="1"/>
    <col min="18" max="18" width="24.6640625" customWidth="1"/>
    <col min="20" max="24" width="10.6640625" customWidth="1"/>
    <col min="25" max="25" width="13.6640625" customWidth="1"/>
    <col min="36" max="36" width="30.5" customWidth="1"/>
    <col min="37" max="37" width="32.5" customWidth="1"/>
  </cols>
  <sheetData>
    <row r="2" spans="1:19" ht="21" customHeight="1" x14ac:dyDescent="0.25">
      <c r="A2" s="9" t="s">
        <v>544</v>
      </c>
    </row>
    <row r="4" spans="1:19" ht="18" customHeight="1" x14ac:dyDescent="0.25">
      <c r="A4" s="431" t="s">
        <v>264</v>
      </c>
      <c r="B4" s="197"/>
      <c r="C4" s="197"/>
      <c r="D4" s="197"/>
      <c r="E4" s="197"/>
      <c r="F4" s="197"/>
      <c r="G4" s="197"/>
      <c r="H4" s="197"/>
      <c r="I4" s="197"/>
      <c r="J4" s="197"/>
      <c r="K4" s="197"/>
      <c r="L4" s="197"/>
      <c r="M4" s="197"/>
      <c r="N4" s="197"/>
      <c r="O4" s="197"/>
      <c r="P4" s="197"/>
    </row>
    <row r="6" spans="1:19" x14ac:dyDescent="0.2">
      <c r="A6" s="432" t="s">
        <v>458</v>
      </c>
      <c r="B6" s="433"/>
      <c r="C6" s="433"/>
      <c r="D6" s="433"/>
      <c r="E6" s="434" t="s">
        <v>6</v>
      </c>
      <c r="F6" s="434" t="s">
        <v>7</v>
      </c>
      <c r="G6" s="435"/>
      <c r="H6" s="434" t="s">
        <v>8</v>
      </c>
      <c r="I6" s="436"/>
      <c r="J6" s="437" t="s">
        <v>9</v>
      </c>
      <c r="K6" s="436"/>
      <c r="L6" s="436"/>
      <c r="M6" s="436"/>
      <c r="N6" s="437" t="s">
        <v>10</v>
      </c>
      <c r="O6" s="437" t="s">
        <v>11</v>
      </c>
      <c r="P6" s="437" t="s">
        <v>12</v>
      </c>
    </row>
    <row r="7" spans="1:19" ht="81" customHeight="1" x14ac:dyDescent="0.2">
      <c r="A7" s="438" t="s">
        <v>13</v>
      </c>
      <c r="B7" s="438" t="s">
        <v>458</v>
      </c>
      <c r="C7" s="438" t="s">
        <v>18</v>
      </c>
      <c r="D7" s="439" t="s">
        <v>545</v>
      </c>
      <c r="E7" s="440"/>
      <c r="F7" s="49" t="s">
        <v>20</v>
      </c>
      <c r="G7" s="49" t="s">
        <v>21</v>
      </c>
      <c r="H7" s="49" t="s">
        <v>22</v>
      </c>
      <c r="I7" s="49" t="s">
        <v>546</v>
      </c>
      <c r="J7" s="49" t="s">
        <v>24</v>
      </c>
      <c r="K7" s="49" t="s">
        <v>25</v>
      </c>
      <c r="L7" s="49" t="s">
        <v>26</v>
      </c>
      <c r="M7" s="49" t="s">
        <v>27</v>
      </c>
      <c r="N7" s="49" t="s">
        <v>28</v>
      </c>
      <c r="O7" s="49"/>
      <c r="P7" s="49"/>
      <c r="R7" s="441"/>
    </row>
    <row r="8" spans="1:19" x14ac:dyDescent="0.2">
      <c r="B8" t="s">
        <v>264</v>
      </c>
      <c r="C8" t="s">
        <v>40</v>
      </c>
      <c r="D8" t="s">
        <v>38</v>
      </c>
      <c r="E8" s="13">
        <f t="shared" ref="E8:E39" si="0">SUM(F8:P8)</f>
        <v>4.4260648382568456E-2</v>
      </c>
      <c r="F8" s="13">
        <f>'Forage, input data per ha'!D8*EF_min_fert_CO2_DK/'Forage, input data per ha'!C8</f>
        <v>7.1375990352365451E-3</v>
      </c>
      <c r="G8" s="13">
        <f>EF_capital_goods_CO2</f>
        <v>2.7E-2</v>
      </c>
      <c r="H8" s="13"/>
      <c r="I8" s="13"/>
      <c r="J8" s="13">
        <f>'Forage, input data per ha'!H8*EF_diesel_CO2*Heating_value_diesel/'Forage, input data per ha'!C8</f>
        <v>1.012304934733191E-2</v>
      </c>
      <c r="K8" s="13"/>
      <c r="L8" s="13">
        <f>'Forage, input data per ha'!I8*'Parameters, general'!$B$18/'Forage, input data per ha'!C8</f>
        <v>0</v>
      </c>
      <c r="M8" s="13"/>
      <c r="N8" s="13"/>
      <c r="O8" s="13"/>
      <c r="P8" s="13"/>
    </row>
    <row r="9" spans="1:19" x14ac:dyDescent="0.2">
      <c r="B9" t="s">
        <v>264</v>
      </c>
      <c r="C9" t="s">
        <v>41</v>
      </c>
      <c r="D9" t="s">
        <v>38</v>
      </c>
      <c r="E9" s="13">
        <f t="shared" si="0"/>
        <v>9.9484169514630833E-5</v>
      </c>
      <c r="F9" s="13">
        <f>'Forage, input data per ha'!D8*EF_min_fert_CH4_DK/'Forage, input data per ha'!C8</f>
        <v>0</v>
      </c>
      <c r="G9" s="13">
        <f>EF_capital_goods_CH4</f>
        <v>9.5000000000000005E-5</v>
      </c>
      <c r="H9" s="13"/>
      <c r="I9" s="13"/>
      <c r="J9" s="13">
        <f>'Forage, input data per ha'!H8*EF_diesel_CH4*Heating_value_diesel/'Forage, input data per ha'!C8</f>
        <v>4.4841695146308248E-6</v>
      </c>
      <c r="K9" s="13"/>
      <c r="L9" s="13">
        <f>'Forage, input data per ha'!I8*'Parameters, general'!$C$18/'Forage, input data per ha'!C8</f>
        <v>0</v>
      </c>
      <c r="M9" s="13"/>
      <c r="N9" s="13"/>
      <c r="O9" s="13"/>
      <c r="P9" s="13"/>
    </row>
    <row r="10" spans="1:19" x14ac:dyDescent="0.2">
      <c r="B10" t="s">
        <v>264</v>
      </c>
      <c r="C10" t="s">
        <v>547</v>
      </c>
      <c r="D10" t="s">
        <v>38</v>
      </c>
      <c r="E10" s="13">
        <f t="shared" si="0"/>
        <v>0</v>
      </c>
      <c r="F10" s="13"/>
      <c r="G10" s="13"/>
      <c r="H10" s="13"/>
      <c r="I10" s="13"/>
      <c r="J10" s="13"/>
      <c r="K10" s="13"/>
      <c r="L10" s="13"/>
      <c r="M10" s="13"/>
      <c r="N10" s="13"/>
      <c r="O10" s="13"/>
      <c r="P10" s="13"/>
    </row>
    <row r="11" spans="1:19" x14ac:dyDescent="0.2">
      <c r="B11" t="s">
        <v>264</v>
      </c>
      <c r="C11" t="s">
        <v>43</v>
      </c>
      <c r="D11" t="s">
        <v>38</v>
      </c>
      <c r="E11" s="13">
        <f t="shared" si="0"/>
        <v>9.9642551864791813E-5</v>
      </c>
      <c r="F11" s="13">
        <f>'Forage, input data per ha'!D8*EF_min_fert_N2O_DK/'Forage, input data per ha'!C8</f>
        <v>3.2245050727455122E-6</v>
      </c>
      <c r="G11" s="13">
        <f>EF_capital_goods_N2O</f>
        <v>1.1000000000000001E-6</v>
      </c>
      <c r="H11" s="442">
        <f>('Forage, input data per ha'!D8*'Parameters, country spec'!B80+'Forage, input data per ha'!F8*'Parameters, country spec'!B81)*44/28/'Forage, input data per ha'!C8</f>
        <v>8.6405487735697841E-5</v>
      </c>
      <c r="I11" s="13">
        <f>H11*0.1</f>
        <v>8.6405487735697841E-6</v>
      </c>
      <c r="J11" s="13">
        <f>'Forage, input data per ha'!H8*EF_diesel_N2O*Heating_value_diesel/'Forage, input data per ha'!C8</f>
        <v>2.720102827786762E-7</v>
      </c>
      <c r="K11" s="13"/>
      <c r="L11" s="13">
        <f>'Forage, input data per ha'!I8*'Parameters, general'!$D$18/'Forage, input data per ha'!C8</f>
        <v>0</v>
      </c>
      <c r="M11" s="13"/>
      <c r="N11" s="13"/>
      <c r="O11" s="13"/>
      <c r="P11" s="13"/>
    </row>
    <row r="12" spans="1:19" ht="15" customHeight="1" x14ac:dyDescent="0.2">
      <c r="A12" s="103"/>
      <c r="B12" s="103" t="s">
        <v>264</v>
      </c>
      <c r="C12" s="103" t="s">
        <v>44</v>
      </c>
      <c r="D12" s="103" t="s">
        <v>38</v>
      </c>
      <c r="E12" s="443">
        <f t="shared" si="0"/>
        <v>7.4427693293192612E-2</v>
      </c>
      <c r="F12" s="443">
        <f>SUMPRODUCT(F8:F11,'Parameters, general'!$B$24:$B$27)</f>
        <v>8.0178889200960696E-3</v>
      </c>
      <c r="G12" s="443">
        <f>SUMPRODUCT(G8:G11,'Parameters, general'!$B$24:$B$27)</f>
        <v>3.01313E-2</v>
      </c>
      <c r="H12" s="443">
        <f>SUMPRODUCT(H8:H11,'Parameters, general'!$B$24:$B$27)</f>
        <v>2.358869815184551E-2</v>
      </c>
      <c r="I12" s="443">
        <f>SUMPRODUCT(I8:I11,'Parameters, general'!$B$24:$B$27)</f>
        <v>2.3588698151845509E-3</v>
      </c>
      <c r="J12" s="443">
        <f>SUMPRODUCT(J8:J11,'Parameters, general'!$B$24:$B$27)</f>
        <v>1.0330936406066488E-2</v>
      </c>
      <c r="K12" s="443">
        <f>SUMPRODUCT(K8:K11,'Parameters, general'!$B$24:$B$27)</f>
        <v>0</v>
      </c>
      <c r="L12" s="443">
        <f>SUMPRODUCT(L8:L11,'Parameters, general'!$B$24:$B$27)</f>
        <v>0</v>
      </c>
      <c r="M12" s="443">
        <f>SUMPRODUCT(M8:M11,'Parameters, general'!$B$24:$B$27)</f>
        <v>0</v>
      </c>
      <c r="N12" s="443">
        <f>SUMPRODUCT(N8:N11,'Parameters, general'!$B$24:$B$27)</f>
        <v>0</v>
      </c>
      <c r="O12" s="443">
        <f>SUMPRODUCT(O8:O11,'Parameters, general'!$B$24:$B$27)</f>
        <v>0</v>
      </c>
      <c r="P12" s="443"/>
      <c r="R12" s="444"/>
      <c r="S12" s="25"/>
    </row>
    <row r="13" spans="1:19" x14ac:dyDescent="0.2">
      <c r="B13" t="s">
        <v>264</v>
      </c>
      <c r="C13" t="s">
        <v>40</v>
      </c>
      <c r="D13" t="s">
        <v>45</v>
      </c>
      <c r="E13" s="13">
        <f t="shared" si="0"/>
        <v>5.5332454299553323E-2</v>
      </c>
      <c r="F13" s="13">
        <f>'Forage, input data per ha'!D9*EF_min_fert_CO2_FR/'Forage, input data per ha'!C9</f>
        <v>1.5227707011231065E-2</v>
      </c>
      <c r="G13" s="13">
        <f>EF_capital_goods_CO2</f>
        <v>2.7E-2</v>
      </c>
      <c r="H13" s="13"/>
      <c r="I13" s="13"/>
      <c r="J13" s="13">
        <f>'Forage, input data per ha'!H9*EF_diesel_CO2*Heating_value_diesel/'Forage, input data per ha'!C9</f>
        <v>1.3104747288322262E-2</v>
      </c>
      <c r="K13" s="13"/>
      <c r="L13" s="13">
        <f>'Forage, input data per ha'!I9*'Parameters, general'!$B$18/'Forage, input data per ha'!C9</f>
        <v>0</v>
      </c>
      <c r="M13" s="13"/>
      <c r="N13" s="445"/>
      <c r="O13" s="13"/>
      <c r="P13" s="13"/>
    </row>
    <row r="14" spans="1:19" x14ac:dyDescent="0.2">
      <c r="B14" t="s">
        <v>264</v>
      </c>
      <c r="C14" t="s">
        <v>41</v>
      </c>
      <c r="D14" t="s">
        <v>45</v>
      </c>
      <c r="E14" s="13">
        <f t="shared" si="0"/>
        <v>1.0080496116051472E-4</v>
      </c>
      <c r="F14" s="13">
        <f>'Forage, input data per ha'!D9*EF_min_fert_CH4_FR/'Forage, input data per ha'!C9</f>
        <v>0</v>
      </c>
      <c r="G14" s="13">
        <f>EF_capital_goods_CH4</f>
        <v>9.5000000000000005E-5</v>
      </c>
      <c r="H14" s="13"/>
      <c r="I14" s="13"/>
      <c r="J14" s="13">
        <f>'Forage, input data per ha'!H9*EF_diesel_CH4*Heating_value_diesel/'Forage, input data per ha'!C9</f>
        <v>5.8049611605147225E-6</v>
      </c>
      <c r="K14" s="13"/>
      <c r="L14" s="13">
        <f>'Forage, input data per ha'!I9*'Parameters, general'!$C$18/'Forage, input data per ha'!C9</f>
        <v>0</v>
      </c>
      <c r="M14" s="13"/>
      <c r="N14" s="13"/>
      <c r="O14" s="13"/>
      <c r="P14" s="13"/>
    </row>
    <row r="15" spans="1:19" x14ac:dyDescent="0.2">
      <c r="B15" t="s">
        <v>264</v>
      </c>
      <c r="C15" t="s">
        <v>547</v>
      </c>
      <c r="D15" t="s">
        <v>45</v>
      </c>
      <c r="E15" s="13">
        <f t="shared" si="0"/>
        <v>0</v>
      </c>
      <c r="F15" s="13"/>
      <c r="G15" s="13"/>
      <c r="H15" s="13"/>
      <c r="I15" s="13"/>
      <c r="J15" s="13"/>
      <c r="K15" s="13"/>
      <c r="L15" s="13"/>
      <c r="M15" s="13"/>
      <c r="N15" s="13"/>
      <c r="O15" s="13"/>
      <c r="P15" s="13"/>
    </row>
    <row r="16" spans="1:19" x14ac:dyDescent="0.2">
      <c r="B16" t="s">
        <v>264</v>
      </c>
      <c r="C16" t="s">
        <v>43</v>
      </c>
      <c r="D16" t="s">
        <v>45</v>
      </c>
      <c r="E16" s="13">
        <f t="shared" si="0"/>
        <v>1.7013512996066644E-4</v>
      </c>
      <c r="F16" s="13">
        <f>'Forage, input data per ha'!D9*EF_min_fert_N2O_FR/'Forage, input data per ha'!C9</f>
        <v>4.5136443005659777E-6</v>
      </c>
      <c r="G16" s="13">
        <f>EF_capital_goods_N2O</f>
        <v>1.1000000000000001E-6</v>
      </c>
      <c r="H16" s="13">
        <f>('Forage, input data per ha'!D9*'Parameters, country spec'!C80+'Forage, input data per ha'!F9*'Parameters, country spec'!C81)*44/28/'Forage, input data per ha'!C9</f>
        <v>1.4924486908284617E-4</v>
      </c>
      <c r="I16" s="13">
        <f>H16*0.1</f>
        <v>1.4924486908284618E-5</v>
      </c>
      <c r="J16" s="13">
        <f>'Forage, input data per ha'!H9*EF_diesel_N2O*Heating_value_diesel/'Forage, input data per ha'!C9</f>
        <v>3.5212966896967091E-7</v>
      </c>
      <c r="K16" s="13"/>
      <c r="L16" s="13">
        <f>'Forage, input data per ha'!I9*'Parameters, general'!$D$18/'Forage, input data per ha'!C9</f>
        <v>0</v>
      </c>
      <c r="M16" s="13"/>
      <c r="N16" s="13"/>
      <c r="O16" s="13"/>
      <c r="P16" s="13"/>
    </row>
    <row r="17" spans="1:19" ht="15" customHeight="1" x14ac:dyDescent="0.2">
      <c r="A17" s="103"/>
      <c r="B17" s="103" t="s">
        <v>264</v>
      </c>
      <c r="C17" s="103" t="s">
        <v>44</v>
      </c>
      <c r="D17" s="103" t="s">
        <v>45</v>
      </c>
      <c r="E17" s="443">
        <f t="shared" si="0"/>
        <v>0.10478333262139861</v>
      </c>
      <c r="F17" s="443">
        <f>SUMPRODUCT(F13:F16,'Parameters, general'!$B$24:$B$27)</f>
        <v>1.6459931905285576E-2</v>
      </c>
      <c r="G17" s="443">
        <f>SUMPRODUCT(G13:G16,'Parameters, general'!$B$24:$B$27)</f>
        <v>3.01313E-2</v>
      </c>
      <c r="H17" s="443">
        <f>SUMPRODUCT(H13:H16,'Parameters, general'!$B$24:$B$27)</f>
        <v>4.0743849259617007E-2</v>
      </c>
      <c r="I17" s="443">
        <f>SUMPRODUCT(I13:I16,'Parameters, general'!$B$24:$B$27)</f>
        <v>4.0743849259617009E-3</v>
      </c>
      <c r="J17" s="443">
        <f>SUMPRODUCT(J13:J16,'Parameters, general'!$B$24:$B$27)</f>
        <v>1.3373866530534321E-2</v>
      </c>
      <c r="K17" s="443">
        <f>SUMPRODUCT(K13:K16,'Parameters, general'!$B$24:$B$27)</f>
        <v>0</v>
      </c>
      <c r="L17" s="443">
        <f>SUMPRODUCT(L13:L16,'Parameters, general'!$B$24:$B$27)</f>
        <v>0</v>
      </c>
      <c r="M17" s="443">
        <f>SUMPRODUCT(M13:M16,'Parameters, general'!$B$24:$B$27)</f>
        <v>0</v>
      </c>
      <c r="N17" s="443">
        <f>SUMPRODUCT(N13:N16,'Parameters, general'!$B$24:$B$27)</f>
        <v>0</v>
      </c>
      <c r="O17" s="443">
        <f>SUMPRODUCT(O13:O16,'Parameters, general'!$B$24:$B$27)</f>
        <v>0</v>
      </c>
      <c r="P17" s="443"/>
      <c r="R17" s="444"/>
      <c r="S17" s="25"/>
    </row>
    <row r="18" spans="1:19" x14ac:dyDescent="0.2">
      <c r="B18" t="s">
        <v>264</v>
      </c>
      <c r="C18" t="s">
        <v>40</v>
      </c>
      <c r="D18" t="s">
        <v>47</v>
      </c>
      <c r="E18" s="13">
        <f t="shared" si="0"/>
        <v>5.8168053171684664E-2</v>
      </c>
      <c r="F18" s="13">
        <f>'Forage, input data per ha'!D10*EF_min_fert_CO2_DE/'Forage, input data per ha'!C10</f>
        <v>1.8004951859799098E-2</v>
      </c>
      <c r="G18" s="13">
        <f>EF_capital_goods_CO2</f>
        <v>2.7E-2</v>
      </c>
      <c r="H18" s="13"/>
      <c r="I18" s="13"/>
      <c r="J18" s="13">
        <f>'Forage, input data per ha'!H10*EF_diesel_CO2*Heating_value_diesel/'Forage, input data per ha'!C10</f>
        <v>1.3163101311885569E-2</v>
      </c>
      <c r="K18" s="13"/>
      <c r="L18" s="13">
        <f>'Forage, input data per ha'!I10*'Parameters, general'!$B$18/'Forage, input data per ha'!C10</f>
        <v>0</v>
      </c>
      <c r="M18" s="13"/>
      <c r="N18" s="13"/>
      <c r="O18" s="13"/>
      <c r="P18" s="13"/>
    </row>
    <row r="19" spans="1:19" x14ac:dyDescent="0.2">
      <c r="B19" t="s">
        <v>264</v>
      </c>
      <c r="C19" t="s">
        <v>41</v>
      </c>
      <c r="D19" t="s">
        <v>47</v>
      </c>
      <c r="E19" s="13">
        <f t="shared" si="0"/>
        <v>1.0083081002527282E-4</v>
      </c>
      <c r="F19" s="13">
        <f>'Forage, input data per ha'!D10*EF_min_fert_CH4_DE/'Forage, input data per ha'!C10</f>
        <v>0</v>
      </c>
      <c r="G19" s="13">
        <f>EF_capital_goods_CH4</f>
        <v>9.5000000000000005E-5</v>
      </c>
      <c r="H19" s="13"/>
      <c r="I19" s="13"/>
      <c r="J19" s="13">
        <f>'Forage, input data per ha'!H10*EF_diesel_CH4*Heating_value_diesel/'Forage, input data per ha'!C10</f>
        <v>5.8308100252728102E-6</v>
      </c>
      <c r="K19" s="13"/>
      <c r="L19" s="13">
        <f>'Forage, input data per ha'!I10*'Parameters, general'!$C$18/'Forage, input data per ha'!C10</f>
        <v>0</v>
      </c>
      <c r="M19" s="13"/>
      <c r="N19" s="13"/>
      <c r="O19" s="13"/>
      <c r="P19" s="13"/>
    </row>
    <row r="20" spans="1:19" x14ac:dyDescent="0.2">
      <c r="B20" t="s">
        <v>264</v>
      </c>
      <c r="C20" t="s">
        <v>547</v>
      </c>
      <c r="D20" t="s">
        <v>47</v>
      </c>
      <c r="E20" s="13">
        <f t="shared" si="0"/>
        <v>0</v>
      </c>
      <c r="F20" s="13"/>
      <c r="G20" s="13"/>
      <c r="H20" s="13"/>
      <c r="I20" s="13"/>
      <c r="J20" s="13"/>
      <c r="K20" s="13"/>
      <c r="L20" s="13"/>
      <c r="M20" s="13"/>
      <c r="N20" s="13"/>
      <c r="O20" s="13"/>
      <c r="P20" s="13"/>
    </row>
    <row r="21" spans="1:19" x14ac:dyDescent="0.2">
      <c r="B21" t="s">
        <v>264</v>
      </c>
      <c r="C21" t="s">
        <v>43</v>
      </c>
      <c r="D21" t="s">
        <v>47</v>
      </c>
      <c r="E21" s="13">
        <f t="shared" si="0"/>
        <v>1.9437586101963772E-4</v>
      </c>
      <c r="F21" s="13">
        <f>'Forage, input data per ha'!D10*EF_min_fert_N2O_DE/'Forage, input data per ha'!C10</f>
        <v>5.9862660866469051E-6</v>
      </c>
      <c r="G21" s="13">
        <f>EF_capital_goods_N2O</f>
        <v>1.1000000000000001E-6</v>
      </c>
      <c r="H21" s="13">
        <f>('Forage, input data per ha'!D10*'Parameters, country spec'!D80+'Forage, input data per ha'!F10*'Parameters, country spec'!D81)*44/28/'Forage, input data per ha'!C10</f>
        <v>1.6994172478968788E-4</v>
      </c>
      <c r="I21" s="13">
        <f>H21*0.1</f>
        <v>1.6994172478968787E-5</v>
      </c>
      <c r="J21" s="13">
        <f>'Forage, input data per ha'!H10*EF_diesel_N2O*Heating_value_diesel/'Forage, input data per ha'!C10</f>
        <v>3.5369766433412225E-7</v>
      </c>
      <c r="K21" s="13"/>
      <c r="L21" s="13">
        <f>'Forage, input data per ha'!I10*'Parameters, general'!$D$18/'Forage, input data per ha'!C10</f>
        <v>0</v>
      </c>
      <c r="M21" s="13"/>
      <c r="N21" s="13"/>
      <c r="O21" s="13"/>
      <c r="P21" s="13"/>
    </row>
    <row r="22" spans="1:19" ht="15" customHeight="1" x14ac:dyDescent="0.2">
      <c r="A22" s="103"/>
      <c r="B22" s="103" t="s">
        <v>264</v>
      </c>
      <c r="C22" s="103" t="s">
        <v>44</v>
      </c>
      <c r="D22" s="103" t="s">
        <v>47</v>
      </c>
      <c r="E22" s="443">
        <f t="shared" si="0"/>
        <v>0.11423742136879889</v>
      </c>
      <c r="F22" s="443">
        <f>SUMPRODUCT(F18:F21,'Parameters, general'!$B$24:$B$27)</f>
        <v>1.9639202501453703E-2</v>
      </c>
      <c r="G22" s="443">
        <f>SUMPRODUCT(G18:G21,'Parameters, general'!$B$24:$B$27)</f>
        <v>3.01313E-2</v>
      </c>
      <c r="H22" s="443">
        <f>SUMPRODUCT(H18:H21,'Parameters, general'!$B$24:$B$27)</f>
        <v>4.6394090867584795E-2</v>
      </c>
      <c r="I22" s="443">
        <f>SUMPRODUCT(I18:I21,'Parameters, general'!$B$24:$B$27)</f>
        <v>4.6394090867584786E-3</v>
      </c>
      <c r="J22" s="443">
        <f>SUMPRODUCT(J18:J21,'Parameters, general'!$B$24:$B$27)</f>
        <v>1.3433418913001914E-2</v>
      </c>
      <c r="K22" s="443">
        <f>SUMPRODUCT(K18:K21,'Parameters, general'!$B$24:$B$27)</f>
        <v>0</v>
      </c>
      <c r="L22" s="443">
        <f>SUMPRODUCT(L18:L21,'Parameters, general'!$B$24:$B$27)</f>
        <v>0</v>
      </c>
      <c r="M22" s="443">
        <f>SUMPRODUCT(M18:M21,'Parameters, general'!$B$24:$B$27)</f>
        <v>0</v>
      </c>
      <c r="N22" s="443">
        <f>SUMPRODUCT(N18:N21,'Parameters, general'!$B$24:$B$27)</f>
        <v>0</v>
      </c>
      <c r="O22" s="443">
        <f>SUMPRODUCT(O18:O21,'Parameters, general'!$B$24:$B$27)</f>
        <v>0</v>
      </c>
      <c r="P22" s="443"/>
      <c r="R22" s="444"/>
      <c r="S22" s="25"/>
    </row>
    <row r="23" spans="1:19" x14ac:dyDescent="0.2">
      <c r="B23" t="s">
        <v>264</v>
      </c>
      <c r="C23" t="s">
        <v>40</v>
      </c>
      <c r="D23" t="s">
        <v>49</v>
      </c>
      <c r="E23" s="13">
        <f t="shared" si="0"/>
        <v>7.9008289925654507E-2</v>
      </c>
      <c r="F23" s="13">
        <f>'Forage, input data per ha'!D11*EF_min_fert_CO2_GR/'Forage, input data per ha'!C11</f>
        <v>1.959130136383069E-2</v>
      </c>
      <c r="G23" s="13">
        <f>EF_capital_goods_CO2</f>
        <v>2.7E-2</v>
      </c>
      <c r="H23" s="13"/>
      <c r="I23" s="13"/>
      <c r="J23" s="13">
        <f>'Forage, input data per ha'!H11*EF_diesel_CO2*Heating_value_diesel/'Forage, input data per ha'!C11</f>
        <v>3.241698856182381E-2</v>
      </c>
      <c r="K23" s="13"/>
      <c r="L23" s="13">
        <f>'Forage, input data per ha'!I11*'Parameters, general'!$B$18/'Forage, input data per ha'!C11</f>
        <v>0</v>
      </c>
      <c r="M23" s="13"/>
      <c r="N23" s="445"/>
      <c r="O23" s="13"/>
      <c r="P23" s="13"/>
    </row>
    <row r="24" spans="1:19" x14ac:dyDescent="0.2">
      <c r="B24" t="s">
        <v>264</v>
      </c>
      <c r="C24" t="s">
        <v>41</v>
      </c>
      <c r="D24" t="s">
        <v>49</v>
      </c>
      <c r="E24" s="13">
        <f t="shared" si="0"/>
        <v>1.093596328415982E-4</v>
      </c>
      <c r="F24" s="13">
        <f>'Forage, input data per ha'!D11*EF_min_fert_CH4_GR/'Forage, input data per ha'!C11</f>
        <v>0</v>
      </c>
      <c r="G24" s="13">
        <f>EF_capital_goods_CH4</f>
        <v>9.5000000000000005E-5</v>
      </c>
      <c r="H24" s="13"/>
      <c r="I24" s="13"/>
      <c r="J24" s="13">
        <f>'Forage, input data per ha'!H11*EF_diesel_CH4*Heating_value_diesel/'Forage, input data per ha'!C11</f>
        <v>1.4359632841598196E-5</v>
      </c>
      <c r="K24" s="13"/>
      <c r="L24" s="13">
        <f>'Forage, input data per ha'!I11*'Parameters, general'!$C$18/'Forage, input data per ha'!C11</f>
        <v>0</v>
      </c>
      <c r="M24" s="13"/>
      <c r="N24" s="13"/>
      <c r="O24" s="13"/>
      <c r="P24" s="13"/>
    </row>
    <row r="25" spans="1:19" x14ac:dyDescent="0.2">
      <c r="B25" t="s">
        <v>264</v>
      </c>
      <c r="C25" t="s">
        <v>547</v>
      </c>
      <c r="D25" t="s">
        <v>49</v>
      </c>
      <c r="E25" s="13">
        <f t="shared" si="0"/>
        <v>0</v>
      </c>
      <c r="F25" s="13"/>
      <c r="G25" s="13"/>
      <c r="H25" s="13"/>
      <c r="I25" s="13"/>
      <c r="J25" s="13"/>
      <c r="K25" s="13"/>
      <c r="L25" s="13"/>
      <c r="M25" s="13"/>
      <c r="N25" s="13"/>
      <c r="O25" s="13"/>
      <c r="P25" s="13"/>
    </row>
    <row r="26" spans="1:19" x14ac:dyDescent="0.2">
      <c r="B26" t="s">
        <v>264</v>
      </c>
      <c r="C26" t="s">
        <v>43</v>
      </c>
      <c r="D26" t="s">
        <v>49</v>
      </c>
      <c r="E26" s="13">
        <f t="shared" si="0"/>
        <v>1.5651202259672544E-4</v>
      </c>
      <c r="F26" s="13">
        <f>'Forage, input data per ha'!D11*EF_min_fert_N2O_GR/'Forage, input data per ha'!C11</f>
        <v>1.845507987608262E-6</v>
      </c>
      <c r="G26" s="13">
        <f>EF_capital_goods_N2O</f>
        <v>1.1000000000000001E-6</v>
      </c>
      <c r="H26" s="13">
        <f>('Forage, input data per ha'!D11*'Parameters, country spec'!E80+'Forage, input data per ha'!F11*'Parameters, country spec'!E81)*44/28/'Forage, input data per ha'!C11</f>
        <v>1.3881405226144812E-4</v>
      </c>
      <c r="I26" s="13">
        <f>H26*0.1</f>
        <v>1.3881405226144813E-5</v>
      </c>
      <c r="J26" s="13">
        <f>'Forage, input data per ha'!H11*EF_diesel_N2O*Heating_value_diesel/'Forage, input data per ha'!C11</f>
        <v>8.7105712152424373E-7</v>
      </c>
      <c r="K26" s="13"/>
      <c r="L26" s="13">
        <f>'Forage, input data per ha'!I11*'Parameters, general'!$D$18/'Forage, input data per ha'!C11</f>
        <v>0</v>
      </c>
      <c r="M26" s="13"/>
      <c r="N26" s="13"/>
      <c r="O26" s="13"/>
      <c r="P26" s="13"/>
    </row>
    <row r="27" spans="1:19" ht="15" customHeight="1" x14ac:dyDescent="0.2">
      <c r="A27" s="103"/>
      <c r="B27" s="103" t="s">
        <v>264</v>
      </c>
      <c r="C27" s="103" t="s">
        <v>44</v>
      </c>
      <c r="D27" s="103" t="s">
        <v>49</v>
      </c>
      <c r="E27" s="443">
        <f t="shared" si="0"/>
        <v>0.12499498915324017</v>
      </c>
      <c r="F27" s="443">
        <f>SUMPRODUCT(F23:F26,'Parameters, general'!$B$24:$B$27)</f>
        <v>2.0095125044447746E-2</v>
      </c>
      <c r="G27" s="443">
        <f>SUMPRODUCT(G23:G26,'Parameters, general'!$B$24:$B$27)</f>
        <v>3.01313E-2</v>
      </c>
      <c r="H27" s="443">
        <f>SUMPRODUCT(H23:H26,'Parameters, general'!$B$24:$B$27)</f>
        <v>3.7896236267375337E-2</v>
      </c>
      <c r="I27" s="443">
        <f>SUMPRODUCT(I23:I26,'Parameters, general'!$B$24:$B$27)</f>
        <v>3.789623626737534E-3</v>
      </c>
      <c r="J27" s="443">
        <f>SUMPRODUCT(J23:J26,'Parameters, general'!$B$24:$B$27)</f>
        <v>3.3082704214679549E-2</v>
      </c>
      <c r="K27" s="443">
        <f>SUMPRODUCT(K23:K26,'Parameters, general'!$B$24:$B$27)</f>
        <v>0</v>
      </c>
      <c r="L27" s="443">
        <f>SUMPRODUCT(L23:L26,'Parameters, general'!$B$24:$B$27)</f>
        <v>0</v>
      </c>
      <c r="M27" s="443">
        <f>SUMPRODUCT(M23:M26,'Parameters, general'!$B$24:$B$27)</f>
        <v>0</v>
      </c>
      <c r="N27" s="443">
        <f>SUMPRODUCT(N23:N26,'Parameters, general'!$B$24:$B$27)</f>
        <v>0</v>
      </c>
      <c r="O27" s="443">
        <f>SUMPRODUCT(O23:O26,'Parameters, general'!$B$24:$B$27)</f>
        <v>0</v>
      </c>
      <c r="P27" s="443"/>
      <c r="R27" s="444"/>
      <c r="S27" s="25"/>
    </row>
    <row r="28" spans="1:19" x14ac:dyDescent="0.2">
      <c r="B28" t="s">
        <v>264</v>
      </c>
      <c r="C28" t="s">
        <v>40</v>
      </c>
      <c r="D28" t="s">
        <v>51</v>
      </c>
      <c r="E28" s="13">
        <f t="shared" si="0"/>
        <v>9.3909755702181436E-2</v>
      </c>
      <c r="F28" s="13">
        <f>'Forage, input data per ha'!D12*EF_min_fert_CO2_HU/'Forage, input data per ha'!C12</f>
        <v>1.821157315870988E-2</v>
      </c>
      <c r="G28" s="13">
        <f>EF_capital_goods_CO2</f>
        <v>2.7E-2</v>
      </c>
      <c r="H28" s="13"/>
      <c r="I28" s="13"/>
      <c r="J28" s="13">
        <f>'Forage, input data per ha'!H12*EF_diesel_CO2*Heating_value_diesel/'Forage, input data per ha'!C12</f>
        <v>4.8698182543471559E-2</v>
      </c>
      <c r="K28" s="13"/>
      <c r="L28" s="13">
        <f>'Forage, input data per ha'!I12*'Parameters, general'!$B$18/'Forage, input data per ha'!C12</f>
        <v>0</v>
      </c>
      <c r="M28" s="13"/>
      <c r="N28" s="13"/>
      <c r="O28" s="13"/>
      <c r="P28" s="13"/>
    </row>
    <row r="29" spans="1:19" x14ac:dyDescent="0.2">
      <c r="B29" t="s">
        <v>264</v>
      </c>
      <c r="C29" t="s">
        <v>41</v>
      </c>
      <c r="D29" t="s">
        <v>51</v>
      </c>
      <c r="E29" s="13">
        <f t="shared" si="0"/>
        <v>1.1657165277841081E-4</v>
      </c>
      <c r="F29" s="13">
        <f>'Forage, input data per ha'!D12*EF_min_fert_CH4_HU/'Forage, input data per ha'!C12</f>
        <v>0</v>
      </c>
      <c r="G29" s="13">
        <f>EF_capital_goods_CH4</f>
        <v>9.5000000000000005E-5</v>
      </c>
      <c r="H29" s="13"/>
      <c r="I29" s="13"/>
      <c r="J29" s="13">
        <f>'Forage, input data per ha'!H12*EF_diesel_CH4*Heating_value_diesel/'Forage, input data per ha'!C12</f>
        <v>2.1571652778410811E-5</v>
      </c>
      <c r="K29" s="13"/>
      <c r="L29" s="13">
        <f>'Forage, input data per ha'!I12*'Parameters, general'!$C$18/'Forage, input data per ha'!C12</f>
        <v>0</v>
      </c>
      <c r="M29" s="13"/>
      <c r="N29" s="13"/>
      <c r="O29" s="13"/>
      <c r="P29" s="13"/>
    </row>
    <row r="30" spans="1:19" x14ac:dyDescent="0.2">
      <c r="B30" t="s">
        <v>264</v>
      </c>
      <c r="C30" t="s">
        <v>547</v>
      </c>
      <c r="D30" t="s">
        <v>51</v>
      </c>
      <c r="E30" s="13">
        <f t="shared" si="0"/>
        <v>0</v>
      </c>
      <c r="F30" s="13"/>
      <c r="G30" s="13"/>
      <c r="H30" s="13"/>
      <c r="I30" s="13"/>
      <c r="J30" s="13"/>
      <c r="K30" s="13"/>
      <c r="L30" s="13"/>
      <c r="M30" s="13"/>
      <c r="N30" s="13"/>
      <c r="O30" s="13"/>
      <c r="P30" s="13"/>
    </row>
    <row r="31" spans="1:19" x14ac:dyDescent="0.2">
      <c r="B31" t="s">
        <v>264</v>
      </c>
      <c r="C31" t="s">
        <v>43</v>
      </c>
      <c r="D31" t="s">
        <v>51</v>
      </c>
      <c r="E31" s="13">
        <f t="shared" si="0"/>
        <v>2.0098105149425548E-4</v>
      </c>
      <c r="F31" s="13">
        <f>'Forage, input data per ha'!D12*EF_min_fert_N2O_HU/'Forage, input data per ha'!C12</f>
        <v>7.0918375053744449E-6</v>
      </c>
      <c r="G31" s="13">
        <f>EF_capital_goods_N2O</f>
        <v>1.1000000000000001E-6</v>
      </c>
      <c r="H31" s="13">
        <f>('Forage, input data per ha'!D12*'Parameters, country spec'!F80+'Forage, input data per ha'!F12*'Parameters, country spec'!F81)*44/28/'Forage, input data per ha'!C12</f>
        <v>1.7407334076117404E-4</v>
      </c>
      <c r="I31" s="13">
        <f>H31*0.1</f>
        <v>1.7407334076117404E-5</v>
      </c>
      <c r="J31" s="13">
        <f>'Forage, input data per ha'!H12*EF_diesel_N2O*Heating_value_diesel/'Forage, input data per ha'!C12</f>
        <v>1.3085391515895941E-6</v>
      </c>
      <c r="K31" s="13"/>
      <c r="L31" s="13">
        <f>'Forage, input data per ha'!I12*'Parameters, general'!$D$18/'Forage, input data per ha'!C12</f>
        <v>0</v>
      </c>
      <c r="M31" s="13"/>
      <c r="N31" s="13"/>
      <c r="O31" s="13"/>
      <c r="P31" s="13"/>
    </row>
    <row r="32" spans="1:19" ht="15" customHeight="1" x14ac:dyDescent="0.2">
      <c r="A32" s="103"/>
      <c r="B32" s="103" t="s">
        <v>264</v>
      </c>
      <c r="C32" s="103" t="s">
        <v>44</v>
      </c>
      <c r="D32" s="103" t="s">
        <v>51</v>
      </c>
      <c r="E32" s="443">
        <f t="shared" si="0"/>
        <v>0.15225141801290984</v>
      </c>
      <c r="F32" s="443">
        <f>SUMPRODUCT(F28:F31,'Parameters, general'!$B$24:$B$27)</f>
        <v>2.0147644797677104E-2</v>
      </c>
      <c r="G32" s="443">
        <f>SUMPRODUCT(G28:G31,'Parameters, general'!$B$24:$B$27)</f>
        <v>3.01313E-2</v>
      </c>
      <c r="H32" s="443">
        <f>SUMPRODUCT(H28:H31,'Parameters, general'!$B$24:$B$27)</f>
        <v>4.7522022027800509E-2</v>
      </c>
      <c r="I32" s="443">
        <f>SUMPRODUCT(I28:I31,'Parameters, general'!$B$24:$B$27)</f>
        <v>4.7522022027800511E-3</v>
      </c>
      <c r="J32" s="443">
        <f>SUMPRODUCT(J28:J31,'Parameters, general'!$B$24:$B$27)</f>
        <v>4.9698248984652159E-2</v>
      </c>
      <c r="K32" s="443">
        <f>SUMPRODUCT(K28:K31,'Parameters, general'!$B$24:$B$27)</f>
        <v>0</v>
      </c>
      <c r="L32" s="443">
        <f>SUMPRODUCT(L28:L31,'Parameters, general'!$B$24:$B$27)</f>
        <v>0</v>
      </c>
      <c r="M32" s="443">
        <f>SUMPRODUCT(M28:M31,'Parameters, general'!$B$24:$B$27)</f>
        <v>0</v>
      </c>
      <c r="N32" s="443">
        <f>SUMPRODUCT(N28:N31,'Parameters, general'!$B$24:$B$27)</f>
        <v>0</v>
      </c>
      <c r="O32" s="443">
        <f>SUMPRODUCT(O28:O31,'Parameters, general'!$B$24:$B$27)</f>
        <v>0</v>
      </c>
      <c r="P32" s="443"/>
      <c r="R32" s="444"/>
      <c r="S32" s="25"/>
    </row>
    <row r="33" spans="1:19" x14ac:dyDescent="0.2">
      <c r="B33" t="s">
        <v>264</v>
      </c>
      <c r="C33" t="s">
        <v>40</v>
      </c>
      <c r="D33" t="s">
        <v>89</v>
      </c>
      <c r="E33" s="13">
        <f t="shared" si="0"/>
        <v>6.021629269149173E-2</v>
      </c>
      <c r="F33" s="13">
        <f>'Forage, input data per ha'!D13*EF_min_fert_CO2_IE/'Forage, input data per ha'!C13</f>
        <v>1.8504782820098535E-2</v>
      </c>
      <c r="G33" s="13">
        <f>EF_capital_goods_CO2</f>
        <v>2.7E-2</v>
      </c>
      <c r="H33" s="13"/>
      <c r="I33" s="13"/>
      <c r="J33" s="13">
        <f>'Forage, input data per ha'!H13*EF_diesel_CO2*Heating_value_diesel/'Forage, input data per ha'!C13</f>
        <v>1.4711509871393195E-2</v>
      </c>
      <c r="K33" s="13"/>
      <c r="L33" s="13">
        <f>'Forage, input data per ha'!I13*'Parameters, general'!$B$18/'Forage, input data per ha'!C13</f>
        <v>0</v>
      </c>
      <c r="M33" s="13"/>
      <c r="N33" s="445"/>
      <c r="O33" s="13"/>
      <c r="P33" s="13"/>
    </row>
    <row r="34" spans="1:19" x14ac:dyDescent="0.2">
      <c r="B34" t="s">
        <v>264</v>
      </c>
      <c r="C34" t="s">
        <v>41</v>
      </c>
      <c r="D34" t="s">
        <v>89</v>
      </c>
      <c r="E34" s="13">
        <f t="shared" si="0"/>
        <v>1.0151670280525492E-4</v>
      </c>
      <c r="F34" s="13">
        <f>'Forage, input data per ha'!D13*EF_min_fert_CH4_IE/'Forage, input data per ha'!C13</f>
        <v>0</v>
      </c>
      <c r="G34" s="13">
        <f>EF_capital_goods_CH4</f>
        <v>9.5000000000000005E-5</v>
      </c>
      <c r="H34" s="13"/>
      <c r="I34" s="13"/>
      <c r="J34" s="13">
        <f>'Forage, input data per ha'!H13*EF_diesel_CH4*Heating_value_diesel/'Forage, input data per ha'!C13</f>
        <v>6.5167028052549151E-6</v>
      </c>
      <c r="K34" s="13"/>
      <c r="L34" s="13">
        <f>'Forage, input data per ha'!I13*'Parameters, general'!$C$18/'Forage, input data per ha'!C13</f>
        <v>0</v>
      </c>
      <c r="M34" s="13"/>
      <c r="N34" s="13"/>
      <c r="O34" s="13"/>
      <c r="P34" s="13"/>
    </row>
    <row r="35" spans="1:19" x14ac:dyDescent="0.2">
      <c r="B35" t="s">
        <v>264</v>
      </c>
      <c r="C35" t="s">
        <v>547</v>
      </c>
      <c r="D35" t="s">
        <v>89</v>
      </c>
      <c r="E35" s="13">
        <f t="shared" si="0"/>
        <v>0</v>
      </c>
      <c r="F35" s="13"/>
      <c r="G35" s="13"/>
      <c r="H35" s="13"/>
      <c r="I35" s="13"/>
      <c r="J35" s="13"/>
      <c r="K35" s="13"/>
      <c r="L35" s="13"/>
      <c r="M35" s="13"/>
      <c r="N35" s="13"/>
      <c r="O35" s="13"/>
      <c r="P35" s="13"/>
    </row>
    <row r="36" spans="1:19" x14ac:dyDescent="0.2">
      <c r="B36" t="s">
        <v>264</v>
      </c>
      <c r="C36" t="s">
        <v>43</v>
      </c>
      <c r="D36" t="s">
        <v>89</v>
      </c>
      <c r="E36" s="13">
        <f t="shared" si="0"/>
        <v>1.9946598300792228E-4</v>
      </c>
      <c r="F36" s="13">
        <f>'Forage, input data per ha'!D13*EF_min_fert_N2O_IE/'Forage, input data per ha'!C13</f>
        <v>6.4900041646029807E-6</v>
      </c>
      <c r="G36" s="13">
        <f>EF_capital_goods_N2O</f>
        <v>1.1000000000000001E-6</v>
      </c>
      <c r="H36" s="13">
        <f>('Forage, input data per ha'!D13*'Parameters, country spec'!G80+'Forage, input data per ha'!F13*'Parameters, country spec'!G81)*44/28/'Forage, input data per ha'!C13</f>
        <v>1.7407334076117393E-4</v>
      </c>
      <c r="I36" s="13">
        <f>H36*0.1</f>
        <v>1.7407334076117394E-5</v>
      </c>
      <c r="J36" s="13">
        <f>'Forage, input data per ha'!H13*EF_diesel_N2O*Heating_value_diesel/'Forage, input data per ha'!C13</f>
        <v>3.9530400602795201E-7</v>
      </c>
      <c r="K36" s="13"/>
      <c r="L36" s="13">
        <f>'Forage, input data per ha'!I13*'Parameters, general'!$D$18/'Forage, input data per ha'!C13</f>
        <v>0</v>
      </c>
      <c r="M36" s="13"/>
      <c r="N36" s="13"/>
      <c r="O36" s="13"/>
      <c r="P36" s="13"/>
    </row>
    <row r="37" spans="1:19" ht="15" customHeight="1" x14ac:dyDescent="0.2">
      <c r="A37" s="103"/>
      <c r="B37" s="103" t="s">
        <v>264</v>
      </c>
      <c r="C37" s="103" t="s">
        <v>44</v>
      </c>
      <c r="D37" s="103" t="s">
        <v>89</v>
      </c>
      <c r="E37" s="443">
        <f t="shared" si="0"/>
        <v>0.11769570379625111</v>
      </c>
      <c r="F37" s="443">
        <f>SUMPRODUCT(F33:F36,'Parameters, general'!$B$24:$B$27)</f>
        <v>2.0276553957035148E-2</v>
      </c>
      <c r="G37" s="443">
        <f>SUMPRODUCT(G33:G36,'Parameters, general'!$B$24:$B$27)</f>
        <v>3.01313E-2</v>
      </c>
      <c r="H37" s="443">
        <f>SUMPRODUCT(H33:H36,'Parameters, general'!$B$24:$B$27)</f>
        <v>4.7522022027800481E-2</v>
      </c>
      <c r="I37" s="443">
        <f>SUMPRODUCT(I33:I36,'Parameters, general'!$B$24:$B$27)</f>
        <v>4.7522022027800485E-3</v>
      </c>
      <c r="J37" s="443">
        <f>SUMPRODUCT(J33:J36,'Parameters, general'!$B$24:$B$27)</f>
        <v>1.5013625608635421E-2</v>
      </c>
      <c r="K37" s="443">
        <f>SUMPRODUCT(K33:K36,'Parameters, general'!$B$24:$B$27)</f>
        <v>0</v>
      </c>
      <c r="L37" s="443">
        <f>SUMPRODUCT(L33:L36,'Parameters, general'!$B$24:$B$27)</f>
        <v>0</v>
      </c>
      <c r="M37" s="443">
        <f>SUMPRODUCT(M33:M36,'Parameters, general'!$B$24:$B$27)</f>
        <v>0</v>
      </c>
      <c r="N37" s="443">
        <f>SUMPRODUCT(N33:N36,'Parameters, general'!$B$24:$B$27)</f>
        <v>0</v>
      </c>
      <c r="O37" s="443">
        <f>SUMPRODUCT(O33:O36,'Parameters, general'!$B$24:$B$27)</f>
        <v>0</v>
      </c>
      <c r="P37" s="443"/>
      <c r="R37" s="444"/>
      <c r="S37" s="25"/>
    </row>
    <row r="38" spans="1:19" x14ac:dyDescent="0.2">
      <c r="B38" t="s">
        <v>264</v>
      </c>
      <c r="C38" t="s">
        <v>40</v>
      </c>
      <c r="D38" t="s">
        <v>55</v>
      </c>
      <c r="E38" s="13">
        <f t="shared" si="0"/>
        <v>5.9118664534281662E-2</v>
      </c>
      <c r="F38" s="13">
        <f>'Forage, input data per ha'!D14*EF_min_fert_CO2_IT/'Forage, input data per ha'!C14</f>
        <v>1.9993061902755585E-2</v>
      </c>
      <c r="G38" s="13">
        <f>EF_capital_goods_CO2</f>
        <v>2.7E-2</v>
      </c>
      <c r="H38" s="13"/>
      <c r="I38" s="13"/>
      <c r="J38" s="13">
        <f>'Forage, input data per ha'!H14*EF_diesel_CO2*Heating_value_diesel/'Forage, input data per ha'!C14</f>
        <v>1.2125602631526081E-2</v>
      </c>
      <c r="K38" s="13"/>
      <c r="L38" s="13">
        <f>'Forage, input data per ha'!I14*'Parameters, general'!$B$18/'Forage, input data per ha'!C14</f>
        <v>0</v>
      </c>
      <c r="M38" s="13"/>
      <c r="N38" s="13"/>
      <c r="O38" s="13"/>
      <c r="P38" s="13"/>
    </row>
    <row r="39" spans="1:19" x14ac:dyDescent="0.2">
      <c r="B39" t="s">
        <v>264</v>
      </c>
      <c r="C39" t="s">
        <v>41</v>
      </c>
      <c r="D39" t="s">
        <v>55</v>
      </c>
      <c r="E39" s="13">
        <f t="shared" si="0"/>
        <v>1.0037123309402296E-4</v>
      </c>
      <c r="F39" s="13">
        <f>'Forage, input data per ha'!D14*EF_min_fert_CH4_IT/'Forage, input data per ha'!C14</f>
        <v>0</v>
      </c>
      <c r="G39" s="13">
        <f>EF_capital_goods_CH4</f>
        <v>9.5000000000000005E-5</v>
      </c>
      <c r="H39" s="13"/>
      <c r="I39" s="13"/>
      <c r="J39" s="13">
        <f>'Forage, input data per ha'!H14*EF_diesel_CH4*Heating_value_diesel/'Forage, input data per ha'!C14</f>
        <v>5.3712330940229473E-6</v>
      </c>
      <c r="K39" s="13"/>
      <c r="L39" s="13">
        <f>'Forage, input data per ha'!I14*'Parameters, general'!$C$18/'Forage, input data per ha'!C14</f>
        <v>0</v>
      </c>
      <c r="M39" s="13"/>
      <c r="N39" s="13"/>
      <c r="O39" s="13"/>
      <c r="P39" s="13"/>
    </row>
    <row r="40" spans="1:19" x14ac:dyDescent="0.2">
      <c r="B40" t="s">
        <v>264</v>
      </c>
      <c r="C40" t="s">
        <v>547</v>
      </c>
      <c r="D40" t="s">
        <v>55</v>
      </c>
      <c r="E40" s="13">
        <f t="shared" ref="E40:E62" si="1">SUM(F40:P40)</f>
        <v>0</v>
      </c>
      <c r="F40" s="13"/>
      <c r="G40" s="13"/>
      <c r="H40" s="13"/>
      <c r="I40" s="13"/>
      <c r="J40" s="13"/>
      <c r="K40" s="13"/>
      <c r="L40" s="13"/>
      <c r="M40" s="13"/>
      <c r="N40" s="13"/>
      <c r="O40" s="13"/>
      <c r="P40" s="13"/>
    </row>
    <row r="41" spans="1:19" x14ac:dyDescent="0.2">
      <c r="B41" t="s">
        <v>264</v>
      </c>
      <c r="C41" t="s">
        <v>43</v>
      </c>
      <c r="D41" t="s">
        <v>55</v>
      </c>
      <c r="E41" s="13">
        <f t="shared" si="1"/>
        <v>1.9379468079684114E-4</v>
      </c>
      <c r="F41" s="13">
        <f>'Forage, input data per ha'!D14*EF_min_fert_N2O_IT/'Forage, input data per ha'!C14</f>
        <v>8.8818628926129871E-7</v>
      </c>
      <c r="G41" s="13">
        <f>EF_capital_goods_N2O</f>
        <v>1.1000000000000001E-6</v>
      </c>
      <c r="H41" s="13">
        <f>('Forage, input data per ha'!D14*'Parameters, country spec'!H80+'Forage, input data per ha'!F14*'Parameters, country spec'!H81)*44/28/'Forage, input data per ha'!C14</f>
        <v>1.7407334076117382E-4</v>
      </c>
      <c r="I41" s="13">
        <f>H41*0.1</f>
        <v>1.7407334076117384E-5</v>
      </c>
      <c r="J41" s="13">
        <f>'Forage, input data per ha'!H14*EF_diesel_N2O*Heating_value_diesel/'Forage, input data per ha'!C14</f>
        <v>3.2581967028863549E-7</v>
      </c>
      <c r="K41" s="13"/>
      <c r="L41" s="13">
        <f>'Forage, input data per ha'!I14*'Parameters, general'!$D$18/'Forage, input data per ha'!C14</f>
        <v>0</v>
      </c>
      <c r="M41" s="13"/>
      <c r="N41" s="13"/>
      <c r="O41" s="13"/>
      <c r="P41" s="13"/>
    </row>
    <row r="42" spans="1:19" ht="15" customHeight="1" x14ac:dyDescent="0.2">
      <c r="A42" s="103"/>
      <c r="B42" s="103" t="s">
        <v>264</v>
      </c>
      <c r="C42" s="103" t="s">
        <v>44</v>
      </c>
      <c r="D42" s="103" t="s">
        <v>55</v>
      </c>
      <c r="E42" s="443">
        <f t="shared" si="1"/>
        <v>0.11501567513802118</v>
      </c>
      <c r="F42" s="443">
        <f>SUMPRODUCT(F38:F41,'Parameters, general'!$B$24:$B$27)</f>
        <v>2.0235536759723921E-2</v>
      </c>
      <c r="G42" s="443">
        <f>SUMPRODUCT(G38:G41,'Parameters, general'!$B$24:$B$27)</f>
        <v>3.01313E-2</v>
      </c>
      <c r="H42" s="443">
        <f>SUMPRODUCT(H38:H41,'Parameters, general'!$B$24:$B$27)</f>
        <v>4.7522022027800453E-2</v>
      </c>
      <c r="I42" s="443">
        <f>SUMPRODUCT(I38:I41,'Parameters, general'!$B$24:$B$27)</f>
        <v>4.7522022027800459E-3</v>
      </c>
      <c r="J42" s="443">
        <f>SUMPRODUCT(J38:J41,'Parameters, general'!$B$24:$B$27)</f>
        <v>1.2374614147716761E-2</v>
      </c>
      <c r="K42" s="443">
        <f>SUMPRODUCT(K38:K41,'Parameters, general'!$B$24:$B$27)</f>
        <v>0</v>
      </c>
      <c r="L42" s="443">
        <f>SUMPRODUCT(L38:L41,'Parameters, general'!$B$24:$B$27)</f>
        <v>0</v>
      </c>
      <c r="M42" s="443">
        <f>SUMPRODUCT(M38:M41,'Parameters, general'!$B$24:$B$27)</f>
        <v>0</v>
      </c>
      <c r="N42" s="443">
        <f>SUMPRODUCT(N38:N41,'Parameters, general'!$B$24:$B$27)</f>
        <v>0</v>
      </c>
      <c r="O42" s="443">
        <f>SUMPRODUCT(O38:O41,'Parameters, general'!$B$24:$B$27)</f>
        <v>0</v>
      </c>
      <c r="P42" s="443"/>
      <c r="R42" s="444"/>
      <c r="S42" s="25"/>
    </row>
    <row r="43" spans="1:19" x14ac:dyDescent="0.2">
      <c r="B43" t="s">
        <v>264</v>
      </c>
      <c r="C43" t="s">
        <v>40</v>
      </c>
      <c r="D43" t="s">
        <v>87</v>
      </c>
      <c r="E43" s="13">
        <f t="shared" si="1"/>
        <v>0.12925516593972919</v>
      </c>
      <c r="F43" s="13">
        <f>'Forage, input data per ha'!D15*EF_min_fert_CO2_NL/'Forage, input data per ha'!C15</f>
        <v>8.1653146112385361E-2</v>
      </c>
      <c r="G43" s="13">
        <f>EF_capital_goods_CO2</f>
        <v>2.7E-2</v>
      </c>
      <c r="H43" s="13"/>
      <c r="I43" s="13"/>
      <c r="J43" s="13">
        <f>'Forage, input data per ha'!H15*EF_diesel_CO2*Heating_value_diesel/'Forage, input data per ha'!C15</f>
        <v>2.0602019827343845E-2</v>
      </c>
      <c r="K43" s="13"/>
      <c r="L43" s="13">
        <f>'Forage, input data per ha'!I15*'Parameters, general'!$B$18/'Forage, input data per ha'!C15</f>
        <v>0</v>
      </c>
      <c r="M43" s="13"/>
      <c r="N43" s="445"/>
      <c r="O43" s="13"/>
      <c r="P43" s="13"/>
    </row>
    <row r="44" spans="1:19" x14ac:dyDescent="0.2">
      <c r="B44" t="s">
        <v>264</v>
      </c>
      <c r="C44" t="s">
        <v>41</v>
      </c>
      <c r="D44" t="s">
        <v>87</v>
      </c>
      <c r="E44" s="13">
        <f t="shared" si="1"/>
        <v>1.0412600008948332E-4</v>
      </c>
      <c r="F44" s="13">
        <f>'Forage, input data per ha'!D15*EF_min_fert_CH4_NL/'Forage, input data per ha'!C15</f>
        <v>0</v>
      </c>
      <c r="G44" s="13">
        <f>EF_capital_goods_CH4</f>
        <v>9.5000000000000005E-5</v>
      </c>
      <c r="H44" s="13"/>
      <c r="I44" s="13"/>
      <c r="J44" s="13">
        <f>'Forage, input data per ha'!H15*EF_diesel_CH4*Heating_value_diesel/'Forage, input data per ha'!C15</f>
        <v>9.1260000894833206E-6</v>
      </c>
      <c r="K44" s="13"/>
      <c r="L44" s="13">
        <f>'Forage, input data per ha'!I15*'Parameters, general'!$C$18/'Forage, input data per ha'!C15</f>
        <v>0</v>
      </c>
      <c r="M44" s="13"/>
      <c r="N44" s="13"/>
      <c r="O44" s="13"/>
      <c r="P44" s="13"/>
    </row>
    <row r="45" spans="1:19" x14ac:dyDescent="0.2">
      <c r="B45" t="s">
        <v>264</v>
      </c>
      <c r="C45" t="s">
        <v>547</v>
      </c>
      <c r="D45" t="s">
        <v>87</v>
      </c>
      <c r="E45" s="13">
        <f t="shared" si="1"/>
        <v>0</v>
      </c>
      <c r="F45" s="13"/>
      <c r="G45" s="13"/>
      <c r="H45" s="13"/>
      <c r="I45" s="13"/>
      <c r="J45" s="13"/>
      <c r="K45" s="13"/>
      <c r="L45" s="13"/>
      <c r="M45" s="13"/>
      <c r="N45" s="13"/>
      <c r="O45" s="13"/>
      <c r="P45" s="13"/>
    </row>
    <row r="46" spans="1:19" x14ac:dyDescent="0.2">
      <c r="B46" t="s">
        <v>264</v>
      </c>
      <c r="C46" t="s">
        <v>43</v>
      </c>
      <c r="D46" t="s">
        <v>87</v>
      </c>
      <c r="E46" s="13">
        <f t="shared" si="1"/>
        <v>7.7927566970663602E-4</v>
      </c>
      <c r="F46" s="13">
        <f>'Forage, input data per ha'!D15*EF_min_fert_N2O_NL/'Forage, input data per ha'!C15</f>
        <v>3.189970981050869E-5</v>
      </c>
      <c r="G46" s="13">
        <f>EF_capital_goods_N2O</f>
        <v>1.1000000000000001E-6</v>
      </c>
      <c r="H46" s="13">
        <f>('Forage, input data per ha'!D15*'Parameters, country spec'!I80+'Forage, input data per ha'!F15*'Parameters, country spec'!I81)*44/28/'Forage, input data per ha'!C15</f>
        <v>6.7792943235542443E-4</v>
      </c>
      <c r="I46" s="13">
        <f>H46*0.1</f>
        <v>6.7792943235542451E-5</v>
      </c>
      <c r="J46" s="13">
        <f>'Forage, input data per ha'!H15*EF_diesel_N2O*Heating_value_diesel/'Forage, input data per ha'!C15</f>
        <v>5.5358430516045113E-7</v>
      </c>
      <c r="K46" s="13"/>
      <c r="L46" s="13">
        <f>'Forage, input data per ha'!I15*'Parameters, general'!$D$18/'Forage, input data per ha'!C15</f>
        <v>0</v>
      </c>
      <c r="M46" s="13"/>
      <c r="N46" s="13"/>
      <c r="O46" s="13"/>
      <c r="P46" s="13"/>
    </row>
    <row r="47" spans="1:19" ht="15" customHeight="1" x14ac:dyDescent="0.2">
      <c r="A47" s="103"/>
      <c r="B47" s="103" t="s">
        <v>264</v>
      </c>
      <c r="C47" s="103" t="s">
        <v>44</v>
      </c>
      <c r="D47" s="103" t="s">
        <v>87</v>
      </c>
      <c r="E47" s="443">
        <f t="shared" si="1"/>
        <v>0.34510037857230746</v>
      </c>
      <c r="F47" s="443">
        <f>SUMPRODUCT(F43:F46,'Parameters, general'!$B$24:$B$27)</f>
        <v>9.0361766890654227E-2</v>
      </c>
      <c r="G47" s="443">
        <f>SUMPRODUCT(G43:G46,'Parameters, general'!$B$24:$B$27)</f>
        <v>3.01313E-2</v>
      </c>
      <c r="H47" s="443">
        <f>SUMPRODUCT(H43:H46,'Parameters, general'!$B$24:$B$27)</f>
        <v>0.18507473503303087</v>
      </c>
      <c r="I47" s="443">
        <f>SUMPRODUCT(I43:I46,'Parameters, general'!$B$24:$B$27)</f>
        <v>1.850747350330309E-2</v>
      </c>
      <c r="J47" s="443">
        <f>SUMPRODUCT(J43:J46,'Parameters, general'!$B$24:$B$27)</f>
        <v>2.1025103145319253E-2</v>
      </c>
      <c r="K47" s="443">
        <f>SUMPRODUCT(K43:K46,'Parameters, general'!$B$24:$B$27)</f>
        <v>0</v>
      </c>
      <c r="L47" s="443">
        <f>SUMPRODUCT(L43:L46,'Parameters, general'!$B$24:$B$27)</f>
        <v>0</v>
      </c>
      <c r="M47" s="443">
        <f>SUMPRODUCT(M43:M46,'Parameters, general'!$B$24:$B$27)</f>
        <v>0</v>
      </c>
      <c r="N47" s="443">
        <f>SUMPRODUCT(N43:N46,'Parameters, general'!$B$24:$B$27)</f>
        <v>0</v>
      </c>
      <c r="O47" s="443">
        <f>SUMPRODUCT(O43:O46,'Parameters, general'!$B$24:$B$27)</f>
        <v>0</v>
      </c>
      <c r="P47" s="443"/>
      <c r="R47" s="444"/>
      <c r="S47" s="25"/>
    </row>
    <row r="48" spans="1:19" x14ac:dyDescent="0.2">
      <c r="B48" t="s">
        <v>264</v>
      </c>
      <c r="C48" t="s">
        <v>40</v>
      </c>
      <c r="D48" t="s">
        <v>59</v>
      </c>
      <c r="E48" s="13">
        <f t="shared" si="1"/>
        <v>5.990491175098922E-2</v>
      </c>
      <c r="F48" s="13">
        <f>'Forage, input data per ha'!D16*EF_min_fert_CO2_PL/'Forage, input data per ha'!C16</f>
        <v>1.768209421188895E-2</v>
      </c>
      <c r="G48" s="13">
        <f>EF_capital_goods_CO2</f>
        <v>2.7E-2</v>
      </c>
      <c r="H48" s="13"/>
      <c r="I48" s="13"/>
      <c r="J48" s="13">
        <f>'Forage, input data per ha'!H16*EF_diesel_CO2*Heating_value_diesel/'Forage, input data per ha'!C16</f>
        <v>1.5222817539100274E-2</v>
      </c>
      <c r="K48" s="13"/>
      <c r="L48" s="53">
        <f>'Forage, input data per ha'!I16*'Parameters, general'!$B$18/'Forage, input data per ha'!C16</f>
        <v>0</v>
      </c>
      <c r="M48" s="13"/>
      <c r="N48" s="445"/>
      <c r="O48" s="13"/>
      <c r="P48" s="13"/>
    </row>
    <row r="49" spans="1:19" x14ac:dyDescent="0.2">
      <c r="B49" t="s">
        <v>264</v>
      </c>
      <c r="C49" t="s">
        <v>41</v>
      </c>
      <c r="D49" t="s">
        <v>59</v>
      </c>
      <c r="E49" s="13">
        <f t="shared" si="1"/>
        <v>1.0174319486090547E-4</v>
      </c>
      <c r="F49" s="13">
        <f>'Forage, input data per ha'!D16*EF_min_fert_CH4_PL/'Forage, input data per ha'!C16</f>
        <v>0</v>
      </c>
      <c r="G49" s="13">
        <f>EF_capital_goods_CH4</f>
        <v>9.5000000000000005E-5</v>
      </c>
      <c r="H49" s="13"/>
      <c r="I49" s="13"/>
      <c r="J49" s="13">
        <f>'Forage, input data per ha'!H16*EF_diesel_CH4*Heating_value_diesel/'Forage, input data per ha'!C16</f>
        <v>6.7431948609054567E-6</v>
      </c>
      <c r="K49" s="13"/>
      <c r="L49" s="13">
        <f>'Forage, input data per ha'!I16*'Parameters, general'!$C$18/'Forage, input data per ha'!C16</f>
        <v>0</v>
      </c>
      <c r="M49" s="13"/>
      <c r="N49" s="13"/>
      <c r="O49" s="13"/>
      <c r="P49" s="13"/>
    </row>
    <row r="50" spans="1:19" x14ac:dyDescent="0.2">
      <c r="B50" t="s">
        <v>264</v>
      </c>
      <c r="C50" t="s">
        <v>547</v>
      </c>
      <c r="D50" t="s">
        <v>59</v>
      </c>
      <c r="E50" s="13">
        <f t="shared" si="1"/>
        <v>0</v>
      </c>
      <c r="F50" s="13"/>
      <c r="G50" s="13"/>
      <c r="H50" s="13"/>
      <c r="I50" s="13"/>
      <c r="J50" s="13"/>
      <c r="K50" s="13"/>
      <c r="L50" s="13"/>
      <c r="M50" s="13"/>
      <c r="N50" s="13"/>
      <c r="O50" s="13"/>
      <c r="P50" s="13"/>
    </row>
    <row r="51" spans="1:19" x14ac:dyDescent="0.2">
      <c r="B51" t="s">
        <v>264</v>
      </c>
      <c r="C51" t="s">
        <v>43</v>
      </c>
      <c r="D51" t="s">
        <v>59</v>
      </c>
      <c r="E51" s="13">
        <f t="shared" si="1"/>
        <v>1.9999483797895743E-4</v>
      </c>
      <c r="F51" s="13">
        <f>'Forage, input data per ha'!D16*EF_min_fert_N2O_PL/'Forage, input data per ha'!C16</f>
        <v>7.0051200992561676E-6</v>
      </c>
      <c r="G51" s="13">
        <f>EF_capital_goods_N2O</f>
        <v>1.1000000000000001E-6</v>
      </c>
      <c r="H51" s="13">
        <f>('Forage, input data per ha'!D16*'Parameters, country spec'!J80+'Forage, input data per ha'!F16*'Parameters, country spec'!J81)*44/28/'Forage, input data per ha'!C16</f>
        <v>1.740733407611739E-4</v>
      </c>
      <c r="I51" s="13">
        <f>H51*0.1</f>
        <v>1.7407334076117391E-5</v>
      </c>
      <c r="J51" s="13">
        <f>'Forage, input data per ha'!H16*EF_diesel_N2O*Heating_value_diesel/'Forage, input data per ha'!C16</f>
        <v>4.0904304240996526E-7</v>
      </c>
      <c r="K51" s="13"/>
      <c r="L51" s="13">
        <f>'Forage, input data per ha'!I16*'Parameters, general'!$D$18/'Forage, input data per ha'!C16</f>
        <v>0</v>
      </c>
      <c r="M51" s="13"/>
      <c r="N51" s="13"/>
      <c r="O51" s="13"/>
      <c r="P51" s="13"/>
    </row>
    <row r="52" spans="1:19" ht="15" customHeight="1" x14ac:dyDescent="0.2">
      <c r="A52" s="103"/>
      <c r="B52" s="103" t="s">
        <v>264</v>
      </c>
      <c r="C52" s="103" t="s">
        <v>44</v>
      </c>
      <c r="D52" s="103" t="s">
        <v>59</v>
      </c>
      <c r="E52" s="443">
        <f t="shared" si="1"/>
        <v>0.1175354497260996</v>
      </c>
      <c r="F52" s="443">
        <f>SUMPRODUCT(F48:F51,'Parameters, general'!$B$24:$B$27)</f>
        <v>1.9594491998985882E-2</v>
      </c>
      <c r="G52" s="443">
        <f>SUMPRODUCT(G48:G51,'Parameters, general'!$B$24:$B$27)</f>
        <v>3.01313E-2</v>
      </c>
      <c r="H52" s="443">
        <f>SUMPRODUCT(H48:H51,'Parameters, general'!$B$24:$B$27)</f>
        <v>4.7522022027800474E-2</v>
      </c>
      <c r="I52" s="443">
        <f>SUMPRODUCT(I48:I51,'Parameters, general'!$B$24:$B$27)</f>
        <v>4.7522022027800476E-3</v>
      </c>
      <c r="J52" s="443">
        <f>SUMPRODUCT(J48:J51,'Parameters, general'!$B$24:$B$27)</f>
        <v>1.5535433496533177E-2</v>
      </c>
      <c r="K52" s="443">
        <f>SUMPRODUCT(K48:K51,'Parameters, general'!$B$24:$B$27)</f>
        <v>0</v>
      </c>
      <c r="L52" s="443">
        <f>SUMPRODUCT(L48:L51,'Parameters, general'!$B$24:$B$27)</f>
        <v>0</v>
      </c>
      <c r="M52" s="443">
        <f>SUMPRODUCT(M48:M51,'Parameters, general'!$B$24:$B$27)</f>
        <v>0</v>
      </c>
      <c r="N52" s="443">
        <f>SUMPRODUCT(N48:N51,'Parameters, general'!$B$24:$B$27)</f>
        <v>0</v>
      </c>
      <c r="O52" s="443">
        <f>SUMPRODUCT(O48:O51,'Parameters, general'!$B$24:$B$27)</f>
        <v>0</v>
      </c>
      <c r="P52" s="443"/>
      <c r="R52" s="444"/>
      <c r="S52" s="25"/>
    </row>
    <row r="53" spans="1:19" x14ac:dyDescent="0.2">
      <c r="B53" t="s">
        <v>264</v>
      </c>
      <c r="C53" t="s">
        <v>40</v>
      </c>
      <c r="D53" t="s">
        <v>61</v>
      </c>
      <c r="E53" s="13">
        <f t="shared" si="1"/>
        <v>6.8191583909847545E-2</v>
      </c>
      <c r="F53" s="13">
        <f>'Forage, input data per ha'!D17*EF_min_fert_CO2_ES/'Forage, input data per ha'!C17</f>
        <v>1.9272470698109442E-2</v>
      </c>
      <c r="G53" s="13">
        <f>EF_capital_goods_CO2</f>
        <v>2.7E-2</v>
      </c>
      <c r="H53" s="13"/>
      <c r="I53" s="13"/>
      <c r="J53" s="13">
        <f>'Forage, input data per ha'!H17*EF_diesel_CO2*Heating_value_diesel/'Forage, input data per ha'!C17</f>
        <v>2.1919113211738103E-2</v>
      </c>
      <c r="K53" s="13"/>
      <c r="L53" s="13">
        <f>'Forage, input data per ha'!I17*'Parameters, general'!$B$18/'Forage, input data per ha'!C17</f>
        <v>0</v>
      </c>
      <c r="M53" s="13"/>
      <c r="N53" s="13"/>
      <c r="O53" s="13"/>
      <c r="P53" s="13"/>
    </row>
    <row r="54" spans="1:19" x14ac:dyDescent="0.2">
      <c r="B54" t="s">
        <v>264</v>
      </c>
      <c r="C54" t="s">
        <v>41</v>
      </c>
      <c r="D54" t="s">
        <v>61</v>
      </c>
      <c r="E54" s="13">
        <f t="shared" si="1"/>
        <v>1.0470942804676966E-4</v>
      </c>
      <c r="F54" s="13">
        <f>'Forage, input data per ha'!D17*EF_min_fert_CH4_ES/'Forage, input data per ha'!C17</f>
        <v>0</v>
      </c>
      <c r="G54" s="13">
        <f>EF_capital_goods_CH4</f>
        <v>9.5000000000000005E-5</v>
      </c>
      <c r="H54" s="13"/>
      <c r="I54" s="13"/>
      <c r="J54" s="13">
        <f>'Forage, input data per ha'!H17*EF_diesel_CH4*Heating_value_diesel/'Forage, input data per ha'!C17</f>
        <v>9.7094280467696582E-6</v>
      </c>
      <c r="K54" s="13"/>
      <c r="L54" s="13">
        <f>'Forage, input data per ha'!I17*'Parameters, general'!$C$18/'Forage, input data per ha'!C17</f>
        <v>0</v>
      </c>
      <c r="M54" s="13"/>
      <c r="N54" s="13"/>
      <c r="O54" s="13"/>
      <c r="P54" s="13"/>
    </row>
    <row r="55" spans="1:19" x14ac:dyDescent="0.2">
      <c r="B55" t="s">
        <v>264</v>
      </c>
      <c r="C55" t="s">
        <v>547</v>
      </c>
      <c r="D55" t="s">
        <v>61</v>
      </c>
      <c r="E55" s="13">
        <f t="shared" si="1"/>
        <v>0</v>
      </c>
      <c r="F55" s="13"/>
      <c r="G55" s="13"/>
      <c r="H55" s="13"/>
      <c r="I55" s="13"/>
      <c r="J55" s="13"/>
      <c r="K55" s="13"/>
      <c r="L55" s="13"/>
      <c r="M55" s="13"/>
      <c r="N55" s="13"/>
      <c r="O55" s="13"/>
      <c r="P55" s="13"/>
    </row>
    <row r="56" spans="1:19" x14ac:dyDescent="0.2">
      <c r="B56" t="s">
        <v>264</v>
      </c>
      <c r="C56" t="s">
        <v>43</v>
      </c>
      <c r="D56" t="s">
        <v>61</v>
      </c>
      <c r="E56" s="13">
        <f t="shared" si="1"/>
        <v>1.5759508789243859E-4</v>
      </c>
      <c r="F56" s="13">
        <f>'Forage, input data per ha'!D17*EF_min_fert_N2O_ES/'Forage, input data per ha'!C17</f>
        <v>3.2106552869327245E-6</v>
      </c>
      <c r="G56" s="13">
        <f>EF_capital_goods_N2O</f>
        <v>1.1000000000000001E-6</v>
      </c>
      <c r="H56" s="13">
        <f>('Forage, input data per ha'!D17*'Parameters, country spec'!K80+'Forage, input data per ha'!F17*'Parameters, country spec'!K81)*44/28/'Forage, input data per ha'!C17</f>
        <v>1.3881405226144817E-4</v>
      </c>
      <c r="I56" s="13">
        <f>H56*0.1</f>
        <v>1.3881405226144818E-5</v>
      </c>
      <c r="J56" s="13">
        <f>'Forage, input data per ha'!H17*EF_diesel_N2O*Heating_value_diesel/'Forage, input data per ha'!C17</f>
        <v>5.8897511791287848E-7</v>
      </c>
      <c r="K56" s="13"/>
      <c r="L56" s="13">
        <f>'Forage, input data per ha'!I17*'Parameters, general'!$D$18/'Forage, input data per ha'!C17</f>
        <v>0</v>
      </c>
      <c r="M56" s="13"/>
      <c r="N56" s="13"/>
      <c r="O56" s="13"/>
      <c r="P56" s="13"/>
    </row>
    <row r="57" spans="1:19" ht="15" customHeight="1" x14ac:dyDescent="0.2">
      <c r="A57" s="103"/>
      <c r="B57" s="103" t="s">
        <v>264</v>
      </c>
      <c r="C57" s="103" t="s">
        <v>44</v>
      </c>
      <c r="D57" s="103" t="s">
        <v>61</v>
      </c>
      <c r="E57" s="443">
        <f t="shared" si="1"/>
        <v>0.114335383860277</v>
      </c>
      <c r="F57" s="443">
        <f>SUMPRODUCT(F53:F56,'Parameters, general'!$B$24:$B$27)</f>
        <v>2.0148979591442077E-2</v>
      </c>
      <c r="G57" s="443">
        <f>SUMPRODUCT(G53:G56,'Parameters, general'!$B$24:$B$27)</f>
        <v>3.01313E-2</v>
      </c>
      <c r="H57" s="443">
        <f>SUMPRODUCT(H53:H56,'Parameters, general'!$B$24:$B$27)</f>
        <v>3.7896236267375351E-2</v>
      </c>
      <c r="I57" s="443">
        <f>SUMPRODUCT(I53:I56,'Parameters, general'!$B$24:$B$27)</f>
        <v>3.7896236267375353E-3</v>
      </c>
      <c r="J57" s="443">
        <f>SUMPRODUCT(J53:J56,'Parameters, general'!$B$24:$B$27)</f>
        <v>2.2369244374722055E-2</v>
      </c>
      <c r="K57" s="443">
        <f>SUMPRODUCT(K53:K56,'Parameters, general'!$B$24:$B$27)</f>
        <v>0</v>
      </c>
      <c r="L57" s="443">
        <f>SUMPRODUCT(L53:L56,'Parameters, general'!$B$24:$B$27)</f>
        <v>0</v>
      </c>
      <c r="M57" s="443">
        <f>SUMPRODUCT(M53:M56,'Parameters, general'!$B$24:$B$27)</f>
        <v>0</v>
      </c>
      <c r="N57" s="443">
        <f>SUMPRODUCT(N53:N56,'Parameters, general'!$B$24:$B$27)</f>
        <v>0</v>
      </c>
      <c r="O57" s="443">
        <f>SUMPRODUCT(O53:O56,'Parameters, general'!$B$24:$B$27)</f>
        <v>0</v>
      </c>
      <c r="P57" s="443"/>
      <c r="R57" s="444"/>
      <c r="S57" s="25"/>
    </row>
    <row r="58" spans="1:19" x14ac:dyDescent="0.2">
      <c r="B58" t="s">
        <v>264</v>
      </c>
      <c r="C58" t="s">
        <v>40</v>
      </c>
      <c r="D58" t="s">
        <v>63</v>
      </c>
      <c r="E58" s="13">
        <f t="shared" si="1"/>
        <v>6.0039825186889023E-2</v>
      </c>
      <c r="F58" s="13">
        <f>'Forage, input data per ha'!D18*EF_min_fert_CO2_SE/'Forage, input data per ha'!C18</f>
        <v>0</v>
      </c>
      <c r="G58" s="13">
        <f>EF_capital_goods_CO2</f>
        <v>2.7E-2</v>
      </c>
      <c r="H58" s="13"/>
      <c r="I58" s="13"/>
      <c r="J58" s="13">
        <f>'Forage, input data per ha'!H18*EF_diesel_CO2*Heating_value_diesel/'Forage, input data per ha'!C18</f>
        <v>3.303982518688902E-2</v>
      </c>
      <c r="K58" s="13"/>
      <c r="L58" s="13">
        <f>'Forage, input data per ha'!I18*'Parameters, general'!$B$18/'Forage, input data per ha'!C18</f>
        <v>0</v>
      </c>
      <c r="M58" s="13"/>
      <c r="N58" s="445"/>
      <c r="O58" s="13"/>
      <c r="P58" s="13"/>
    </row>
    <row r="59" spans="1:19" x14ac:dyDescent="0.2">
      <c r="B59" t="s">
        <v>264</v>
      </c>
      <c r="C59" t="s">
        <v>41</v>
      </c>
      <c r="D59" t="s">
        <v>63</v>
      </c>
      <c r="E59" s="13">
        <f t="shared" si="1"/>
        <v>1.0963552846463486E-4</v>
      </c>
      <c r="F59" s="13">
        <f>'Forage, input data per ha'!D18*EF_min_fert_CH4_SE/'Forage, input data per ha'!C18</f>
        <v>0</v>
      </c>
      <c r="G59" s="13">
        <f>EF_capital_goods_CH4</f>
        <v>9.5000000000000005E-5</v>
      </c>
      <c r="H59" s="13"/>
      <c r="I59" s="13"/>
      <c r="J59" s="13">
        <f>'Forage, input data per ha'!H18*EF_diesel_CH4*Heating_value_diesel/'Forage, input data per ha'!C18</f>
        <v>1.463552846463485E-5</v>
      </c>
      <c r="K59" s="13"/>
      <c r="L59" s="13">
        <f>'Forage, input data per ha'!I18*'Parameters, general'!$C$18/'Forage, input data per ha'!C18</f>
        <v>0</v>
      </c>
      <c r="M59" s="13"/>
      <c r="N59" s="13"/>
      <c r="O59" s="13"/>
      <c r="P59" s="13"/>
    </row>
    <row r="60" spans="1:19" x14ac:dyDescent="0.2">
      <c r="B60" t="s">
        <v>264</v>
      </c>
      <c r="C60" t="s">
        <v>547</v>
      </c>
      <c r="D60" t="s">
        <v>63</v>
      </c>
      <c r="E60" s="13">
        <f t="shared" si="1"/>
        <v>0</v>
      </c>
      <c r="F60" s="13"/>
      <c r="G60" s="13"/>
      <c r="H60" s="13"/>
      <c r="I60" s="13"/>
      <c r="J60" s="13"/>
      <c r="K60" s="13"/>
      <c r="L60" s="13"/>
      <c r="M60" s="13"/>
      <c r="N60" s="13"/>
      <c r="O60" s="13"/>
      <c r="P60" s="13"/>
    </row>
    <row r="61" spans="1:19" x14ac:dyDescent="0.2">
      <c r="B61" t="s">
        <v>264</v>
      </c>
      <c r="C61" t="s">
        <v>43</v>
      </c>
      <c r="D61" t="s">
        <v>63</v>
      </c>
      <c r="E61" s="13">
        <f t="shared" si="1"/>
        <v>5.0799301372574851E-5</v>
      </c>
      <c r="F61" s="13">
        <f>'Forage, input data per ha'!D18*EF_min_fert_N2O_SE/'Forage, input data per ha'!C18</f>
        <v>0</v>
      </c>
      <c r="G61" s="13">
        <f>EF_capital_goods_N2O</f>
        <v>1.1000000000000001E-6</v>
      </c>
      <c r="H61" s="13">
        <f>('Forage, input data per ha'!D18*'Parameters, country spec'!L80+'Forage, input data per ha'!F18*'Parameters, country spec'!L81)*44/28/'Forage, input data per ha'!C18</f>
        <v>4.437409853463729E-5</v>
      </c>
      <c r="I61" s="13">
        <f>H61*0.1</f>
        <v>4.4374098534637295E-6</v>
      </c>
      <c r="J61" s="13">
        <f>'Forage, input data per ha'!H18*EF_diesel_N2O*Heating_value_diesel/'Forage, input data per ha'!C18</f>
        <v>8.8779298447383559E-7</v>
      </c>
      <c r="K61" s="13"/>
      <c r="L61" s="13">
        <f>'Forage, input data per ha'!I18*'Parameters, general'!$D$18/'Forage, input data per ha'!C18</f>
        <v>0</v>
      </c>
      <c r="M61" s="13"/>
      <c r="N61" s="13"/>
      <c r="O61" s="13"/>
      <c r="P61" s="13"/>
    </row>
    <row r="62" spans="1:19" ht="15" customHeight="1" x14ac:dyDescent="0.2">
      <c r="A62" s="103"/>
      <c r="B62" s="103" t="s">
        <v>264</v>
      </c>
      <c r="C62" s="103" t="s">
        <v>44</v>
      </c>
      <c r="D62" s="103" t="s">
        <v>63</v>
      </c>
      <c r="E62" s="443">
        <f t="shared" si="1"/>
        <v>7.7175173209848069E-2</v>
      </c>
      <c r="F62" s="443">
        <f>SUMPRODUCT(F58:F61,'Parameters, general'!$B$24:$B$27)</f>
        <v>0</v>
      </c>
      <c r="G62" s="443">
        <f>SUMPRODUCT(G58:G61,'Parameters, general'!$B$24:$B$27)</f>
        <v>3.01313E-2</v>
      </c>
      <c r="H62" s="443">
        <f>SUMPRODUCT(H58:H61,'Parameters, general'!$B$24:$B$27)</f>
        <v>1.211412889995598E-2</v>
      </c>
      <c r="I62" s="443">
        <f>SUMPRODUCT(I58:I61,'Parameters, general'!$B$24:$B$27)</f>
        <v>1.2114128899955981E-3</v>
      </c>
      <c r="J62" s="443">
        <f>SUMPRODUCT(J58:J61,'Parameters, general'!$B$24:$B$27)</f>
        <v>3.3718331419896497E-2</v>
      </c>
      <c r="K62" s="443">
        <f>SUMPRODUCT(K58:K61,'Parameters, general'!$B$24:$B$27)</f>
        <v>0</v>
      </c>
      <c r="L62" s="443">
        <f>SUMPRODUCT(L58:L61,'Parameters, general'!$B$24:$B$27)</f>
        <v>0</v>
      </c>
      <c r="M62" s="443">
        <f>SUMPRODUCT(M58:M61,'Parameters, general'!$B$24:$B$27)</f>
        <v>0</v>
      </c>
      <c r="N62" s="443">
        <f>SUMPRODUCT(N58:N61,'Parameters, general'!$B$24:$B$27)</f>
        <v>0</v>
      </c>
      <c r="O62" s="443">
        <f>SUMPRODUCT(O58:O61,'Parameters, general'!$B$24:$B$27)</f>
        <v>0</v>
      </c>
      <c r="P62" s="443"/>
      <c r="R62" s="444"/>
      <c r="S62" s="25"/>
    </row>
    <row r="64" spans="1:19" ht="18" customHeight="1" x14ac:dyDescent="0.25">
      <c r="A64" s="431" t="s">
        <v>548</v>
      </c>
      <c r="B64" s="197"/>
      <c r="C64" s="197"/>
      <c r="D64" s="197"/>
      <c r="E64" s="197"/>
      <c r="F64" s="197"/>
      <c r="G64" s="197"/>
      <c r="H64" s="197"/>
      <c r="I64" s="197"/>
      <c r="J64" s="197"/>
      <c r="K64" s="197"/>
      <c r="L64" s="197"/>
      <c r="M64" s="197"/>
      <c r="N64" s="197"/>
      <c r="O64" s="197"/>
      <c r="P64" s="197"/>
    </row>
    <row r="66" spans="1:19" x14ac:dyDescent="0.2">
      <c r="A66" s="432" t="s">
        <v>458</v>
      </c>
      <c r="B66" s="433"/>
      <c r="C66" s="433"/>
      <c r="D66" s="433"/>
      <c r="E66" s="434" t="s">
        <v>6</v>
      </c>
      <c r="F66" s="434" t="s">
        <v>7</v>
      </c>
      <c r="G66" s="435"/>
      <c r="H66" s="434" t="s">
        <v>8</v>
      </c>
      <c r="I66" s="436"/>
      <c r="J66" s="437" t="s">
        <v>9</v>
      </c>
      <c r="K66" s="436"/>
      <c r="L66" s="436"/>
      <c r="M66" s="436"/>
      <c r="N66" s="437" t="s">
        <v>10</v>
      </c>
      <c r="O66" s="437" t="s">
        <v>11</v>
      </c>
      <c r="P66" s="437" t="s">
        <v>12</v>
      </c>
    </row>
    <row r="67" spans="1:19" ht="36.75" customHeight="1" x14ac:dyDescent="0.2">
      <c r="A67" s="438" t="s">
        <v>13</v>
      </c>
      <c r="B67" s="438" t="s">
        <v>458</v>
      </c>
      <c r="C67" s="438" t="s">
        <v>18</v>
      </c>
      <c r="D67" s="439" t="s">
        <v>545</v>
      </c>
      <c r="E67" s="440"/>
      <c r="F67" s="49" t="s">
        <v>20</v>
      </c>
      <c r="G67" s="49" t="s">
        <v>21</v>
      </c>
      <c r="H67" s="49" t="s">
        <v>22</v>
      </c>
      <c r="I67" s="49" t="s">
        <v>546</v>
      </c>
      <c r="J67" s="49" t="s">
        <v>24</v>
      </c>
      <c r="K67" s="49" t="s">
        <v>25</v>
      </c>
      <c r="L67" s="49" t="s">
        <v>26</v>
      </c>
      <c r="M67" s="49" t="s">
        <v>27</v>
      </c>
      <c r="N67" s="49" t="s">
        <v>28</v>
      </c>
      <c r="O67" s="49"/>
      <c r="P67" s="49"/>
      <c r="R67" s="444"/>
      <c r="S67" s="25"/>
    </row>
    <row r="68" spans="1:19" x14ac:dyDescent="0.2">
      <c r="B68" t="s">
        <v>549</v>
      </c>
      <c r="C68" t="s">
        <v>40</v>
      </c>
      <c r="D68" t="s">
        <v>38</v>
      </c>
      <c r="E68" s="13">
        <f t="shared" ref="E68:E99" si="2">SUM(F68:P68)</f>
        <v>9.8857574537958043E-2</v>
      </c>
      <c r="F68" s="13">
        <f>'Forage, input data per ha'!D26*EF_min_fert_CO2_DK/'Forage, input data per ha'!C26</f>
        <v>9.3767986127770066E-3</v>
      </c>
      <c r="G68" s="13">
        <f>EF_capital_goods_CO2</f>
        <v>2.7E-2</v>
      </c>
      <c r="H68" s="13"/>
      <c r="I68" s="13"/>
      <c r="J68" s="13">
        <f>'Forage, input data per ha'!H26*EF_diesel_CO2*Heating_value_diesel/'Forage, input data per ha'!C26</f>
        <v>1.5780775925181026E-2</v>
      </c>
      <c r="K68" s="13"/>
      <c r="L68" s="13">
        <f>'Forage, input data per ha'!I26*'Parameters, general'!$B$18/'Forage, input data per ha'!C26</f>
        <v>0</v>
      </c>
      <c r="M68" s="13"/>
      <c r="N68" s="13"/>
      <c r="O68" s="13">
        <f>'Parameters, general'!$B$21</f>
        <v>4.6700000000000005E-2</v>
      </c>
      <c r="P68" s="13"/>
    </row>
    <row r="69" spans="1:19" x14ac:dyDescent="0.2">
      <c r="B69" t="s">
        <v>549</v>
      </c>
      <c r="C69" t="s">
        <v>41</v>
      </c>
      <c r="D69" t="s">
        <v>38</v>
      </c>
      <c r="E69" s="13">
        <f t="shared" si="2"/>
        <v>8.0999035161174711E-4</v>
      </c>
      <c r="F69" s="13">
        <f>'Forage, input data per ha'!D26*EF_min_fert_CH4_DK/'Forage, input data per ha'!C26</f>
        <v>0</v>
      </c>
      <c r="G69" s="13">
        <f>EF_capital_goods_CH4</f>
        <v>9.5000000000000005E-5</v>
      </c>
      <c r="H69" s="13"/>
      <c r="I69" s="13"/>
      <c r="J69" s="13">
        <f>'Forage, input data per ha'!H26*EF_diesel_CH4*Heating_value_diesel/'Forage, input data per ha'!C26</f>
        <v>6.9903516117470754E-6</v>
      </c>
      <c r="K69" s="13"/>
      <c r="L69" s="13">
        <f>'Forage, input data per ha'!I26*'Parameters, general'!$C$18/'Forage, input data per ha'!C26</f>
        <v>0</v>
      </c>
      <c r="M69" s="13"/>
      <c r="N69" s="13"/>
      <c r="O69" s="13">
        <f>'Parameters, general'!$C$21</f>
        <v>7.0799999999999997E-4</v>
      </c>
      <c r="P69" s="13"/>
    </row>
    <row r="70" spans="1:19" x14ac:dyDescent="0.2">
      <c r="B70" t="s">
        <v>549</v>
      </c>
      <c r="C70" t="s">
        <v>547</v>
      </c>
      <c r="D70" t="s">
        <v>38</v>
      </c>
      <c r="E70" s="13">
        <f t="shared" si="2"/>
        <v>0</v>
      </c>
      <c r="F70" s="13"/>
      <c r="G70" s="13"/>
      <c r="H70" s="13"/>
      <c r="I70" s="13"/>
      <c r="J70" s="13"/>
      <c r="K70" s="13"/>
      <c r="L70" s="13"/>
      <c r="M70" s="13"/>
      <c r="N70" s="13"/>
      <c r="O70" s="13"/>
      <c r="P70" s="13"/>
    </row>
    <row r="71" spans="1:19" x14ac:dyDescent="0.2">
      <c r="B71" t="s">
        <v>549</v>
      </c>
      <c r="C71" t="s">
        <v>43</v>
      </c>
      <c r="D71" t="s">
        <v>38</v>
      </c>
      <c r="E71" s="13">
        <f t="shared" si="2"/>
        <v>1.7579804128482269E-4</v>
      </c>
      <c r="F71" s="13">
        <f>'Forage, input data per ha'!D26*EF_min_fert_N2O_DK/'Forage, input data per ha'!C26</f>
        <v>4.236093193768276E-6</v>
      </c>
      <c r="G71" s="13">
        <f>EF_capital_goods_N2O</f>
        <v>1.1000000000000001E-6</v>
      </c>
      <c r="H71" s="13">
        <f>('Forage, input data per ha'!D26*'Parameters, country spec'!B80+'Forage, input data per ha'!F26*'Parameters, country spec'!B81)*44/28/'Forage, input data per ha'!C26</f>
        <v>9.2670829535701244E-5</v>
      </c>
      <c r="I71" s="13">
        <f>H71*0.1</f>
        <v>9.2670829535701244E-6</v>
      </c>
      <c r="J71" s="13">
        <f>'Forage, input data per ha'!H26*EF_diesel_N2O*Heating_value_diesel/'Forage, input data per ha'!C26</f>
        <v>4.240356017830519E-7</v>
      </c>
      <c r="K71" s="13"/>
      <c r="L71" s="13">
        <f>'Forage, input data per ha'!I26*'Parameters, general'!$D$18/'Forage, input data per ha'!C26</f>
        <v>0</v>
      </c>
      <c r="M71" s="13"/>
      <c r="N71" s="13"/>
      <c r="O71" s="13">
        <f>'Parameters, general'!$D$21</f>
        <v>6.8099999999999988E-5</v>
      </c>
      <c r="P71" s="13"/>
    </row>
    <row r="72" spans="1:19" ht="15" customHeight="1" x14ac:dyDescent="0.2">
      <c r="A72" s="103"/>
      <c r="B72" s="103" t="s">
        <v>549</v>
      </c>
      <c r="C72" s="103" t="s">
        <v>44</v>
      </c>
      <c r="D72" s="103" t="s">
        <v>38</v>
      </c>
      <c r="E72" s="443">
        <f t="shared" si="2"/>
        <v>0.17098815228674469</v>
      </c>
      <c r="F72" s="443">
        <f>SUMPRODUCT(F68:F71,'Parameters, general'!$B$24:$B$27)</f>
        <v>1.0533252054675746E-2</v>
      </c>
      <c r="G72" s="443">
        <f>SUMPRODUCT(G68:G71,'Parameters, general'!$B$24:$B$27)</f>
        <v>3.01313E-2</v>
      </c>
      <c r="H72" s="443">
        <f>SUMPRODUCT(H68:H71,'Parameters, general'!$B$24:$B$27)</f>
        <v>2.5299136463246441E-2</v>
      </c>
      <c r="I72" s="443">
        <f>SUMPRODUCT(I68:I71,'Parameters, general'!$B$24:$B$27)</f>
        <v>2.5299136463246439E-3</v>
      </c>
      <c r="J72" s="443">
        <f>SUMPRODUCT(J68:J71,'Parameters, general'!$B$24:$B$27)</f>
        <v>1.6104850122497859E-2</v>
      </c>
      <c r="K72" s="443">
        <f>SUMPRODUCT(K68:K71,'Parameters, general'!$B$24:$B$27)</f>
        <v>0</v>
      </c>
      <c r="L72" s="443">
        <f>SUMPRODUCT(L68:L71,'Parameters, general'!$B$24:$B$27)</f>
        <v>0</v>
      </c>
      <c r="M72" s="443">
        <f>SUMPRODUCT(M68:M71,'Parameters, general'!$B$24:$B$27)</f>
        <v>0</v>
      </c>
      <c r="N72" s="443">
        <f>SUMPRODUCT(N68:N71,'Parameters, general'!$B$24:$B$27)</f>
        <v>0</v>
      </c>
      <c r="O72" s="443">
        <f>SUMPRODUCT(O68:O71,'Parameters, general'!$B$24:$B$27)</f>
        <v>8.6389700000000014E-2</v>
      </c>
      <c r="P72" s="443"/>
      <c r="R72" s="444"/>
      <c r="S72" s="25"/>
    </row>
    <row r="73" spans="1:19" x14ac:dyDescent="0.2">
      <c r="B73" t="s">
        <v>549</v>
      </c>
      <c r="C73" t="s">
        <v>40</v>
      </c>
      <c r="D73" t="s">
        <v>45</v>
      </c>
      <c r="E73" s="13">
        <f t="shared" si="2"/>
        <v>0.10612429787083036</v>
      </c>
      <c r="F73" s="13">
        <f>'Forage, input data per ha'!D27*EF_min_fert_CO2_FR/'Forage, input data per ha'!C27</f>
        <v>1.5444765261174446E-2</v>
      </c>
      <c r="G73" s="13">
        <f>EF_capital_goods_CO2</f>
        <v>2.7E-2</v>
      </c>
      <c r="H73" s="13"/>
      <c r="I73" s="13"/>
      <c r="J73" s="13">
        <f>'Forage, input data per ha'!H27*EF_diesel_CO2*Heating_value_diesel/'Forage, input data per ha'!C27</f>
        <v>1.6437442716420017E-2</v>
      </c>
      <c r="K73" s="13"/>
      <c r="L73" s="13">
        <f>'Forage, input data per ha'!I27*'Parameters, general'!$B$18/'Forage, input data per ha'!C27</f>
        <v>5.420898932358973E-4</v>
      </c>
      <c r="M73" s="13"/>
      <c r="N73" s="445"/>
      <c r="O73" s="13">
        <f>'Parameters, general'!$B$21</f>
        <v>4.6700000000000005E-2</v>
      </c>
      <c r="P73" s="13"/>
    </row>
    <row r="74" spans="1:19" x14ac:dyDescent="0.2">
      <c r="B74" t="s">
        <v>549</v>
      </c>
      <c r="C74" t="s">
        <v>41</v>
      </c>
      <c r="D74" t="s">
        <v>45</v>
      </c>
      <c r="E74" s="13">
        <f t="shared" si="2"/>
        <v>8.1209423203819483E-4</v>
      </c>
      <c r="F74" s="13">
        <f>'Forage, input data per ha'!D27*EF_min_fert_CH4_FR/'Forage, input data per ha'!C27</f>
        <v>0</v>
      </c>
      <c r="G74" s="13">
        <f>EF_capital_goods_CH4</f>
        <v>9.5000000000000005E-5</v>
      </c>
      <c r="H74" s="13"/>
      <c r="I74" s="13"/>
      <c r="J74" s="13">
        <f>'Forage, input data per ha'!H27*EF_diesel_CH4*Heating_value_diesel/'Forage, input data per ha'!C27</f>
        <v>7.281232857655495E-6</v>
      </c>
      <c r="K74" s="13"/>
      <c r="L74" s="13">
        <f>'Forage, input data per ha'!I27*'Parameters, general'!$C$18/'Forage, input data per ha'!C27</f>
        <v>1.8129991805393337E-6</v>
      </c>
      <c r="M74" s="13"/>
      <c r="N74" s="13"/>
      <c r="O74" s="13">
        <f>'Parameters, general'!$C$21</f>
        <v>7.0799999999999997E-4</v>
      </c>
      <c r="P74" s="13"/>
    </row>
    <row r="75" spans="1:19" x14ac:dyDescent="0.2">
      <c r="B75" t="s">
        <v>549</v>
      </c>
      <c r="C75" t="s">
        <v>547</v>
      </c>
      <c r="D75" t="s">
        <v>45</v>
      </c>
      <c r="E75" s="13">
        <f t="shared" si="2"/>
        <v>0</v>
      </c>
      <c r="F75" s="13"/>
      <c r="G75" s="13"/>
      <c r="H75" s="13"/>
      <c r="I75" s="13"/>
      <c r="J75" s="13"/>
      <c r="K75" s="13"/>
      <c r="L75" s="13"/>
      <c r="M75" s="13"/>
      <c r="N75" s="13"/>
      <c r="O75" s="13"/>
      <c r="P75" s="13"/>
    </row>
    <row r="76" spans="1:19" x14ac:dyDescent="0.2">
      <c r="B76" t="s">
        <v>549</v>
      </c>
      <c r="C76" t="s">
        <v>43</v>
      </c>
      <c r="D76" t="s">
        <v>45</v>
      </c>
      <c r="E76" s="13">
        <f t="shared" si="2"/>
        <v>2.2731837049724026E-4</v>
      </c>
      <c r="F76" s="13">
        <f>'Forage, input data per ha'!D27*EF_min_fert_N2O_FR/'Forage, input data per ha'!C27</f>
        <v>4.5779825316617812E-6</v>
      </c>
      <c r="G76" s="13">
        <f>EF_capital_goods_N2O</f>
        <v>1.1000000000000001E-6</v>
      </c>
      <c r="H76" s="13">
        <f>('Forage, input data per ha'!D27*'Parameters, country spec'!C80+'Forage, input data per ha'!F27*'Parameters, country spec'!C81)*44/28/'Forage, input data per ha'!C27</f>
        <v>1.3916035917453372E-4</v>
      </c>
      <c r="I76" s="13">
        <f>H76*0.1</f>
        <v>1.3916035917453372E-5</v>
      </c>
      <c r="J76" s="13">
        <f>'Forage, input data per ha'!H27*EF_diesel_N2O*Heating_value_diesel/'Forage, input data per ha'!C27</f>
        <v>4.416804944875769E-7</v>
      </c>
      <c r="K76" s="13"/>
      <c r="L76" s="13">
        <f>'Forage, input data per ha'!I27*'Parameters, general'!$D$18/'Forage, input data per ha'!C27</f>
        <v>2.2312379103795404E-8</v>
      </c>
      <c r="M76" s="13"/>
      <c r="N76" s="13"/>
      <c r="O76" s="13">
        <f>'Parameters, general'!$D$21</f>
        <v>6.8099999999999988E-5</v>
      </c>
      <c r="P76" s="13"/>
    </row>
    <row r="77" spans="1:19" ht="15" customHeight="1" x14ac:dyDescent="0.2">
      <c r="A77" s="103"/>
      <c r="B77" s="103" t="s">
        <v>549</v>
      </c>
      <c r="C77" s="103" t="s">
        <v>44</v>
      </c>
      <c r="D77" s="103" t="s">
        <v>45</v>
      </c>
      <c r="E77" s="443">
        <f t="shared" si="2"/>
        <v>0.19238262113131518</v>
      </c>
      <c r="F77" s="443">
        <f>SUMPRODUCT(F73:F76,'Parameters, general'!$B$24:$B$27)</f>
        <v>1.6694554492318114E-2</v>
      </c>
      <c r="G77" s="443">
        <f>SUMPRODUCT(G73:G76,'Parameters, general'!$B$24:$B$27)</f>
        <v>3.01313E-2</v>
      </c>
      <c r="H77" s="443">
        <f>SUMPRODUCT(H73:H76,'Parameters, general'!$B$24:$B$27)</f>
        <v>3.7990778054647706E-2</v>
      </c>
      <c r="I77" s="443">
        <f>SUMPRODUCT(I73:I76,'Parameters, general'!$B$24:$B$27)</f>
        <v>3.7990778054647705E-3</v>
      </c>
      <c r="J77" s="443">
        <f>SUMPRODUCT(J73:J76,'Parameters, general'!$B$24:$B$27)</f>
        <v>1.6775002230573259E-2</v>
      </c>
      <c r="K77" s="443">
        <f>SUMPRODUCT(K73:K76,'Parameters, general'!$B$24:$B$27)</f>
        <v>0</v>
      </c>
      <c r="L77" s="443">
        <f>SUMPRODUCT(L73:L76,'Parameters, general'!$B$24:$B$27)</f>
        <v>6.0220854831130556E-4</v>
      </c>
      <c r="M77" s="443">
        <f>SUMPRODUCT(M73:M76,'Parameters, general'!$B$24:$B$27)</f>
        <v>0</v>
      </c>
      <c r="N77" s="443">
        <f>SUMPRODUCT(N73:N76,'Parameters, general'!$B$24:$B$27)</f>
        <v>0</v>
      </c>
      <c r="O77" s="443">
        <f>SUMPRODUCT(O73:O76,'Parameters, general'!$B$24:$B$27)</f>
        <v>8.6389700000000014E-2</v>
      </c>
      <c r="P77" s="443"/>
      <c r="R77" s="444"/>
      <c r="S77" s="25"/>
    </row>
    <row r="78" spans="1:19" x14ac:dyDescent="0.2">
      <c r="B78" t="s">
        <v>549</v>
      </c>
      <c r="C78" t="s">
        <v>40</v>
      </c>
      <c r="D78" t="s">
        <v>47</v>
      </c>
      <c r="E78" s="13">
        <f t="shared" si="2"/>
        <v>9.7532646200612319E-2</v>
      </c>
      <c r="F78" s="13">
        <f>'Forage, input data per ha'!D28*EF_min_fert_CO2_DE/'Forage, input data per ha'!C28</f>
        <v>1.0438011342749713E-2</v>
      </c>
      <c r="G78" s="13">
        <f>EF_capital_goods_CO2</f>
        <v>2.7E-2</v>
      </c>
      <c r="H78" s="13"/>
      <c r="I78" s="13"/>
      <c r="J78" s="13">
        <f>'Forage, input data per ha'!H28*EF_diesel_CO2*Heating_value_diesel/'Forage, input data per ha'!C28</f>
        <v>1.3384776661816502E-2</v>
      </c>
      <c r="K78" s="13"/>
      <c r="L78" s="13">
        <f>'Forage, input data per ha'!I28*'Parameters, general'!$B$18/'Forage, input data per ha'!C28</f>
        <v>9.8581960460989167E-6</v>
      </c>
      <c r="M78" s="13"/>
      <c r="N78" s="13"/>
      <c r="O78" s="13">
        <f>'Parameters, general'!$B$21</f>
        <v>4.6700000000000005E-2</v>
      </c>
      <c r="P78" s="13"/>
    </row>
    <row r="79" spans="1:19" x14ac:dyDescent="0.2">
      <c r="B79" t="s">
        <v>549</v>
      </c>
      <c r="C79" t="s">
        <v>41</v>
      </c>
      <c r="D79" t="s">
        <v>47</v>
      </c>
      <c r="E79" s="13">
        <f t="shared" si="2"/>
        <v>8.0896197509493055E-4</v>
      </c>
      <c r="F79" s="13">
        <f>'Forage, input data per ha'!D28*EF_min_fert_CH4_DE/'Forage, input data per ha'!C28</f>
        <v>0</v>
      </c>
      <c r="G79" s="13">
        <f>EF_capital_goods_CH4</f>
        <v>9.5000000000000005E-5</v>
      </c>
      <c r="H79" s="13"/>
      <c r="I79" s="13"/>
      <c r="J79" s="13">
        <f>'Forage, input data per ha'!H28*EF_diesel_CH4*Heating_value_diesel/'Forage, input data per ha'!C28</f>
        <v>5.9290047304648181E-6</v>
      </c>
      <c r="K79" s="13"/>
      <c r="L79" s="13">
        <f>'Forage, input data per ha'!I28*'Parameters, general'!$C$18/'Forage, input data per ha'!C28</f>
        <v>3.2970364465724893E-8</v>
      </c>
      <c r="M79" s="13"/>
      <c r="N79" s="13"/>
      <c r="O79" s="13">
        <f>'Parameters, general'!$C$21</f>
        <v>7.0799999999999997E-4</v>
      </c>
      <c r="P79" s="13"/>
    </row>
    <row r="80" spans="1:19" x14ac:dyDescent="0.2">
      <c r="B80" t="s">
        <v>549</v>
      </c>
      <c r="C80" t="s">
        <v>547</v>
      </c>
      <c r="D80" t="s">
        <v>47</v>
      </c>
      <c r="E80" s="13">
        <f t="shared" si="2"/>
        <v>0</v>
      </c>
      <c r="F80" s="13"/>
      <c r="G80" s="13"/>
      <c r="H80" s="13"/>
      <c r="I80" s="13"/>
      <c r="J80" s="13"/>
      <c r="K80" s="13"/>
      <c r="L80" s="13"/>
      <c r="M80" s="13"/>
      <c r="N80" s="13"/>
      <c r="O80" s="13"/>
      <c r="P80" s="13"/>
    </row>
    <row r="81" spans="1:19" x14ac:dyDescent="0.2">
      <c r="B81" t="s">
        <v>549</v>
      </c>
      <c r="C81" t="s">
        <v>43</v>
      </c>
      <c r="D81" t="s">
        <v>47</v>
      </c>
      <c r="E81" s="13">
        <f t="shared" si="2"/>
        <v>1.8174385638171917E-4</v>
      </c>
      <c r="F81" s="13">
        <f>'Forage, input data per ha'!D28*EF_min_fert_N2O_DE/'Forage, input data per ha'!C28</f>
        <v>3.4704182382543476E-6</v>
      </c>
      <c r="G81" s="13">
        <f>EF_capital_goods_N2O</f>
        <v>1.1000000000000001E-6</v>
      </c>
      <c r="H81" s="13">
        <f>('Forage, input data per ha'!D28*'Parameters, country spec'!D80+'Forage, input data per ha'!F28*'Parameters, country spec'!D81)*44/28/'Forage, input data per ha'!C28</f>
        <v>9.8830343830404497E-5</v>
      </c>
      <c r="I81" s="13">
        <f>H81*0.1</f>
        <v>9.88303438304045E-6</v>
      </c>
      <c r="J81" s="13">
        <f>'Forage, input data per ha'!H28*EF_diesel_N2O*Heating_value_diesel/'Forage, input data per ha'!C28</f>
        <v>3.5965416741445819E-7</v>
      </c>
      <c r="K81" s="13"/>
      <c r="L81" s="13">
        <f>'Forage, input data per ha'!I28*'Parameters, general'!$D$18/'Forage, input data per ha'!C28</f>
        <v>4.0576260543632307E-10</v>
      </c>
      <c r="M81" s="13"/>
      <c r="N81" s="13"/>
      <c r="O81" s="13">
        <f>'Parameters, general'!$D$21</f>
        <v>6.8099999999999988E-5</v>
      </c>
      <c r="P81" s="13"/>
    </row>
    <row r="82" spans="1:19" ht="15" customHeight="1" x14ac:dyDescent="0.2">
      <c r="A82" s="103"/>
      <c r="B82" s="103" t="s">
        <v>549</v>
      </c>
      <c r="C82" s="103" t="s">
        <v>44</v>
      </c>
      <c r="D82" s="103" t="s">
        <v>47</v>
      </c>
      <c r="E82" s="443">
        <f t="shared" si="2"/>
        <v>0.1712557858506506</v>
      </c>
      <c r="F82" s="443">
        <f>SUMPRODUCT(F78:F81,'Parameters, general'!$B$24:$B$27)</f>
        <v>1.138543552179315E-2</v>
      </c>
      <c r="G82" s="443">
        <f>SUMPRODUCT(G78:G81,'Parameters, general'!$B$24:$B$27)</f>
        <v>3.01313E-2</v>
      </c>
      <c r="H82" s="443">
        <f>SUMPRODUCT(H78:H81,'Parameters, general'!$B$24:$B$27)</f>
        <v>2.6980683865700426E-2</v>
      </c>
      <c r="I82" s="443">
        <f>SUMPRODUCT(I78:I81,'Parameters, general'!$B$24:$B$27)</f>
        <v>2.698068386570043E-3</v>
      </c>
      <c r="J82" s="443">
        <f>SUMPRODUCT(J78:J81,'Parameters, general'!$B$24:$B$27)</f>
        <v>1.3659646590488499E-2</v>
      </c>
      <c r="K82" s="443">
        <f>SUMPRODUCT(K78:K81,'Parameters, general'!$B$24:$B$27)</f>
        <v>0</v>
      </c>
      <c r="L82" s="443">
        <f>SUMPRODUCT(L78:L81,'Parameters, general'!$B$24:$B$27)</f>
        <v>1.0951486098461634E-5</v>
      </c>
      <c r="M82" s="443">
        <f>SUMPRODUCT(M78:M81,'Parameters, general'!$B$24:$B$27)</f>
        <v>0</v>
      </c>
      <c r="N82" s="443">
        <f>SUMPRODUCT(N78:N81,'Parameters, general'!$B$24:$B$27)</f>
        <v>0</v>
      </c>
      <c r="O82" s="443">
        <f>SUMPRODUCT(O78:O81,'Parameters, general'!$B$24:$B$27)</f>
        <v>8.6389700000000014E-2</v>
      </c>
      <c r="P82" s="443"/>
      <c r="R82" s="444"/>
      <c r="S82" s="25"/>
    </row>
    <row r="83" spans="1:19" x14ac:dyDescent="0.2">
      <c r="B83" t="s">
        <v>549</v>
      </c>
      <c r="C83" t="s">
        <v>40</v>
      </c>
      <c r="D83" t="s">
        <v>49</v>
      </c>
      <c r="E83" s="13">
        <f t="shared" si="2"/>
        <v>0.19775040679045891</v>
      </c>
      <c r="F83" s="13">
        <f>'Forage, input data per ha'!D29*EF_min_fert_CO2_GR/'Forage, input data per ha'!C29</f>
        <v>8.9994874637714592E-2</v>
      </c>
      <c r="G83" s="13">
        <f>EF_capital_goods_CO2</f>
        <v>2.7E-2</v>
      </c>
      <c r="H83" s="13"/>
      <c r="I83" s="13"/>
      <c r="J83" s="13">
        <f>'Forage, input data per ha'!H29*EF_diesel_CO2*Heating_value_diesel/'Forage, input data per ha'!C29</f>
        <v>3.0929259689320997E-2</v>
      </c>
      <c r="K83" s="13"/>
      <c r="L83" s="13">
        <f>'Forage, input data per ha'!I29*'Parameters, general'!$B$18/'Forage, input data per ha'!C29</f>
        <v>3.1262724634233325E-3</v>
      </c>
      <c r="M83" s="13"/>
      <c r="N83" s="445"/>
      <c r="O83" s="13">
        <f>'Parameters, general'!$B$21</f>
        <v>4.6700000000000005E-2</v>
      </c>
      <c r="P83" s="13"/>
    </row>
    <row r="84" spans="1:19" x14ac:dyDescent="0.2">
      <c r="B84" t="s">
        <v>549</v>
      </c>
      <c r="C84" t="s">
        <v>41</v>
      </c>
      <c r="D84" t="s">
        <v>49</v>
      </c>
      <c r="E84" s="13">
        <f t="shared" si="2"/>
        <v>8.2715631933383792E-4</v>
      </c>
      <c r="F84" s="13">
        <f>'Forage, input data per ha'!D29*EF_min_fert_CH4_GR/'Forage, input data per ha'!C29</f>
        <v>0</v>
      </c>
      <c r="G84" s="13">
        <f>EF_capital_goods_CH4</f>
        <v>9.5000000000000005E-5</v>
      </c>
      <c r="H84" s="13"/>
      <c r="I84" s="13"/>
      <c r="J84" s="13">
        <f>'Forage, input data per ha'!H29*EF_diesel_CH4*Heating_value_diesel/'Forage, input data per ha'!C29</f>
        <v>1.3700619116858076E-5</v>
      </c>
      <c r="K84" s="13"/>
      <c r="L84" s="13">
        <f>'Forage, input data per ha'!I29*'Parameters, general'!$C$18/'Forage, input data per ha'!C29</f>
        <v>1.0455700216979904E-5</v>
      </c>
      <c r="M84" s="13"/>
      <c r="N84" s="13"/>
      <c r="O84" s="13">
        <f>'Parameters, general'!$C$21</f>
        <v>7.0799999999999997E-4</v>
      </c>
      <c r="P84" s="13"/>
    </row>
    <row r="85" spans="1:19" x14ac:dyDescent="0.2">
      <c r="B85" t="s">
        <v>549</v>
      </c>
      <c r="C85" t="s">
        <v>547</v>
      </c>
      <c r="D85" t="s">
        <v>49</v>
      </c>
      <c r="E85" s="13">
        <f t="shared" si="2"/>
        <v>0</v>
      </c>
      <c r="F85" s="13"/>
      <c r="G85" s="13"/>
      <c r="H85" s="13"/>
      <c r="I85" s="13"/>
      <c r="J85" s="13"/>
      <c r="K85" s="13"/>
      <c r="L85" s="13"/>
      <c r="M85" s="13"/>
      <c r="N85" s="13"/>
      <c r="O85" s="13"/>
      <c r="P85" s="13"/>
    </row>
    <row r="86" spans="1:19" x14ac:dyDescent="0.2">
      <c r="B86" t="s">
        <v>549</v>
      </c>
      <c r="C86" t="s">
        <v>43</v>
      </c>
      <c r="D86" t="s">
        <v>49</v>
      </c>
      <c r="E86" s="13">
        <f t="shared" si="2"/>
        <v>5.6856791941491797E-4</v>
      </c>
      <c r="F86" s="13">
        <f>'Forage, input data per ha'!D29*EF_min_fert_N2O_GR/'Forage, input data per ha'!C29</f>
        <v>8.4775511796441287E-6</v>
      </c>
      <c r="G86" s="13">
        <f>EF_capital_goods_N2O</f>
        <v>1.1000000000000001E-6</v>
      </c>
      <c r="H86" s="13">
        <f>('Forage, input data per ha'!D29*'Parameters, country spec'!E80+'Forage, input data per ha'!F29*'Parameters, country spec'!E81)*44/28/'Forage, input data per ha'!C29</f>
        <v>4.4539146348171341E-4</v>
      </c>
      <c r="I86" s="13">
        <f>H86*0.1</f>
        <v>4.4539146348171342E-5</v>
      </c>
      <c r="J86" s="13">
        <f>'Forage, input data per ha'!H29*EF_diesel_N2O*Heating_value_diesel/'Forage, input data per ha'!C29</f>
        <v>8.3108126667827761E-7</v>
      </c>
      <c r="K86" s="13"/>
      <c r="L86" s="13">
        <f>'Forage, input data per ha'!I29*'Parameters, general'!$D$18/'Forage, input data per ha'!C29</f>
        <v>1.2867713871083583E-7</v>
      </c>
      <c r="M86" s="13"/>
      <c r="N86" s="13"/>
      <c r="O86" s="13">
        <f>'Parameters, general'!$D$21</f>
        <v>6.8099999999999988E-5</v>
      </c>
      <c r="P86" s="13"/>
    </row>
    <row r="87" spans="1:19" ht="15" customHeight="1" x14ac:dyDescent="0.2">
      <c r="A87" s="103"/>
      <c r="B87" s="103" t="s">
        <v>549</v>
      </c>
      <c r="C87" s="103" t="s">
        <v>44</v>
      </c>
      <c r="D87" s="103" t="s">
        <v>49</v>
      </c>
      <c r="E87" s="443">
        <f t="shared" si="2"/>
        <v>0.37761870710687989</v>
      </c>
      <c r="F87" s="443">
        <f>SUMPRODUCT(F83:F86,'Parameters, general'!$B$24:$B$27)</f>
        <v>9.2309246109757437E-2</v>
      </c>
      <c r="G87" s="443">
        <f>SUMPRODUCT(G83:G86,'Parameters, general'!$B$24:$B$27)</f>
        <v>3.01313E-2</v>
      </c>
      <c r="H87" s="443">
        <f>SUMPRODUCT(H83:H86,'Parameters, general'!$B$24:$B$27)</f>
        <v>0.12159186953050775</v>
      </c>
      <c r="I87" s="443">
        <f>SUMPRODUCT(I83:I86,'Parameters, general'!$B$24:$B$27)</f>
        <v>1.2159186953050776E-2</v>
      </c>
      <c r="J87" s="443">
        <f>SUMPRODUCT(J83:J86,'Parameters, general'!$B$24:$B$27)</f>
        <v>3.1564423324806537E-2</v>
      </c>
      <c r="K87" s="443">
        <f>SUMPRODUCT(K83:K86,'Parameters, general'!$B$24:$B$27)</f>
        <v>0</v>
      </c>
      <c r="L87" s="443">
        <f>SUMPRODUCT(L83:L86,'Parameters, general'!$B$24:$B$27)</f>
        <v>3.4729811887573916E-3</v>
      </c>
      <c r="M87" s="443">
        <f>SUMPRODUCT(M83:M86,'Parameters, general'!$B$24:$B$27)</f>
        <v>0</v>
      </c>
      <c r="N87" s="443">
        <f>SUMPRODUCT(N83:N86,'Parameters, general'!$B$24:$B$27)</f>
        <v>0</v>
      </c>
      <c r="O87" s="443">
        <f>SUMPRODUCT(O83:O86,'Parameters, general'!$B$24:$B$27)</f>
        <v>8.6389700000000014E-2</v>
      </c>
      <c r="P87" s="443"/>
      <c r="R87" s="444"/>
      <c r="S87" s="25"/>
    </row>
    <row r="88" spans="1:19" x14ac:dyDescent="0.2">
      <c r="B88" t="s">
        <v>549</v>
      </c>
      <c r="C88" t="s">
        <v>40</v>
      </c>
      <c r="D88" t="s">
        <v>51</v>
      </c>
      <c r="E88" s="13">
        <f t="shared" si="2"/>
        <v>0.13390143698765208</v>
      </c>
      <c r="F88" s="13">
        <f>'Forage, input data per ha'!D30*EF_min_fert_CO2_HU/'Forage, input data per ha'!C30</f>
        <v>3.8682670289812482E-2</v>
      </c>
      <c r="G88" s="13">
        <f>EF_capital_goods_CO2</f>
        <v>2.7E-2</v>
      </c>
      <c r="H88" s="13"/>
      <c r="I88" s="13"/>
      <c r="J88" s="13">
        <f>'Forage, input data per ha'!H30*EF_diesel_CO2*Heating_value_diesel/'Forage, input data per ha'!C30</f>
        <v>2.1510192970721386E-2</v>
      </c>
      <c r="K88" s="13"/>
      <c r="L88" s="13">
        <f>'Forage, input data per ha'!I30*'Parameters, general'!$B$18/'Forage, input data per ha'!C30</f>
        <v>8.5737271182102404E-6</v>
      </c>
      <c r="M88" s="13"/>
      <c r="N88" s="13"/>
      <c r="O88" s="13">
        <f>'Parameters, general'!$B$21</f>
        <v>4.6700000000000005E-2</v>
      </c>
      <c r="P88" s="13"/>
    </row>
    <row r="89" spans="1:19" x14ac:dyDescent="0.2">
      <c r="B89" t="s">
        <v>549</v>
      </c>
      <c r="C89" t="s">
        <v>41</v>
      </c>
      <c r="D89" t="s">
        <v>51</v>
      </c>
      <c r="E89" s="13">
        <f t="shared" si="2"/>
        <v>8.1255696467530251E-4</v>
      </c>
      <c r="F89" s="13">
        <f>'Forage, input data per ha'!D30*EF_min_fert_CH4_HU/'Forage, input data per ha'!C30</f>
        <v>0</v>
      </c>
      <c r="G89" s="13">
        <f>EF_capital_goods_CH4</f>
        <v>9.5000000000000005E-5</v>
      </c>
      <c r="H89" s="13"/>
      <c r="I89" s="13"/>
      <c r="J89" s="13">
        <f>'Forage, input data per ha'!H30*EF_diesel_CH4*Heating_value_diesel/'Forage, input data per ha'!C30</f>
        <v>9.5282901686691279E-6</v>
      </c>
      <c r="K89" s="13"/>
      <c r="L89" s="13">
        <f>'Forage, input data per ha'!I30*'Parameters, general'!$C$18/'Forage, input data per ha'!C30</f>
        <v>2.8674506633383751E-8</v>
      </c>
      <c r="M89" s="13"/>
      <c r="N89" s="13"/>
      <c r="O89" s="13">
        <f>'Parameters, general'!$C$21</f>
        <v>7.0799999999999997E-4</v>
      </c>
      <c r="P89" s="13"/>
    </row>
    <row r="90" spans="1:19" x14ac:dyDescent="0.2">
      <c r="B90" t="s">
        <v>549</v>
      </c>
      <c r="C90" t="s">
        <v>547</v>
      </c>
      <c r="D90" t="s">
        <v>51</v>
      </c>
      <c r="E90" s="13">
        <f t="shared" si="2"/>
        <v>0</v>
      </c>
      <c r="F90" s="13"/>
      <c r="G90" s="13"/>
      <c r="H90" s="13"/>
      <c r="I90" s="13"/>
      <c r="J90" s="13"/>
      <c r="K90" s="13"/>
      <c r="L90" s="13"/>
      <c r="M90" s="13"/>
      <c r="N90" s="13"/>
      <c r="O90" s="13"/>
      <c r="P90" s="13"/>
    </row>
    <row r="91" spans="1:19" x14ac:dyDescent="0.2">
      <c r="B91" t="s">
        <v>549</v>
      </c>
      <c r="C91" t="s">
        <v>43</v>
      </c>
      <c r="D91" t="s">
        <v>51</v>
      </c>
      <c r="E91" s="13">
        <f t="shared" si="2"/>
        <v>4.4294701540057617E-4</v>
      </c>
      <c r="F91" s="13">
        <f>'Forage, input data per ha'!D30*EF_min_fert_N2O_HU/'Forage, input data per ha'!C30</f>
        <v>1.5063564777111198E-5</v>
      </c>
      <c r="G91" s="13">
        <f>EF_capital_goods_N2O</f>
        <v>1.1000000000000001E-6</v>
      </c>
      <c r="H91" s="13">
        <f>('Forage, input data per ha'!D30*'Parameters, country spec'!F80+'Forage, input data per ha'!F30*'Parameters, country spec'!F81)*44/28/'Forage, input data per ha'!C30</f>
        <v>3.2555010041627135E-4</v>
      </c>
      <c r="I91" s="13">
        <f>H91*0.1</f>
        <v>3.2555010041627139E-5</v>
      </c>
      <c r="J91" s="13">
        <f>'Forage, input data per ha'!H30*EF_diesel_N2O*Heating_value_diesel/'Forage, input data per ha'!C30</f>
        <v>5.7798727160526381E-7</v>
      </c>
      <c r="K91" s="13"/>
      <c r="L91" s="13">
        <f>'Forage, input data per ha'!I30*'Parameters, general'!$D$18/'Forage, input data per ha'!C30</f>
        <v>3.5289396128023991E-10</v>
      </c>
      <c r="M91" s="13"/>
      <c r="N91" s="13"/>
      <c r="O91" s="13">
        <f>'Parameters, general'!$D$21</f>
        <v>6.8099999999999988E-5</v>
      </c>
      <c r="P91" s="13"/>
    </row>
    <row r="92" spans="1:19" ht="15" customHeight="1" x14ac:dyDescent="0.2">
      <c r="A92" s="103"/>
      <c r="B92" s="103" t="s">
        <v>549</v>
      </c>
      <c r="C92" s="103" t="s">
        <v>44</v>
      </c>
      <c r="D92" s="103" t="s">
        <v>51</v>
      </c>
      <c r="E92" s="443">
        <f t="shared" si="2"/>
        <v>0.27904016973933343</v>
      </c>
      <c r="F92" s="443">
        <f>SUMPRODUCT(F88:F91,'Parameters, general'!$B$24:$B$27)</f>
        <v>4.2795023473963842E-2</v>
      </c>
      <c r="G92" s="443">
        <f>SUMPRODUCT(G88:G91,'Parameters, general'!$B$24:$B$27)</f>
        <v>3.01313E-2</v>
      </c>
      <c r="H92" s="443">
        <f>SUMPRODUCT(H88:H91,'Parameters, general'!$B$24:$B$27)</f>
        <v>8.8875177413642079E-2</v>
      </c>
      <c r="I92" s="443">
        <f>SUMPRODUCT(I88:I91,'Parameters, general'!$B$24:$B$27)</f>
        <v>8.8875177413642089E-3</v>
      </c>
      <c r="J92" s="443">
        <f>SUMPRODUCT(J88:J91,'Parameters, general'!$B$24:$B$27)</f>
        <v>2.1951926542895961E-2</v>
      </c>
      <c r="K92" s="443">
        <f>SUMPRODUCT(K88:K91,'Parameters, general'!$B$24:$B$27)</f>
        <v>0</v>
      </c>
      <c r="L92" s="443">
        <f>SUMPRODUCT(L88:L91,'Parameters, general'!$B$24:$B$27)</f>
        <v>9.5245674673145805E-6</v>
      </c>
      <c r="M92" s="443">
        <f>SUMPRODUCT(M88:M91,'Parameters, general'!$B$24:$B$27)</f>
        <v>0</v>
      </c>
      <c r="N92" s="443">
        <f>SUMPRODUCT(N88:N91,'Parameters, general'!$B$24:$B$27)</f>
        <v>0</v>
      </c>
      <c r="O92" s="443">
        <f>SUMPRODUCT(O88:O91,'Parameters, general'!$B$24:$B$27)</f>
        <v>8.6389700000000014E-2</v>
      </c>
      <c r="P92" s="443"/>
      <c r="R92" s="444"/>
      <c r="S92" s="25"/>
    </row>
    <row r="93" spans="1:19" x14ac:dyDescent="0.2">
      <c r="B93" t="s">
        <v>549</v>
      </c>
      <c r="C93" t="s">
        <v>40</v>
      </c>
      <c r="D93" t="s">
        <v>89</v>
      </c>
      <c r="E93" s="13">
        <f t="shared" si="2"/>
        <v>0.11447202424789135</v>
      </c>
      <c r="F93" s="13">
        <f>'Forage, input data per ha'!D31*EF_min_fert_CO2_IE/'Forage, input data per ha'!C31</f>
        <v>2.7777331144635573E-2</v>
      </c>
      <c r="G93" s="13">
        <f>EF_capital_goods_CO2</f>
        <v>2.7E-2</v>
      </c>
      <c r="H93" s="13"/>
      <c r="I93" s="13"/>
      <c r="J93" s="13">
        <f>'Forage, input data per ha'!H31*EF_diesel_CO2*Heating_value_diesel/'Forage, input data per ha'!C31</f>
        <v>1.2994693103255774E-2</v>
      </c>
      <c r="K93" s="13"/>
      <c r="L93" s="13">
        <f>'Forage, input data per ha'!I31*'Parameters, general'!$B$18/'Forage, input data per ha'!C31</f>
        <v>0</v>
      </c>
      <c r="M93" s="13"/>
      <c r="N93" s="445"/>
      <c r="O93" s="13">
        <f>'Parameters, general'!$B$21</f>
        <v>4.6700000000000005E-2</v>
      </c>
      <c r="P93" s="13"/>
    </row>
    <row r="94" spans="1:19" x14ac:dyDescent="0.2">
      <c r="B94" t="s">
        <v>549</v>
      </c>
      <c r="C94" t="s">
        <v>41</v>
      </c>
      <c r="D94" t="s">
        <v>89</v>
      </c>
      <c r="E94" s="13">
        <f t="shared" si="2"/>
        <v>8.0875621086752493E-4</v>
      </c>
      <c r="F94" s="13">
        <f>'Forage, input data per ha'!D31*EF_min_fert_CH4_IE/'Forage, input data per ha'!C31</f>
        <v>0</v>
      </c>
      <c r="G94" s="13">
        <f>EF_capital_goods_CH4</f>
        <v>9.5000000000000005E-5</v>
      </c>
      <c r="H94" s="13"/>
      <c r="I94" s="13"/>
      <c r="J94" s="13">
        <f>'Forage, input data per ha'!H31*EF_diesel_CH4*Heating_value_diesel/'Forage, input data per ha'!C31</f>
        <v>5.7562108675249171E-6</v>
      </c>
      <c r="K94" s="13"/>
      <c r="L94" s="13">
        <f>'Forage, input data per ha'!I31*'Parameters, general'!$C$18/'Forage, input data per ha'!C31</f>
        <v>0</v>
      </c>
      <c r="M94" s="13"/>
      <c r="N94" s="13"/>
      <c r="O94" s="13">
        <f>'Parameters, general'!$C$21</f>
        <v>7.0799999999999997E-4</v>
      </c>
      <c r="P94" s="13"/>
    </row>
    <row r="95" spans="1:19" x14ac:dyDescent="0.2">
      <c r="B95" t="s">
        <v>549</v>
      </c>
      <c r="C95" t="s">
        <v>547</v>
      </c>
      <c r="D95" t="s">
        <v>89</v>
      </c>
      <c r="E95" s="13">
        <f t="shared" si="2"/>
        <v>0</v>
      </c>
      <c r="F95" s="13"/>
      <c r="G95" s="13"/>
      <c r="H95" s="13"/>
      <c r="I95" s="13"/>
      <c r="J95" s="13"/>
      <c r="K95" s="13"/>
      <c r="L95" s="13"/>
      <c r="M95" s="13"/>
      <c r="N95" s="13"/>
      <c r="O95" s="13"/>
      <c r="P95" s="13"/>
    </row>
    <row r="96" spans="1:19" x14ac:dyDescent="0.2">
      <c r="B96" t="s">
        <v>549</v>
      </c>
      <c r="C96" t="s">
        <v>43</v>
      </c>
      <c r="D96" t="s">
        <v>89</v>
      </c>
      <c r="E96" s="13">
        <f t="shared" si="2"/>
        <v>3.3785547832523464E-4</v>
      </c>
      <c r="F96" s="13">
        <f>'Forage, input data per ha'!D31*EF_min_fert_N2O_IE/'Forage, input data per ha'!C31</f>
        <v>9.7420756872887754E-6</v>
      </c>
      <c r="G96" s="13">
        <f>EF_capital_goods_N2O</f>
        <v>1.1000000000000001E-6</v>
      </c>
      <c r="H96" s="13">
        <f>('Forage, input data per ha'!D31*'Parameters, country spec'!G80+'Forage, input data per ha'!F31*'Parameters, country spec'!G81)*44/28/'Forage, input data per ha'!C31</f>
        <v>2.3505839106167025E-4</v>
      </c>
      <c r="I96" s="13">
        <f>H96*0.1</f>
        <v>2.3505839106167026E-5</v>
      </c>
      <c r="J96" s="13">
        <f>'Forage, input data per ha'!H31*EF_diesel_N2O*Heating_value_diesel/'Forage, input data per ha'!C31</f>
        <v>3.4917247010855877E-7</v>
      </c>
      <c r="K96" s="13"/>
      <c r="L96" s="13">
        <f>'Forage, input data per ha'!I31*'Parameters, general'!$D$18/'Forage, input data per ha'!C31</f>
        <v>0</v>
      </c>
      <c r="M96" s="13"/>
      <c r="N96" s="13"/>
      <c r="O96" s="13">
        <f>'Parameters, general'!$D$21</f>
        <v>6.8099999999999988E-5</v>
      </c>
      <c r="P96" s="13"/>
    </row>
    <row r="97" spans="1:19" ht="15" customHeight="1" x14ac:dyDescent="0.2">
      <c r="A97" s="103"/>
      <c r="B97" s="103" t="s">
        <v>549</v>
      </c>
      <c r="C97" s="103" t="s">
        <v>44</v>
      </c>
      <c r="D97" s="103" t="s">
        <v>89</v>
      </c>
      <c r="E97" s="443">
        <f t="shared" si="2"/>
        <v>0.23080750491453264</v>
      </c>
      <c r="F97" s="443">
        <f>SUMPRODUCT(F93:F96,'Parameters, general'!$B$24:$B$27)</f>
        <v>3.0436917807265408E-2</v>
      </c>
      <c r="G97" s="443">
        <f>SUMPRODUCT(G93:G96,'Parameters, general'!$B$24:$B$27)</f>
        <v>3.01313E-2</v>
      </c>
      <c r="H97" s="443">
        <f>SUMPRODUCT(H93:H96,'Parameters, general'!$B$24:$B$27)</f>
        <v>6.4170940759835982E-2</v>
      </c>
      <c r="I97" s="443">
        <f>SUMPRODUCT(I93:I96,'Parameters, general'!$B$24:$B$27)</f>
        <v>6.4170940759835978E-3</v>
      </c>
      <c r="J97" s="443">
        <f>SUMPRODUCT(J93:J96,'Parameters, general'!$B$24:$B$27)</f>
        <v>1.3261552271447654E-2</v>
      </c>
      <c r="K97" s="443">
        <f>SUMPRODUCT(K93:K96,'Parameters, general'!$B$24:$B$27)</f>
        <v>0</v>
      </c>
      <c r="L97" s="443">
        <f>SUMPRODUCT(L93:L96,'Parameters, general'!$B$24:$B$27)</f>
        <v>0</v>
      </c>
      <c r="M97" s="443">
        <f>SUMPRODUCT(M93:M96,'Parameters, general'!$B$24:$B$27)</f>
        <v>0</v>
      </c>
      <c r="N97" s="443">
        <f>SUMPRODUCT(N93:N96,'Parameters, general'!$B$24:$B$27)</f>
        <v>0</v>
      </c>
      <c r="O97" s="443">
        <f>SUMPRODUCT(O93:O96,'Parameters, general'!$B$24:$B$27)</f>
        <v>8.6389700000000014E-2</v>
      </c>
      <c r="P97" s="443"/>
      <c r="R97" s="444"/>
      <c r="S97" s="25"/>
    </row>
    <row r="98" spans="1:19" x14ac:dyDescent="0.2">
      <c r="B98" t="s">
        <v>549</v>
      </c>
      <c r="C98" t="s">
        <v>40</v>
      </c>
      <c r="D98" t="s">
        <v>55</v>
      </c>
      <c r="E98" s="13">
        <f t="shared" si="2"/>
        <v>0.11145859066325235</v>
      </c>
      <c r="F98" s="13">
        <f>'Forage, input data per ha'!D32*EF_min_fert_CO2_IT/'Forage, input data per ha'!C32</f>
        <v>2.654992644195291E-2</v>
      </c>
      <c r="G98" s="13">
        <f>EF_capital_goods_CO2</f>
        <v>2.7E-2</v>
      </c>
      <c r="H98" s="13"/>
      <c r="I98" s="13"/>
      <c r="J98" s="13">
        <f>'Forage, input data per ha'!H32*EF_diesel_CO2*Heating_value_diesel/'Forage, input data per ha'!C32</f>
        <v>1.0792283582048078E-2</v>
      </c>
      <c r="K98" s="13"/>
      <c r="L98" s="13">
        <f>'Forage, input data per ha'!I32*'Parameters, general'!$B$18/'Forage, input data per ha'!C32</f>
        <v>4.1638063925135963E-4</v>
      </c>
      <c r="M98" s="13"/>
      <c r="N98" s="13"/>
      <c r="O98" s="13">
        <f>'Parameters, general'!$B$21</f>
        <v>4.6700000000000005E-2</v>
      </c>
      <c r="P98" s="13"/>
    </row>
    <row r="99" spans="1:19" x14ac:dyDescent="0.2">
      <c r="B99" t="s">
        <v>549</v>
      </c>
      <c r="C99" t="s">
        <v>41</v>
      </c>
      <c r="D99" t="s">
        <v>55</v>
      </c>
      <c r="E99" s="13">
        <f t="shared" si="2"/>
        <v>8.0917318704115193E-4</v>
      </c>
      <c r="F99" s="13">
        <f>'Forage, input data per ha'!D32*EF_min_fert_CH4_IT/'Forage, input data per ha'!C32</f>
        <v>0</v>
      </c>
      <c r="G99" s="13">
        <f>EF_capital_goods_CH4</f>
        <v>9.5000000000000005E-5</v>
      </c>
      <c r="H99" s="13"/>
      <c r="I99" s="13"/>
      <c r="J99" s="13">
        <f>'Forage, input data per ha'!H32*EF_diesel_CH4*Heating_value_diesel/'Forage, input data per ha'!C32</f>
        <v>4.7806177142291471E-6</v>
      </c>
      <c r="K99" s="13"/>
      <c r="L99" s="13">
        <f>'Forage, input data per ha'!I32*'Parameters, general'!$C$18/'Forage, input data per ha'!C32</f>
        <v>1.3925693269227866E-6</v>
      </c>
      <c r="M99" s="13"/>
      <c r="N99" s="13"/>
      <c r="O99" s="13">
        <f>'Parameters, general'!$C$21</f>
        <v>7.0799999999999997E-4</v>
      </c>
      <c r="P99" s="13"/>
    </row>
    <row r="100" spans="1:19" x14ac:dyDescent="0.2">
      <c r="B100" t="s">
        <v>549</v>
      </c>
      <c r="C100" t="s">
        <v>547</v>
      </c>
      <c r="D100" t="s">
        <v>55</v>
      </c>
      <c r="E100" s="13">
        <f t="shared" ref="E100:E122" si="3">SUM(F100:P100)</f>
        <v>0</v>
      </c>
      <c r="F100" s="13"/>
      <c r="G100" s="13"/>
      <c r="H100" s="13"/>
      <c r="I100" s="13"/>
      <c r="J100" s="13"/>
      <c r="K100" s="13"/>
      <c r="L100" s="13"/>
      <c r="M100" s="13"/>
      <c r="N100" s="13"/>
      <c r="O100" s="13"/>
      <c r="P100" s="13"/>
    </row>
    <row r="101" spans="1:19" x14ac:dyDescent="0.2">
      <c r="B101" t="s">
        <v>549</v>
      </c>
      <c r="C101" t="s">
        <v>43</v>
      </c>
      <c r="D101" t="s">
        <v>55</v>
      </c>
      <c r="E101" s="13">
        <f t="shared" si="3"/>
        <v>3.0158750860571172E-4</v>
      </c>
      <c r="F101" s="13">
        <f>'Forage, input data per ha'!D32*EF_min_fert_N2O_IT/'Forage, input data per ha'!C32</f>
        <v>1.1794731973189384E-6</v>
      </c>
      <c r="G101" s="13">
        <f>EF_capital_goods_N2O</f>
        <v>1.1000000000000001E-6</v>
      </c>
      <c r="H101" s="13">
        <f>('Forage, input data per ha'!D32*'Parameters, country spec'!H80+'Forage, input data per ha'!F32*'Parameters, country spec'!H81)*44/28/'Forage, input data per ha'!C32</f>
        <v>2.0990991304100788E-4</v>
      </c>
      <c r="I101" s="13">
        <f>H101*0.1</f>
        <v>2.0990991304100791E-5</v>
      </c>
      <c r="J101" s="13">
        <f>'Forage, input data per ha'!H32*EF_diesel_N2O*Heating_value_diesel/'Forage, input data per ha'!C32</f>
        <v>2.8999286758927927E-7</v>
      </c>
      <c r="K101" s="13"/>
      <c r="L101" s="13">
        <f>'Forage, input data per ha'!I32*'Parameters, general'!$D$18/'Forage, input data per ha'!C32</f>
        <v>1.7138195694812839E-8</v>
      </c>
      <c r="M101" s="13"/>
      <c r="N101" s="13"/>
      <c r="O101" s="13">
        <f>'Parameters, general'!$D$21</f>
        <v>6.8099999999999988E-5</v>
      </c>
      <c r="P101" s="13"/>
    </row>
    <row r="102" spans="1:19" ht="15" customHeight="1" x14ac:dyDescent="0.2">
      <c r="A102" s="103"/>
      <c r="B102" s="103" t="s">
        <v>549</v>
      </c>
      <c r="C102" s="103" t="s">
        <v>44</v>
      </c>
      <c r="D102" s="103" t="s">
        <v>55</v>
      </c>
      <c r="E102" s="443">
        <f t="shared" si="3"/>
        <v>0.217905341486438</v>
      </c>
      <c r="F102" s="443">
        <f>SUMPRODUCT(F98:F101,'Parameters, general'!$B$24:$B$27)</f>
        <v>2.6871922624820979E-2</v>
      </c>
      <c r="G102" s="443">
        <f>SUMPRODUCT(G98:G101,'Parameters, general'!$B$24:$B$27)</f>
        <v>3.01313E-2</v>
      </c>
      <c r="H102" s="443">
        <f>SUMPRODUCT(H98:H101,'Parameters, general'!$B$24:$B$27)</f>
        <v>5.7305406260195153E-2</v>
      </c>
      <c r="I102" s="443">
        <f>SUMPRODUCT(I98:I101,'Parameters, general'!$B$24:$B$27)</f>
        <v>5.7305406260195159E-3</v>
      </c>
      <c r="J102" s="443">
        <f>SUMPRODUCT(J98:J101,'Parameters, general'!$B$24:$B$27)</f>
        <v>1.1013914042783979E-2</v>
      </c>
      <c r="K102" s="443">
        <f>SUMPRODUCT(K98:K101,'Parameters, general'!$B$24:$B$27)</f>
        <v>0</v>
      </c>
      <c r="L102" s="443">
        <f>SUMPRODUCT(L98:L101,'Parameters, general'!$B$24:$B$27)</f>
        <v>4.6255793261834258E-4</v>
      </c>
      <c r="M102" s="443">
        <f>SUMPRODUCT(M98:M101,'Parameters, general'!$B$24:$B$27)</f>
        <v>0</v>
      </c>
      <c r="N102" s="443">
        <f>SUMPRODUCT(N98:N101,'Parameters, general'!$B$24:$B$27)</f>
        <v>0</v>
      </c>
      <c r="O102" s="443">
        <f>SUMPRODUCT(O98:O101,'Parameters, general'!$B$24:$B$27)</f>
        <v>8.6389700000000014E-2</v>
      </c>
      <c r="P102" s="443"/>
      <c r="R102" s="444"/>
      <c r="S102" s="25"/>
    </row>
    <row r="103" spans="1:19" x14ac:dyDescent="0.2">
      <c r="B103" t="s">
        <v>549</v>
      </c>
      <c r="C103" t="s">
        <v>40</v>
      </c>
      <c r="D103" t="s">
        <v>87</v>
      </c>
      <c r="E103" s="13">
        <f t="shared" si="3"/>
        <v>8.7668909243320992E-2</v>
      </c>
      <c r="F103" s="13">
        <f>'Forage, input data per ha'!D33*EF_min_fert_CO2_NL/'Forage, input data per ha'!C33</f>
        <v>9.9201952974812971E-4</v>
      </c>
      <c r="G103" s="13">
        <f>EF_capital_goods_CO2</f>
        <v>2.7E-2</v>
      </c>
      <c r="H103" s="13"/>
      <c r="I103" s="13"/>
      <c r="J103" s="13">
        <f>'Forage, input data per ha'!H33*EF_diesel_CO2*Heating_value_diesel/'Forage, input data per ha'!C33</f>
        <v>1.2901809267049398E-2</v>
      </c>
      <c r="K103" s="13"/>
      <c r="L103" s="13">
        <f>'Forage, input data per ha'!I33*'Parameters, general'!$B$18/'Forage, input data per ha'!C33</f>
        <v>7.5080446523445761E-5</v>
      </c>
      <c r="M103" s="13"/>
      <c r="N103" s="445"/>
      <c r="O103" s="13">
        <f>'Parameters, general'!$B$21</f>
        <v>4.6700000000000005E-2</v>
      </c>
      <c r="P103" s="13"/>
    </row>
    <row r="104" spans="1:19" x14ac:dyDescent="0.2">
      <c r="B104" t="s">
        <v>549</v>
      </c>
      <c r="C104" t="s">
        <v>41</v>
      </c>
      <c r="D104" t="s">
        <v>87</v>
      </c>
      <c r="E104" s="13">
        <f t="shared" si="3"/>
        <v>8.0896617017872782E-4</v>
      </c>
      <c r="F104" s="13">
        <f>'Forage, input data per ha'!D33*EF_min_fert_CH4_NL/'Forage, input data per ha'!C33</f>
        <v>0</v>
      </c>
      <c r="G104" s="13">
        <f>EF_capital_goods_CH4</f>
        <v>9.5000000000000005E-5</v>
      </c>
      <c r="H104" s="13"/>
      <c r="I104" s="13"/>
      <c r="J104" s="13">
        <f>'Forage, input data per ha'!H33*EF_diesel_CH4*Heating_value_diesel/'Forage, input data per ha'!C33</f>
        <v>5.7150664601010447E-6</v>
      </c>
      <c r="K104" s="13"/>
      <c r="L104" s="13">
        <f>'Forage, input data per ha'!I33*'Parameters, general'!$C$18/'Forage, input data per ha'!C33</f>
        <v>2.5110371862679189E-7</v>
      </c>
      <c r="M104" s="13"/>
      <c r="N104" s="13"/>
      <c r="O104" s="13">
        <f>'Parameters, general'!$C$21</f>
        <v>7.0799999999999997E-4</v>
      </c>
      <c r="P104" s="13"/>
    </row>
    <row r="105" spans="1:19" x14ac:dyDescent="0.2">
      <c r="B105" t="s">
        <v>549</v>
      </c>
      <c r="C105" t="s">
        <v>547</v>
      </c>
      <c r="D105" t="s">
        <v>87</v>
      </c>
      <c r="E105" s="13">
        <f t="shared" si="3"/>
        <v>0</v>
      </c>
      <c r="F105" s="13"/>
      <c r="G105" s="13"/>
      <c r="H105" s="13"/>
      <c r="I105" s="13"/>
      <c r="J105" s="13"/>
      <c r="K105" s="13"/>
      <c r="L105" s="13"/>
      <c r="M105" s="13"/>
      <c r="N105" s="13"/>
      <c r="O105" s="13"/>
      <c r="P105" s="13"/>
    </row>
    <row r="106" spans="1:19" x14ac:dyDescent="0.2">
      <c r="B106" t="s">
        <v>549</v>
      </c>
      <c r="C106" t="s">
        <v>43</v>
      </c>
      <c r="D106" t="s">
        <v>87</v>
      </c>
      <c r="E106" s="13">
        <f t="shared" si="3"/>
        <v>9.733014727841767E-5</v>
      </c>
      <c r="F106" s="13">
        <f>'Forage, input data per ha'!D33*EF_min_fert_N2O_NL/'Forage, input data per ha'!C33</f>
        <v>3.8755561337179895E-7</v>
      </c>
      <c r="G106" s="13">
        <f>EF_capital_goods_N2O</f>
        <v>1.1000000000000001E-6</v>
      </c>
      <c r="H106" s="13">
        <f>('Forage, input data per ha'!D33*'Parameters, country spec'!I80+'Forage, input data per ha'!F33*'Parameters, country spec'!I81)*44/28/'Forage, input data per ha'!C33</f>
        <v>2.4902567922105631E-5</v>
      </c>
      <c r="I106" s="13">
        <f>H106*0.1</f>
        <v>2.4902567922105631E-6</v>
      </c>
      <c r="J106" s="13">
        <f>'Forage, input data per ha'!H33*EF_diesel_N2O*Heating_value_diesel/'Forage, input data per ha'!C33</f>
        <v>3.4667664521576363E-7</v>
      </c>
      <c r="K106" s="13"/>
      <c r="L106" s="13">
        <f>'Forage, input data per ha'!I33*'Parameters, general'!$D$18/'Forage, input data per ha'!C33</f>
        <v>3.0903055139313664E-9</v>
      </c>
      <c r="M106" s="13"/>
      <c r="N106" s="13"/>
      <c r="O106" s="13">
        <f>'Parameters, general'!$D$21</f>
        <v>6.8099999999999988E-5</v>
      </c>
      <c r="P106" s="13"/>
    </row>
    <row r="107" spans="1:19" ht="15" customHeight="1" x14ac:dyDescent="0.2">
      <c r="A107" s="103"/>
      <c r="B107" s="103" t="s">
        <v>549</v>
      </c>
      <c r="C107" s="103" t="s">
        <v>44</v>
      </c>
      <c r="D107" s="103" t="s">
        <v>87</v>
      </c>
      <c r="E107" s="443">
        <f t="shared" si="3"/>
        <v>0.13834723132165511</v>
      </c>
      <c r="F107" s="443">
        <f>SUMPRODUCT(F103:F106,'Parameters, general'!$B$24:$B$27)</f>
        <v>1.0978222121986309E-3</v>
      </c>
      <c r="G107" s="443">
        <f>SUMPRODUCT(G103:G106,'Parameters, general'!$B$24:$B$27)</f>
        <v>3.01313E-2</v>
      </c>
      <c r="H107" s="443">
        <f>SUMPRODUCT(H103:H106,'Parameters, general'!$B$24:$B$27)</f>
        <v>6.7984010427348373E-3</v>
      </c>
      <c r="I107" s="443">
        <f>SUMPRODUCT(I103:I106,'Parameters, general'!$B$24:$B$27)</f>
        <v>6.7984010427348375E-4</v>
      </c>
      <c r="J107" s="443">
        <f>SUMPRODUCT(J103:J106,'Parameters, general'!$B$24:$B$27)</f>
        <v>1.3166760971704314E-2</v>
      </c>
      <c r="K107" s="443">
        <f>SUMPRODUCT(K103:K106,'Parameters, general'!$B$24:$B$27)</f>
        <v>0</v>
      </c>
      <c r="L107" s="443">
        <f>SUMPRODUCT(L103:L106,'Parameters, general'!$B$24:$B$27)</f>
        <v>8.3406990743827413E-5</v>
      </c>
      <c r="M107" s="443">
        <f>SUMPRODUCT(M103:M106,'Parameters, general'!$B$24:$B$27)</f>
        <v>0</v>
      </c>
      <c r="N107" s="443">
        <f>SUMPRODUCT(N103:N106,'Parameters, general'!$B$24:$B$27)</f>
        <v>0</v>
      </c>
      <c r="O107" s="443">
        <f>SUMPRODUCT(O103:O106,'Parameters, general'!$B$24:$B$27)</f>
        <v>8.6389700000000014E-2</v>
      </c>
      <c r="P107" s="443"/>
      <c r="R107" s="444"/>
      <c r="S107" s="25"/>
    </row>
    <row r="108" spans="1:19" x14ac:dyDescent="0.2">
      <c r="B108" t="s">
        <v>549</v>
      </c>
      <c r="C108" t="s">
        <v>40</v>
      </c>
      <c r="D108" t="s">
        <v>59</v>
      </c>
      <c r="E108" s="13">
        <f t="shared" si="3"/>
        <v>0.11144499238135221</v>
      </c>
      <c r="F108" s="13">
        <f>'Forage, input data per ha'!D34*EF_min_fert_CO2_PL/'Forage, input data per ha'!C34</f>
        <v>2.4435031530597069E-2</v>
      </c>
      <c r="G108" s="13">
        <f>EF_capital_goods_CO2</f>
        <v>2.7E-2</v>
      </c>
      <c r="H108" s="13"/>
      <c r="I108" s="13"/>
      <c r="J108" s="13">
        <f>'Forage, input data per ha'!H34*EF_diesel_CO2*Heating_value_diesel/'Forage, input data per ha'!C34</f>
        <v>1.3292179501069723E-2</v>
      </c>
      <c r="K108" s="13"/>
      <c r="L108" s="13">
        <f>'Forage, input data per ha'!I34*'Parameters, general'!$B$18/'Forage, input data per ha'!C34</f>
        <v>1.7781349685403072E-5</v>
      </c>
      <c r="M108" s="13"/>
      <c r="N108" s="445"/>
      <c r="O108" s="13">
        <f>'Parameters, general'!$B$21</f>
        <v>4.6700000000000005E-2</v>
      </c>
      <c r="P108" s="13"/>
    </row>
    <row r="109" spans="1:19" x14ac:dyDescent="0.2">
      <c r="B109" t="s">
        <v>549</v>
      </c>
      <c r="C109" t="s">
        <v>41</v>
      </c>
      <c r="D109" t="s">
        <v>59</v>
      </c>
      <c r="E109" s="13">
        <f t="shared" si="3"/>
        <v>8.0894745636326518E-4</v>
      </c>
      <c r="F109" s="13">
        <f>'Forage, input data per ha'!D34*EF_min_fert_CH4_PL/'Forage, input data per ha'!C34</f>
        <v>0</v>
      </c>
      <c r="G109" s="13">
        <f>EF_capital_goods_CH4</f>
        <v>9.5000000000000005E-5</v>
      </c>
      <c r="H109" s="13"/>
      <c r="I109" s="13"/>
      <c r="J109" s="13">
        <f>'Forage, input data per ha'!H34*EF_diesel_CH4*Heating_value_diesel/'Forage, input data per ha'!C34</f>
        <v>5.8879873106029351E-6</v>
      </c>
      <c r="K109" s="13"/>
      <c r="L109" s="13">
        <f>'Forage, input data per ha'!I34*'Parameters, general'!$C$18/'Forage, input data per ha'!C34</f>
        <v>5.9469052662250081E-8</v>
      </c>
      <c r="M109" s="13"/>
      <c r="N109" s="13"/>
      <c r="O109" s="13">
        <f>'Parameters, general'!$C$21</f>
        <v>7.0799999999999997E-4</v>
      </c>
      <c r="P109" s="13"/>
    </row>
    <row r="110" spans="1:19" x14ac:dyDescent="0.2">
      <c r="B110" t="s">
        <v>549</v>
      </c>
      <c r="C110" t="s">
        <v>547</v>
      </c>
      <c r="D110" t="s">
        <v>59</v>
      </c>
      <c r="E110" s="13">
        <f t="shared" si="3"/>
        <v>0</v>
      </c>
      <c r="F110" s="13"/>
      <c r="G110" s="13"/>
      <c r="H110" s="13"/>
      <c r="I110" s="13"/>
      <c r="J110" s="13"/>
      <c r="K110" s="13"/>
      <c r="L110" s="13"/>
      <c r="M110" s="13"/>
      <c r="N110" s="13"/>
      <c r="O110" s="13"/>
      <c r="P110" s="13"/>
    </row>
    <row r="111" spans="1:19" x14ac:dyDescent="0.2">
      <c r="B111" t="s">
        <v>549</v>
      </c>
      <c r="C111" t="s">
        <v>43</v>
      </c>
      <c r="D111" t="s">
        <v>59</v>
      </c>
      <c r="E111" s="13">
        <f t="shared" si="3"/>
        <v>3.1875964128809273E-4</v>
      </c>
      <c r="F111" s="13">
        <f>'Forage, input data per ha'!D34*EF_min_fert_N2O_PL/'Forage, input data per ha'!C34</f>
        <v>9.6804331234618994E-6</v>
      </c>
      <c r="G111" s="13">
        <f>EF_capital_goods_N2O</f>
        <v>1.1000000000000001E-6</v>
      </c>
      <c r="H111" s="13">
        <f>('Forage, input data per ha'!D34*'Parameters, country spec'!J80+'Forage, input data per ha'!F34*'Parameters, country spec'!J81)*44/28/'Forage, input data per ha'!C34</f>
        <v>2.1774664567274219E-4</v>
      </c>
      <c r="I111" s="13">
        <f>H111*0.1</f>
        <v>2.1774664567274219E-5</v>
      </c>
      <c r="J111" s="13">
        <f>'Forage, input data per ha'!H34*EF_diesel_N2O*Heating_value_diesel/'Forage, input data per ha'!C34</f>
        <v>3.5716604560303268E-7</v>
      </c>
      <c r="K111" s="13"/>
      <c r="L111" s="13">
        <f>'Forage, input data per ha'!I34*'Parameters, general'!$D$18/'Forage, input data per ha'!C34</f>
        <v>7.3187901141189163E-10</v>
      </c>
      <c r="M111" s="13"/>
      <c r="N111" s="13"/>
      <c r="O111" s="13">
        <f>'Parameters, general'!$D$21</f>
        <v>6.8099999999999988E-5</v>
      </c>
      <c r="P111" s="13"/>
    </row>
    <row r="112" spans="1:19" ht="15" customHeight="1" x14ac:dyDescent="0.2">
      <c r="A112" s="103"/>
      <c r="B112" s="103" t="s">
        <v>549</v>
      </c>
      <c r="C112" s="103" t="s">
        <v>44</v>
      </c>
      <c r="D112" s="103" t="s">
        <v>59</v>
      </c>
      <c r="E112" s="443">
        <f t="shared" si="3"/>
        <v>0.22257300865262686</v>
      </c>
      <c r="F112" s="443">
        <f>SUMPRODUCT(F108:F111,'Parameters, general'!$B$24:$B$27)</f>
        <v>2.7077789773302167E-2</v>
      </c>
      <c r="G112" s="443">
        <f>SUMPRODUCT(G108:G111,'Parameters, general'!$B$24:$B$27)</f>
        <v>3.01313E-2</v>
      </c>
      <c r="H112" s="443">
        <f>SUMPRODUCT(H108:H111,'Parameters, general'!$B$24:$B$27)</f>
        <v>5.9444834268658618E-2</v>
      </c>
      <c r="I112" s="443">
        <f>SUMPRODUCT(I108:I111,'Parameters, general'!$B$24:$B$27)</f>
        <v>5.9444834268658616E-3</v>
      </c>
      <c r="J112" s="443">
        <f>SUMPRODUCT(J108:J111,'Parameters, general'!$B$24:$B$27)</f>
        <v>1.356514785337532E-2</v>
      </c>
      <c r="K112" s="443">
        <f>SUMPRODUCT(K108:K111,'Parameters, general'!$B$24:$B$27)</f>
        <v>0</v>
      </c>
      <c r="L112" s="443">
        <f>SUMPRODUCT(L108:L111,'Parameters, general'!$B$24:$B$27)</f>
        <v>1.9753330424853571E-5</v>
      </c>
      <c r="M112" s="443">
        <f>SUMPRODUCT(M108:M111,'Parameters, general'!$B$24:$B$27)</f>
        <v>0</v>
      </c>
      <c r="N112" s="443">
        <f>SUMPRODUCT(N108:N111,'Parameters, general'!$B$24:$B$27)</f>
        <v>0</v>
      </c>
      <c r="O112" s="443">
        <f>SUMPRODUCT(O108:O111,'Parameters, general'!$B$24:$B$27)</f>
        <v>8.6389700000000014E-2</v>
      </c>
      <c r="P112" s="443"/>
      <c r="R112" s="444"/>
      <c r="S112" s="25"/>
    </row>
    <row r="113" spans="1:16" x14ac:dyDescent="0.2">
      <c r="B113" t="s">
        <v>549</v>
      </c>
      <c r="C113" t="s">
        <v>40</v>
      </c>
      <c r="D113" t="s">
        <v>61</v>
      </c>
      <c r="E113" s="13">
        <f t="shared" si="3"/>
        <v>0.11712923983725834</v>
      </c>
      <c r="F113" s="13">
        <f>'Forage, input data per ha'!D35*EF_min_fert_CO2_ES/'Forage, input data per ha'!C35</f>
        <v>1.8806556043431105E-2</v>
      </c>
      <c r="G113" s="13">
        <f>EF_capital_goods_CO2</f>
        <v>2.7E-2</v>
      </c>
      <c r="H113" s="13"/>
      <c r="I113" s="13"/>
      <c r="J113" s="13">
        <f>'Forage, input data per ha'!H35*EF_diesel_CO2*Heating_value_diesel/'Forage, input data per ha'!C35</f>
        <v>2.150288478884789E-2</v>
      </c>
      <c r="K113" s="13"/>
      <c r="L113" s="13">
        <f>'Forage, input data per ha'!I35*'Parameters, general'!$B$18/'Forage, input data per ha'!C35</f>
        <v>3.1197990049793398E-3</v>
      </c>
      <c r="M113" s="13"/>
      <c r="N113" s="13"/>
      <c r="O113" s="13">
        <f>'Parameters, general'!$B$21</f>
        <v>4.6700000000000005E-2</v>
      </c>
      <c r="P113" s="13"/>
    </row>
    <row r="114" spans="1:16" x14ac:dyDescent="0.2">
      <c r="B114" t="s">
        <v>549</v>
      </c>
      <c r="C114" t="s">
        <v>41</v>
      </c>
      <c r="D114" t="s">
        <v>61</v>
      </c>
      <c r="E114" s="13">
        <f t="shared" si="3"/>
        <v>8.2295910287015766E-4</v>
      </c>
      <c r="F114" s="13">
        <f>'Forage, input data per ha'!D35*EF_min_fert_CH4_ES/'Forage, input data per ha'!C35</f>
        <v>0</v>
      </c>
      <c r="G114" s="13">
        <f>EF_capital_goods_CH4</f>
        <v>9.5000000000000005E-5</v>
      </c>
      <c r="H114" s="13"/>
      <c r="I114" s="13"/>
      <c r="J114" s="13">
        <f>'Forage, input data per ha'!H35*EF_diesel_CH4*Heating_value_diesel/'Forage, input data per ha'!C35</f>
        <v>9.5250528905289057E-6</v>
      </c>
      <c r="K114" s="13"/>
      <c r="L114" s="13">
        <f>'Forage, input data per ha'!I35*'Parameters, general'!$C$18/'Forage, input data per ha'!C35</f>
        <v>1.0434049979628758E-5</v>
      </c>
      <c r="M114" s="13"/>
      <c r="N114" s="13"/>
      <c r="O114" s="13">
        <f>'Parameters, general'!$C$21</f>
        <v>7.0799999999999997E-4</v>
      </c>
      <c r="P114" s="13"/>
    </row>
    <row r="115" spans="1:16" x14ac:dyDescent="0.2">
      <c r="B115" t="s">
        <v>549</v>
      </c>
      <c r="C115" t="s">
        <v>547</v>
      </c>
      <c r="D115" t="s">
        <v>61</v>
      </c>
      <c r="E115" s="13">
        <f t="shared" si="3"/>
        <v>0</v>
      </c>
      <c r="F115" s="13"/>
      <c r="G115" s="13"/>
      <c r="H115" s="13"/>
      <c r="I115" s="13"/>
      <c r="J115" s="13"/>
      <c r="K115" s="13"/>
      <c r="L115" s="13"/>
      <c r="M115" s="13"/>
      <c r="N115" s="13"/>
      <c r="O115" s="13"/>
      <c r="P115" s="13"/>
    </row>
    <row r="116" spans="1:16" x14ac:dyDescent="0.2">
      <c r="B116" t="s">
        <v>549</v>
      </c>
      <c r="C116" t="s">
        <v>43</v>
      </c>
      <c r="D116" t="s">
        <v>61</v>
      </c>
      <c r="E116" s="13">
        <f t="shared" si="3"/>
        <v>2.0168513161680421E-4</v>
      </c>
      <c r="F116" s="13">
        <f>'Forage, input data per ha'!D35*EF_min_fert_N2O_ES/'Forage, input data per ha'!C35</f>
        <v>3.1330372496434433E-6</v>
      </c>
      <c r="G116" s="13">
        <f>EF_capital_goods_N2O</f>
        <v>1.1000000000000001E-6</v>
      </c>
      <c r="H116" s="13">
        <f>('Forage, input data per ha'!D35*'Parameters, country spec'!K80+'Forage, input data per ha'!F35*'Parameters, country spec'!K81)*44/28/'Forage, input data per ha'!C35</f>
        <v>1.1695081161600189E-4</v>
      </c>
      <c r="I116" s="13">
        <f>H116*0.1</f>
        <v>1.1695081161600189E-5</v>
      </c>
      <c r="J116" s="13">
        <f>'Forage, input data per ha'!H35*EF_diesel_N2O*Heating_value_diesel/'Forage, input data per ha'!C35</f>
        <v>5.7779089790897923E-7</v>
      </c>
      <c r="K116" s="13"/>
      <c r="L116" s="13">
        <f>'Forage, input data per ha'!I35*'Parameters, general'!$D$18/'Forage, input data per ha'!C35</f>
        <v>1.2841069164971677E-7</v>
      </c>
      <c r="M116" s="13"/>
      <c r="N116" s="13"/>
      <c r="O116" s="13">
        <f>'Parameters, general'!$D$21</f>
        <v>6.8099999999999988E-5</v>
      </c>
      <c r="P116" s="13"/>
    </row>
    <row r="117" spans="1:16" x14ac:dyDescent="0.2">
      <c r="A117" s="103"/>
      <c r="B117" s="103" t="s">
        <v>549</v>
      </c>
      <c r="C117" s="103" t="s">
        <v>44</v>
      </c>
      <c r="D117" s="103" t="s">
        <v>61</v>
      </c>
      <c r="E117" s="443">
        <f t="shared" si="3"/>
        <v>0.19671346203417661</v>
      </c>
      <c r="F117" s="443">
        <f>SUMPRODUCT(F113:F116,'Parameters, general'!$B$24:$B$27)</f>
        <v>1.9661875212583765E-2</v>
      </c>
      <c r="G117" s="443">
        <f>SUMPRODUCT(G113:G116,'Parameters, general'!$B$24:$B$27)</f>
        <v>3.01313E-2</v>
      </c>
      <c r="H117" s="443">
        <f>SUMPRODUCT(H113:H116,'Parameters, general'!$B$24:$B$27)</f>
        <v>3.1927571571168517E-2</v>
      </c>
      <c r="I117" s="443">
        <f>SUMPRODUCT(I113:I116,'Parameters, general'!$B$24:$B$27)</f>
        <v>3.1927571571168517E-3</v>
      </c>
      <c r="J117" s="443">
        <f>SUMPRODUCT(J113:J116,'Parameters, general'!$B$24:$B$27)</f>
        <v>2.1944468280114801E-2</v>
      </c>
      <c r="K117" s="443">
        <f>SUMPRODUCT(K113:K116,'Parameters, general'!$B$24:$B$27)</f>
        <v>0</v>
      </c>
      <c r="L117" s="443">
        <f>SUMPRODUCT(L113:L116,'Parameters, general'!$B$24:$B$27)</f>
        <v>3.4657898131926494E-3</v>
      </c>
      <c r="M117" s="443">
        <f>SUMPRODUCT(M113:M116,'Parameters, general'!$B$24:$B$27)</f>
        <v>0</v>
      </c>
      <c r="N117" s="443">
        <f>SUMPRODUCT(N113:N116,'Parameters, general'!$B$24:$B$27)</f>
        <v>0</v>
      </c>
      <c r="O117" s="443">
        <f>SUMPRODUCT(O113:O116,'Parameters, general'!$B$24:$B$27)</f>
        <v>8.6389700000000014E-2</v>
      </c>
      <c r="P117" s="443"/>
    </row>
    <row r="118" spans="1:16" x14ac:dyDescent="0.2">
      <c r="B118" t="s">
        <v>549</v>
      </c>
      <c r="C118" t="s">
        <v>40</v>
      </c>
      <c r="D118" t="s">
        <v>63</v>
      </c>
      <c r="E118" s="13">
        <f t="shared" si="3"/>
        <v>0.11254853214380041</v>
      </c>
      <c r="F118" s="13">
        <f>'Forage, input data per ha'!D36*EF_min_fert_CO2_SE/'Forage, input data per ha'!C36</f>
        <v>1.9669863391906319E-2</v>
      </c>
      <c r="G118" s="13">
        <f>EF_capital_goods_CO2</f>
        <v>2.7E-2</v>
      </c>
      <c r="H118" s="13"/>
      <c r="I118" s="13"/>
      <c r="J118" s="13">
        <f>'Forage, input data per ha'!H36*EF_diesel_CO2*Heating_value_diesel/'Forage, input data per ha'!C36</f>
        <v>1.9178668751894078E-2</v>
      </c>
      <c r="K118" s="13"/>
      <c r="L118" s="13">
        <f>'Forage, input data per ha'!I36*'Parameters, general'!$B$18/'Forage, input data per ha'!C36</f>
        <v>0</v>
      </c>
      <c r="M118" s="13"/>
      <c r="N118" s="445"/>
      <c r="O118" s="13">
        <f>'Parameters, general'!$B$21</f>
        <v>4.6700000000000005E-2</v>
      </c>
      <c r="P118" s="13"/>
    </row>
    <row r="119" spans="1:16" x14ac:dyDescent="0.2">
      <c r="B119" t="s">
        <v>549</v>
      </c>
      <c r="C119" t="s">
        <v>41</v>
      </c>
      <c r="D119" t="s">
        <v>63</v>
      </c>
      <c r="E119" s="13">
        <f t="shared" si="3"/>
        <v>8.1149550355803736E-4</v>
      </c>
      <c r="F119" s="13">
        <f>'Forage, input data per ha'!D36*EF_min_fert_CH4_SE/'Forage, input data per ha'!C36</f>
        <v>0</v>
      </c>
      <c r="G119" s="13">
        <f>EF_capital_goods_CH4</f>
        <v>9.5000000000000005E-5</v>
      </c>
      <c r="H119" s="13"/>
      <c r="I119" s="13"/>
      <c r="J119" s="13">
        <f>'Forage, input data per ha'!H36*EF_diesel_CH4*Heating_value_diesel/'Forage, input data per ha'!C36</f>
        <v>8.4955035580373794E-6</v>
      </c>
      <c r="K119" s="13"/>
      <c r="L119" s="13">
        <f>'Forage, input data per ha'!I36*'Parameters, general'!$C$18/'Forage, input data per ha'!C36</f>
        <v>0</v>
      </c>
      <c r="M119" s="13"/>
      <c r="N119" s="13"/>
      <c r="O119" s="13">
        <f>'Parameters, general'!$C$21</f>
        <v>7.0799999999999997E-4</v>
      </c>
      <c r="P119" s="13"/>
    </row>
    <row r="120" spans="1:16" x14ac:dyDescent="0.2">
      <c r="B120" t="s">
        <v>549</v>
      </c>
      <c r="C120" t="s">
        <v>547</v>
      </c>
      <c r="D120" t="s">
        <v>63</v>
      </c>
      <c r="E120" s="13">
        <f t="shared" si="3"/>
        <v>0</v>
      </c>
      <c r="F120" s="13"/>
      <c r="G120" s="13"/>
      <c r="H120" s="13"/>
      <c r="I120" s="13"/>
      <c r="J120" s="13"/>
      <c r="K120" s="13"/>
      <c r="L120" s="13"/>
      <c r="M120" s="13"/>
      <c r="N120" s="13"/>
      <c r="O120" s="13"/>
      <c r="P120" s="13"/>
    </row>
    <row r="121" spans="1:16" x14ac:dyDescent="0.2">
      <c r="B121" t="s">
        <v>549</v>
      </c>
      <c r="C121" t="s">
        <v>43</v>
      </c>
      <c r="D121" t="s">
        <v>63</v>
      </c>
      <c r="E121" s="13">
        <f t="shared" si="3"/>
        <v>2.7582049551989885E-4</v>
      </c>
      <c r="F121" s="13">
        <f>'Forage, input data per ha'!D36*EF_min_fert_N2O_SE/'Forage, input data per ha'!C36</f>
        <v>1.0394460433379655E-5</v>
      </c>
      <c r="G121" s="13">
        <f>EF_capital_goods_N2O</f>
        <v>1.1000000000000001E-6</v>
      </c>
      <c r="H121" s="13">
        <f>('Forage, input data per ha'!D36*'Parameters, country spec'!L80+'Forage, input data per ha'!F36*'Parameters, country spec'!L81)*44/28/'Forage, input data per ha'!C36</f>
        <v>1.7791881525427097E-4</v>
      </c>
      <c r="I121" s="13">
        <f>H121*0.1</f>
        <v>1.7791881525427097E-5</v>
      </c>
      <c r="J121" s="13">
        <f>'Forage, input data per ha'!H36*EF_diesel_N2O*Heating_value_diesel/'Forage, input data per ha'!C36</f>
        <v>5.1533830682117918E-7</v>
      </c>
      <c r="K121" s="13"/>
      <c r="L121" s="13">
        <f>'Forage, input data per ha'!I36*'Parameters, general'!$D$18/'Forage, input data per ha'!C36</f>
        <v>0</v>
      </c>
      <c r="M121" s="13"/>
      <c r="N121" s="13"/>
      <c r="O121" s="13">
        <f>'Parameters, general'!$D$21</f>
        <v>6.8099999999999988E-5</v>
      </c>
      <c r="P121" s="13"/>
    </row>
    <row r="122" spans="1:16" x14ac:dyDescent="0.2">
      <c r="A122" s="103"/>
      <c r="B122" s="103" t="s">
        <v>549</v>
      </c>
      <c r="C122" s="103" t="s">
        <v>44</v>
      </c>
      <c r="D122" s="103" t="s">
        <v>63</v>
      </c>
      <c r="E122" s="443">
        <f t="shared" si="3"/>
        <v>0.21203009342676232</v>
      </c>
      <c r="F122" s="443">
        <f>SUMPRODUCT(F118:F121,'Parameters, general'!$B$24:$B$27)</f>
        <v>2.2507551090218965E-2</v>
      </c>
      <c r="G122" s="443">
        <f>SUMPRODUCT(G118:G121,'Parameters, general'!$B$24:$B$27)</f>
        <v>3.01313E-2</v>
      </c>
      <c r="H122" s="443">
        <f>SUMPRODUCT(H118:H121,'Parameters, general'!$B$24:$B$27)</f>
        <v>4.8571836564415972E-2</v>
      </c>
      <c r="I122" s="443">
        <f>SUMPRODUCT(I118:I121,'Parameters, general'!$B$24:$B$27)</f>
        <v>4.8571836564415974E-3</v>
      </c>
      <c r="J122" s="443">
        <f>SUMPRODUCT(J118:J121,'Parameters, general'!$B$24:$B$27)</f>
        <v>1.9572522115685772E-2</v>
      </c>
      <c r="K122" s="443">
        <f>SUMPRODUCT(K118:K121,'Parameters, general'!$B$24:$B$27)</f>
        <v>0</v>
      </c>
      <c r="L122" s="443">
        <f>SUMPRODUCT(L118:L121,'Parameters, general'!$B$24:$B$27)</f>
        <v>0</v>
      </c>
      <c r="M122" s="443">
        <f>SUMPRODUCT(M118:M121,'Parameters, general'!$B$24:$B$27)</f>
        <v>0</v>
      </c>
      <c r="N122" s="443">
        <f>SUMPRODUCT(N118:N121,'Parameters, general'!$B$24:$B$27)</f>
        <v>0</v>
      </c>
      <c r="O122" s="443">
        <f>SUMPRODUCT(O118:O121,'Parameters, general'!$B$24:$B$27)</f>
        <v>8.6389700000000014E-2</v>
      </c>
      <c r="P122" s="443"/>
    </row>
    <row r="123" spans="1:16" x14ac:dyDescent="0.2">
      <c r="E123" s="13"/>
      <c r="F123" s="13"/>
      <c r="G123" s="13"/>
      <c r="H123" s="13"/>
      <c r="I123" s="13"/>
      <c r="J123" s="13"/>
      <c r="K123" s="13"/>
      <c r="L123" s="13"/>
      <c r="M123" s="13"/>
      <c r="N123" s="13"/>
      <c r="O123" s="13"/>
      <c r="P123" s="13"/>
    </row>
    <row r="124" spans="1:16" ht="18" customHeight="1" x14ac:dyDescent="0.25">
      <c r="A124" s="431" t="s">
        <v>550</v>
      </c>
      <c r="B124" s="197"/>
      <c r="C124" s="197"/>
      <c r="D124" s="197"/>
      <c r="E124" s="197"/>
      <c r="F124" s="197"/>
      <c r="G124" s="197"/>
      <c r="H124" s="197"/>
      <c r="I124" s="197"/>
      <c r="J124" s="197"/>
      <c r="K124" s="197"/>
      <c r="L124" s="197"/>
      <c r="M124" s="197"/>
      <c r="N124" s="197"/>
      <c r="O124" s="197"/>
      <c r="P124" s="197"/>
    </row>
    <row r="126" spans="1:16" x14ac:dyDescent="0.2">
      <c r="A126" s="432" t="s">
        <v>458</v>
      </c>
      <c r="B126" s="433"/>
      <c r="C126" s="433"/>
      <c r="D126" s="433"/>
      <c r="E126" s="434" t="s">
        <v>6</v>
      </c>
      <c r="F126" s="434" t="s">
        <v>7</v>
      </c>
      <c r="G126" s="435"/>
      <c r="H126" s="434" t="s">
        <v>8</v>
      </c>
      <c r="I126" s="436"/>
      <c r="J126" s="437" t="s">
        <v>9</v>
      </c>
      <c r="K126" s="436"/>
      <c r="L126" s="436"/>
      <c r="M126" s="436"/>
      <c r="N126" s="437" t="s">
        <v>10</v>
      </c>
      <c r="O126" s="437" t="s">
        <v>11</v>
      </c>
      <c r="P126" s="437" t="s">
        <v>12</v>
      </c>
    </row>
    <row r="127" spans="1:16" ht="43.5" customHeight="1" x14ac:dyDescent="0.2">
      <c r="A127" s="438" t="s">
        <v>13</v>
      </c>
      <c r="B127" s="438" t="s">
        <v>458</v>
      </c>
      <c r="C127" s="438" t="s">
        <v>18</v>
      </c>
      <c r="D127" s="439" t="s">
        <v>545</v>
      </c>
      <c r="E127" s="440"/>
      <c r="F127" s="49" t="s">
        <v>20</v>
      </c>
      <c r="G127" s="49" t="s">
        <v>21</v>
      </c>
      <c r="H127" s="49" t="s">
        <v>22</v>
      </c>
      <c r="I127" s="49" t="s">
        <v>461</v>
      </c>
      <c r="J127" s="49" t="s">
        <v>24</v>
      </c>
      <c r="K127" s="49" t="s">
        <v>25</v>
      </c>
      <c r="L127" s="49" t="s">
        <v>26</v>
      </c>
      <c r="M127" s="49" t="s">
        <v>27</v>
      </c>
      <c r="N127" s="49" t="s">
        <v>28</v>
      </c>
      <c r="O127" s="49"/>
      <c r="P127" s="49"/>
    </row>
    <row r="128" spans="1:16" x14ac:dyDescent="0.2">
      <c r="B128" t="s">
        <v>550</v>
      </c>
      <c r="C128" t="s">
        <v>40</v>
      </c>
      <c r="D128" t="s">
        <v>38</v>
      </c>
      <c r="E128" s="13">
        <f t="shared" ref="E128:E159" si="4">SUM(F128:P128)</f>
        <v>9.0960648382568454E-2</v>
      </c>
      <c r="F128" s="13">
        <f>'Forage, input data per ha'!D44*EF_min_fert_CO2_DK/'Forage, input data per ha'!C44</f>
        <v>7.1375990352365451E-3</v>
      </c>
      <c r="G128" s="13">
        <f>EF_capital_goods_CO2</f>
        <v>2.7E-2</v>
      </c>
      <c r="H128" s="13"/>
      <c r="I128" s="13"/>
      <c r="J128" s="13">
        <f>'Forage, input data per ha'!H44*EF_diesel_CO2*Heating_value_diesel/'Forage, input data per ha'!C44</f>
        <v>1.012304934733191E-2</v>
      </c>
      <c r="K128" s="13"/>
      <c r="L128" s="13">
        <f>'Forage, input data per ha'!I44*'Parameters, general'!$B$18/'Forage, input data per ha'!C44</f>
        <v>0</v>
      </c>
      <c r="M128" s="13"/>
      <c r="N128" s="13"/>
      <c r="O128" s="13">
        <f>'Parameters, general'!$B$21</f>
        <v>4.6700000000000005E-2</v>
      </c>
      <c r="P128" s="13"/>
    </row>
    <row r="129" spans="1:16" x14ac:dyDescent="0.2">
      <c r="B129" t="s">
        <v>550</v>
      </c>
      <c r="C129" t="s">
        <v>41</v>
      </c>
      <c r="D129" t="s">
        <v>38</v>
      </c>
      <c r="E129" s="13">
        <f t="shared" si="4"/>
        <v>8.0748416951463076E-4</v>
      </c>
      <c r="F129" s="13">
        <f>'Forage, input data per ha'!D44*EF_min_fert_CH4_DK/'Forage, input data per ha'!C44</f>
        <v>0</v>
      </c>
      <c r="G129" s="13">
        <f>EF_capital_goods_CH4</f>
        <v>9.5000000000000005E-5</v>
      </c>
      <c r="H129" s="13"/>
      <c r="I129" s="13"/>
      <c r="J129" s="13">
        <f>'Forage, input data per ha'!H44*EF_diesel_CH4*Heating_value_diesel/'Forage, input data per ha'!C44</f>
        <v>4.4841695146308248E-6</v>
      </c>
      <c r="K129" s="13"/>
      <c r="L129" s="13">
        <f>'Forage, input data per ha'!I44*'Parameters, general'!$C$18/'Forage, input data per ha'!C44</f>
        <v>0</v>
      </c>
      <c r="M129" s="13"/>
      <c r="N129" s="13"/>
      <c r="O129" s="13">
        <f>'Parameters, general'!$C$21</f>
        <v>7.0799999999999997E-4</v>
      </c>
      <c r="P129" s="13"/>
    </row>
    <row r="130" spans="1:16" x14ac:dyDescent="0.2">
      <c r="B130" t="s">
        <v>550</v>
      </c>
      <c r="C130" t="s">
        <v>547</v>
      </c>
      <c r="D130" t="s">
        <v>38</v>
      </c>
      <c r="E130" s="13">
        <f t="shared" si="4"/>
        <v>0</v>
      </c>
      <c r="F130" s="13"/>
      <c r="G130" s="13"/>
      <c r="H130" s="13"/>
      <c r="I130" s="13"/>
      <c r="J130" s="13"/>
      <c r="K130" s="13"/>
      <c r="L130" s="13"/>
      <c r="M130" s="13"/>
      <c r="N130" s="13"/>
      <c r="O130" s="13"/>
      <c r="P130" s="13"/>
    </row>
    <row r="131" spans="1:16" x14ac:dyDescent="0.2">
      <c r="B131" t="s">
        <v>550</v>
      </c>
      <c r="C131" t="s">
        <v>43</v>
      </c>
      <c r="D131" t="s">
        <v>38</v>
      </c>
      <c r="E131" s="13">
        <f t="shared" si="4"/>
        <v>1.6774255186479179E-4</v>
      </c>
      <c r="F131" s="13">
        <f>'Forage, input data per ha'!D44*EF_min_fert_N2O_DK/'Forage, input data per ha'!C44</f>
        <v>3.2245050727455122E-6</v>
      </c>
      <c r="G131" s="13">
        <f>EF_capital_goods_N2O</f>
        <v>1.1000000000000001E-6</v>
      </c>
      <c r="H131" s="13">
        <f>('Forage, input data per ha'!D44*'Parameters, country spec'!B80+'Forage, input data per ha'!F44*'Parameters, country spec'!B81)*44/28/'Forage, input data per ha'!C44</f>
        <v>8.6405487735697841E-5</v>
      </c>
      <c r="I131" s="13">
        <f>H131*0.1</f>
        <v>8.6405487735697841E-6</v>
      </c>
      <c r="J131" s="13">
        <f>'Forage, input data per ha'!H44*EF_diesel_N2O*Heating_value_diesel/'Forage, input data per ha'!C44</f>
        <v>2.720102827786762E-7</v>
      </c>
      <c r="K131" s="13"/>
      <c r="L131" s="13">
        <f>'Forage, input data per ha'!I44*'Parameters, general'!$D$18/'Forage, input data per ha'!C44</f>
        <v>0</v>
      </c>
      <c r="M131" s="13"/>
      <c r="N131" s="13"/>
      <c r="O131" s="13">
        <f>'Parameters, general'!$D$21</f>
        <v>6.8099999999999988E-5</v>
      </c>
      <c r="P131" s="13"/>
    </row>
    <row r="132" spans="1:16" x14ac:dyDescent="0.2">
      <c r="A132" s="103"/>
      <c r="B132" s="103" t="s">
        <v>550</v>
      </c>
      <c r="C132" s="103" t="s">
        <v>44</v>
      </c>
      <c r="D132" s="103" t="s">
        <v>38</v>
      </c>
      <c r="E132" s="443">
        <f t="shared" si="4"/>
        <v>0.16081739329319261</v>
      </c>
      <c r="F132" s="443">
        <f>SUMPRODUCT(F128:F131,'Parameters, general'!$B$24:$B$27)</f>
        <v>8.0178889200960696E-3</v>
      </c>
      <c r="G132" s="443">
        <f>SUMPRODUCT(G128:G131,'Parameters, general'!$B$24:$B$27)</f>
        <v>3.01313E-2</v>
      </c>
      <c r="H132" s="443">
        <f>SUMPRODUCT(H128:H131,'Parameters, general'!$B$24:$B$27)</f>
        <v>2.358869815184551E-2</v>
      </c>
      <c r="I132" s="443">
        <f>SUMPRODUCT(I128:I131,'Parameters, general'!$B$24:$B$27)</f>
        <v>2.3588698151845509E-3</v>
      </c>
      <c r="J132" s="443">
        <f>SUMPRODUCT(J128:J131,'Parameters, general'!$B$24:$B$27)</f>
        <v>1.0330936406066488E-2</v>
      </c>
      <c r="K132" s="443">
        <f>SUMPRODUCT(K128:K131,'Parameters, general'!$B$24:$B$27)</f>
        <v>0</v>
      </c>
      <c r="L132" s="443">
        <f>SUMPRODUCT(L128:L131,'Parameters, general'!$B$24:$B$27)</f>
        <v>0</v>
      </c>
      <c r="M132" s="443">
        <f>SUMPRODUCT(M128:M131,'Parameters, general'!$B$24:$B$27)</f>
        <v>0</v>
      </c>
      <c r="N132" s="443">
        <f>SUMPRODUCT(N128:N131,'Parameters, general'!$B$24:$B$27)</f>
        <v>0</v>
      </c>
      <c r="O132" s="443">
        <f>SUMPRODUCT(O128:O131,'Parameters, general'!$B$24:$B$27)</f>
        <v>8.6389700000000014E-2</v>
      </c>
      <c r="P132" s="443">
        <f>SUMPRODUCT(P128:P131,'Parameters, general'!$B$24:$B$27)</f>
        <v>0</v>
      </c>
    </row>
    <row r="133" spans="1:16" x14ac:dyDescent="0.2">
      <c r="B133" t="s">
        <v>550</v>
      </c>
      <c r="C133" t="s">
        <v>40</v>
      </c>
      <c r="D133" t="s">
        <v>45</v>
      </c>
      <c r="E133" s="13">
        <f t="shared" si="4"/>
        <v>0.10203245429955332</v>
      </c>
      <c r="F133" s="13">
        <f>'Forage, input data per ha'!D45*EF_min_fert_CO2_FR/'Forage, input data per ha'!C45</f>
        <v>1.5227707011231065E-2</v>
      </c>
      <c r="G133" s="13">
        <f>EF_capital_goods_CO2</f>
        <v>2.7E-2</v>
      </c>
      <c r="H133" s="13"/>
      <c r="I133" s="13"/>
      <c r="J133" s="13">
        <f>'Forage, input data per ha'!H45*EF_diesel_CO2*Heating_value_diesel/'Forage, input data per ha'!C45</f>
        <v>1.3104747288322262E-2</v>
      </c>
      <c r="K133" s="13"/>
      <c r="L133" s="13">
        <f>'Forage, input data per ha'!I45*'Parameters, general'!$B$18/'Forage, input data per ha'!C45</f>
        <v>0</v>
      </c>
      <c r="M133" s="13"/>
      <c r="N133" s="445"/>
      <c r="O133" s="13">
        <f>'Parameters, general'!$B$21</f>
        <v>4.6700000000000005E-2</v>
      </c>
      <c r="P133" s="13"/>
    </row>
    <row r="134" spans="1:16" x14ac:dyDescent="0.2">
      <c r="B134" t="s">
        <v>550</v>
      </c>
      <c r="C134" t="s">
        <v>41</v>
      </c>
      <c r="D134" t="s">
        <v>45</v>
      </c>
      <c r="E134" s="13">
        <f t="shared" si="4"/>
        <v>8.0880496116051467E-4</v>
      </c>
      <c r="F134" s="13">
        <f>'Forage, input data per ha'!D45*EF_min_fert_CH4_FR/'Forage, input data per ha'!C45</f>
        <v>0</v>
      </c>
      <c r="G134" s="13">
        <f>EF_capital_goods_CH4</f>
        <v>9.5000000000000005E-5</v>
      </c>
      <c r="H134" s="13"/>
      <c r="I134" s="13"/>
      <c r="J134" s="13">
        <f>'Forage, input data per ha'!H45*EF_diesel_CH4*Heating_value_diesel/'Forage, input data per ha'!C45</f>
        <v>5.8049611605147225E-6</v>
      </c>
      <c r="K134" s="13"/>
      <c r="L134" s="13">
        <f>'Forage, input data per ha'!I45*'Parameters, general'!$C$18/'Forage, input data per ha'!C45</f>
        <v>0</v>
      </c>
      <c r="M134" s="13"/>
      <c r="N134" s="13"/>
      <c r="O134" s="13">
        <f>'Parameters, general'!$C$21</f>
        <v>7.0799999999999997E-4</v>
      </c>
      <c r="P134" s="13"/>
    </row>
    <row r="135" spans="1:16" x14ac:dyDescent="0.2">
      <c r="B135" t="s">
        <v>550</v>
      </c>
      <c r="C135" t="s">
        <v>547</v>
      </c>
      <c r="D135" t="s">
        <v>45</v>
      </c>
      <c r="E135" s="13">
        <f t="shared" si="4"/>
        <v>0</v>
      </c>
      <c r="F135" s="13"/>
      <c r="G135" s="13"/>
      <c r="H135" s="13"/>
      <c r="I135" s="13"/>
      <c r="J135" s="13"/>
      <c r="K135" s="13"/>
      <c r="L135" s="13"/>
      <c r="M135" s="13"/>
      <c r="N135" s="13"/>
      <c r="O135" s="13"/>
      <c r="P135" s="13"/>
    </row>
    <row r="136" spans="1:16" x14ac:dyDescent="0.2">
      <c r="B136" t="s">
        <v>550</v>
      </c>
      <c r="C136" t="s">
        <v>43</v>
      </c>
      <c r="D136" t="s">
        <v>45</v>
      </c>
      <c r="E136" s="13">
        <f t="shared" si="4"/>
        <v>2.3823512996066641E-4</v>
      </c>
      <c r="F136" s="13">
        <f>'Forage, input data per ha'!D45*EF_min_fert_N2O_FR/'Forage, input data per ha'!C45</f>
        <v>4.5136443005659777E-6</v>
      </c>
      <c r="G136" s="13">
        <f>EF_capital_goods_N2O</f>
        <v>1.1000000000000001E-6</v>
      </c>
      <c r="H136" s="13">
        <f>('Forage, input data per ha'!D45*'Parameters, country spec'!C80+'Forage, input data per ha'!F45*'Parameters, country spec'!C81)*44/28/'Forage, input data per ha'!C45</f>
        <v>1.4924486908284617E-4</v>
      </c>
      <c r="I136" s="13">
        <f>H136*0.1</f>
        <v>1.4924486908284618E-5</v>
      </c>
      <c r="J136" s="13">
        <f>'Forage, input data per ha'!H45*EF_diesel_N2O*Heating_value_diesel/'Forage, input data per ha'!C45</f>
        <v>3.5212966896967091E-7</v>
      </c>
      <c r="K136" s="13"/>
      <c r="L136" s="13">
        <f>'Forage, input data per ha'!I45*'Parameters, general'!$D$18/'Forage, input data per ha'!C45</f>
        <v>0</v>
      </c>
      <c r="M136" s="13"/>
      <c r="N136" s="13"/>
      <c r="O136" s="13">
        <f>'Parameters, general'!$D$21</f>
        <v>6.8099999999999988E-5</v>
      </c>
      <c r="P136" s="13"/>
    </row>
    <row r="137" spans="1:16" x14ac:dyDescent="0.2">
      <c r="A137" s="103"/>
      <c r="B137" s="103" t="s">
        <v>550</v>
      </c>
      <c r="C137" s="103" t="s">
        <v>44</v>
      </c>
      <c r="D137" s="103" t="s">
        <v>45</v>
      </c>
      <c r="E137" s="443">
        <f t="shared" si="4"/>
        <v>0.19117303262139862</v>
      </c>
      <c r="F137" s="443">
        <f>SUMPRODUCT(F133:F136,'Parameters, general'!$B$24:$B$27)</f>
        <v>1.6459931905285576E-2</v>
      </c>
      <c r="G137" s="443">
        <f>SUMPRODUCT(G133:G136,'Parameters, general'!$B$24:$B$27)</f>
        <v>3.01313E-2</v>
      </c>
      <c r="H137" s="443">
        <f>SUMPRODUCT(H133:H136,'Parameters, general'!$B$24:$B$27)</f>
        <v>4.0743849259617007E-2</v>
      </c>
      <c r="I137" s="443">
        <f>SUMPRODUCT(I133:I136,'Parameters, general'!$B$24:$B$27)</f>
        <v>4.0743849259617009E-3</v>
      </c>
      <c r="J137" s="443">
        <f>SUMPRODUCT(J133:J136,'Parameters, general'!$B$24:$B$27)</f>
        <v>1.3373866530534321E-2</v>
      </c>
      <c r="K137" s="443">
        <f>SUMPRODUCT(K133:K136,'Parameters, general'!$B$24:$B$27)</f>
        <v>0</v>
      </c>
      <c r="L137" s="443">
        <f>SUMPRODUCT(L133:L136,'Parameters, general'!$B$24:$B$27)</f>
        <v>0</v>
      </c>
      <c r="M137" s="443">
        <f>SUMPRODUCT(M133:M136,'Parameters, general'!$B$24:$B$27)</f>
        <v>0</v>
      </c>
      <c r="N137" s="443">
        <f>SUMPRODUCT(N133:N136,'Parameters, general'!$B$24:$B$27)</f>
        <v>0</v>
      </c>
      <c r="O137" s="443">
        <f>SUMPRODUCT(O133:O136,'Parameters, general'!$B$24:$B$27)</f>
        <v>8.6389700000000014E-2</v>
      </c>
      <c r="P137" s="443">
        <f>SUMPRODUCT(P133:P136,'Parameters, general'!$B$24:$B$27)</f>
        <v>0</v>
      </c>
    </row>
    <row r="138" spans="1:16" x14ac:dyDescent="0.2">
      <c r="B138" t="s">
        <v>550</v>
      </c>
      <c r="C138" t="s">
        <v>40</v>
      </c>
      <c r="D138" t="s">
        <v>47</v>
      </c>
      <c r="E138" s="13">
        <f t="shared" si="4"/>
        <v>0.10486805317168467</v>
      </c>
      <c r="F138" s="13">
        <f>'Forage, input data per ha'!D46*EF_min_fert_CO2_DE/'Forage, input data per ha'!C46</f>
        <v>1.8004951859799098E-2</v>
      </c>
      <c r="G138" s="13">
        <f>EF_capital_goods_CO2</f>
        <v>2.7E-2</v>
      </c>
      <c r="H138" s="13"/>
      <c r="I138" s="13"/>
      <c r="J138" s="13">
        <f>'Forage, input data per ha'!H46*EF_diesel_CO2*Heating_value_diesel/'Forage, input data per ha'!C46</f>
        <v>1.3163101311885569E-2</v>
      </c>
      <c r="K138" s="13"/>
      <c r="L138" s="13">
        <f>'Forage, input data per ha'!I46*'Parameters, general'!$B$18/'Forage, input data per ha'!C46</f>
        <v>0</v>
      </c>
      <c r="M138" s="13"/>
      <c r="N138" s="13"/>
      <c r="O138" s="13">
        <f>'Parameters, general'!$B$21</f>
        <v>4.6700000000000005E-2</v>
      </c>
      <c r="P138" s="13"/>
    </row>
    <row r="139" spans="1:16" x14ac:dyDescent="0.2">
      <c r="B139" t="s">
        <v>550</v>
      </c>
      <c r="C139" t="s">
        <v>41</v>
      </c>
      <c r="D139" t="s">
        <v>47</v>
      </c>
      <c r="E139" s="13">
        <f t="shared" si="4"/>
        <v>8.0883081002527273E-4</v>
      </c>
      <c r="F139" s="13">
        <f>'Forage, input data per ha'!D46*EF_min_fert_CH4_DE/'Forage, input data per ha'!C46</f>
        <v>0</v>
      </c>
      <c r="G139" s="13">
        <f>EF_capital_goods_CH4</f>
        <v>9.5000000000000005E-5</v>
      </c>
      <c r="H139" s="13"/>
      <c r="I139" s="13"/>
      <c r="J139" s="13">
        <f>'Forage, input data per ha'!H46*EF_diesel_CH4*Heating_value_diesel/'Forage, input data per ha'!C46</f>
        <v>5.8308100252728102E-6</v>
      </c>
      <c r="K139" s="13"/>
      <c r="L139" s="13">
        <f>'Forage, input data per ha'!I46*'Parameters, general'!$C$18/'Forage, input data per ha'!C46</f>
        <v>0</v>
      </c>
      <c r="M139" s="13"/>
      <c r="N139" s="13"/>
      <c r="O139" s="13">
        <f>'Parameters, general'!$C$21</f>
        <v>7.0799999999999997E-4</v>
      </c>
      <c r="P139" s="13"/>
    </row>
    <row r="140" spans="1:16" x14ac:dyDescent="0.2">
      <c r="B140" t="s">
        <v>550</v>
      </c>
      <c r="C140" t="s">
        <v>547</v>
      </c>
      <c r="D140" t="s">
        <v>47</v>
      </c>
      <c r="E140" s="13">
        <f t="shared" si="4"/>
        <v>0</v>
      </c>
      <c r="F140" s="13"/>
      <c r="G140" s="13"/>
      <c r="H140" s="13"/>
      <c r="I140" s="13"/>
      <c r="J140" s="13"/>
      <c r="K140" s="13"/>
      <c r="L140" s="13"/>
      <c r="M140" s="13"/>
      <c r="N140" s="13"/>
      <c r="O140" s="13"/>
      <c r="P140" s="13"/>
    </row>
    <row r="141" spans="1:16" x14ac:dyDescent="0.2">
      <c r="B141" t="s">
        <v>550</v>
      </c>
      <c r="C141" t="s">
        <v>43</v>
      </c>
      <c r="D141" t="s">
        <v>47</v>
      </c>
      <c r="E141" s="13">
        <f t="shared" si="4"/>
        <v>2.6247586101963772E-4</v>
      </c>
      <c r="F141" s="13">
        <f>'Forage, input data per ha'!D46*EF_min_fert_N2O_DE/'Forage, input data per ha'!C46</f>
        <v>5.9862660866469051E-6</v>
      </c>
      <c r="G141" s="13">
        <f>EF_capital_goods_N2O</f>
        <v>1.1000000000000001E-6</v>
      </c>
      <c r="H141" s="13">
        <f>('Forage, input data per ha'!D46*'Parameters, country spec'!D80+'Forage, input data per ha'!F46*'Parameters, country spec'!D81)*44/28/'Forage, input data per ha'!C46</f>
        <v>1.6994172478968788E-4</v>
      </c>
      <c r="I141" s="13">
        <f>H141*0.1</f>
        <v>1.6994172478968787E-5</v>
      </c>
      <c r="J141" s="13">
        <f>'Forage, input data per ha'!H46*EF_diesel_N2O*Heating_value_diesel/'Forage, input data per ha'!C46</f>
        <v>3.5369766433412225E-7</v>
      </c>
      <c r="K141" s="13"/>
      <c r="L141" s="13">
        <f>'Forage, input data per ha'!I46*'Parameters, general'!$D$18/'Forage, input data per ha'!C46</f>
        <v>0</v>
      </c>
      <c r="M141" s="13"/>
      <c r="N141" s="13"/>
      <c r="O141" s="13">
        <f>'Parameters, general'!$D$21</f>
        <v>6.8099999999999988E-5</v>
      </c>
      <c r="P141" s="13"/>
    </row>
    <row r="142" spans="1:16" x14ac:dyDescent="0.2">
      <c r="A142" s="103"/>
      <c r="B142" s="103" t="s">
        <v>550</v>
      </c>
      <c r="C142" s="103" t="s">
        <v>44</v>
      </c>
      <c r="D142" s="103" t="s">
        <v>47</v>
      </c>
      <c r="E142" s="443">
        <f t="shared" si="4"/>
        <v>0.2006271213687989</v>
      </c>
      <c r="F142" s="443">
        <f>SUMPRODUCT(F138:F141,'Parameters, general'!$B$24:$B$27)</f>
        <v>1.9639202501453703E-2</v>
      </c>
      <c r="G142" s="443">
        <f>SUMPRODUCT(G138:G141,'Parameters, general'!$B$24:$B$27)</f>
        <v>3.01313E-2</v>
      </c>
      <c r="H142" s="443">
        <f>SUMPRODUCT(H138:H141,'Parameters, general'!$B$24:$B$27)</f>
        <v>4.6394090867584795E-2</v>
      </c>
      <c r="I142" s="443">
        <f>SUMPRODUCT(I138:I141,'Parameters, general'!$B$24:$B$27)</f>
        <v>4.6394090867584786E-3</v>
      </c>
      <c r="J142" s="443">
        <f>SUMPRODUCT(J138:J141,'Parameters, general'!$B$24:$B$27)</f>
        <v>1.3433418913001914E-2</v>
      </c>
      <c r="K142" s="443">
        <f>SUMPRODUCT(K138:K141,'Parameters, general'!$B$24:$B$27)</f>
        <v>0</v>
      </c>
      <c r="L142" s="443">
        <f>SUMPRODUCT(L138:L141,'Parameters, general'!$B$24:$B$27)</f>
        <v>0</v>
      </c>
      <c r="M142" s="443">
        <f>SUMPRODUCT(M138:M141,'Parameters, general'!$B$24:$B$27)</f>
        <v>0</v>
      </c>
      <c r="N142" s="443">
        <f>SUMPRODUCT(N138:N141,'Parameters, general'!$B$24:$B$27)</f>
        <v>0</v>
      </c>
      <c r="O142" s="443">
        <f>SUMPRODUCT(O138:O141,'Parameters, general'!$B$24:$B$27)</f>
        <v>8.6389700000000014E-2</v>
      </c>
      <c r="P142" s="443">
        <f>SUMPRODUCT(P138:P141,'Parameters, general'!$B$24:$B$27)</f>
        <v>0</v>
      </c>
    </row>
    <row r="143" spans="1:16" x14ac:dyDescent="0.2">
      <c r="B143" t="s">
        <v>550</v>
      </c>
      <c r="C143" t="s">
        <v>40</v>
      </c>
      <c r="D143" t="s">
        <v>49</v>
      </c>
      <c r="E143" s="13">
        <f t="shared" si="4"/>
        <v>0.12570828992565453</v>
      </c>
      <c r="F143" s="13">
        <f>'Forage, input data per ha'!D47*EF_min_fert_CO2_GR/'Forage, input data per ha'!C47</f>
        <v>1.959130136383069E-2</v>
      </c>
      <c r="G143" s="13">
        <f>EF_capital_goods_CO2</f>
        <v>2.7E-2</v>
      </c>
      <c r="H143" s="13"/>
      <c r="I143" s="13"/>
      <c r="J143" s="13">
        <f>'Forage, input data per ha'!H47*EF_diesel_CO2*Heating_value_diesel/'Forage, input data per ha'!C47</f>
        <v>3.241698856182381E-2</v>
      </c>
      <c r="K143" s="13"/>
      <c r="L143" s="13">
        <f>'Forage, input data per ha'!I47*'Parameters, general'!$B$18/'Forage, input data per ha'!C47</f>
        <v>0</v>
      </c>
      <c r="M143" s="13"/>
      <c r="N143" s="445"/>
      <c r="O143" s="13">
        <f>'Parameters, general'!$B$21</f>
        <v>4.6700000000000005E-2</v>
      </c>
      <c r="P143" s="13"/>
    </row>
    <row r="144" spans="1:16" x14ac:dyDescent="0.2">
      <c r="B144" t="s">
        <v>550</v>
      </c>
      <c r="C144" t="s">
        <v>41</v>
      </c>
      <c r="D144" t="s">
        <v>49</v>
      </c>
      <c r="E144" s="13">
        <f t="shared" si="4"/>
        <v>8.1735963284159817E-4</v>
      </c>
      <c r="F144" s="13">
        <f>'Forage, input data per ha'!D47*EF_min_fert_CH4_GR/'Forage, input data per ha'!C47</f>
        <v>0</v>
      </c>
      <c r="G144" s="13">
        <f>EF_capital_goods_CH4</f>
        <v>9.5000000000000005E-5</v>
      </c>
      <c r="H144" s="13"/>
      <c r="I144" s="13"/>
      <c r="J144" s="13">
        <f>'Forage, input data per ha'!H47*EF_diesel_CH4*Heating_value_diesel/'Forage, input data per ha'!C47</f>
        <v>1.4359632841598196E-5</v>
      </c>
      <c r="K144" s="13"/>
      <c r="L144" s="13">
        <f>'Forage, input data per ha'!I47*'Parameters, general'!$C$18/'Forage, input data per ha'!C47</f>
        <v>0</v>
      </c>
      <c r="M144" s="13"/>
      <c r="N144" s="13"/>
      <c r="O144" s="13">
        <f>'Parameters, general'!$C$21</f>
        <v>7.0799999999999997E-4</v>
      </c>
      <c r="P144" s="13"/>
    </row>
    <row r="145" spans="1:16" x14ac:dyDescent="0.2">
      <c r="B145" t="s">
        <v>550</v>
      </c>
      <c r="C145" t="s">
        <v>547</v>
      </c>
      <c r="D145" t="s">
        <v>49</v>
      </c>
      <c r="E145" s="13">
        <f t="shared" si="4"/>
        <v>0</v>
      </c>
      <c r="F145" s="13"/>
      <c r="G145" s="13"/>
      <c r="H145" s="13"/>
      <c r="I145" s="13"/>
      <c r="J145" s="13"/>
      <c r="K145" s="13"/>
      <c r="L145" s="13"/>
      <c r="M145" s="13"/>
      <c r="N145" s="13"/>
      <c r="O145" s="13"/>
      <c r="P145" s="13"/>
    </row>
    <row r="146" spans="1:16" x14ac:dyDescent="0.2">
      <c r="B146" t="s">
        <v>550</v>
      </c>
      <c r="C146" t="s">
        <v>43</v>
      </c>
      <c r="D146" t="s">
        <v>49</v>
      </c>
      <c r="E146" s="13">
        <f t="shared" si="4"/>
        <v>2.2461202259672545E-4</v>
      </c>
      <c r="F146" s="13">
        <f>'Forage, input data per ha'!D47*EF_min_fert_N2O_GR/'Forage, input data per ha'!C47</f>
        <v>1.845507987608262E-6</v>
      </c>
      <c r="G146" s="13">
        <f>EF_capital_goods_N2O</f>
        <v>1.1000000000000001E-6</v>
      </c>
      <c r="H146" s="13">
        <f>('Forage, input data per ha'!D47*'Parameters, country spec'!E80+'Forage, input data per ha'!F47*'Parameters, country spec'!E81)*44/28/'Forage, input data per ha'!C47</f>
        <v>1.3881405226144812E-4</v>
      </c>
      <c r="I146" s="13">
        <f>H146*0.1</f>
        <v>1.3881405226144813E-5</v>
      </c>
      <c r="J146" s="13">
        <f>'Forage, input data per ha'!H47*EF_diesel_N2O*Heating_value_diesel/'Forage, input data per ha'!C47</f>
        <v>8.7105712152424373E-7</v>
      </c>
      <c r="K146" s="13"/>
      <c r="L146" s="13">
        <f>'Forage, input data per ha'!I47*'Parameters, general'!$D$18/'Forage, input data per ha'!C47</f>
        <v>0</v>
      </c>
      <c r="M146" s="13"/>
      <c r="N146" s="13"/>
      <c r="O146" s="13">
        <f>'Parameters, general'!$D$21</f>
        <v>6.8099999999999988E-5</v>
      </c>
      <c r="P146" s="13"/>
    </row>
    <row r="147" spans="1:16" x14ac:dyDescent="0.2">
      <c r="A147" s="103"/>
      <c r="B147" s="103" t="s">
        <v>550</v>
      </c>
      <c r="C147" s="103" t="s">
        <v>44</v>
      </c>
      <c r="D147" s="103" t="s">
        <v>49</v>
      </c>
      <c r="E147" s="443">
        <f t="shared" si="4"/>
        <v>0.21138468915324019</v>
      </c>
      <c r="F147" s="443">
        <f>SUMPRODUCT(F143:F146,'Parameters, general'!$B$24:$B$27)</f>
        <v>2.0095125044447746E-2</v>
      </c>
      <c r="G147" s="443">
        <f>SUMPRODUCT(G143:G146,'Parameters, general'!$B$24:$B$27)</f>
        <v>3.01313E-2</v>
      </c>
      <c r="H147" s="443">
        <f>SUMPRODUCT(H143:H146,'Parameters, general'!$B$24:$B$27)</f>
        <v>3.7896236267375337E-2</v>
      </c>
      <c r="I147" s="443">
        <f>SUMPRODUCT(I143:I146,'Parameters, general'!$B$24:$B$27)</f>
        <v>3.789623626737534E-3</v>
      </c>
      <c r="J147" s="443">
        <f>SUMPRODUCT(J143:J146,'Parameters, general'!$B$24:$B$27)</f>
        <v>3.3082704214679549E-2</v>
      </c>
      <c r="K147" s="443">
        <f>SUMPRODUCT(K143:K146,'Parameters, general'!$B$24:$B$27)</f>
        <v>0</v>
      </c>
      <c r="L147" s="443">
        <f>SUMPRODUCT(L143:L146,'Parameters, general'!$B$24:$B$27)</f>
        <v>0</v>
      </c>
      <c r="M147" s="443">
        <f>SUMPRODUCT(M143:M146,'Parameters, general'!$B$24:$B$27)</f>
        <v>0</v>
      </c>
      <c r="N147" s="443">
        <f>SUMPRODUCT(N143:N146,'Parameters, general'!$B$24:$B$27)</f>
        <v>0</v>
      </c>
      <c r="O147" s="443">
        <f>SUMPRODUCT(O143:O146,'Parameters, general'!$B$24:$B$27)</f>
        <v>8.6389700000000014E-2</v>
      </c>
      <c r="P147" s="443">
        <f>SUMPRODUCT(P143:P146,'Parameters, general'!$B$24:$B$27)</f>
        <v>0</v>
      </c>
    </row>
    <row r="148" spans="1:16" x14ac:dyDescent="0.2">
      <c r="B148" t="s">
        <v>550</v>
      </c>
      <c r="C148" t="s">
        <v>40</v>
      </c>
      <c r="D148" t="s">
        <v>51</v>
      </c>
      <c r="E148" s="13">
        <f t="shared" si="4"/>
        <v>0.14060975570218143</v>
      </c>
      <c r="F148" s="13">
        <f>'Forage, input data per ha'!D48*EF_min_fert_CO2_HU/'Forage, input data per ha'!C48</f>
        <v>1.821157315870988E-2</v>
      </c>
      <c r="G148" s="13">
        <f>EF_capital_goods_CO2</f>
        <v>2.7E-2</v>
      </c>
      <c r="H148" s="13"/>
      <c r="I148" s="13"/>
      <c r="J148" s="13">
        <f>'Forage, input data per ha'!H48*EF_diesel_CO2*Heating_value_diesel/'Forage, input data per ha'!C48</f>
        <v>4.8698182543471559E-2</v>
      </c>
      <c r="K148" s="13"/>
      <c r="L148" s="13">
        <f>'Forage, input data per ha'!I48*'Parameters, general'!$B$18/'Forage, input data per ha'!C48</f>
        <v>0</v>
      </c>
      <c r="M148" s="13"/>
      <c r="N148" s="13"/>
      <c r="O148" s="13">
        <f>'Parameters, general'!$B$21</f>
        <v>4.6700000000000005E-2</v>
      </c>
      <c r="P148" s="13"/>
    </row>
    <row r="149" spans="1:16" x14ac:dyDescent="0.2">
      <c r="B149" t="s">
        <v>550</v>
      </c>
      <c r="C149" t="s">
        <v>41</v>
      </c>
      <c r="D149" t="s">
        <v>51</v>
      </c>
      <c r="E149" s="13">
        <f t="shared" si="4"/>
        <v>8.2457165277841082E-4</v>
      </c>
      <c r="F149" s="13">
        <f>'Forage, input data per ha'!D48*EF_min_fert_CH4_HU/'Forage, input data per ha'!C48</f>
        <v>0</v>
      </c>
      <c r="G149" s="13">
        <f>EF_capital_goods_CH4</f>
        <v>9.5000000000000005E-5</v>
      </c>
      <c r="H149" s="13"/>
      <c r="I149" s="13"/>
      <c r="J149" s="13">
        <f>'Forage, input data per ha'!H48*EF_diesel_CH4*Heating_value_diesel/'Forage, input data per ha'!C48</f>
        <v>2.1571652778410811E-5</v>
      </c>
      <c r="K149" s="13"/>
      <c r="L149" s="13">
        <f>'Forage, input data per ha'!I48*'Parameters, general'!$C$18/'Forage, input data per ha'!C48</f>
        <v>0</v>
      </c>
      <c r="M149" s="13"/>
      <c r="N149" s="13"/>
      <c r="O149" s="13">
        <f>'Parameters, general'!$C$21</f>
        <v>7.0799999999999997E-4</v>
      </c>
      <c r="P149" s="13"/>
    </row>
    <row r="150" spans="1:16" x14ac:dyDescent="0.2">
      <c r="B150" t="s">
        <v>550</v>
      </c>
      <c r="C150" t="s">
        <v>547</v>
      </c>
      <c r="D150" t="s">
        <v>51</v>
      </c>
      <c r="E150" s="13">
        <f t="shared" si="4"/>
        <v>0</v>
      </c>
      <c r="F150" s="13"/>
      <c r="G150" s="13"/>
      <c r="H150" s="13"/>
      <c r="I150" s="13"/>
      <c r="J150" s="13"/>
      <c r="K150" s="13"/>
      <c r="L150" s="13"/>
      <c r="M150" s="13"/>
      <c r="N150" s="13"/>
      <c r="O150" s="13"/>
      <c r="P150" s="13"/>
    </row>
    <row r="151" spans="1:16" x14ac:dyDescent="0.2">
      <c r="B151" t="s">
        <v>550</v>
      </c>
      <c r="C151" t="s">
        <v>43</v>
      </c>
      <c r="D151" t="s">
        <v>51</v>
      </c>
      <c r="E151" s="13">
        <f t="shared" si="4"/>
        <v>2.6908105149425548E-4</v>
      </c>
      <c r="F151" s="13">
        <f>'Forage, input data per ha'!D48*EF_min_fert_N2O_HU/'Forage, input data per ha'!C48</f>
        <v>7.0918375053744449E-6</v>
      </c>
      <c r="G151" s="13">
        <f>EF_capital_goods_N2O</f>
        <v>1.1000000000000001E-6</v>
      </c>
      <c r="H151" s="13">
        <f>('Forage, input data per ha'!D48*'Parameters, country spec'!F80+'Forage, input data per ha'!F48*'Parameters, country spec'!F81)*44/28/'Forage, input data per ha'!C48</f>
        <v>1.7407334076117404E-4</v>
      </c>
      <c r="I151" s="13">
        <f>H151*0.1</f>
        <v>1.7407334076117404E-5</v>
      </c>
      <c r="J151" s="13">
        <f>'Forage, input data per ha'!H48*EF_diesel_N2O*Heating_value_diesel/'Forage, input data per ha'!C48</f>
        <v>1.3085391515895941E-6</v>
      </c>
      <c r="K151" s="13"/>
      <c r="L151" s="13">
        <f>'Forage, input data per ha'!I48*'Parameters, general'!$D$18/'Forage, input data per ha'!C48</f>
        <v>0</v>
      </c>
      <c r="M151" s="13"/>
      <c r="N151" s="13"/>
      <c r="O151" s="13">
        <f>'Parameters, general'!$D$21</f>
        <v>6.8099999999999988E-5</v>
      </c>
      <c r="P151" s="13"/>
    </row>
    <row r="152" spans="1:16" x14ac:dyDescent="0.2">
      <c r="A152" s="103"/>
      <c r="B152" s="103" t="s">
        <v>550</v>
      </c>
      <c r="C152" s="103" t="s">
        <v>44</v>
      </c>
      <c r="D152" s="103" t="s">
        <v>51</v>
      </c>
      <c r="E152" s="443">
        <f t="shared" si="4"/>
        <v>0.23864111801290985</v>
      </c>
      <c r="F152" s="443">
        <f>SUMPRODUCT(F148:F151,'Parameters, general'!$B$24:$B$27)</f>
        <v>2.0147644797677104E-2</v>
      </c>
      <c r="G152" s="443">
        <f>SUMPRODUCT(G148:G151,'Parameters, general'!$B$24:$B$27)</f>
        <v>3.01313E-2</v>
      </c>
      <c r="H152" s="443">
        <f>SUMPRODUCT(H148:H151,'Parameters, general'!$B$24:$B$27)</f>
        <v>4.7522022027800509E-2</v>
      </c>
      <c r="I152" s="443">
        <f>SUMPRODUCT(I148:I151,'Parameters, general'!$B$24:$B$27)</f>
        <v>4.7522022027800511E-3</v>
      </c>
      <c r="J152" s="443">
        <f>SUMPRODUCT(J148:J151,'Parameters, general'!$B$24:$B$27)</f>
        <v>4.9698248984652159E-2</v>
      </c>
      <c r="K152" s="443">
        <f>SUMPRODUCT(K148:K151,'Parameters, general'!$B$24:$B$27)</f>
        <v>0</v>
      </c>
      <c r="L152" s="443">
        <f>SUMPRODUCT(L148:L151,'Parameters, general'!$B$24:$B$27)</f>
        <v>0</v>
      </c>
      <c r="M152" s="443">
        <f>SUMPRODUCT(M148:M151,'Parameters, general'!$B$24:$B$27)</f>
        <v>0</v>
      </c>
      <c r="N152" s="443">
        <f>SUMPRODUCT(N148:N151,'Parameters, general'!$B$24:$B$27)</f>
        <v>0</v>
      </c>
      <c r="O152" s="443">
        <f>SUMPRODUCT(O148:O151,'Parameters, general'!$B$24:$B$27)</f>
        <v>8.6389700000000014E-2</v>
      </c>
      <c r="P152" s="443">
        <f>SUMPRODUCT(P148:P151,'Parameters, general'!$B$24:$B$27)</f>
        <v>0</v>
      </c>
    </row>
    <row r="153" spans="1:16" x14ac:dyDescent="0.2">
      <c r="B153" t="s">
        <v>550</v>
      </c>
      <c r="C153" t="s">
        <v>40</v>
      </c>
      <c r="D153" t="s">
        <v>89</v>
      </c>
      <c r="E153" s="13">
        <f t="shared" si="4"/>
        <v>0.10691629269149173</v>
      </c>
      <c r="F153" s="13">
        <f>'Forage, input data per ha'!D49*EF_min_fert_CO2_IE/'Forage, input data per ha'!C49</f>
        <v>1.8504782820098535E-2</v>
      </c>
      <c r="G153" s="13">
        <f>EF_capital_goods_CO2</f>
        <v>2.7E-2</v>
      </c>
      <c r="H153" s="13"/>
      <c r="I153" s="13"/>
      <c r="J153" s="13">
        <f>'Forage, input data per ha'!H49*EF_diesel_CO2*Heating_value_diesel/'Forage, input data per ha'!C49</f>
        <v>1.4711509871393195E-2</v>
      </c>
      <c r="K153" s="13"/>
      <c r="L153" s="13">
        <f>'Forage, input data per ha'!I49*'Parameters, general'!$B$18/'Forage, input data per ha'!C49</f>
        <v>0</v>
      </c>
      <c r="M153" s="13"/>
      <c r="N153" s="445"/>
      <c r="O153" s="13">
        <f>'Parameters, general'!$B$21</f>
        <v>4.6700000000000005E-2</v>
      </c>
      <c r="P153" s="13"/>
    </row>
    <row r="154" spans="1:16" x14ac:dyDescent="0.2">
      <c r="B154" t="s">
        <v>550</v>
      </c>
      <c r="C154" t="s">
        <v>41</v>
      </c>
      <c r="D154" t="s">
        <v>89</v>
      </c>
      <c r="E154" s="13">
        <f t="shared" si="4"/>
        <v>8.0951670280525489E-4</v>
      </c>
      <c r="F154" s="13">
        <f>'Forage, input data per ha'!D49*EF_min_fert_CH4_IE/'Forage, input data per ha'!C49</f>
        <v>0</v>
      </c>
      <c r="G154" s="13">
        <f>EF_capital_goods_CH4</f>
        <v>9.5000000000000005E-5</v>
      </c>
      <c r="H154" s="13"/>
      <c r="I154" s="13"/>
      <c r="J154" s="13">
        <f>'Forage, input data per ha'!H49*EF_diesel_CH4*Heating_value_diesel/'Forage, input data per ha'!C49</f>
        <v>6.5167028052549151E-6</v>
      </c>
      <c r="K154" s="13"/>
      <c r="L154" s="13">
        <f>'Forage, input data per ha'!I49*'Parameters, general'!$C$18/'Forage, input data per ha'!C49</f>
        <v>0</v>
      </c>
      <c r="M154" s="13"/>
      <c r="N154" s="13"/>
      <c r="O154" s="13">
        <f>'Parameters, general'!$C$21</f>
        <v>7.0799999999999997E-4</v>
      </c>
      <c r="P154" s="13"/>
    </row>
    <row r="155" spans="1:16" x14ac:dyDescent="0.2">
      <c r="B155" t="s">
        <v>550</v>
      </c>
      <c r="C155" t="s">
        <v>547</v>
      </c>
      <c r="D155" t="s">
        <v>89</v>
      </c>
      <c r="E155" s="13">
        <f t="shared" si="4"/>
        <v>0</v>
      </c>
      <c r="F155" s="13"/>
      <c r="G155" s="13"/>
      <c r="H155" s="13"/>
      <c r="I155" s="13"/>
      <c r="J155" s="13"/>
      <c r="K155" s="13"/>
      <c r="L155" s="13"/>
      <c r="M155" s="13"/>
      <c r="N155" s="13"/>
      <c r="O155" s="13"/>
      <c r="P155" s="13"/>
    </row>
    <row r="156" spans="1:16" x14ac:dyDescent="0.2">
      <c r="B156" t="s">
        <v>550</v>
      </c>
      <c r="C156" t="s">
        <v>43</v>
      </c>
      <c r="D156" t="s">
        <v>89</v>
      </c>
      <c r="E156" s="13">
        <f t="shared" si="4"/>
        <v>2.6756598300792229E-4</v>
      </c>
      <c r="F156" s="13">
        <f>'Forage, input data per ha'!D49*EF_min_fert_N2O_IE/'Forage, input data per ha'!C49</f>
        <v>6.4900041646029807E-6</v>
      </c>
      <c r="G156" s="13">
        <f>EF_capital_goods_N2O</f>
        <v>1.1000000000000001E-6</v>
      </c>
      <c r="H156" s="13">
        <f>('Forage, input data per ha'!D49*'Parameters, country spec'!G80+'Forage, input data per ha'!F49*'Parameters, country spec'!G81)*44/28/'Forage, input data per ha'!C49</f>
        <v>1.7407334076117393E-4</v>
      </c>
      <c r="I156" s="13">
        <f>H156*0.1</f>
        <v>1.7407334076117394E-5</v>
      </c>
      <c r="J156" s="13">
        <f>'Forage, input data per ha'!H49*EF_diesel_N2O*Heating_value_diesel/'Forage, input data per ha'!C49</f>
        <v>3.9530400602795201E-7</v>
      </c>
      <c r="K156" s="13"/>
      <c r="L156" s="13">
        <f>'Forage, input data per ha'!I49*'Parameters, general'!$D$18/'Forage, input data per ha'!C49</f>
        <v>0</v>
      </c>
      <c r="M156" s="13"/>
      <c r="N156" s="13"/>
      <c r="O156" s="13">
        <f>'Parameters, general'!$D$21</f>
        <v>6.8099999999999988E-5</v>
      </c>
      <c r="P156" s="13"/>
    </row>
    <row r="157" spans="1:16" x14ac:dyDescent="0.2">
      <c r="A157" s="103"/>
      <c r="B157" s="103" t="s">
        <v>550</v>
      </c>
      <c r="C157" s="103" t="s">
        <v>44</v>
      </c>
      <c r="D157" s="103" t="s">
        <v>89</v>
      </c>
      <c r="E157" s="443">
        <f t="shared" si="4"/>
        <v>0.20408540379625112</v>
      </c>
      <c r="F157" s="443">
        <f>SUMPRODUCT(F153:F156,'Parameters, general'!$B$24:$B$27)</f>
        <v>2.0276553957035148E-2</v>
      </c>
      <c r="G157" s="443">
        <f>SUMPRODUCT(G153:G156,'Parameters, general'!$B$24:$B$27)</f>
        <v>3.01313E-2</v>
      </c>
      <c r="H157" s="443">
        <f>SUMPRODUCT(H153:H156,'Parameters, general'!$B$24:$B$27)</f>
        <v>4.7522022027800481E-2</v>
      </c>
      <c r="I157" s="443">
        <f>SUMPRODUCT(I153:I156,'Parameters, general'!$B$24:$B$27)</f>
        <v>4.7522022027800485E-3</v>
      </c>
      <c r="J157" s="443">
        <f>SUMPRODUCT(J153:J156,'Parameters, general'!$B$24:$B$27)</f>
        <v>1.5013625608635421E-2</v>
      </c>
      <c r="K157" s="443">
        <f>SUMPRODUCT(K153:K156,'Parameters, general'!$B$24:$B$27)</f>
        <v>0</v>
      </c>
      <c r="L157" s="443">
        <f>SUMPRODUCT(L153:L156,'Parameters, general'!$B$24:$B$27)</f>
        <v>0</v>
      </c>
      <c r="M157" s="443">
        <f>SUMPRODUCT(M153:M156,'Parameters, general'!$B$24:$B$27)</f>
        <v>0</v>
      </c>
      <c r="N157" s="443">
        <f>SUMPRODUCT(N153:N156,'Parameters, general'!$B$24:$B$27)</f>
        <v>0</v>
      </c>
      <c r="O157" s="443">
        <f>SUMPRODUCT(O153:O156,'Parameters, general'!$B$24:$B$27)</f>
        <v>8.6389700000000014E-2</v>
      </c>
      <c r="P157" s="443">
        <f>SUMPRODUCT(P153:P156,'Parameters, general'!$B$24:$B$27)</f>
        <v>0</v>
      </c>
    </row>
    <row r="158" spans="1:16" x14ac:dyDescent="0.2">
      <c r="B158" t="s">
        <v>550</v>
      </c>
      <c r="C158" t="s">
        <v>40</v>
      </c>
      <c r="D158" t="s">
        <v>55</v>
      </c>
      <c r="E158" s="13">
        <f t="shared" si="4"/>
        <v>0.10581866453428167</v>
      </c>
      <c r="F158" s="13">
        <f>'Forage, input data per ha'!D50*EF_min_fert_CO2_IT/'Forage, input data per ha'!C50</f>
        <v>1.9993061902755585E-2</v>
      </c>
      <c r="G158" s="13">
        <f>EF_capital_goods_CO2</f>
        <v>2.7E-2</v>
      </c>
      <c r="H158" s="13"/>
      <c r="I158" s="13"/>
      <c r="J158" s="13">
        <f>'Forage, input data per ha'!H50*EF_diesel_CO2*Heating_value_diesel/'Forage, input data per ha'!C50</f>
        <v>1.2125602631526081E-2</v>
      </c>
      <c r="K158" s="13"/>
      <c r="L158" s="13">
        <f>'Forage, input data per ha'!I50*'Parameters, general'!$B$18/'Forage, input data per ha'!C50</f>
        <v>0</v>
      </c>
      <c r="M158" s="13"/>
      <c r="N158" s="13"/>
      <c r="O158" s="13">
        <f>'Parameters, general'!$B$21</f>
        <v>4.6700000000000005E-2</v>
      </c>
      <c r="P158" s="13"/>
    </row>
    <row r="159" spans="1:16" x14ac:dyDescent="0.2">
      <c r="B159" t="s">
        <v>550</v>
      </c>
      <c r="C159" t="s">
        <v>41</v>
      </c>
      <c r="D159" t="s">
        <v>55</v>
      </c>
      <c r="E159" s="13">
        <f t="shared" si="4"/>
        <v>8.0837123309402293E-4</v>
      </c>
      <c r="F159" s="13">
        <f>'Forage, input data per ha'!D50*EF_min_fert_CH4_IT/'Forage, input data per ha'!C50</f>
        <v>0</v>
      </c>
      <c r="G159" s="13">
        <f>EF_capital_goods_CH4</f>
        <v>9.5000000000000005E-5</v>
      </c>
      <c r="H159" s="13"/>
      <c r="I159" s="13"/>
      <c r="J159" s="13">
        <f>'Forage, input data per ha'!H50*EF_diesel_CH4*Heating_value_diesel/'Forage, input data per ha'!C50</f>
        <v>5.3712330940229473E-6</v>
      </c>
      <c r="K159" s="13"/>
      <c r="L159" s="13">
        <f>'Forage, input data per ha'!I50*'Parameters, general'!$C$18/'Forage, input data per ha'!C50</f>
        <v>0</v>
      </c>
      <c r="M159" s="13"/>
      <c r="N159" s="13"/>
      <c r="O159" s="13">
        <f>'Parameters, general'!$C$21</f>
        <v>7.0799999999999997E-4</v>
      </c>
      <c r="P159" s="13"/>
    </row>
    <row r="160" spans="1:16" x14ac:dyDescent="0.2">
      <c r="B160" t="s">
        <v>550</v>
      </c>
      <c r="C160" t="s">
        <v>547</v>
      </c>
      <c r="D160" t="s">
        <v>55</v>
      </c>
      <c r="E160" s="13">
        <f t="shared" ref="E160:E182" si="5">SUM(F160:P160)</f>
        <v>0</v>
      </c>
      <c r="F160" s="13"/>
      <c r="G160" s="13"/>
      <c r="H160" s="13"/>
      <c r="I160" s="13"/>
      <c r="J160" s="13"/>
      <c r="K160" s="13"/>
      <c r="L160" s="13"/>
      <c r="M160" s="13"/>
      <c r="N160" s="13"/>
      <c r="O160" s="13"/>
      <c r="P160" s="13"/>
    </row>
    <row r="161" spans="1:16" x14ac:dyDescent="0.2">
      <c r="B161" t="s">
        <v>550</v>
      </c>
      <c r="C161" t="s">
        <v>43</v>
      </c>
      <c r="D161" t="s">
        <v>55</v>
      </c>
      <c r="E161" s="13">
        <f t="shared" si="5"/>
        <v>2.6189468079684114E-4</v>
      </c>
      <c r="F161" s="13">
        <f>'Forage, input data per ha'!D50*EF_min_fert_N2O_IT/'Forage, input data per ha'!C50</f>
        <v>8.8818628926129871E-7</v>
      </c>
      <c r="G161" s="13">
        <f>EF_capital_goods_N2O</f>
        <v>1.1000000000000001E-6</v>
      </c>
      <c r="H161" s="13">
        <f>('Forage, input data per ha'!D50*'Parameters, country spec'!H80+'Forage, input data per ha'!F50*'Parameters, country spec'!H81)*44/28/'Forage, input data per ha'!C50</f>
        <v>1.7407334076117382E-4</v>
      </c>
      <c r="I161" s="13">
        <f>H161*0.1</f>
        <v>1.7407334076117384E-5</v>
      </c>
      <c r="J161" s="13">
        <f>'Forage, input data per ha'!H50*EF_diesel_N2O*Heating_value_diesel/'Forage, input data per ha'!C50</f>
        <v>3.2581967028863549E-7</v>
      </c>
      <c r="K161" s="13"/>
      <c r="L161" s="13">
        <f>'Forage, input data per ha'!I50*'Parameters, general'!$D$18/'Forage, input data per ha'!C50</f>
        <v>0</v>
      </c>
      <c r="M161" s="13"/>
      <c r="N161" s="13"/>
      <c r="O161" s="13">
        <f>'Parameters, general'!$D$21</f>
        <v>6.8099999999999988E-5</v>
      </c>
      <c r="P161" s="13"/>
    </row>
    <row r="162" spans="1:16" x14ac:dyDescent="0.2">
      <c r="A162" s="103"/>
      <c r="B162" s="103" t="s">
        <v>550</v>
      </c>
      <c r="C162" s="103" t="s">
        <v>44</v>
      </c>
      <c r="D162" s="103" t="s">
        <v>55</v>
      </c>
      <c r="E162" s="443">
        <f t="shared" si="5"/>
        <v>0.2014053751380212</v>
      </c>
      <c r="F162" s="443">
        <f>SUMPRODUCT(F158:F161,'Parameters, general'!$B$24:$B$27)</f>
        <v>2.0235536759723921E-2</v>
      </c>
      <c r="G162" s="443">
        <f>SUMPRODUCT(G158:G161,'Parameters, general'!$B$24:$B$27)</f>
        <v>3.01313E-2</v>
      </c>
      <c r="H162" s="443">
        <f>SUMPRODUCT(H158:H161,'Parameters, general'!$B$24:$B$27)</f>
        <v>4.7522022027800453E-2</v>
      </c>
      <c r="I162" s="443">
        <f>SUMPRODUCT(I158:I161,'Parameters, general'!$B$24:$B$27)</f>
        <v>4.7522022027800459E-3</v>
      </c>
      <c r="J162" s="443">
        <f>SUMPRODUCT(J158:J161,'Parameters, general'!$B$24:$B$27)</f>
        <v>1.2374614147716761E-2</v>
      </c>
      <c r="K162" s="443">
        <f>SUMPRODUCT(K158:K161,'Parameters, general'!$B$24:$B$27)</f>
        <v>0</v>
      </c>
      <c r="L162" s="443">
        <f>SUMPRODUCT(L158:L161,'Parameters, general'!$B$24:$B$27)</f>
        <v>0</v>
      </c>
      <c r="M162" s="443">
        <f>SUMPRODUCT(M158:M161,'Parameters, general'!$B$24:$B$27)</f>
        <v>0</v>
      </c>
      <c r="N162" s="443">
        <f>SUMPRODUCT(N158:N161,'Parameters, general'!$B$24:$B$27)</f>
        <v>0</v>
      </c>
      <c r="O162" s="443">
        <f>SUMPRODUCT(O158:O161,'Parameters, general'!$B$24:$B$27)</f>
        <v>8.6389700000000014E-2</v>
      </c>
      <c r="P162" s="443">
        <f>SUMPRODUCT(P158:P161,'Parameters, general'!$B$24:$B$27)</f>
        <v>0</v>
      </c>
    </row>
    <row r="163" spans="1:16" x14ac:dyDescent="0.2">
      <c r="B163" t="s">
        <v>550</v>
      </c>
      <c r="C163" t="s">
        <v>40</v>
      </c>
      <c r="D163" t="s">
        <v>87</v>
      </c>
      <c r="E163" s="13">
        <f t="shared" si="5"/>
        <v>0.17595516593972921</v>
      </c>
      <c r="F163" s="13">
        <f>'Forage, input data per ha'!D51*EF_min_fert_CO2_NL/'Forage, input data per ha'!C51</f>
        <v>8.1653146112385361E-2</v>
      </c>
      <c r="G163" s="13">
        <f>EF_capital_goods_CO2</f>
        <v>2.7E-2</v>
      </c>
      <c r="H163" s="13"/>
      <c r="I163" s="13"/>
      <c r="J163" s="13">
        <f>'Forage, input data per ha'!H51*EF_diesel_CO2*Heating_value_diesel/'Forage, input data per ha'!C51</f>
        <v>2.0602019827343845E-2</v>
      </c>
      <c r="K163" s="13"/>
      <c r="L163" s="13">
        <f>'Forage, input data per ha'!I51*'Parameters, general'!$B$18/'Forage, input data per ha'!C51</f>
        <v>0</v>
      </c>
      <c r="M163" s="13"/>
      <c r="N163" s="445"/>
      <c r="O163" s="13">
        <f>'Parameters, general'!$B$21</f>
        <v>4.6700000000000005E-2</v>
      </c>
      <c r="P163" s="13"/>
    </row>
    <row r="164" spans="1:16" x14ac:dyDescent="0.2">
      <c r="B164" t="s">
        <v>550</v>
      </c>
      <c r="C164" t="s">
        <v>41</v>
      </c>
      <c r="D164" t="s">
        <v>87</v>
      </c>
      <c r="E164" s="13">
        <f t="shared" si="5"/>
        <v>8.1212600008948325E-4</v>
      </c>
      <c r="F164" s="13">
        <f>'Forage, input data per ha'!D51*EF_min_fert_CH4_NL/'Forage, input data per ha'!C51</f>
        <v>0</v>
      </c>
      <c r="G164" s="13">
        <f>EF_capital_goods_CH4</f>
        <v>9.5000000000000005E-5</v>
      </c>
      <c r="H164" s="13"/>
      <c r="I164" s="13"/>
      <c r="J164" s="13">
        <f>'Forage, input data per ha'!H51*EF_diesel_CH4*Heating_value_diesel/'Forage, input data per ha'!C51</f>
        <v>9.1260000894833206E-6</v>
      </c>
      <c r="K164" s="13"/>
      <c r="L164" s="13">
        <f>'Forage, input data per ha'!I51*'Parameters, general'!$C$18/'Forage, input data per ha'!C51</f>
        <v>0</v>
      </c>
      <c r="M164" s="13"/>
      <c r="N164" s="13"/>
      <c r="O164" s="13">
        <f>'Parameters, general'!$C$21</f>
        <v>7.0799999999999997E-4</v>
      </c>
      <c r="P164" s="13"/>
    </row>
    <row r="165" spans="1:16" x14ac:dyDescent="0.2">
      <c r="B165" t="s">
        <v>550</v>
      </c>
      <c r="C165" t="s">
        <v>547</v>
      </c>
      <c r="D165" t="s">
        <v>87</v>
      </c>
      <c r="E165" s="13">
        <f t="shared" si="5"/>
        <v>0</v>
      </c>
      <c r="F165" s="13"/>
      <c r="G165" s="13"/>
      <c r="H165" s="13"/>
      <c r="I165" s="13"/>
      <c r="J165" s="13"/>
      <c r="K165" s="13"/>
      <c r="L165" s="13"/>
      <c r="M165" s="13"/>
      <c r="N165" s="13"/>
      <c r="O165" s="13"/>
      <c r="P165" s="13"/>
    </row>
    <row r="166" spans="1:16" x14ac:dyDescent="0.2">
      <c r="B166" t="s">
        <v>550</v>
      </c>
      <c r="C166" t="s">
        <v>43</v>
      </c>
      <c r="D166" t="s">
        <v>87</v>
      </c>
      <c r="E166" s="13">
        <f t="shared" si="5"/>
        <v>8.47375669706636E-4</v>
      </c>
      <c r="F166" s="13">
        <f>'Forage, input data per ha'!D51*EF_min_fert_N2O_NL/'Forage, input data per ha'!C51</f>
        <v>3.189970981050869E-5</v>
      </c>
      <c r="G166" s="13">
        <f>EF_capital_goods_N2O</f>
        <v>1.1000000000000001E-6</v>
      </c>
      <c r="H166" s="13">
        <f>('Forage, input data per ha'!D51*'Parameters, country spec'!I80+'Forage, input data per ha'!F51*'Parameters, country spec'!I81)*44/28/'Forage, input data per ha'!C51</f>
        <v>6.7792943235542443E-4</v>
      </c>
      <c r="I166" s="13">
        <f>H166*0.1</f>
        <v>6.7792943235542451E-5</v>
      </c>
      <c r="J166" s="13">
        <f>'Forage, input data per ha'!H51*EF_diesel_N2O*Heating_value_diesel/'Forage, input data per ha'!C51</f>
        <v>5.5358430516045113E-7</v>
      </c>
      <c r="K166" s="13"/>
      <c r="L166" s="13">
        <f>'Forage, input data per ha'!I51*'Parameters, general'!$D$18/'Forage, input data per ha'!C51</f>
        <v>0</v>
      </c>
      <c r="M166" s="13"/>
      <c r="N166" s="13"/>
      <c r="O166" s="13">
        <f>'Parameters, general'!$D$21</f>
        <v>6.8099999999999988E-5</v>
      </c>
      <c r="P166" s="13"/>
    </row>
    <row r="167" spans="1:16" x14ac:dyDescent="0.2">
      <c r="A167" s="103"/>
      <c r="B167" s="103" t="s">
        <v>550</v>
      </c>
      <c r="C167" s="103" t="s">
        <v>44</v>
      </c>
      <c r="D167" s="103" t="s">
        <v>87</v>
      </c>
      <c r="E167" s="443">
        <f t="shared" si="5"/>
        <v>0.43149007857230748</v>
      </c>
      <c r="F167" s="443">
        <f>SUMPRODUCT(F163:F166,'Parameters, general'!$B$24:$B$27)</f>
        <v>9.0361766890654227E-2</v>
      </c>
      <c r="G167" s="443">
        <f>SUMPRODUCT(G163:G166,'Parameters, general'!$B$24:$B$27)</f>
        <v>3.01313E-2</v>
      </c>
      <c r="H167" s="443">
        <f>SUMPRODUCT(H163:H166,'Parameters, general'!$B$24:$B$27)</f>
        <v>0.18507473503303087</v>
      </c>
      <c r="I167" s="443">
        <f>SUMPRODUCT(I163:I166,'Parameters, general'!$B$24:$B$27)</f>
        <v>1.850747350330309E-2</v>
      </c>
      <c r="J167" s="443">
        <f>SUMPRODUCT(J163:J166,'Parameters, general'!$B$24:$B$27)</f>
        <v>2.1025103145319253E-2</v>
      </c>
      <c r="K167" s="443">
        <f>SUMPRODUCT(K163:K166,'Parameters, general'!$B$24:$B$27)</f>
        <v>0</v>
      </c>
      <c r="L167" s="443">
        <f>SUMPRODUCT(L163:L166,'Parameters, general'!$B$24:$B$27)</f>
        <v>0</v>
      </c>
      <c r="M167" s="443">
        <f>SUMPRODUCT(M163:M166,'Parameters, general'!$B$24:$B$27)</f>
        <v>0</v>
      </c>
      <c r="N167" s="443">
        <f>SUMPRODUCT(N163:N166,'Parameters, general'!$B$24:$B$27)</f>
        <v>0</v>
      </c>
      <c r="O167" s="443">
        <f>SUMPRODUCT(O163:O166,'Parameters, general'!$B$24:$B$27)</f>
        <v>8.6389700000000014E-2</v>
      </c>
      <c r="P167" s="443">
        <f>SUMPRODUCT(P163:P166,'Parameters, general'!$B$24:$B$27)</f>
        <v>0</v>
      </c>
    </row>
    <row r="168" spans="1:16" x14ac:dyDescent="0.2">
      <c r="B168" t="s">
        <v>550</v>
      </c>
      <c r="C168" t="s">
        <v>40</v>
      </c>
      <c r="D168" t="s">
        <v>59</v>
      </c>
      <c r="E168" s="13">
        <f t="shared" si="5"/>
        <v>0.10660491175098923</v>
      </c>
      <c r="F168" s="13">
        <f>'Forage, input data per ha'!D52*EF_min_fert_CO2_PL/'Forage, input data per ha'!C52</f>
        <v>1.768209421188895E-2</v>
      </c>
      <c r="G168" s="13">
        <f>EF_capital_goods_CO2</f>
        <v>2.7E-2</v>
      </c>
      <c r="H168" s="13"/>
      <c r="I168" s="13"/>
      <c r="J168" s="13">
        <f>'Forage, input data per ha'!H52*EF_diesel_CO2*Heating_value_diesel/'Forage, input data per ha'!C52</f>
        <v>1.5222817539100274E-2</v>
      </c>
      <c r="K168" s="13"/>
      <c r="L168" s="13">
        <f>'Forage, input data per ha'!I52*'Parameters, general'!$B$18/'Forage, input data per ha'!C52</f>
        <v>0</v>
      </c>
      <c r="M168" s="13"/>
      <c r="N168" s="445"/>
      <c r="O168" s="13">
        <f>'Parameters, general'!$B$21</f>
        <v>4.6700000000000005E-2</v>
      </c>
      <c r="P168" s="13"/>
    </row>
    <row r="169" spans="1:16" x14ac:dyDescent="0.2">
      <c r="B169" t="s">
        <v>550</v>
      </c>
      <c r="C169" t="s">
        <v>41</v>
      </c>
      <c r="D169" t="s">
        <v>59</v>
      </c>
      <c r="E169" s="13">
        <f t="shared" si="5"/>
        <v>8.0974319486090544E-4</v>
      </c>
      <c r="F169" s="13">
        <f>'Forage, input data per ha'!D52*EF_min_fert_CH4_PL/'Forage, input data per ha'!C52</f>
        <v>0</v>
      </c>
      <c r="G169" s="13">
        <f>EF_capital_goods_CH4</f>
        <v>9.5000000000000005E-5</v>
      </c>
      <c r="H169" s="13"/>
      <c r="I169" s="13"/>
      <c r="J169" s="13">
        <f>'Forage, input data per ha'!H52*EF_diesel_CH4*Heating_value_diesel/'Forage, input data per ha'!C52</f>
        <v>6.7431948609054567E-6</v>
      </c>
      <c r="K169" s="13"/>
      <c r="L169" s="13">
        <f>'Forage, input data per ha'!I52*'Parameters, general'!$C$18/'Forage, input data per ha'!C52</f>
        <v>0</v>
      </c>
      <c r="M169" s="13"/>
      <c r="N169" s="13"/>
      <c r="O169" s="13">
        <f>'Parameters, general'!$C$21</f>
        <v>7.0799999999999997E-4</v>
      </c>
      <c r="P169" s="13"/>
    </row>
    <row r="170" spans="1:16" x14ac:dyDescent="0.2">
      <c r="B170" t="s">
        <v>550</v>
      </c>
      <c r="C170" t="s">
        <v>547</v>
      </c>
      <c r="D170" t="s">
        <v>59</v>
      </c>
      <c r="E170" s="13">
        <f t="shared" si="5"/>
        <v>0</v>
      </c>
      <c r="F170" s="13"/>
      <c r="G170" s="13"/>
      <c r="H170" s="13"/>
      <c r="I170" s="13"/>
      <c r="J170" s="13"/>
      <c r="K170" s="13"/>
      <c r="L170" s="13"/>
      <c r="M170" s="13"/>
      <c r="N170" s="13"/>
      <c r="O170" s="13"/>
      <c r="P170" s="13"/>
    </row>
    <row r="171" spans="1:16" x14ac:dyDescent="0.2">
      <c r="B171" t="s">
        <v>550</v>
      </c>
      <c r="C171" t="s">
        <v>43</v>
      </c>
      <c r="D171" t="s">
        <v>59</v>
      </c>
      <c r="E171" s="13">
        <f t="shared" si="5"/>
        <v>2.6809483797895741E-4</v>
      </c>
      <c r="F171" s="13">
        <f>'Forage, input data per ha'!D52*EF_min_fert_N2O_PL/'Forage, input data per ha'!C52</f>
        <v>7.0051200992561676E-6</v>
      </c>
      <c r="G171" s="13">
        <f>EF_capital_goods_N2O</f>
        <v>1.1000000000000001E-6</v>
      </c>
      <c r="H171" s="13">
        <f>('Forage, input data per ha'!D52*'Parameters, country spec'!J80+'Forage, input data per ha'!F52*'Parameters, country spec'!J81)*44/28/'Forage, input data per ha'!C52</f>
        <v>1.740733407611739E-4</v>
      </c>
      <c r="I171" s="13">
        <f>H171*0.1</f>
        <v>1.7407334076117391E-5</v>
      </c>
      <c r="J171" s="13">
        <f>'Forage, input data per ha'!H52*EF_diesel_N2O*Heating_value_diesel/'Forage, input data per ha'!C52</f>
        <v>4.0904304240996526E-7</v>
      </c>
      <c r="K171" s="13"/>
      <c r="L171" s="13">
        <f>'Forage, input data per ha'!I52*'Parameters, general'!$D$18/'Forage, input data per ha'!C52</f>
        <v>0</v>
      </c>
      <c r="M171" s="13"/>
      <c r="N171" s="13"/>
      <c r="O171" s="13">
        <f>'Parameters, general'!$D$21</f>
        <v>6.8099999999999988E-5</v>
      </c>
      <c r="P171" s="13"/>
    </row>
    <row r="172" spans="1:16" x14ac:dyDescent="0.2">
      <c r="A172" s="103"/>
      <c r="B172" s="103" t="s">
        <v>550</v>
      </c>
      <c r="C172" s="103" t="s">
        <v>44</v>
      </c>
      <c r="D172" s="103" t="s">
        <v>59</v>
      </c>
      <c r="E172" s="443">
        <f t="shared" si="5"/>
        <v>0.2039251497260996</v>
      </c>
      <c r="F172" s="443">
        <f>SUMPRODUCT(F168:F171,'Parameters, general'!$B$24:$B$27)</f>
        <v>1.9594491998985882E-2</v>
      </c>
      <c r="G172" s="443">
        <f>SUMPRODUCT(G168:G171,'Parameters, general'!$B$24:$B$27)</f>
        <v>3.01313E-2</v>
      </c>
      <c r="H172" s="443">
        <f>SUMPRODUCT(H168:H171,'Parameters, general'!$B$24:$B$27)</f>
        <v>4.7522022027800474E-2</v>
      </c>
      <c r="I172" s="443">
        <f>SUMPRODUCT(I168:I171,'Parameters, general'!$B$24:$B$27)</f>
        <v>4.7522022027800476E-3</v>
      </c>
      <c r="J172" s="443">
        <f>SUMPRODUCT(J168:J171,'Parameters, general'!$B$24:$B$27)</f>
        <v>1.5535433496533177E-2</v>
      </c>
      <c r="K172" s="443">
        <f>SUMPRODUCT(K168:K171,'Parameters, general'!$B$24:$B$27)</f>
        <v>0</v>
      </c>
      <c r="L172" s="443">
        <f>SUMPRODUCT(L168:L171,'Parameters, general'!$B$24:$B$27)</f>
        <v>0</v>
      </c>
      <c r="M172" s="443">
        <f>SUMPRODUCT(M168:M171,'Parameters, general'!$B$24:$B$27)</f>
        <v>0</v>
      </c>
      <c r="N172" s="443">
        <f>SUMPRODUCT(N168:N171,'Parameters, general'!$B$24:$B$27)</f>
        <v>0</v>
      </c>
      <c r="O172" s="443">
        <f>SUMPRODUCT(O168:O171,'Parameters, general'!$B$24:$B$27)</f>
        <v>8.6389700000000014E-2</v>
      </c>
      <c r="P172" s="443">
        <f>SUMPRODUCT(P168:P171,'Parameters, general'!$B$24:$B$27)</f>
        <v>0</v>
      </c>
    </row>
    <row r="173" spans="1:16" x14ac:dyDescent="0.2">
      <c r="B173" t="s">
        <v>550</v>
      </c>
      <c r="C173" t="s">
        <v>40</v>
      </c>
      <c r="D173" t="s">
        <v>61</v>
      </c>
      <c r="E173" s="13">
        <f t="shared" si="5"/>
        <v>0.11489158390984755</v>
      </c>
      <c r="F173" s="13">
        <f>'Forage, input data per ha'!D53*EF_min_fert_CO2_ES/'Forage, input data per ha'!C53</f>
        <v>1.9272470698109442E-2</v>
      </c>
      <c r="G173" s="13">
        <f>EF_capital_goods_CO2</f>
        <v>2.7E-2</v>
      </c>
      <c r="H173" s="13"/>
      <c r="I173" s="13"/>
      <c r="J173" s="13">
        <f>'Forage, input data per ha'!H53*EF_diesel_CO2*Heating_value_diesel/'Forage, input data per ha'!C53</f>
        <v>2.1919113211738103E-2</v>
      </c>
      <c r="K173" s="13"/>
      <c r="L173" s="13">
        <f>'Forage, input data per ha'!I53*'Parameters, general'!$B$18/'Forage, input data per ha'!C53</f>
        <v>0</v>
      </c>
      <c r="M173" s="13"/>
      <c r="N173" s="13"/>
      <c r="O173" s="13">
        <f>'Parameters, general'!$B$21</f>
        <v>4.6700000000000005E-2</v>
      </c>
      <c r="P173" s="13"/>
    </row>
    <row r="174" spans="1:16" x14ac:dyDescent="0.2">
      <c r="B174" t="s">
        <v>550</v>
      </c>
      <c r="C174" t="s">
        <v>41</v>
      </c>
      <c r="D174" t="s">
        <v>61</v>
      </c>
      <c r="E174" s="13">
        <f t="shared" si="5"/>
        <v>8.1270942804676969E-4</v>
      </c>
      <c r="F174" s="13">
        <f>'Forage, input data per ha'!D53*EF_min_fert_CH4_ES/'Forage, input data per ha'!C53</f>
        <v>0</v>
      </c>
      <c r="G174" s="13">
        <f>EF_capital_goods_CH4</f>
        <v>9.5000000000000005E-5</v>
      </c>
      <c r="H174" s="13"/>
      <c r="I174" s="13"/>
      <c r="J174" s="13">
        <f>'Forage, input data per ha'!H53*EF_diesel_CH4*Heating_value_diesel/'Forage, input data per ha'!C53</f>
        <v>9.7094280467696582E-6</v>
      </c>
      <c r="K174" s="13"/>
      <c r="L174" s="13">
        <f>'Forage, input data per ha'!I53*'Parameters, general'!$C$18/'Forage, input data per ha'!C53</f>
        <v>0</v>
      </c>
      <c r="M174" s="13"/>
      <c r="N174" s="13"/>
      <c r="O174" s="13">
        <f>'Parameters, general'!$C$21</f>
        <v>7.0799999999999997E-4</v>
      </c>
      <c r="P174" s="13"/>
    </row>
    <row r="175" spans="1:16" x14ac:dyDescent="0.2">
      <c r="B175" t="s">
        <v>550</v>
      </c>
      <c r="C175" t="s">
        <v>547</v>
      </c>
      <c r="D175" t="s">
        <v>61</v>
      </c>
      <c r="E175" s="13">
        <f t="shared" si="5"/>
        <v>0</v>
      </c>
      <c r="F175" s="13"/>
      <c r="G175" s="13"/>
      <c r="H175" s="13"/>
      <c r="I175" s="13"/>
      <c r="J175" s="13"/>
      <c r="K175" s="13"/>
      <c r="L175" s="13"/>
      <c r="M175" s="13"/>
      <c r="N175" s="13"/>
      <c r="O175" s="13"/>
      <c r="P175" s="13"/>
    </row>
    <row r="176" spans="1:16" x14ac:dyDescent="0.2">
      <c r="B176" t="s">
        <v>550</v>
      </c>
      <c r="C176" t="s">
        <v>43</v>
      </c>
      <c r="D176" t="s">
        <v>61</v>
      </c>
      <c r="E176" s="13">
        <f t="shared" si="5"/>
        <v>2.2569508789243859E-4</v>
      </c>
      <c r="F176" s="13">
        <f>'Forage, input data per ha'!D53*EF_min_fert_N2O_ES/'Forage, input data per ha'!C53</f>
        <v>3.2106552869327245E-6</v>
      </c>
      <c r="G176" s="13">
        <f>EF_capital_goods_N2O</f>
        <v>1.1000000000000001E-6</v>
      </c>
      <c r="H176" s="13">
        <f>('Forage, input data per ha'!D53*'Parameters, country spec'!K80+'Forage, input data per ha'!F53*'Parameters, country spec'!K81)*44/28/'Forage, input data per ha'!C53</f>
        <v>1.3881405226144817E-4</v>
      </c>
      <c r="I176" s="13">
        <f>H176*0.1</f>
        <v>1.3881405226144818E-5</v>
      </c>
      <c r="J176" s="13">
        <f>'Forage, input data per ha'!H53*EF_diesel_N2O*Heating_value_diesel/'Forage, input data per ha'!C53</f>
        <v>5.8897511791287848E-7</v>
      </c>
      <c r="K176" s="13"/>
      <c r="L176" s="13">
        <f>'Forage, input data per ha'!I53*'Parameters, general'!$D$18/'Forage, input data per ha'!C53</f>
        <v>0</v>
      </c>
      <c r="M176" s="13"/>
      <c r="N176" s="13"/>
      <c r="O176" s="13">
        <f>'Parameters, general'!$D$21</f>
        <v>6.8099999999999988E-5</v>
      </c>
      <c r="P176" s="13"/>
    </row>
    <row r="177" spans="1:16" x14ac:dyDescent="0.2">
      <c r="A177" s="103"/>
      <c r="B177" s="103" t="s">
        <v>550</v>
      </c>
      <c r="C177" s="103" t="s">
        <v>44</v>
      </c>
      <c r="D177" s="103" t="s">
        <v>61</v>
      </c>
      <c r="E177" s="443">
        <f t="shared" si="5"/>
        <v>0.20072508386027701</v>
      </c>
      <c r="F177" s="443">
        <f>SUMPRODUCT(F173:F176,'Parameters, general'!$B$24:$B$27)</f>
        <v>2.0148979591442077E-2</v>
      </c>
      <c r="G177" s="443">
        <f>SUMPRODUCT(G173:G176,'Parameters, general'!$B$24:$B$27)</f>
        <v>3.01313E-2</v>
      </c>
      <c r="H177" s="443">
        <f>SUMPRODUCT(H173:H176,'Parameters, general'!$B$24:$B$27)</f>
        <v>3.7896236267375351E-2</v>
      </c>
      <c r="I177" s="443">
        <f>SUMPRODUCT(I173:I176,'Parameters, general'!$B$24:$B$27)</f>
        <v>3.7896236267375353E-3</v>
      </c>
      <c r="J177" s="443">
        <f>SUMPRODUCT(J173:J176,'Parameters, general'!$B$24:$B$27)</f>
        <v>2.2369244374722055E-2</v>
      </c>
      <c r="K177" s="443">
        <f>SUMPRODUCT(K173:K176,'Parameters, general'!$B$24:$B$27)</f>
        <v>0</v>
      </c>
      <c r="L177" s="443">
        <f>SUMPRODUCT(L173:L176,'Parameters, general'!$B$24:$B$27)</f>
        <v>0</v>
      </c>
      <c r="M177" s="443">
        <f>SUMPRODUCT(M173:M176,'Parameters, general'!$B$24:$B$27)</f>
        <v>0</v>
      </c>
      <c r="N177" s="443">
        <f>SUMPRODUCT(N173:N176,'Parameters, general'!$B$24:$B$27)</f>
        <v>0</v>
      </c>
      <c r="O177" s="443">
        <f>SUMPRODUCT(O173:O176,'Parameters, general'!$B$24:$B$27)</f>
        <v>8.6389700000000014E-2</v>
      </c>
      <c r="P177" s="443">
        <f>SUMPRODUCT(P173:P176,'Parameters, general'!$B$24:$B$27)</f>
        <v>0</v>
      </c>
    </row>
    <row r="178" spans="1:16" x14ac:dyDescent="0.2">
      <c r="B178" t="s">
        <v>550</v>
      </c>
      <c r="C178" t="s">
        <v>40</v>
      </c>
      <c r="D178" t="s">
        <v>63</v>
      </c>
      <c r="E178" s="13">
        <f t="shared" si="5"/>
        <v>0.11645416913861303</v>
      </c>
      <c r="F178" s="13">
        <f>'Forage, input data per ha'!D54*EF_min_fert_CO2_SE/'Forage, input data per ha'!C54</f>
        <v>2.1297402200971077E-2</v>
      </c>
      <c r="G178" s="13">
        <f>EF_capital_goods_CO2</f>
        <v>2.7E-2</v>
      </c>
      <c r="H178" s="13"/>
      <c r="I178" s="13"/>
      <c r="J178" s="13">
        <f>'Forage, input data per ha'!H54*EF_diesel_CO2*Heating_value_diesel/'Forage, input data per ha'!C54</f>
        <v>2.1456766937641952E-2</v>
      </c>
      <c r="K178" s="13"/>
      <c r="L178" s="13">
        <f>'Forage, input data per ha'!I54*'Parameters, general'!$B$18/'Forage, input data per ha'!C54</f>
        <v>0</v>
      </c>
      <c r="M178" s="13"/>
      <c r="N178" s="445"/>
      <c r="O178" s="13">
        <f>'Parameters, general'!$B$21</f>
        <v>4.6700000000000005E-2</v>
      </c>
      <c r="P178" s="13"/>
    </row>
    <row r="179" spans="1:16" x14ac:dyDescent="0.2">
      <c r="B179" t="s">
        <v>550</v>
      </c>
      <c r="C179" t="s">
        <v>41</v>
      </c>
      <c r="D179" t="s">
        <v>63</v>
      </c>
      <c r="E179" s="13">
        <f t="shared" si="5"/>
        <v>8.1250462423752498E-4</v>
      </c>
      <c r="F179" s="13">
        <f>'Forage, input data per ha'!D54*EF_min_fert_CH4_SE/'Forage, input data per ha'!C54</f>
        <v>0</v>
      </c>
      <c r="G179" s="13">
        <f>EF_capital_goods_CH4</f>
        <v>9.5000000000000005E-5</v>
      </c>
      <c r="H179" s="13"/>
      <c r="I179" s="13"/>
      <c r="J179" s="13">
        <f>'Forage, input data per ha'!H54*EF_diesel_CH4*Heating_value_diesel/'Forage, input data per ha'!C54</f>
        <v>9.5046242375250124E-6</v>
      </c>
      <c r="K179" s="13"/>
      <c r="L179" s="13">
        <f>'Forage, input data per ha'!I54*'Parameters, general'!$C$18/'Forage, input data per ha'!C54</f>
        <v>0</v>
      </c>
      <c r="M179" s="13"/>
      <c r="N179" s="13"/>
      <c r="O179" s="13">
        <f>'Parameters, general'!$C$21</f>
        <v>7.0799999999999997E-4</v>
      </c>
      <c r="P179" s="13"/>
    </row>
    <row r="180" spans="1:16" x14ac:dyDescent="0.2">
      <c r="B180" t="s">
        <v>550</v>
      </c>
      <c r="C180" t="s">
        <v>547</v>
      </c>
      <c r="D180" t="s">
        <v>63</v>
      </c>
      <c r="E180" s="13">
        <f t="shared" si="5"/>
        <v>0</v>
      </c>
      <c r="F180" s="13"/>
      <c r="G180" s="13"/>
      <c r="H180" s="13"/>
      <c r="I180" s="13"/>
      <c r="J180" s="13"/>
      <c r="K180" s="13"/>
      <c r="L180" s="13"/>
      <c r="M180" s="13"/>
      <c r="N180" s="13"/>
      <c r="O180" s="13"/>
      <c r="P180" s="13"/>
    </row>
    <row r="181" spans="1:16" x14ac:dyDescent="0.2">
      <c r="B181" t="s">
        <v>550</v>
      </c>
      <c r="C181" t="s">
        <v>43</v>
      </c>
      <c r="D181" t="s">
        <v>63</v>
      </c>
      <c r="E181" s="13">
        <f t="shared" si="5"/>
        <v>3.0436784973595878E-4</v>
      </c>
      <c r="F181" s="13">
        <f>'Forage, input data per ha'!D54*EF_min_fert_N2O_SE/'Forage, input data per ha'!C54</f>
        <v>1.1254526790605833E-5</v>
      </c>
      <c r="G181" s="13">
        <f>EF_capital_goods_N2O</f>
        <v>1.1000000000000001E-6</v>
      </c>
      <c r="H181" s="13">
        <f>('Forage, input data per ha'!D54*'Parameters, country spec'!L80+'Forage, input data per ha'!F54*'Parameters, country spec'!L81)*44/28/'Forage, input data per ha'!C54</f>
        <v>2.0303342841098773E-4</v>
      </c>
      <c r="I181" s="13">
        <f>H181*0.1</f>
        <v>2.0303342841098774E-5</v>
      </c>
      <c r="J181" s="13">
        <f>'Forage, input data per ha'!H54*EF_diesel_N2O*Heating_value_diesel/'Forage, input data per ha'!C54</f>
        <v>5.7655169326645921E-7</v>
      </c>
      <c r="K181" s="13"/>
      <c r="L181" s="13">
        <f>'Forage, input data per ha'!I54*'Parameters, general'!$D$18/'Forage, input data per ha'!C54</f>
        <v>0</v>
      </c>
      <c r="M181" s="13"/>
      <c r="N181" s="13"/>
      <c r="O181" s="13">
        <f>'Parameters, general'!$D$21</f>
        <v>6.8099999999999988E-5</v>
      </c>
      <c r="P181" s="13"/>
    </row>
    <row r="182" spans="1:16" x14ac:dyDescent="0.2">
      <c r="A182" s="103"/>
      <c r="B182" s="103" t="s">
        <v>550</v>
      </c>
      <c r="C182" s="103" t="s">
        <v>44</v>
      </c>
      <c r="D182" s="103" t="s">
        <v>63</v>
      </c>
      <c r="E182" s="443">
        <f t="shared" si="5"/>
        <v>0.22375922991880803</v>
      </c>
      <c r="F182" s="443">
        <f>SUMPRODUCT(F178:F181,'Parameters, general'!$B$24:$B$27)</f>
        <v>2.4369888014806468E-2</v>
      </c>
      <c r="G182" s="443">
        <f>SUMPRODUCT(G178:G181,'Parameters, general'!$B$24:$B$27)</f>
        <v>3.01313E-2</v>
      </c>
      <c r="H182" s="443">
        <f>SUMPRODUCT(H178:H181,'Parameters, general'!$B$24:$B$27)</f>
        <v>5.5428125956199649E-2</v>
      </c>
      <c r="I182" s="443">
        <f>SUMPRODUCT(I178:I181,'Parameters, general'!$B$24:$B$27)</f>
        <v>5.5428125956199651E-3</v>
      </c>
      <c r="J182" s="443">
        <f>SUMPRODUCT(J178:J181,'Parameters, general'!$B$24:$B$27)</f>
        <v>2.1897403352181943E-2</v>
      </c>
      <c r="K182" s="443">
        <f>SUMPRODUCT(K178:K181,'Parameters, general'!$B$24:$B$27)</f>
        <v>0</v>
      </c>
      <c r="L182" s="443">
        <f>SUMPRODUCT(L178:L181,'Parameters, general'!$B$24:$B$27)</f>
        <v>0</v>
      </c>
      <c r="M182" s="443">
        <f>SUMPRODUCT(M178:M181,'Parameters, general'!$B$24:$B$27)</f>
        <v>0</v>
      </c>
      <c r="N182" s="443">
        <f>SUMPRODUCT(N178:N181,'Parameters, general'!$B$24:$B$27)</f>
        <v>0</v>
      </c>
      <c r="O182" s="443">
        <f>SUMPRODUCT(O178:O181,'Parameters, general'!$B$24:$B$27)</f>
        <v>8.6389700000000014E-2</v>
      </c>
      <c r="P182" s="443">
        <f>SUMPRODUCT(P178:P181,'Parameters, general'!$B$24:$B$27)</f>
        <v>0</v>
      </c>
    </row>
    <row r="183" spans="1:16" x14ac:dyDescent="0.2">
      <c r="E183" s="13"/>
      <c r="F183" s="13"/>
      <c r="G183" s="13"/>
      <c r="H183" s="13"/>
      <c r="I183" s="13"/>
      <c r="J183" s="13"/>
      <c r="K183" s="13"/>
      <c r="L183" s="13"/>
      <c r="M183" s="13"/>
      <c r="N183" s="13"/>
      <c r="O183" s="13"/>
      <c r="P183" s="13"/>
    </row>
    <row r="184" spans="1:16" ht="18" customHeight="1" x14ac:dyDescent="0.25">
      <c r="A184" s="431" t="s">
        <v>551</v>
      </c>
      <c r="B184" s="197"/>
      <c r="C184" s="197"/>
      <c r="D184" s="197"/>
      <c r="E184" s="197"/>
      <c r="F184" s="197"/>
      <c r="G184" s="197"/>
      <c r="H184" s="197"/>
      <c r="I184" s="197"/>
      <c r="J184" s="197"/>
      <c r="K184" s="197"/>
      <c r="L184" s="197"/>
      <c r="M184" s="197"/>
      <c r="N184" s="197"/>
      <c r="O184" s="197"/>
      <c r="P184" s="197"/>
    </row>
    <row r="186" spans="1:16" x14ac:dyDescent="0.2">
      <c r="A186" s="432" t="s">
        <v>458</v>
      </c>
      <c r="B186" s="433"/>
      <c r="C186" s="433"/>
      <c r="D186" s="433"/>
      <c r="E186" s="434" t="s">
        <v>6</v>
      </c>
      <c r="F186" s="434" t="s">
        <v>7</v>
      </c>
      <c r="G186" s="435"/>
      <c r="H186" s="434" t="s">
        <v>8</v>
      </c>
      <c r="I186" s="436"/>
      <c r="J186" s="437" t="s">
        <v>9</v>
      </c>
      <c r="K186" s="436"/>
      <c r="L186" s="436"/>
      <c r="M186" s="436"/>
      <c r="N186" s="437" t="s">
        <v>10</v>
      </c>
      <c r="O186" s="437" t="s">
        <v>11</v>
      </c>
      <c r="P186" s="437" t="s">
        <v>12</v>
      </c>
    </row>
    <row r="187" spans="1:16" ht="43.5" customHeight="1" x14ac:dyDescent="0.2">
      <c r="A187" s="438" t="s">
        <v>13</v>
      </c>
      <c r="B187" s="438" t="s">
        <v>458</v>
      </c>
      <c r="C187" s="438" t="s">
        <v>18</v>
      </c>
      <c r="D187" s="439" t="s">
        <v>545</v>
      </c>
      <c r="E187" s="440"/>
      <c r="F187" s="49" t="s">
        <v>20</v>
      </c>
      <c r="G187" s="49" t="s">
        <v>21</v>
      </c>
      <c r="H187" s="49" t="s">
        <v>22</v>
      </c>
      <c r="I187" s="49" t="s">
        <v>461</v>
      </c>
      <c r="J187" s="49" t="s">
        <v>24</v>
      </c>
      <c r="K187" s="49" t="s">
        <v>25</v>
      </c>
      <c r="L187" s="49" t="s">
        <v>26</v>
      </c>
      <c r="M187" s="49" t="s">
        <v>27</v>
      </c>
      <c r="N187" s="49" t="s">
        <v>28</v>
      </c>
      <c r="O187" s="49"/>
      <c r="P187" s="49"/>
    </row>
    <row r="188" spans="1:16" x14ac:dyDescent="0.2">
      <c r="B188" t="s">
        <v>551</v>
      </c>
      <c r="C188" t="s">
        <v>40</v>
      </c>
      <c r="D188" t="s">
        <v>38</v>
      </c>
      <c r="E188" s="13">
        <f t="shared" ref="E188:E219" si="6">SUM(F188:P188)</f>
        <v>8.3589177669725984E-2</v>
      </c>
      <c r="F188" s="13">
        <f>'Forage, input data per ha'!D62*EF_min_fert_CO2_DK/'Forage, input data per ha'!C62</f>
        <v>0</v>
      </c>
      <c r="G188" s="13">
        <f>EF_capital_goods_CO2</f>
        <v>2.7E-2</v>
      </c>
      <c r="H188" s="13"/>
      <c r="I188" s="13"/>
      <c r="J188" s="13">
        <f>'Forage, input data per ha'!H62*EF_diesel_CO2*Heating_value_diesel/'Forage, input data per ha'!C62</f>
        <v>9.8891776697259716E-3</v>
      </c>
      <c r="K188" s="13"/>
      <c r="L188" s="13">
        <f>'Forage, input data per ha'!I62*'Parameters, general'!$B$18/'Forage, input data per ha'!C62</f>
        <v>0</v>
      </c>
      <c r="M188" s="13"/>
      <c r="N188" s="13"/>
      <c r="O188" s="13">
        <f>'Parameters, general'!$B$21</f>
        <v>4.6700000000000005E-2</v>
      </c>
      <c r="P188" s="13"/>
    </row>
    <row r="189" spans="1:16" x14ac:dyDescent="0.2">
      <c r="B189" t="s">
        <v>551</v>
      </c>
      <c r="C189" t="s">
        <v>41</v>
      </c>
      <c r="D189" t="s">
        <v>38</v>
      </c>
      <c r="E189" s="13">
        <f t="shared" si="6"/>
        <v>8.0738057224753529E-4</v>
      </c>
      <c r="F189" s="13">
        <f>'Forage, input data per ha'!D62*EF_min_fert_CH4_DK/'Forage, input data per ha'!C62</f>
        <v>0</v>
      </c>
      <c r="G189" s="13">
        <f>EF_capital_goods_CH4</f>
        <v>9.5000000000000005E-5</v>
      </c>
      <c r="H189" s="13"/>
      <c r="I189" s="13"/>
      <c r="J189" s="13">
        <f>'Forage, input data per ha'!H62*EF_diesel_CH4*Heating_value_diesel/'Forage, input data per ha'!C62</f>
        <v>4.3805722475353594E-6</v>
      </c>
      <c r="K189" s="13"/>
      <c r="L189" s="13">
        <f>'Forage, input data per ha'!I62*'Parameters, general'!$C$18/'Forage, input data per ha'!C62</f>
        <v>0</v>
      </c>
      <c r="M189" s="13"/>
      <c r="N189" s="13"/>
      <c r="O189" s="13">
        <f>'Parameters, general'!$C$21</f>
        <v>7.0799999999999997E-4</v>
      </c>
      <c r="P189" s="13"/>
    </row>
    <row r="190" spans="1:16" x14ac:dyDescent="0.2">
      <c r="B190" t="s">
        <v>551</v>
      </c>
      <c r="C190" t="s">
        <v>547</v>
      </c>
      <c r="D190" t="s">
        <v>38</v>
      </c>
      <c r="E190" s="13">
        <f t="shared" si="6"/>
        <v>0</v>
      </c>
      <c r="F190" s="13"/>
      <c r="G190" s="13"/>
      <c r="H190" s="13"/>
      <c r="I190" s="13"/>
      <c r="J190" s="13"/>
      <c r="K190" s="13"/>
      <c r="L190" s="13"/>
      <c r="M190" s="13"/>
      <c r="N190" s="13"/>
      <c r="O190" s="13"/>
      <c r="P190" s="13"/>
    </row>
    <row r="191" spans="1:16" x14ac:dyDescent="0.2">
      <c r="B191" t="s">
        <v>551</v>
      </c>
      <c r="C191" t="s">
        <v>43</v>
      </c>
      <c r="D191" t="s">
        <v>38</v>
      </c>
      <c r="E191" s="13">
        <f t="shared" si="6"/>
        <v>1.0116496034533283E-4</v>
      </c>
      <c r="F191" s="13">
        <f>'Forage, input data per ha'!D62*EF_min_fert_N2O_DK/'Forage, input data per ha'!C62</f>
        <v>0</v>
      </c>
      <c r="G191" s="13">
        <f>EF_capital_goods_N2O</f>
        <v>1.1000000000000001E-6</v>
      </c>
      <c r="H191" s="13">
        <f>('Forage, input data per ha'!D62*'Parameters, country spec'!B80+'Forage, input data per ha'!F62*'Parameters, country spec'!B81)*44/28/'Forage, input data per ha'!C62</f>
        <v>2.8817485714285716E-5</v>
      </c>
      <c r="I191" s="13">
        <f>H191*0.1</f>
        <v>2.8817485714285716E-6</v>
      </c>
      <c r="J191" s="13">
        <f>'Forage, input data per ha'!H62*EF_diesel_N2O*Heating_value_diesel/'Forage, input data per ha'!C62</f>
        <v>2.6572605961855882E-7</v>
      </c>
      <c r="K191" s="13"/>
      <c r="L191" s="13">
        <f>'Forage, input data per ha'!I62*'Parameters, general'!$D$18/'Forage, input data per ha'!C62</f>
        <v>0</v>
      </c>
      <c r="M191" s="13"/>
      <c r="N191" s="13"/>
      <c r="O191" s="13">
        <f>'Parameters, general'!$D$21</f>
        <v>6.8099999999999988E-5</v>
      </c>
      <c r="P191" s="13"/>
    </row>
    <row r="192" spans="1:16" x14ac:dyDescent="0.2">
      <c r="A192" s="103"/>
      <c r="B192" s="103" t="s">
        <v>551</v>
      </c>
      <c r="C192" s="103" t="s">
        <v>44</v>
      </c>
      <c r="D192" s="103" t="s">
        <v>38</v>
      </c>
      <c r="E192" s="443">
        <f t="shared" si="6"/>
        <v>0.13526715289697841</v>
      </c>
      <c r="F192" s="443">
        <f>SUMPRODUCT(F188:F191,'Parameters, general'!$B$24:$B$27)</f>
        <v>0</v>
      </c>
      <c r="G192" s="443">
        <f>SUMPRODUCT(G188:G191,'Parameters, general'!$B$24:$B$27)</f>
        <v>3.01313E-2</v>
      </c>
      <c r="H192" s="443">
        <f>SUMPRODUCT(H188:H191,'Parameters, general'!$B$24:$B$27)</f>
        <v>7.8671736000000009E-3</v>
      </c>
      <c r="I192" s="443">
        <f>SUMPRODUCT(I188:I191,'Parameters, general'!$B$24:$B$27)</f>
        <v>7.8671736000000001E-4</v>
      </c>
      <c r="J192" s="443">
        <f>SUMPRODUCT(J188:J191,'Parameters, general'!$B$24:$B$27)</f>
        <v>1.0092261936978391E-2</v>
      </c>
      <c r="K192" s="443">
        <f>SUMPRODUCT(K188:K191,'Parameters, general'!$B$24:$B$27)</f>
        <v>0</v>
      </c>
      <c r="L192" s="443">
        <f>SUMPRODUCT(L188:L191,'Parameters, general'!$B$24:$B$27)</f>
        <v>0</v>
      </c>
      <c r="M192" s="443">
        <f>SUMPRODUCT(M188:M191,'Parameters, general'!$B$24:$B$27)</f>
        <v>0</v>
      </c>
      <c r="N192" s="443">
        <f>SUMPRODUCT(N188:N191,'Parameters, general'!$B$24:$B$27)</f>
        <v>0</v>
      </c>
      <c r="O192" s="443">
        <f>SUMPRODUCT(O188:O191,'Parameters, general'!$B$24:$B$27)</f>
        <v>8.6389700000000014E-2</v>
      </c>
      <c r="P192" s="443">
        <f>SUMPRODUCT(P188:P191,'Parameters, general'!$B$24:$B$27)</f>
        <v>0</v>
      </c>
    </row>
    <row r="193" spans="1:16" x14ac:dyDescent="0.2">
      <c r="B193" t="s">
        <v>551</v>
      </c>
      <c r="C193" t="s">
        <v>40</v>
      </c>
      <c r="D193" t="s">
        <v>45</v>
      </c>
      <c r="E193" s="13">
        <f t="shared" si="6"/>
        <v>8.6527922533805673E-2</v>
      </c>
      <c r="F193" s="13">
        <f>'Forage, input data per ha'!D63*EF_min_fert_CO2_FR/'Forage, input data per ha'!C63</f>
        <v>0</v>
      </c>
      <c r="G193" s="13">
        <f>EF_capital_goods_CO2</f>
        <v>2.7E-2</v>
      </c>
      <c r="H193" s="13"/>
      <c r="I193" s="13"/>
      <c r="J193" s="13">
        <f>'Forage, input data per ha'!H63*EF_diesel_CO2*Heating_value_diesel/'Forage, input data per ha'!C63</f>
        <v>1.2827922533805667E-2</v>
      </c>
      <c r="K193" s="13"/>
      <c r="L193" s="13">
        <f>'Forage, input data per ha'!I63*'Parameters, general'!$B$18/'Forage, input data per ha'!C63</f>
        <v>0</v>
      </c>
      <c r="M193" s="13"/>
      <c r="N193" s="445"/>
      <c r="O193" s="13">
        <f>'Parameters, general'!$B$21</f>
        <v>4.6700000000000005E-2</v>
      </c>
      <c r="P193" s="13"/>
    </row>
    <row r="194" spans="1:16" x14ac:dyDescent="0.2">
      <c r="B194" t="s">
        <v>551</v>
      </c>
      <c r="C194" t="s">
        <v>41</v>
      </c>
      <c r="D194" t="s">
        <v>45</v>
      </c>
      <c r="E194" s="13">
        <f t="shared" si="6"/>
        <v>8.0868233712871288E-4</v>
      </c>
      <c r="F194" s="13">
        <f>'Forage, input data per ha'!D63*EF_min_fert_CH4_FR/'Forage, input data per ha'!C63</f>
        <v>0</v>
      </c>
      <c r="G194" s="13">
        <f>EF_capital_goods_CH4</f>
        <v>9.5000000000000005E-5</v>
      </c>
      <c r="H194" s="13"/>
      <c r="I194" s="13"/>
      <c r="J194" s="13">
        <f>'Forage, input data per ha'!H63*EF_diesel_CH4*Heating_value_diesel/'Forage, input data per ha'!C63</f>
        <v>5.6823371287129161E-6</v>
      </c>
      <c r="K194" s="13"/>
      <c r="L194" s="13">
        <f>'Forage, input data per ha'!I63*'Parameters, general'!$C$18/'Forage, input data per ha'!C63</f>
        <v>0</v>
      </c>
      <c r="M194" s="13"/>
      <c r="N194" s="13"/>
      <c r="O194" s="13">
        <f>'Parameters, general'!$C$21</f>
        <v>7.0799999999999997E-4</v>
      </c>
      <c r="P194" s="13"/>
    </row>
    <row r="195" spans="1:16" x14ac:dyDescent="0.2">
      <c r="B195" t="s">
        <v>551</v>
      </c>
      <c r="C195" t="s">
        <v>547</v>
      </c>
      <c r="D195" t="s">
        <v>45</v>
      </c>
      <c r="E195" s="13">
        <f t="shared" si="6"/>
        <v>0</v>
      </c>
      <c r="F195" s="13"/>
      <c r="G195" s="13"/>
      <c r="H195" s="13"/>
      <c r="I195" s="13"/>
      <c r="J195" s="13"/>
      <c r="K195" s="13"/>
      <c r="L195" s="13"/>
      <c r="M195" s="13"/>
      <c r="N195" s="13"/>
      <c r="O195" s="13"/>
      <c r="P195" s="13"/>
    </row>
    <row r="196" spans="1:16" x14ac:dyDescent="0.2">
      <c r="B196" t="s">
        <v>551</v>
      </c>
      <c r="C196" t="s">
        <v>43</v>
      </c>
      <c r="D196" t="s">
        <v>45</v>
      </c>
      <c r="E196" s="13">
        <f t="shared" si="6"/>
        <v>1.0124392556560053E-4</v>
      </c>
      <c r="F196" s="13">
        <f>'Forage, input data per ha'!D63*EF_min_fert_N2O_FR/'Forage, input data per ha'!C63</f>
        <v>0</v>
      </c>
      <c r="G196" s="13">
        <f>EF_capital_goods_N2O</f>
        <v>1.1000000000000001E-6</v>
      </c>
      <c r="H196" s="13">
        <f>('Forage, input data per ha'!D63*'Parameters, country spec'!C80+'Forage, input data per ha'!F63*'Parameters, country spec'!C81)*44/28/'Forage, input data per ha'!C63</f>
        <v>2.8817485714285719E-5</v>
      </c>
      <c r="I196" s="13">
        <f>H196*0.1</f>
        <v>2.881748571428572E-6</v>
      </c>
      <c r="J196" s="13">
        <f>'Forage, input data per ha'!H63*EF_diesel_N2O*Heating_value_diesel/'Forage, input data per ha'!C63</f>
        <v>3.4469127988624288E-7</v>
      </c>
      <c r="K196" s="13"/>
      <c r="L196" s="13">
        <f>'Forage, input data per ha'!I63*'Parameters, general'!$D$18/'Forage, input data per ha'!C63</f>
        <v>0</v>
      </c>
      <c r="M196" s="13"/>
      <c r="N196" s="13"/>
      <c r="O196" s="13">
        <f>'Parameters, general'!$D$21</f>
        <v>6.8099999999999988E-5</v>
      </c>
      <c r="P196" s="13"/>
    </row>
    <row r="197" spans="1:16" x14ac:dyDescent="0.2">
      <c r="A197" s="103"/>
      <c r="B197" s="103" t="s">
        <v>551</v>
      </c>
      <c r="C197" s="103" t="s">
        <v>44</v>
      </c>
      <c r="D197" s="103" t="s">
        <v>45</v>
      </c>
      <c r="E197" s="443">
        <f t="shared" si="6"/>
        <v>0.13826624785965028</v>
      </c>
      <c r="F197" s="443">
        <f>SUMPRODUCT(F193:F196,'Parameters, general'!$B$24:$B$27)</f>
        <v>0</v>
      </c>
      <c r="G197" s="443">
        <f>SUMPRODUCT(G193:G196,'Parameters, general'!$B$24:$B$27)</f>
        <v>3.01313E-2</v>
      </c>
      <c r="H197" s="443">
        <f>SUMPRODUCT(H193:H196,'Parameters, general'!$B$24:$B$27)</f>
        <v>7.8671736000000009E-3</v>
      </c>
      <c r="I197" s="443">
        <f>SUMPRODUCT(I193:I196,'Parameters, general'!$B$24:$B$27)</f>
        <v>7.8671736000000012E-4</v>
      </c>
      <c r="J197" s="443">
        <f>SUMPRODUCT(J193:J196,'Parameters, general'!$B$24:$B$27)</f>
        <v>1.3091356899650256E-2</v>
      </c>
      <c r="K197" s="443">
        <f>SUMPRODUCT(K193:K196,'Parameters, general'!$B$24:$B$27)</f>
        <v>0</v>
      </c>
      <c r="L197" s="443">
        <f>SUMPRODUCT(L193:L196,'Parameters, general'!$B$24:$B$27)</f>
        <v>0</v>
      </c>
      <c r="M197" s="443">
        <f>SUMPRODUCT(M193:M196,'Parameters, general'!$B$24:$B$27)</f>
        <v>0</v>
      </c>
      <c r="N197" s="443">
        <f>SUMPRODUCT(N193:N196,'Parameters, general'!$B$24:$B$27)</f>
        <v>0</v>
      </c>
      <c r="O197" s="443">
        <f>SUMPRODUCT(O193:O196,'Parameters, general'!$B$24:$B$27)</f>
        <v>8.6389700000000014E-2</v>
      </c>
      <c r="P197" s="443">
        <f>SUMPRODUCT(P193:P196,'Parameters, general'!$B$24:$B$27)</f>
        <v>0</v>
      </c>
    </row>
    <row r="198" spans="1:16" x14ac:dyDescent="0.2">
      <c r="B198" t="s">
        <v>551</v>
      </c>
      <c r="C198" t="s">
        <v>40</v>
      </c>
      <c r="D198" t="s">
        <v>47</v>
      </c>
      <c r="E198" s="13">
        <f t="shared" si="6"/>
        <v>9.0598147836025378E-2</v>
      </c>
      <c r="F198" s="13">
        <f>'Forage, input data per ha'!D64*EF_min_fert_CO2_DE/'Forage, input data per ha'!C64</f>
        <v>0</v>
      </c>
      <c r="G198" s="13">
        <f>EF_capital_goods_CO2</f>
        <v>2.7E-2</v>
      </c>
      <c r="H198" s="13"/>
      <c r="I198" s="13"/>
      <c r="J198" s="13">
        <f>'Forage, input data per ha'!H64*EF_diesel_CO2*Heating_value_diesel/'Forage, input data per ha'!C64</f>
        <v>1.6898147836025366E-2</v>
      </c>
      <c r="K198" s="13"/>
      <c r="L198" s="13">
        <f>'Forage, input data per ha'!I64*'Parameters, general'!$B$18/'Forage, input data per ha'!C64</f>
        <v>0</v>
      </c>
      <c r="M198" s="13"/>
      <c r="N198" s="13"/>
      <c r="O198" s="13">
        <f>'Parameters, general'!$B$21</f>
        <v>4.6700000000000005E-2</v>
      </c>
      <c r="P198" s="13"/>
    </row>
    <row r="199" spans="1:16" x14ac:dyDescent="0.2">
      <c r="B199" t="s">
        <v>551</v>
      </c>
      <c r="C199" t="s">
        <v>41</v>
      </c>
      <c r="D199" t="s">
        <v>47</v>
      </c>
      <c r="E199" s="13">
        <f t="shared" si="6"/>
        <v>8.1048530969079992E-4</v>
      </c>
      <c r="F199" s="13">
        <f>'Forage, input data per ha'!D64*EF_min_fert_CH4_DE/'Forage, input data per ha'!C64</f>
        <v>0</v>
      </c>
      <c r="G199" s="13">
        <f>EF_capital_goods_CH4</f>
        <v>9.5000000000000005E-5</v>
      </c>
      <c r="H199" s="13"/>
      <c r="I199" s="13"/>
      <c r="J199" s="13">
        <f>'Forage, input data per ha'!H64*EF_diesel_CH4*Heating_value_diesel/'Forage, input data per ha'!C64</f>
        <v>7.485309690799962E-6</v>
      </c>
      <c r="K199" s="13"/>
      <c r="L199" s="13">
        <f>'Forage, input data per ha'!I64*'Parameters, general'!$C$18/'Forage, input data per ha'!C64</f>
        <v>0</v>
      </c>
      <c r="M199" s="13"/>
      <c r="N199" s="13"/>
      <c r="O199" s="13">
        <f>'Parameters, general'!$C$21</f>
        <v>7.0799999999999997E-4</v>
      </c>
      <c r="P199" s="13"/>
    </row>
    <row r="200" spans="1:16" x14ac:dyDescent="0.2">
      <c r="B200" t="s">
        <v>551</v>
      </c>
      <c r="C200" t="s">
        <v>547</v>
      </c>
      <c r="D200" t="s">
        <v>47</v>
      </c>
      <c r="E200" s="13">
        <f t="shared" si="6"/>
        <v>0</v>
      </c>
      <c r="F200" s="13"/>
      <c r="G200" s="13"/>
      <c r="H200" s="13"/>
      <c r="I200" s="13"/>
      <c r="J200" s="13"/>
      <c r="K200" s="13"/>
      <c r="L200" s="13"/>
      <c r="M200" s="13"/>
      <c r="N200" s="13"/>
      <c r="O200" s="13"/>
      <c r="P200" s="13"/>
    </row>
    <row r="201" spans="1:16" x14ac:dyDescent="0.2">
      <c r="B201" t="s">
        <v>551</v>
      </c>
      <c r="C201" t="s">
        <v>43</v>
      </c>
      <c r="D201" t="s">
        <v>47</v>
      </c>
      <c r="E201" s="13">
        <f t="shared" si="6"/>
        <v>1.0135329410638725E-4</v>
      </c>
      <c r="F201" s="13">
        <f>'Forage, input data per ha'!D64*EF_min_fert_N2O_DE/'Forage, input data per ha'!C64</f>
        <v>0</v>
      </c>
      <c r="G201" s="13">
        <f>EF_capital_goods_N2O</f>
        <v>1.1000000000000001E-6</v>
      </c>
      <c r="H201" s="13">
        <f>('Forage, input data per ha'!D64*'Parameters, country spec'!D80+'Forage, input data per ha'!F64*'Parameters, country spec'!D81)*44/28/'Forage, input data per ha'!C64</f>
        <v>2.8817485714285719E-5</v>
      </c>
      <c r="I201" s="13">
        <f>H201*0.1</f>
        <v>2.881748571428572E-6</v>
      </c>
      <c r="J201" s="13">
        <f>'Forage, input data per ha'!H64*EF_diesel_N2O*Heating_value_diesel/'Forage, input data per ha'!C64</f>
        <v>4.5405982067296822E-7</v>
      </c>
      <c r="K201" s="13"/>
      <c r="L201" s="13">
        <f>'Forage, input data per ha'!I64*'Parameters, general'!$D$18/'Forage, input data per ha'!C64</f>
        <v>0</v>
      </c>
      <c r="M201" s="13"/>
      <c r="N201" s="13"/>
      <c r="O201" s="13">
        <f>'Parameters, general'!$D$21</f>
        <v>6.8099999999999988E-5</v>
      </c>
      <c r="P201" s="13"/>
    </row>
    <row r="202" spans="1:16" x14ac:dyDescent="0.2">
      <c r="A202" s="103"/>
      <c r="B202" s="103" t="s">
        <v>551</v>
      </c>
      <c r="C202" s="103" t="s">
        <v>44</v>
      </c>
      <c r="D202" s="103" t="s">
        <v>47</v>
      </c>
      <c r="E202" s="443">
        <f t="shared" si="6"/>
        <v>0.14242005935585494</v>
      </c>
      <c r="F202" s="443">
        <f>SUMPRODUCT(F198:F201,'Parameters, general'!$B$24:$B$27)</f>
        <v>0</v>
      </c>
      <c r="G202" s="443">
        <f>SUMPRODUCT(G198:G201,'Parameters, general'!$B$24:$B$27)</f>
        <v>3.01313E-2</v>
      </c>
      <c r="H202" s="443">
        <f>SUMPRODUCT(H198:H201,'Parameters, general'!$B$24:$B$27)</f>
        <v>7.8671736000000009E-3</v>
      </c>
      <c r="I202" s="443">
        <f>SUMPRODUCT(I198:I201,'Parameters, general'!$B$24:$B$27)</f>
        <v>7.8671736000000012E-4</v>
      </c>
      <c r="J202" s="443">
        <f>SUMPRODUCT(J198:J201,'Parameters, general'!$B$24:$B$27)</f>
        <v>1.7245168395854927E-2</v>
      </c>
      <c r="K202" s="443">
        <f>SUMPRODUCT(K198:K201,'Parameters, general'!$B$24:$B$27)</f>
        <v>0</v>
      </c>
      <c r="L202" s="443">
        <f>SUMPRODUCT(L198:L201,'Parameters, general'!$B$24:$B$27)</f>
        <v>0</v>
      </c>
      <c r="M202" s="443">
        <f>SUMPRODUCT(M198:M201,'Parameters, general'!$B$24:$B$27)</f>
        <v>0</v>
      </c>
      <c r="N202" s="443">
        <f>SUMPRODUCT(N198:N201,'Parameters, general'!$B$24:$B$27)</f>
        <v>0</v>
      </c>
      <c r="O202" s="443">
        <f>SUMPRODUCT(O198:O201,'Parameters, general'!$B$24:$B$27)</f>
        <v>8.6389700000000014E-2</v>
      </c>
      <c r="P202" s="443">
        <f>SUMPRODUCT(P198:P201,'Parameters, general'!$B$24:$B$27)</f>
        <v>0</v>
      </c>
    </row>
    <row r="203" spans="1:16" x14ac:dyDescent="0.2">
      <c r="B203" t="s">
        <v>551</v>
      </c>
      <c r="C203" t="s">
        <v>40</v>
      </c>
      <c r="D203" t="s">
        <v>49</v>
      </c>
      <c r="E203" s="13">
        <f t="shared" si="6"/>
        <v>0.1000633742066695</v>
      </c>
      <c r="F203" s="13">
        <f>'Forage, input data per ha'!D65*EF_min_fert_CO2_GR/'Forage, input data per ha'!C65</f>
        <v>0</v>
      </c>
      <c r="G203" s="13">
        <f>EF_capital_goods_CO2</f>
        <v>2.7E-2</v>
      </c>
      <c r="H203" s="13"/>
      <c r="I203" s="13"/>
      <c r="J203" s="13">
        <f>'Forage, input data per ha'!H65*EF_diesel_CO2*Heating_value_diesel/'Forage, input data per ha'!C65</f>
        <v>2.6363374206669486E-2</v>
      </c>
      <c r="K203" s="13"/>
      <c r="L203" s="13">
        <f>'Forage, input data per ha'!I65*'Parameters, general'!$B$18/'Forage, input data per ha'!C65</f>
        <v>0</v>
      </c>
      <c r="M203" s="13"/>
      <c r="N203" s="445"/>
      <c r="O203" s="13">
        <f>'Parameters, general'!$B$21</f>
        <v>4.6700000000000005E-2</v>
      </c>
      <c r="P203" s="13"/>
    </row>
    <row r="204" spans="1:16" x14ac:dyDescent="0.2">
      <c r="B204" t="s">
        <v>551</v>
      </c>
      <c r="C204" t="s">
        <v>41</v>
      </c>
      <c r="D204" t="s">
        <v>49</v>
      </c>
      <c r="E204" s="13">
        <f t="shared" si="6"/>
        <v>8.1467808580835477E-4</v>
      </c>
      <c r="F204" s="13">
        <f>'Forage, input data per ha'!D65*EF_min_fert_CH4_GR/'Forage, input data per ha'!C65</f>
        <v>0</v>
      </c>
      <c r="G204" s="13">
        <f>EF_capital_goods_CH4</f>
        <v>9.5000000000000005E-5</v>
      </c>
      <c r="H204" s="13"/>
      <c r="I204" s="13"/>
      <c r="J204" s="13">
        <f>'Forage, input data per ha'!H65*EF_diesel_CH4*Heating_value_diesel/'Forage, input data per ha'!C65</f>
        <v>1.167808580835478E-5</v>
      </c>
      <c r="K204" s="13"/>
      <c r="L204" s="13">
        <f>'Forage, input data per ha'!I65*'Parameters, general'!$C$18/'Forage, input data per ha'!C65</f>
        <v>0</v>
      </c>
      <c r="M204" s="13"/>
      <c r="N204" s="13"/>
      <c r="O204" s="13">
        <f>'Parameters, general'!$C$21</f>
        <v>7.0799999999999997E-4</v>
      </c>
      <c r="P204" s="13"/>
    </row>
    <row r="205" spans="1:16" x14ac:dyDescent="0.2">
      <c r="B205" t="s">
        <v>551</v>
      </c>
      <c r="C205" t="s">
        <v>547</v>
      </c>
      <c r="D205" t="s">
        <v>49</v>
      </c>
      <c r="E205" s="13">
        <f t="shared" si="6"/>
        <v>0</v>
      </c>
      <c r="F205" s="13"/>
      <c r="G205" s="13"/>
      <c r="H205" s="13"/>
      <c r="I205" s="13"/>
      <c r="J205" s="13"/>
      <c r="K205" s="13"/>
      <c r="L205" s="13"/>
      <c r="M205" s="13"/>
      <c r="N205" s="13"/>
      <c r="O205" s="13"/>
      <c r="P205" s="13"/>
    </row>
    <row r="206" spans="1:16" x14ac:dyDescent="0.2">
      <c r="B206" t="s">
        <v>551</v>
      </c>
      <c r="C206" t="s">
        <v>43</v>
      </c>
      <c r="D206" t="s">
        <v>49</v>
      </c>
      <c r="E206" s="13">
        <f t="shared" si="6"/>
        <v>1.2274045128645046E-4</v>
      </c>
      <c r="F206" s="13">
        <f>'Forage, input data per ha'!D65*EF_min_fert_N2O_GR/'Forage, input data per ha'!C65</f>
        <v>0</v>
      </c>
      <c r="G206" s="13">
        <f>EF_capital_goods_N2O</f>
        <v>1.1000000000000001E-6</v>
      </c>
      <c r="H206" s="13">
        <f>('Forage, input data per ha'!D65*'Parameters, country spec'!E80+'Forage, input data per ha'!F65*'Parameters, country spec'!E81)*44/28/'Forage, input data per ha'!C65</f>
        <v>4.802914285714286E-5</v>
      </c>
      <c r="I206" s="13">
        <f>H206*0.1</f>
        <v>4.8029142857142862E-6</v>
      </c>
      <c r="J206" s="13">
        <f>'Forage, input data per ha'!H65*EF_diesel_N2O*Heating_value_diesel/'Forage, input data per ha'!C65</f>
        <v>7.0839414359333176E-7</v>
      </c>
      <c r="K206" s="13"/>
      <c r="L206" s="13">
        <f>'Forage, input data per ha'!I65*'Parameters, general'!$D$18/'Forage, input data per ha'!C65</f>
        <v>0</v>
      </c>
      <c r="M206" s="13"/>
      <c r="N206" s="13"/>
      <c r="O206" s="13">
        <f>'Parameters, general'!$D$21</f>
        <v>6.8099999999999988E-5</v>
      </c>
      <c r="P206" s="13"/>
    </row>
    <row r="207" spans="1:16" x14ac:dyDescent="0.2">
      <c r="A207" s="103"/>
      <c r="B207" s="103" t="s">
        <v>551</v>
      </c>
      <c r="C207" s="103" t="s">
        <v>44</v>
      </c>
      <c r="D207" s="103" t="s">
        <v>49</v>
      </c>
      <c r="E207" s="443">
        <f t="shared" si="6"/>
        <v>0.15784892436495945</v>
      </c>
      <c r="F207" s="443">
        <f>SUMPRODUCT(F203:F206,'Parameters, general'!$B$24:$B$27)</f>
        <v>0</v>
      </c>
      <c r="G207" s="443">
        <f>SUMPRODUCT(G203:G206,'Parameters, general'!$B$24:$B$27)</f>
        <v>3.01313E-2</v>
      </c>
      <c r="H207" s="443">
        <f>SUMPRODUCT(H203:H206,'Parameters, general'!$B$24:$B$27)</f>
        <v>1.3111956000000001E-2</v>
      </c>
      <c r="I207" s="443">
        <f>SUMPRODUCT(I203:I206,'Parameters, general'!$B$24:$B$27)</f>
        <v>1.3111956000000002E-3</v>
      </c>
      <c r="J207" s="443">
        <f>SUMPRODUCT(J203:J206,'Parameters, general'!$B$24:$B$27)</f>
        <v>2.6904772764959436E-2</v>
      </c>
      <c r="K207" s="443">
        <f>SUMPRODUCT(K203:K206,'Parameters, general'!$B$24:$B$27)</f>
        <v>0</v>
      </c>
      <c r="L207" s="443">
        <f>SUMPRODUCT(L203:L206,'Parameters, general'!$B$24:$B$27)</f>
        <v>0</v>
      </c>
      <c r="M207" s="443">
        <f>SUMPRODUCT(M203:M206,'Parameters, general'!$B$24:$B$27)</f>
        <v>0</v>
      </c>
      <c r="N207" s="443">
        <f>SUMPRODUCT(N203:N206,'Parameters, general'!$B$24:$B$27)</f>
        <v>0</v>
      </c>
      <c r="O207" s="443">
        <f>SUMPRODUCT(O203:O206,'Parameters, general'!$B$24:$B$27)</f>
        <v>8.6389700000000014E-2</v>
      </c>
      <c r="P207" s="443">
        <f>SUMPRODUCT(P203:P206,'Parameters, general'!$B$24:$B$27)</f>
        <v>0</v>
      </c>
    </row>
    <row r="208" spans="1:16" x14ac:dyDescent="0.2">
      <c r="B208" t="s">
        <v>551</v>
      </c>
      <c r="C208" t="s">
        <v>40</v>
      </c>
      <c r="D208" t="s">
        <v>51</v>
      </c>
      <c r="E208" s="13">
        <f t="shared" si="6"/>
        <v>0.1013173724192323</v>
      </c>
      <c r="F208" s="13">
        <f>'Forage, input data per ha'!D66*EF_min_fert_CO2_HU/'Forage, input data per ha'!C66</f>
        <v>0</v>
      </c>
      <c r="G208" s="13">
        <f>EF_capital_goods_CO2</f>
        <v>2.7E-2</v>
      </c>
      <c r="H208" s="13"/>
      <c r="I208" s="13"/>
      <c r="J208" s="13">
        <f>'Forage, input data per ha'!H66*EF_diesel_CO2*Heating_value_diesel/'Forage, input data per ha'!C66</f>
        <v>2.7617372419232299E-2</v>
      </c>
      <c r="K208" s="13"/>
      <c r="L208" s="13">
        <f>'Forage, input data per ha'!I66*'Parameters, general'!$B$18/'Forage, input data per ha'!C66</f>
        <v>0</v>
      </c>
      <c r="M208" s="13"/>
      <c r="N208" s="13"/>
      <c r="O208" s="13">
        <f>'Parameters, general'!$B$21</f>
        <v>4.6700000000000005E-2</v>
      </c>
      <c r="P208" s="13"/>
    </row>
    <row r="209" spans="1:16" x14ac:dyDescent="0.2">
      <c r="B209" t="s">
        <v>551</v>
      </c>
      <c r="C209" t="s">
        <v>41</v>
      </c>
      <c r="D209" t="s">
        <v>51</v>
      </c>
      <c r="E209" s="13">
        <f t="shared" si="6"/>
        <v>8.152335647320703E-4</v>
      </c>
      <c r="F209" s="13">
        <f>'Forage, input data per ha'!D66*EF_min_fert_CH4_HU/'Forage, input data per ha'!C66</f>
        <v>0</v>
      </c>
      <c r="G209" s="13">
        <f>EF_capital_goods_CH4</f>
        <v>9.5000000000000005E-5</v>
      </c>
      <c r="H209" s="13"/>
      <c r="I209" s="13"/>
      <c r="J209" s="13">
        <f>'Forage, input data per ha'!H66*EF_diesel_CH4*Heating_value_diesel/'Forage, input data per ha'!C66</f>
        <v>1.2233564732070369E-5</v>
      </c>
      <c r="K209" s="13"/>
      <c r="L209" s="13">
        <f>'Forage, input data per ha'!I66*'Parameters, general'!$C$18/'Forage, input data per ha'!C66</f>
        <v>0</v>
      </c>
      <c r="M209" s="13"/>
      <c r="N209" s="13"/>
      <c r="O209" s="13">
        <f>'Parameters, general'!$C$21</f>
        <v>7.0799999999999997E-4</v>
      </c>
      <c r="P209" s="13"/>
    </row>
    <row r="210" spans="1:16" x14ac:dyDescent="0.2">
      <c r="B210" t="s">
        <v>551</v>
      </c>
      <c r="C210" t="s">
        <v>547</v>
      </c>
      <c r="D210" t="s">
        <v>51</v>
      </c>
      <c r="E210" s="13">
        <f t="shared" si="6"/>
        <v>0</v>
      </c>
      <c r="F210" s="13"/>
      <c r="G210" s="13"/>
      <c r="H210" s="13"/>
      <c r="I210" s="13"/>
      <c r="J210" s="13"/>
      <c r="K210" s="13"/>
      <c r="L210" s="13"/>
      <c r="M210" s="13"/>
      <c r="N210" s="13"/>
      <c r="O210" s="13"/>
      <c r="P210" s="13"/>
    </row>
    <row r="211" spans="1:16" x14ac:dyDescent="0.2">
      <c r="B211" t="s">
        <v>551</v>
      </c>
      <c r="C211" t="s">
        <v>43</v>
      </c>
      <c r="D211" t="s">
        <v>51</v>
      </c>
      <c r="E211" s="13">
        <f t="shared" si="6"/>
        <v>1.0164132385019313E-4</v>
      </c>
      <c r="F211" s="13">
        <f>'Forage, input data per ha'!D66*EF_min_fert_N2O_HU/'Forage, input data per ha'!C66</f>
        <v>0</v>
      </c>
      <c r="G211" s="13">
        <f>EF_capital_goods_N2O</f>
        <v>1.1000000000000001E-6</v>
      </c>
      <c r="H211" s="13">
        <f>('Forage, input data per ha'!D66*'Parameters, country spec'!F80+'Forage, input data per ha'!F66*'Parameters, country spec'!F81)*44/28/'Forage, input data per ha'!C66</f>
        <v>2.8817485714285719E-5</v>
      </c>
      <c r="I211" s="13">
        <f>H211*0.1</f>
        <v>2.881748571428572E-6</v>
      </c>
      <c r="J211" s="13">
        <f>'Forage, input data per ha'!H66*EF_diesel_N2O*Heating_value_diesel/'Forage, input data per ha'!C66</f>
        <v>7.4208956447884477E-7</v>
      </c>
      <c r="K211" s="13"/>
      <c r="L211" s="13">
        <f>'Forage, input data per ha'!I66*'Parameters, general'!$D$18/'Forage, input data per ha'!C66</f>
        <v>0</v>
      </c>
      <c r="M211" s="13"/>
      <c r="N211" s="13"/>
      <c r="O211" s="13">
        <f>'Parameters, general'!$D$21</f>
        <v>6.8099999999999988E-5</v>
      </c>
      <c r="P211" s="13"/>
    </row>
    <row r="212" spans="1:16" x14ac:dyDescent="0.2">
      <c r="A212" s="103"/>
      <c r="B212" s="103" t="s">
        <v>551</v>
      </c>
      <c r="C212" s="103" t="s">
        <v>44</v>
      </c>
      <c r="D212" s="103" t="s">
        <v>51</v>
      </c>
      <c r="E212" s="443">
        <f t="shared" si="6"/>
        <v>0.15335941405935072</v>
      </c>
      <c r="F212" s="443">
        <f>SUMPRODUCT(F208:F211,'Parameters, general'!$B$24:$B$27)</f>
        <v>0</v>
      </c>
      <c r="G212" s="443">
        <f>SUMPRODUCT(G208:G211,'Parameters, general'!$B$24:$B$27)</f>
        <v>3.01313E-2</v>
      </c>
      <c r="H212" s="443">
        <f>SUMPRODUCT(H208:H211,'Parameters, general'!$B$24:$B$27)</f>
        <v>7.8671736000000009E-3</v>
      </c>
      <c r="I212" s="443">
        <f>SUMPRODUCT(I208:I211,'Parameters, general'!$B$24:$B$27)</f>
        <v>7.8671736000000012E-4</v>
      </c>
      <c r="J212" s="443">
        <f>SUMPRODUCT(J208:J211,'Parameters, general'!$B$24:$B$27)</f>
        <v>2.8184523099350722E-2</v>
      </c>
      <c r="K212" s="443">
        <f>SUMPRODUCT(K208:K211,'Parameters, general'!$B$24:$B$27)</f>
        <v>0</v>
      </c>
      <c r="L212" s="443">
        <f>SUMPRODUCT(L208:L211,'Parameters, general'!$B$24:$B$27)</f>
        <v>0</v>
      </c>
      <c r="M212" s="443">
        <f>SUMPRODUCT(M208:M211,'Parameters, general'!$B$24:$B$27)</f>
        <v>0</v>
      </c>
      <c r="N212" s="443">
        <f>SUMPRODUCT(N208:N211,'Parameters, general'!$B$24:$B$27)</f>
        <v>0</v>
      </c>
      <c r="O212" s="443">
        <f>SUMPRODUCT(O208:O211,'Parameters, general'!$B$24:$B$27)</f>
        <v>8.6389700000000014E-2</v>
      </c>
      <c r="P212" s="443">
        <f>SUMPRODUCT(P208:P211,'Parameters, general'!$B$24:$B$27)</f>
        <v>0</v>
      </c>
    </row>
    <row r="213" spans="1:16" x14ac:dyDescent="0.2">
      <c r="B213" t="s">
        <v>551</v>
      </c>
      <c r="C213" t="s">
        <v>40</v>
      </c>
      <c r="D213" t="s">
        <v>89</v>
      </c>
      <c r="E213" s="13">
        <f t="shared" si="6"/>
        <v>8.8642518733221057E-2</v>
      </c>
      <c r="F213" s="13">
        <f>'Forage, input data per ha'!D67*EF_min_fert_CO2_IE/'Forage, input data per ha'!C67</f>
        <v>0</v>
      </c>
      <c r="G213" s="13">
        <f>EF_capital_goods_CO2</f>
        <v>2.7E-2</v>
      </c>
      <c r="H213" s="13"/>
      <c r="I213" s="13"/>
      <c r="J213" s="13">
        <f>'Forage, input data per ha'!H67*EF_diesel_CO2*Heating_value_diesel/'Forage, input data per ha'!C67</f>
        <v>1.4942518733221053E-2</v>
      </c>
      <c r="K213" s="13"/>
      <c r="L213" s="13">
        <f>'Forage, input data per ha'!I67*'Parameters, general'!$B$18/'Forage, input data per ha'!C67</f>
        <v>0</v>
      </c>
      <c r="M213" s="13"/>
      <c r="N213" s="445"/>
      <c r="O213" s="13">
        <f>'Parameters, general'!$B$21</f>
        <v>4.6700000000000005E-2</v>
      </c>
      <c r="P213" s="13"/>
    </row>
    <row r="214" spans="1:16" x14ac:dyDescent="0.2">
      <c r="B214" t="s">
        <v>551</v>
      </c>
      <c r="C214" t="s">
        <v>41</v>
      </c>
      <c r="D214" t="s">
        <v>89</v>
      </c>
      <c r="E214" s="13">
        <f t="shared" si="6"/>
        <v>8.0961903194149397E-4</v>
      </c>
      <c r="F214" s="13">
        <f>'Forage, input data per ha'!D67*EF_min_fert_CH4_IE/'Forage, input data per ha'!C67</f>
        <v>0</v>
      </c>
      <c r="G214" s="13">
        <f>EF_capital_goods_CH4</f>
        <v>9.5000000000000005E-5</v>
      </c>
      <c r="H214" s="13"/>
      <c r="I214" s="13"/>
      <c r="J214" s="13">
        <f>'Forage, input data per ha'!H67*EF_diesel_CH4*Heating_value_diesel/'Forage, input data per ha'!C67</f>
        <v>6.6190319414939949E-6</v>
      </c>
      <c r="K214" s="13"/>
      <c r="L214" s="13">
        <f>'Forage, input data per ha'!I67*'Parameters, general'!$C$18/'Forage, input data per ha'!C67</f>
        <v>0</v>
      </c>
      <c r="M214" s="13"/>
      <c r="N214" s="13"/>
      <c r="O214" s="13">
        <f>'Parameters, general'!$C$21</f>
        <v>7.0799999999999997E-4</v>
      </c>
      <c r="P214" s="13"/>
    </row>
    <row r="215" spans="1:16" x14ac:dyDescent="0.2">
      <c r="B215" t="s">
        <v>551</v>
      </c>
      <c r="C215" t="s">
        <v>547</v>
      </c>
      <c r="D215" t="s">
        <v>89</v>
      </c>
      <c r="E215" s="13">
        <f t="shared" si="6"/>
        <v>0</v>
      </c>
      <c r="F215" s="13"/>
      <c r="G215" s="13"/>
      <c r="H215" s="13"/>
      <c r="I215" s="13"/>
      <c r="J215" s="13"/>
      <c r="K215" s="13"/>
      <c r="L215" s="13"/>
      <c r="M215" s="13"/>
      <c r="N215" s="13"/>
      <c r="O215" s="13"/>
      <c r="P215" s="13"/>
    </row>
    <row r="216" spans="1:16" x14ac:dyDescent="0.2">
      <c r="B216" t="s">
        <v>551</v>
      </c>
      <c r="C216" t="s">
        <v>43</v>
      </c>
      <c r="D216" t="s">
        <v>89</v>
      </c>
      <c r="E216" s="13">
        <f t="shared" si="6"/>
        <v>1.0130074558992622E-4</v>
      </c>
      <c r="F216" s="13">
        <f>'Forage, input data per ha'!D67*EF_min_fert_N2O_IE/'Forage, input data per ha'!C67</f>
        <v>0</v>
      </c>
      <c r="G216" s="13">
        <f>EF_capital_goods_N2O</f>
        <v>1.1000000000000001E-6</v>
      </c>
      <c r="H216" s="13">
        <f>('Forage, input data per ha'!D67*'Parameters, country spec'!G80+'Forage, input data per ha'!F67*'Parameters, country spec'!G81)*44/28/'Forage, input data per ha'!C67</f>
        <v>2.8817485714285719E-5</v>
      </c>
      <c r="I216" s="13">
        <f>H216*0.1</f>
        <v>2.881748571428572E-6</v>
      </c>
      <c r="J216" s="13">
        <f>'Forage, input data per ha'!H67*EF_diesel_N2O*Heating_value_diesel/'Forage, input data per ha'!C67</f>
        <v>4.0151130421194614E-7</v>
      </c>
      <c r="K216" s="13"/>
      <c r="L216" s="13">
        <f>'Forage, input data per ha'!I67*'Parameters, general'!$D$18/'Forage, input data per ha'!C67</f>
        <v>0</v>
      </c>
      <c r="M216" s="13"/>
      <c r="N216" s="13"/>
      <c r="O216" s="13">
        <f>'Parameters, general'!$D$21</f>
        <v>6.8099999999999988E-5</v>
      </c>
      <c r="P216" s="13"/>
    </row>
    <row r="217" spans="1:16" x14ac:dyDescent="0.2">
      <c r="A217" s="103"/>
      <c r="B217" s="103" t="s">
        <v>551</v>
      </c>
      <c r="C217" s="103" t="s">
        <v>44</v>
      </c>
      <c r="D217" s="103" t="s">
        <v>89</v>
      </c>
      <c r="E217" s="443">
        <f t="shared" si="6"/>
        <v>0.14042426943112746</v>
      </c>
      <c r="F217" s="443">
        <f>SUMPRODUCT(F213:F216,'Parameters, general'!$B$24:$B$27)</f>
        <v>0</v>
      </c>
      <c r="G217" s="443">
        <f>SUMPRODUCT(G213:G216,'Parameters, general'!$B$24:$B$27)</f>
        <v>3.01313E-2</v>
      </c>
      <c r="H217" s="443">
        <f>SUMPRODUCT(H213:H216,'Parameters, general'!$B$24:$B$27)</f>
        <v>7.8671736000000009E-3</v>
      </c>
      <c r="I217" s="443">
        <f>SUMPRODUCT(I213:I216,'Parameters, general'!$B$24:$B$27)</f>
        <v>7.8671736000000012E-4</v>
      </c>
      <c r="J217" s="443">
        <f>SUMPRODUCT(J213:J216,'Parameters, general'!$B$24:$B$27)</f>
        <v>1.5249378471127437E-2</v>
      </c>
      <c r="K217" s="443">
        <f>SUMPRODUCT(K213:K216,'Parameters, general'!$B$24:$B$27)</f>
        <v>0</v>
      </c>
      <c r="L217" s="443">
        <f>SUMPRODUCT(L213:L216,'Parameters, general'!$B$24:$B$27)</f>
        <v>0</v>
      </c>
      <c r="M217" s="443">
        <f>SUMPRODUCT(M213:M216,'Parameters, general'!$B$24:$B$27)</f>
        <v>0</v>
      </c>
      <c r="N217" s="443">
        <f>SUMPRODUCT(N213:N216,'Parameters, general'!$B$24:$B$27)</f>
        <v>0</v>
      </c>
      <c r="O217" s="443">
        <f>SUMPRODUCT(O213:O216,'Parameters, general'!$B$24:$B$27)</f>
        <v>8.6389700000000014E-2</v>
      </c>
      <c r="P217" s="443">
        <f>SUMPRODUCT(P213:P216,'Parameters, general'!$B$24:$B$27)</f>
        <v>0</v>
      </c>
    </row>
    <row r="218" spans="1:16" x14ac:dyDescent="0.2">
      <c r="B218" t="s">
        <v>551</v>
      </c>
      <c r="C218" t="s">
        <v>40</v>
      </c>
      <c r="D218" t="s">
        <v>55</v>
      </c>
      <c r="E218" s="13">
        <f t="shared" si="6"/>
        <v>8.9514544596593471E-2</v>
      </c>
      <c r="F218" s="13">
        <f>'Forage, input data per ha'!D68*EF_min_fert_CO2_IT/'Forage, input data per ha'!C68</f>
        <v>0</v>
      </c>
      <c r="G218" s="13">
        <f>EF_capital_goods_CO2</f>
        <v>2.7E-2</v>
      </c>
      <c r="H218" s="13"/>
      <c r="I218" s="13"/>
      <c r="J218" s="13">
        <f>'Forage, input data per ha'!H68*EF_diesel_CO2*Heating_value_diesel/'Forage, input data per ha'!C68</f>
        <v>1.5814544596593458E-2</v>
      </c>
      <c r="K218" s="13"/>
      <c r="L218" s="13">
        <f>'Forage, input data per ha'!I68*'Parameters, general'!$B$18/'Forage, input data per ha'!C68</f>
        <v>0</v>
      </c>
      <c r="M218" s="13"/>
      <c r="N218" s="13"/>
      <c r="O218" s="13">
        <f>'Parameters, general'!$B$21</f>
        <v>4.6700000000000005E-2</v>
      </c>
      <c r="P218" s="13"/>
    </row>
    <row r="219" spans="1:16" x14ac:dyDescent="0.2">
      <c r="B219" t="s">
        <v>551</v>
      </c>
      <c r="C219" t="s">
        <v>41</v>
      </c>
      <c r="D219" t="s">
        <v>55</v>
      </c>
      <c r="E219" s="13">
        <f t="shared" si="6"/>
        <v>8.1000530999451317E-4</v>
      </c>
      <c r="F219" s="13">
        <f>'Forage, input data per ha'!D68*EF_min_fert_CH4_IT/'Forage, input data per ha'!C68</f>
        <v>0</v>
      </c>
      <c r="G219" s="13">
        <f>EF_capital_goods_CH4</f>
        <v>9.5000000000000005E-5</v>
      </c>
      <c r="H219" s="13"/>
      <c r="I219" s="13"/>
      <c r="J219" s="13">
        <f>'Forage, input data per ha'!H68*EF_diesel_CH4*Heating_value_diesel/'Forage, input data per ha'!C68</f>
        <v>7.0053099945131462E-6</v>
      </c>
      <c r="K219" s="13"/>
      <c r="L219" s="13">
        <f>'Forage, input data per ha'!I68*'Parameters, general'!$C$18/'Forage, input data per ha'!C68</f>
        <v>0</v>
      </c>
      <c r="M219" s="13"/>
      <c r="N219" s="13"/>
      <c r="O219" s="13">
        <f>'Parameters, general'!$C$21</f>
        <v>7.0799999999999997E-4</v>
      </c>
      <c r="P219" s="13"/>
    </row>
    <row r="220" spans="1:16" x14ac:dyDescent="0.2">
      <c r="B220" t="s">
        <v>551</v>
      </c>
      <c r="C220" t="s">
        <v>547</v>
      </c>
      <c r="D220" t="s">
        <v>55</v>
      </c>
      <c r="E220" s="13">
        <f t="shared" ref="E220:E242" si="7">SUM(F220:P220)</f>
        <v>0</v>
      </c>
      <c r="F220" s="13"/>
      <c r="G220" s="13"/>
      <c r="H220" s="13"/>
      <c r="I220" s="13"/>
      <c r="J220" s="13"/>
      <c r="K220" s="13"/>
      <c r="L220" s="13"/>
      <c r="M220" s="13"/>
      <c r="N220" s="13"/>
      <c r="O220" s="13"/>
      <c r="P220" s="13"/>
    </row>
    <row r="221" spans="1:16" x14ac:dyDescent="0.2">
      <c r="B221" t="s">
        <v>551</v>
      </c>
      <c r="C221" t="s">
        <v>43</v>
      </c>
      <c r="D221" t="s">
        <v>55</v>
      </c>
      <c r="E221" s="13">
        <f t="shared" si="7"/>
        <v>1.0132417726486405E-4</v>
      </c>
      <c r="F221" s="13">
        <f>'Forage, input data per ha'!D68*EF_min_fert_N2O_IT/'Forage, input data per ha'!C68</f>
        <v>0</v>
      </c>
      <c r="G221" s="13">
        <f>EF_capital_goods_N2O</f>
        <v>1.1000000000000001E-6</v>
      </c>
      <c r="H221" s="13">
        <f>('Forage, input data per ha'!D68*'Parameters, country spec'!H80+'Forage, input data per ha'!F68*'Parameters, country spec'!H81)*44/28/'Forage, input data per ha'!C68</f>
        <v>2.8817485714285722E-5</v>
      </c>
      <c r="I221" s="13">
        <f>H221*0.1</f>
        <v>2.8817485714285724E-6</v>
      </c>
      <c r="J221" s="13">
        <f>'Forage, input data per ha'!H68*EF_diesel_N2O*Heating_value_diesel/'Forage, input data per ha'!C68</f>
        <v>4.2494297914977157E-7</v>
      </c>
      <c r="K221" s="13"/>
      <c r="L221" s="13">
        <f>'Forage, input data per ha'!I68*'Parameters, general'!$D$18/'Forage, input data per ha'!C68</f>
        <v>0</v>
      </c>
      <c r="M221" s="13"/>
      <c r="N221" s="13"/>
      <c r="O221" s="13">
        <f>'Parameters, general'!$D$21</f>
        <v>6.8099999999999988E-5</v>
      </c>
      <c r="P221" s="13"/>
    </row>
    <row r="222" spans="1:16" x14ac:dyDescent="0.2">
      <c r="A222" s="103"/>
      <c r="B222" s="103" t="s">
        <v>551</v>
      </c>
      <c r="C222" s="103" t="s">
        <v>44</v>
      </c>
      <c r="D222" s="103" t="s">
        <v>55</v>
      </c>
      <c r="E222" s="443">
        <f t="shared" si="7"/>
        <v>0.14131420322773786</v>
      </c>
      <c r="F222" s="443">
        <f>SUMPRODUCT(F218:F221,'Parameters, general'!$B$24:$B$27)</f>
        <v>0</v>
      </c>
      <c r="G222" s="443">
        <f>SUMPRODUCT(G218:G221,'Parameters, general'!$B$24:$B$27)</f>
        <v>3.01313E-2</v>
      </c>
      <c r="H222" s="443">
        <f>SUMPRODUCT(H218:H221,'Parameters, general'!$B$24:$B$27)</f>
        <v>7.8671736000000027E-3</v>
      </c>
      <c r="I222" s="443">
        <f>SUMPRODUCT(I218:I221,'Parameters, general'!$B$24:$B$27)</f>
        <v>7.8671736000000022E-4</v>
      </c>
      <c r="J222" s="443">
        <f>SUMPRODUCT(J218:J221,'Parameters, general'!$B$24:$B$27)</f>
        <v>1.6139312267737838E-2</v>
      </c>
      <c r="K222" s="443">
        <f>SUMPRODUCT(K218:K221,'Parameters, general'!$B$24:$B$27)</f>
        <v>0</v>
      </c>
      <c r="L222" s="443">
        <f>SUMPRODUCT(L218:L221,'Parameters, general'!$B$24:$B$27)</f>
        <v>0</v>
      </c>
      <c r="M222" s="443">
        <f>SUMPRODUCT(M218:M221,'Parameters, general'!$B$24:$B$27)</f>
        <v>0</v>
      </c>
      <c r="N222" s="443">
        <f>SUMPRODUCT(N218:N221,'Parameters, general'!$B$24:$B$27)</f>
        <v>0</v>
      </c>
      <c r="O222" s="443">
        <f>SUMPRODUCT(O218:O221,'Parameters, general'!$B$24:$B$27)</f>
        <v>8.6389700000000014E-2</v>
      </c>
      <c r="P222" s="443">
        <f>SUMPRODUCT(P218:P221,'Parameters, general'!$B$24:$B$27)</f>
        <v>0</v>
      </c>
    </row>
    <row r="223" spans="1:16" x14ac:dyDescent="0.2">
      <c r="B223" t="s">
        <v>551</v>
      </c>
      <c r="C223" t="s">
        <v>40</v>
      </c>
      <c r="D223" t="s">
        <v>87</v>
      </c>
      <c r="E223" s="13">
        <f t="shared" si="7"/>
        <v>9.0042192210099001E-2</v>
      </c>
      <c r="F223" s="13">
        <f>'Forage, input data per ha'!D69*EF_min_fert_CO2_NL/'Forage, input data per ha'!C69</f>
        <v>0</v>
      </c>
      <c r="G223" s="13">
        <f>EF_capital_goods_CO2</f>
        <v>2.7E-2</v>
      </c>
      <c r="H223" s="13"/>
      <c r="I223" s="13"/>
      <c r="J223" s="13">
        <f>'Forage, input data per ha'!H69*EF_diesel_CO2*Heating_value_diesel/'Forage, input data per ha'!C69</f>
        <v>1.6342192210098996E-2</v>
      </c>
      <c r="K223" s="13"/>
      <c r="L223" s="13">
        <f>'Forage, input data per ha'!I69*'Parameters, general'!$B$18/'Forage, input data per ha'!C69</f>
        <v>0</v>
      </c>
      <c r="M223" s="13"/>
      <c r="N223" s="445"/>
      <c r="O223" s="13">
        <f>'Parameters, general'!$B$21</f>
        <v>4.6700000000000005E-2</v>
      </c>
      <c r="P223" s="13"/>
    </row>
    <row r="224" spans="1:16" x14ac:dyDescent="0.2">
      <c r="B224" t="s">
        <v>551</v>
      </c>
      <c r="C224" t="s">
        <v>41</v>
      </c>
      <c r="D224" t="s">
        <v>87</v>
      </c>
      <c r="E224" s="13">
        <f t="shared" si="7"/>
        <v>8.1023904009517428E-4</v>
      </c>
      <c r="F224" s="13">
        <f>'Forage, input data per ha'!D69*EF_min_fert_CH4_NL/'Forage, input data per ha'!C69</f>
        <v>0</v>
      </c>
      <c r="G224" s="13">
        <f>EF_capital_goods_CH4</f>
        <v>9.5000000000000005E-5</v>
      </c>
      <c r="H224" s="13"/>
      <c r="I224" s="13"/>
      <c r="J224" s="13">
        <f>'Forage, input data per ha'!H69*EF_diesel_CH4*Heating_value_diesel/'Forage, input data per ha'!C69</f>
        <v>7.2390400951742532E-6</v>
      </c>
      <c r="K224" s="13"/>
      <c r="L224" s="13">
        <f>'Forage, input data per ha'!I69*'Parameters, general'!$C$18/'Forage, input data per ha'!C69</f>
        <v>0</v>
      </c>
      <c r="M224" s="13"/>
      <c r="N224" s="13"/>
      <c r="O224" s="13">
        <f>'Parameters, general'!$C$21</f>
        <v>7.0799999999999997E-4</v>
      </c>
      <c r="P224" s="13"/>
    </row>
    <row r="225" spans="1:16" x14ac:dyDescent="0.2">
      <c r="B225" t="s">
        <v>551</v>
      </c>
      <c r="C225" t="s">
        <v>547</v>
      </c>
      <c r="D225" t="s">
        <v>87</v>
      </c>
      <c r="E225" s="13">
        <f t="shared" si="7"/>
        <v>0</v>
      </c>
      <c r="F225" s="13"/>
      <c r="G225" s="13"/>
      <c r="H225" s="13"/>
      <c r="I225" s="13"/>
      <c r="J225" s="13"/>
      <c r="K225" s="13"/>
      <c r="L225" s="13"/>
      <c r="M225" s="13"/>
      <c r="N225" s="13"/>
      <c r="O225" s="13"/>
      <c r="P225" s="13"/>
    </row>
    <row r="226" spans="1:16" x14ac:dyDescent="0.2">
      <c r="B226" t="s">
        <v>551</v>
      </c>
      <c r="C226" t="s">
        <v>43</v>
      </c>
      <c r="D226" t="s">
        <v>87</v>
      </c>
      <c r="E226" s="13">
        <f t="shared" si="7"/>
        <v>1.0133835536196036E-4</v>
      </c>
      <c r="F226" s="13">
        <f>'Forage, input data per ha'!D69*EF_min_fert_N2O_NL/'Forage, input data per ha'!C69</f>
        <v>0</v>
      </c>
      <c r="G226" s="13">
        <f>EF_capital_goods_N2O</f>
        <v>1.1000000000000001E-6</v>
      </c>
      <c r="H226" s="13">
        <f>('Forage, input data per ha'!D69*'Parameters, country spec'!I80+'Forage, input data per ha'!F69*'Parameters, country spec'!I81)*44/28/'Forage, input data per ha'!C69</f>
        <v>2.8817485714285719E-5</v>
      </c>
      <c r="I226" s="13">
        <f>H226*0.1</f>
        <v>2.881748571428572E-6</v>
      </c>
      <c r="J226" s="13">
        <f>'Forage, input data per ha'!H69*EF_diesel_N2O*Heating_value_diesel/'Forage, input data per ha'!C69</f>
        <v>4.391210762460742E-7</v>
      </c>
      <c r="K226" s="13"/>
      <c r="L226" s="13">
        <f>'Forage, input data per ha'!I69*'Parameters, general'!$D$18/'Forage, input data per ha'!C69</f>
        <v>0</v>
      </c>
      <c r="M226" s="13"/>
      <c r="N226" s="13"/>
      <c r="O226" s="13">
        <f>'Parameters, general'!$D$21</f>
        <v>6.8099999999999988E-5</v>
      </c>
      <c r="P226" s="13"/>
    </row>
    <row r="227" spans="1:16" x14ac:dyDescent="0.2">
      <c r="A227" s="103"/>
      <c r="B227" s="103" t="s">
        <v>551</v>
      </c>
      <c r="C227" s="103" t="s">
        <v>44</v>
      </c>
      <c r="D227" s="103" t="s">
        <v>87</v>
      </c>
      <c r="E227" s="443">
        <f t="shared" si="7"/>
        <v>0.14185268661875039</v>
      </c>
      <c r="F227" s="443">
        <f>SUMPRODUCT(F223:F226,'Parameters, general'!$B$24:$B$27)</f>
        <v>0</v>
      </c>
      <c r="G227" s="443">
        <f>SUMPRODUCT(G223:G226,'Parameters, general'!$B$24:$B$27)</f>
        <v>3.01313E-2</v>
      </c>
      <c r="H227" s="443">
        <f>SUMPRODUCT(H223:H226,'Parameters, general'!$B$24:$B$27)</f>
        <v>7.8671736000000009E-3</v>
      </c>
      <c r="I227" s="443">
        <f>SUMPRODUCT(I223:I226,'Parameters, general'!$B$24:$B$27)</f>
        <v>7.8671736000000012E-4</v>
      </c>
      <c r="J227" s="443">
        <f>SUMPRODUCT(J223:J226,'Parameters, general'!$B$24:$B$27)</f>
        <v>1.6677795658750365E-2</v>
      </c>
      <c r="K227" s="443">
        <f>SUMPRODUCT(K223:K226,'Parameters, general'!$B$24:$B$27)</f>
        <v>0</v>
      </c>
      <c r="L227" s="443">
        <f>SUMPRODUCT(L223:L226,'Parameters, general'!$B$24:$B$27)</f>
        <v>0</v>
      </c>
      <c r="M227" s="443">
        <f>SUMPRODUCT(M223:M226,'Parameters, general'!$B$24:$B$27)</f>
        <v>0</v>
      </c>
      <c r="N227" s="443">
        <f>SUMPRODUCT(N223:N226,'Parameters, general'!$B$24:$B$27)</f>
        <v>0</v>
      </c>
      <c r="O227" s="443">
        <f>SUMPRODUCT(O223:O226,'Parameters, general'!$B$24:$B$27)</f>
        <v>8.6389700000000014E-2</v>
      </c>
      <c r="P227" s="443">
        <f>SUMPRODUCT(P223:P226,'Parameters, general'!$B$24:$B$27)</f>
        <v>0</v>
      </c>
    </row>
    <row r="228" spans="1:16" x14ac:dyDescent="0.2">
      <c r="B228" t="s">
        <v>551</v>
      </c>
      <c r="C228" t="s">
        <v>40</v>
      </c>
      <c r="D228" t="s">
        <v>59</v>
      </c>
      <c r="E228" s="13">
        <f t="shared" si="7"/>
        <v>8.8424320352496449E-2</v>
      </c>
      <c r="F228" s="13">
        <f>'Forage, input data per ha'!D70*EF_min_fert_CO2_PL/'Forage, input data per ha'!C70</f>
        <v>0</v>
      </c>
      <c r="G228" s="13">
        <f>EF_capital_goods_CO2</f>
        <v>2.7E-2</v>
      </c>
      <c r="H228" s="13"/>
      <c r="I228" s="13"/>
      <c r="J228" s="13">
        <f>'Forage, input data per ha'!H70*EF_diesel_CO2*Heating_value_diesel/'Forage, input data per ha'!C70</f>
        <v>1.4724320352496436E-2</v>
      </c>
      <c r="K228" s="13"/>
      <c r="L228" s="13">
        <f>'Forage, input data per ha'!I70*'Parameters, general'!$B$18/'Forage, input data per ha'!C70</f>
        <v>0</v>
      </c>
      <c r="M228" s="13"/>
      <c r="N228" s="445"/>
      <c r="O228" s="13">
        <f>'Parameters, general'!$B$21</f>
        <v>4.6700000000000005E-2</v>
      </c>
      <c r="P228" s="13"/>
    </row>
    <row r="229" spans="1:16" x14ac:dyDescent="0.2">
      <c r="B229" t="s">
        <v>551</v>
      </c>
      <c r="C229" t="s">
        <v>41</v>
      </c>
      <c r="D229" t="s">
        <v>59</v>
      </c>
      <c r="E229" s="13">
        <f t="shared" si="7"/>
        <v>8.0952237741641802E-4</v>
      </c>
      <c r="F229" s="13">
        <f>'Forage, input data per ha'!D70*EF_min_fert_CH4_PL/'Forage, input data per ha'!C70</f>
        <v>0</v>
      </c>
      <c r="G229" s="13">
        <f>EF_capital_goods_CH4</f>
        <v>9.5000000000000005E-5</v>
      </c>
      <c r="H229" s="13"/>
      <c r="I229" s="13"/>
      <c r="J229" s="13">
        <f>'Forage, input data per ha'!H70*EF_diesel_CH4*Heating_value_diesel/'Forage, input data per ha'!C70</f>
        <v>6.522377416418008E-6</v>
      </c>
      <c r="K229" s="13"/>
      <c r="L229" s="13">
        <f>'Forage, input data per ha'!I70*'Parameters, general'!$C$18/'Forage, input data per ha'!C70</f>
        <v>0</v>
      </c>
      <c r="M229" s="13"/>
      <c r="N229" s="13"/>
      <c r="O229" s="13">
        <f>'Parameters, general'!$C$21</f>
        <v>7.0799999999999997E-4</v>
      </c>
      <c r="P229" s="13"/>
    </row>
    <row r="230" spans="1:16" x14ac:dyDescent="0.2">
      <c r="B230" t="s">
        <v>551</v>
      </c>
      <c r="C230" t="s">
        <v>547</v>
      </c>
      <c r="D230" t="s">
        <v>59</v>
      </c>
      <c r="E230" s="13">
        <f t="shared" si="7"/>
        <v>0</v>
      </c>
      <c r="F230" s="13"/>
      <c r="G230" s="13"/>
      <c r="H230" s="13"/>
      <c r="I230" s="13"/>
      <c r="J230" s="13"/>
      <c r="K230" s="13"/>
      <c r="L230" s="13"/>
      <c r="M230" s="13"/>
      <c r="N230" s="13"/>
      <c r="O230" s="13"/>
      <c r="P230" s="13"/>
    </row>
    <row r="231" spans="1:16" x14ac:dyDescent="0.2">
      <c r="B231" t="s">
        <v>551</v>
      </c>
      <c r="C231" t="s">
        <v>43</v>
      </c>
      <c r="D231" t="s">
        <v>59</v>
      </c>
      <c r="E231" s="13">
        <f t="shared" si="7"/>
        <v>1.0129488251436409E-4</v>
      </c>
      <c r="F231" s="13">
        <f>'Forage, input data per ha'!D70*EF_min_fert_N2O_PL/'Forage, input data per ha'!C70</f>
        <v>0</v>
      </c>
      <c r="G231" s="13">
        <f>EF_capital_goods_N2O</f>
        <v>1.1000000000000001E-6</v>
      </c>
      <c r="H231" s="13">
        <f>('Forage, input data per ha'!D70*'Parameters, country spec'!J80+'Forage, input data per ha'!F70*'Parameters, country spec'!J81)*44/28/'Forage, input data per ha'!C70</f>
        <v>2.8817485714285719E-5</v>
      </c>
      <c r="I231" s="13">
        <f>H231*0.1</f>
        <v>2.881748571428572E-6</v>
      </c>
      <c r="J231" s="13">
        <f>'Forage, input data per ha'!H70*EF_diesel_N2O*Heating_value_diesel/'Forage, input data per ha'!C70</f>
        <v>3.9564822864979884E-7</v>
      </c>
      <c r="K231" s="13"/>
      <c r="L231" s="13">
        <f>'Forage, input data per ha'!I70*'Parameters, general'!$D$18/'Forage, input data per ha'!C70</f>
        <v>0</v>
      </c>
      <c r="M231" s="13"/>
      <c r="N231" s="13"/>
      <c r="O231" s="13">
        <f>'Parameters, general'!$D$21</f>
        <v>6.8099999999999988E-5</v>
      </c>
      <c r="P231" s="13"/>
    </row>
    <row r="232" spans="1:16" x14ac:dyDescent="0.2">
      <c r="A232" s="103"/>
      <c r="B232" s="103" t="s">
        <v>551</v>
      </c>
      <c r="C232" s="103" t="s">
        <v>44</v>
      </c>
      <c r="D232" s="103" t="s">
        <v>59</v>
      </c>
      <c r="E232" s="443">
        <f t="shared" si="7"/>
        <v>0.14020159012592709</v>
      </c>
      <c r="F232" s="443">
        <f>SUMPRODUCT(F228:F231,'Parameters, general'!$B$24:$B$27)</f>
        <v>0</v>
      </c>
      <c r="G232" s="443">
        <f>SUMPRODUCT(G228:G231,'Parameters, general'!$B$24:$B$27)</f>
        <v>3.01313E-2</v>
      </c>
      <c r="H232" s="443">
        <f>SUMPRODUCT(H228:H231,'Parameters, general'!$B$24:$B$27)</f>
        <v>7.8671736000000009E-3</v>
      </c>
      <c r="I232" s="443">
        <f>SUMPRODUCT(I228:I231,'Parameters, general'!$B$24:$B$27)</f>
        <v>7.8671736000000012E-4</v>
      </c>
      <c r="J232" s="443">
        <f>SUMPRODUCT(J228:J231,'Parameters, general'!$B$24:$B$27)</f>
        <v>1.5026699165927089E-2</v>
      </c>
      <c r="K232" s="443">
        <f>SUMPRODUCT(K228:K231,'Parameters, general'!$B$24:$B$27)</f>
        <v>0</v>
      </c>
      <c r="L232" s="443">
        <f>SUMPRODUCT(L228:L231,'Parameters, general'!$B$24:$B$27)</f>
        <v>0</v>
      </c>
      <c r="M232" s="443">
        <f>SUMPRODUCT(M228:M231,'Parameters, general'!$B$24:$B$27)</f>
        <v>0</v>
      </c>
      <c r="N232" s="443">
        <f>SUMPRODUCT(N228:N231,'Parameters, general'!$B$24:$B$27)</f>
        <v>0</v>
      </c>
      <c r="O232" s="443">
        <f>SUMPRODUCT(O228:O231,'Parameters, general'!$B$24:$B$27)</f>
        <v>8.6389700000000014E-2</v>
      </c>
      <c r="P232" s="443">
        <f>SUMPRODUCT(P228:P231,'Parameters, general'!$B$24:$B$27)</f>
        <v>0</v>
      </c>
    </row>
    <row r="233" spans="1:16" x14ac:dyDescent="0.2">
      <c r="B233" t="s">
        <v>551</v>
      </c>
      <c r="C233" t="s">
        <v>40</v>
      </c>
      <c r="D233" t="s">
        <v>61</v>
      </c>
      <c r="E233" s="13">
        <f t="shared" si="7"/>
        <v>8.7147771750171216E-2</v>
      </c>
      <c r="F233" s="13">
        <f>'Forage, input data per ha'!D71*EF_min_fert_CO2_ES/'Forage, input data per ha'!C71</f>
        <v>0</v>
      </c>
      <c r="G233" s="13">
        <f>EF_capital_goods_CO2</f>
        <v>2.7E-2</v>
      </c>
      <c r="H233" s="13"/>
      <c r="I233" s="13"/>
      <c r="J233" s="13">
        <f>'Forage, input data per ha'!H71*EF_diesel_CO2*Heating_value_diesel/'Forage, input data per ha'!C71</f>
        <v>1.3447771750171205E-2</v>
      </c>
      <c r="K233" s="13"/>
      <c r="L233" s="13">
        <f>'Forage, input data per ha'!I71*'Parameters, general'!$B$18/'Forage, input data per ha'!C71</f>
        <v>0</v>
      </c>
      <c r="M233" s="13"/>
      <c r="N233" s="13"/>
      <c r="O233" s="13">
        <f>'Parameters, general'!$B$21</f>
        <v>4.6700000000000005E-2</v>
      </c>
      <c r="P233" s="13"/>
    </row>
    <row r="234" spans="1:16" x14ac:dyDescent="0.2">
      <c r="B234" t="s">
        <v>551</v>
      </c>
      <c r="C234" t="s">
        <v>41</v>
      </c>
      <c r="D234" t="s">
        <v>61</v>
      </c>
      <c r="E234" s="13">
        <f t="shared" si="7"/>
        <v>8.0895690943043016E-4</v>
      </c>
      <c r="F234" s="13">
        <f>'Forage, input data per ha'!D71*EF_min_fert_CH4_ES/'Forage, input data per ha'!C71</f>
        <v>0</v>
      </c>
      <c r="G234" s="13">
        <f>EF_capital_goods_CH4</f>
        <v>9.5000000000000005E-5</v>
      </c>
      <c r="H234" s="13"/>
      <c r="I234" s="13"/>
      <c r="J234" s="13">
        <f>'Forage, input data per ha'!H71*EF_diesel_CH4*Heating_value_diesel/'Forage, input data per ha'!C71</f>
        <v>5.95690943043016E-6</v>
      </c>
      <c r="K234" s="13"/>
      <c r="L234" s="13">
        <f>'Forage, input data per ha'!I71*'Parameters, general'!$C$18/'Forage, input data per ha'!C71</f>
        <v>0</v>
      </c>
      <c r="M234" s="13"/>
      <c r="N234" s="13"/>
      <c r="O234" s="13">
        <f>'Parameters, general'!$C$21</f>
        <v>7.0799999999999997E-4</v>
      </c>
      <c r="P234" s="13"/>
    </row>
    <row r="235" spans="1:16" x14ac:dyDescent="0.2">
      <c r="B235" t="s">
        <v>551</v>
      </c>
      <c r="C235" t="s">
        <v>547</v>
      </c>
      <c r="D235" t="s">
        <v>61</v>
      </c>
      <c r="E235" s="13">
        <f t="shared" si="7"/>
        <v>0</v>
      </c>
      <c r="F235" s="13"/>
      <c r="G235" s="13"/>
      <c r="H235" s="13"/>
      <c r="I235" s="13"/>
      <c r="J235" s="13"/>
      <c r="K235" s="13"/>
      <c r="L235" s="13"/>
      <c r="M235" s="13"/>
      <c r="N235" s="13"/>
      <c r="O235" s="13"/>
      <c r="P235" s="13"/>
    </row>
    <row r="236" spans="1:16" x14ac:dyDescent="0.2">
      <c r="B236" t="s">
        <v>551</v>
      </c>
      <c r="C236" t="s">
        <v>43</v>
      </c>
      <c r="D236" t="s">
        <v>61</v>
      </c>
      <c r="E236" s="13">
        <f t="shared" si="7"/>
        <v>1.2239340401285647E-4</v>
      </c>
      <c r="F236" s="13">
        <f>'Forage, input data per ha'!D71*EF_min_fert_N2O_ES/'Forage, input data per ha'!C71</f>
        <v>0</v>
      </c>
      <c r="G236" s="13">
        <f>EF_capital_goods_N2O</f>
        <v>1.1000000000000001E-6</v>
      </c>
      <c r="H236" s="13">
        <f>('Forage, input data per ha'!D71*'Parameters, country spec'!K80+'Forage, input data per ha'!F71*'Parameters, country spec'!K81)*44/28/'Forage, input data per ha'!C71</f>
        <v>4.8029142857142867E-5</v>
      </c>
      <c r="I236" s="13">
        <f>H236*0.1</f>
        <v>4.802914285714287E-6</v>
      </c>
      <c r="J236" s="13">
        <f>'Forage, input data per ha'!H71*EF_diesel_N2O*Heating_value_diesel/'Forage, input data per ha'!C71</f>
        <v>3.6134686999933171E-7</v>
      </c>
      <c r="K236" s="13"/>
      <c r="L236" s="13">
        <f>'Forage, input data per ha'!I71*'Parameters, general'!$D$18/'Forage, input data per ha'!C71</f>
        <v>0</v>
      </c>
      <c r="M236" s="13"/>
      <c r="N236" s="13"/>
      <c r="O236" s="13">
        <f>'Parameters, general'!$D$21</f>
        <v>6.8099999999999988E-5</v>
      </c>
      <c r="P236" s="13"/>
    </row>
    <row r="237" spans="1:16" x14ac:dyDescent="0.2">
      <c r="A237" s="103"/>
      <c r="B237" s="103" t="s">
        <v>551</v>
      </c>
      <c r="C237" s="103" t="s">
        <v>44</v>
      </c>
      <c r="D237" s="103" t="s">
        <v>61</v>
      </c>
      <c r="E237" s="443">
        <f t="shared" si="7"/>
        <v>0.14466808694670785</v>
      </c>
      <c r="F237" s="443">
        <f>SUMPRODUCT(F233:F236,'Parameters, general'!$B$24:$B$27)</f>
        <v>0</v>
      </c>
      <c r="G237" s="443">
        <f>SUMPRODUCT(G233:G236,'Parameters, general'!$B$24:$B$27)</f>
        <v>3.01313E-2</v>
      </c>
      <c r="H237" s="443">
        <f>SUMPRODUCT(H233:H236,'Parameters, general'!$B$24:$B$27)</f>
        <v>1.3111956000000003E-2</v>
      </c>
      <c r="I237" s="443">
        <f>SUMPRODUCT(I233:I236,'Parameters, general'!$B$24:$B$27)</f>
        <v>1.3111956000000004E-3</v>
      </c>
      <c r="J237" s="443">
        <f>SUMPRODUCT(J233:J236,'Parameters, general'!$B$24:$B$27)</f>
        <v>1.3723935346707841E-2</v>
      </c>
      <c r="K237" s="443">
        <f>SUMPRODUCT(K233:K236,'Parameters, general'!$B$24:$B$27)</f>
        <v>0</v>
      </c>
      <c r="L237" s="443">
        <f>SUMPRODUCT(L233:L236,'Parameters, general'!$B$24:$B$27)</f>
        <v>0</v>
      </c>
      <c r="M237" s="443">
        <f>SUMPRODUCT(M233:M236,'Parameters, general'!$B$24:$B$27)</f>
        <v>0</v>
      </c>
      <c r="N237" s="443">
        <f>SUMPRODUCT(N233:N236,'Parameters, general'!$B$24:$B$27)</f>
        <v>0</v>
      </c>
      <c r="O237" s="443">
        <f>SUMPRODUCT(O233:O236,'Parameters, general'!$B$24:$B$27)</f>
        <v>8.6389700000000014E-2</v>
      </c>
      <c r="P237" s="443">
        <f>SUMPRODUCT(P233:P236,'Parameters, general'!$B$24:$B$27)</f>
        <v>0</v>
      </c>
    </row>
    <row r="238" spans="1:16" x14ac:dyDescent="0.2">
      <c r="B238" t="s">
        <v>551</v>
      </c>
      <c r="C238" t="s">
        <v>40</v>
      </c>
      <c r="D238" t="s">
        <v>63</v>
      </c>
      <c r="E238" s="13">
        <f t="shared" si="7"/>
        <v>0.10364084681465423</v>
      </c>
      <c r="F238" s="13">
        <f>'Forage, input data per ha'!D72*EF_min_fert_CO2_SE/'Forage, input data per ha'!C72</f>
        <v>0</v>
      </c>
      <c r="G238" s="13">
        <f>EF_capital_goods_CO2</f>
        <v>2.7E-2</v>
      </c>
      <c r="H238" s="13"/>
      <c r="I238" s="13"/>
      <c r="J238" s="13">
        <f>'Forage, input data per ha'!H72*EF_diesel_CO2*Heating_value_diesel/'Forage, input data per ha'!C72</f>
        <v>2.9940846814654223E-2</v>
      </c>
      <c r="K238" s="13"/>
      <c r="L238" s="13">
        <f>'Forage, input data per ha'!I72*'Parameters, general'!$B$18/'Forage, input data per ha'!C72</f>
        <v>0</v>
      </c>
      <c r="M238" s="13"/>
      <c r="N238" s="445"/>
      <c r="O238" s="13">
        <f>'Parameters, general'!$B$21</f>
        <v>4.6700000000000005E-2</v>
      </c>
      <c r="P238" s="13"/>
    </row>
    <row r="239" spans="1:16" x14ac:dyDescent="0.2">
      <c r="B239" t="s">
        <v>551</v>
      </c>
      <c r="C239" t="s">
        <v>41</v>
      </c>
      <c r="D239" t="s">
        <v>63</v>
      </c>
      <c r="E239" s="13">
        <f t="shared" si="7"/>
        <v>8.1626278554237117E-4</v>
      </c>
      <c r="F239" s="13">
        <f>'Forage, input data per ha'!D72*EF_min_fert_CH4_SE/'Forage, input data per ha'!C72</f>
        <v>0</v>
      </c>
      <c r="G239" s="13">
        <f>EF_capital_goods_CH4</f>
        <v>9.5000000000000005E-5</v>
      </c>
      <c r="H239" s="13"/>
      <c r="I239" s="13"/>
      <c r="J239" s="13">
        <f>'Forage, input data per ha'!H72*EF_diesel_CH4*Heating_value_diesel/'Forage, input data per ha'!C72</f>
        <v>1.3262785542371202E-5</v>
      </c>
      <c r="K239" s="13"/>
      <c r="L239" s="13">
        <f>'Forage, input data per ha'!I72*'Parameters, general'!$C$18/'Forage, input data per ha'!C72</f>
        <v>0</v>
      </c>
      <c r="M239" s="13"/>
      <c r="N239" s="13"/>
      <c r="O239" s="13">
        <f>'Parameters, general'!$C$21</f>
        <v>7.0799999999999997E-4</v>
      </c>
      <c r="P239" s="13"/>
    </row>
    <row r="240" spans="1:16" x14ac:dyDescent="0.2">
      <c r="B240" t="s">
        <v>551</v>
      </c>
      <c r="C240" t="s">
        <v>547</v>
      </c>
      <c r="D240" t="s">
        <v>63</v>
      </c>
      <c r="E240" s="13">
        <f t="shared" si="7"/>
        <v>0</v>
      </c>
      <c r="F240" s="13"/>
      <c r="G240" s="13"/>
      <c r="H240" s="13"/>
      <c r="I240" s="13"/>
      <c r="J240" s="13"/>
      <c r="K240" s="13"/>
      <c r="L240" s="13"/>
      <c r="M240" s="13"/>
      <c r="N240" s="13"/>
      <c r="O240" s="13"/>
      <c r="P240" s="13"/>
    </row>
    <row r="241" spans="1:16" x14ac:dyDescent="0.2">
      <c r="B241" t="s">
        <v>551</v>
      </c>
      <c r="C241" t="s">
        <v>43</v>
      </c>
      <c r="D241" t="s">
        <v>63</v>
      </c>
      <c r="E241" s="13">
        <f t="shared" si="7"/>
        <v>1.0170375651308381E-4</v>
      </c>
      <c r="F241" s="13">
        <f>'Forage, input data per ha'!D72*EF_min_fert_N2O_SE/'Forage, input data per ha'!C72</f>
        <v>0</v>
      </c>
      <c r="G241" s="13">
        <f>EF_capital_goods_N2O</f>
        <v>1.1000000000000001E-6</v>
      </c>
      <c r="H241" s="13">
        <f>('Forage, input data per ha'!D72*'Parameters, country spec'!L80+'Forage, input data per ha'!F72*'Parameters, country spec'!L81)*44/28/'Forage, input data per ha'!C72</f>
        <v>2.8817485714285726E-5</v>
      </c>
      <c r="I241" s="13">
        <f>H241*0.1</f>
        <v>2.8817485714285728E-6</v>
      </c>
      <c r="J241" s="13">
        <f>'Forage, input data per ha'!H72*EF_diesel_N2O*Heating_value_diesel/'Forage, input data per ha'!C72</f>
        <v>8.0452222736952864E-7</v>
      </c>
      <c r="K241" s="13"/>
      <c r="L241" s="13">
        <f>'Forage, input data per ha'!I72*'Parameters, general'!$D$18/'Forage, input data per ha'!C72</f>
        <v>0</v>
      </c>
      <c r="M241" s="13"/>
      <c r="N241" s="13"/>
      <c r="O241" s="13">
        <f>'Parameters, general'!$D$21</f>
        <v>6.8099999999999988E-5</v>
      </c>
      <c r="P241" s="13"/>
    </row>
    <row r="242" spans="1:16" x14ac:dyDescent="0.2">
      <c r="A242" s="103"/>
      <c r="B242" s="103" t="s">
        <v>551</v>
      </c>
      <c r="C242" s="103" t="s">
        <v>44</v>
      </c>
      <c r="D242" s="103" t="s">
        <v>63</v>
      </c>
      <c r="E242" s="443">
        <f t="shared" si="7"/>
        <v>0.15573060335188876</v>
      </c>
      <c r="F242" s="443">
        <f>SUMPRODUCT(F238:F241,'Parameters, general'!$B$24:$B$27)</f>
        <v>0</v>
      </c>
      <c r="G242" s="443">
        <f>SUMPRODUCT(G238:G241,'Parameters, general'!$B$24:$B$27)</f>
        <v>3.01313E-2</v>
      </c>
      <c r="H242" s="443">
        <f>SUMPRODUCT(H238:H241,'Parameters, general'!$B$24:$B$27)</f>
        <v>7.8671736000000027E-3</v>
      </c>
      <c r="I242" s="443">
        <f>SUMPRODUCT(I238:I241,'Parameters, general'!$B$24:$B$27)</f>
        <v>7.8671736000000033E-4</v>
      </c>
      <c r="J242" s="443">
        <f>SUMPRODUCT(J238:J241,'Parameters, general'!$B$24:$B$27)</f>
        <v>3.0555712391888767E-2</v>
      </c>
      <c r="K242" s="443">
        <f>SUMPRODUCT(K238:K241,'Parameters, general'!$B$24:$B$27)</f>
        <v>0</v>
      </c>
      <c r="L242" s="443">
        <f>SUMPRODUCT(L238:L241,'Parameters, general'!$B$24:$B$27)</f>
        <v>0</v>
      </c>
      <c r="M242" s="443">
        <f>SUMPRODUCT(M238:M241,'Parameters, general'!$B$24:$B$27)</f>
        <v>0</v>
      </c>
      <c r="N242" s="443">
        <f>SUMPRODUCT(N238:N241,'Parameters, general'!$B$24:$B$27)</f>
        <v>0</v>
      </c>
      <c r="O242" s="443">
        <f>SUMPRODUCT(O238:O241,'Parameters, general'!$B$24:$B$27)</f>
        <v>8.6389700000000014E-2</v>
      </c>
      <c r="P242" s="443">
        <f>SUMPRODUCT(P238:P241,'Parameters, general'!$B$24:$B$27)</f>
        <v>0</v>
      </c>
    </row>
  </sheetData>
  <pageMargins left="0.7" right="0.7" top="0.75" bottom="0.75" header="0.511811023622047" footer="0.511811023622047"/>
  <pageSetup paperSize="9" orientation="portrait" horizontalDpi="300" verticalDpi="30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P85"/>
  <sheetViews>
    <sheetView topLeftCell="A41" zoomScale="80" zoomScaleNormal="80" workbookViewId="0">
      <selection activeCell="E31" sqref="E31"/>
    </sheetView>
  </sheetViews>
  <sheetFormatPr baseColWidth="10" defaultColWidth="8.6640625" defaultRowHeight="15" x14ac:dyDescent="0.2"/>
  <cols>
    <col min="1" max="1" width="15.33203125" customWidth="1"/>
    <col min="2" max="2" width="18.33203125" customWidth="1"/>
    <col min="3" max="3" width="1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5" customWidth="1"/>
    <col min="16" max="16" width="15" customWidth="1"/>
    <col min="17" max="17" width="17.6640625" customWidth="1"/>
    <col min="18" max="18" width="24.6640625" customWidth="1"/>
    <col min="20" max="24" width="10.6640625" customWidth="1"/>
    <col min="25" max="25" width="13.6640625" customWidth="1"/>
    <col min="36" max="36" width="30.5" customWidth="1"/>
    <col min="37" max="37" width="32.5" customWidth="1"/>
  </cols>
  <sheetData>
    <row r="2" spans="1:16" ht="21" customHeight="1" x14ac:dyDescent="0.25">
      <c r="A2" s="9" t="s">
        <v>552</v>
      </c>
    </row>
    <row r="4" spans="1:16" ht="18" customHeight="1" x14ac:dyDescent="0.25">
      <c r="A4" s="431" t="s">
        <v>264</v>
      </c>
      <c r="B4" s="197"/>
      <c r="C4" s="197"/>
      <c r="D4" s="197"/>
      <c r="E4" s="197"/>
      <c r="F4" s="197"/>
      <c r="G4" s="197"/>
      <c r="H4" s="197"/>
      <c r="I4" s="197"/>
      <c r="J4" s="197"/>
      <c r="K4" s="197"/>
      <c r="L4" s="197"/>
      <c r="M4" s="197"/>
      <c r="N4" s="197"/>
      <c r="O4" s="197"/>
      <c r="P4" s="197"/>
    </row>
    <row r="6" spans="1:16" x14ac:dyDescent="0.2">
      <c r="A6" s="382" t="s">
        <v>458</v>
      </c>
      <c r="B6" s="276"/>
      <c r="C6" s="276"/>
      <c r="D6" s="276"/>
      <c r="E6" s="276"/>
      <c r="F6" s="383" t="s">
        <v>141</v>
      </c>
      <c r="G6" s="383" t="s">
        <v>132</v>
      </c>
      <c r="H6" s="383" t="s">
        <v>142</v>
      </c>
      <c r="I6" s="383" t="s">
        <v>143</v>
      </c>
      <c r="J6" s="384" t="s">
        <v>144</v>
      </c>
      <c r="K6" s="384" t="s">
        <v>145</v>
      </c>
      <c r="L6" s="384" t="s">
        <v>146</v>
      </c>
      <c r="M6" s="446"/>
      <c r="N6" s="380"/>
      <c r="O6" s="380"/>
      <c r="P6" s="381"/>
    </row>
    <row r="7" spans="1:16" ht="43.5" customHeight="1" x14ac:dyDescent="0.2">
      <c r="A7" s="386" t="s">
        <v>13</v>
      </c>
      <c r="B7" s="386" t="s">
        <v>458</v>
      </c>
      <c r="C7" s="386" t="s">
        <v>460</v>
      </c>
      <c r="D7" s="386" t="s">
        <v>16</v>
      </c>
      <c r="E7" s="346" t="s">
        <v>17</v>
      </c>
      <c r="F7" s="387" t="s">
        <v>553</v>
      </c>
      <c r="G7" s="387" t="s">
        <v>486</v>
      </c>
      <c r="H7" s="387" t="s">
        <v>487</v>
      </c>
      <c r="I7" s="388" t="s">
        <v>159</v>
      </c>
      <c r="J7" s="389" t="s">
        <v>160</v>
      </c>
      <c r="K7" s="390" t="s">
        <v>161</v>
      </c>
      <c r="L7" s="390" t="s">
        <v>162</v>
      </c>
      <c r="M7" s="380"/>
    </row>
    <row r="8" spans="1:16" x14ac:dyDescent="0.2">
      <c r="B8" s="18" t="s">
        <v>264</v>
      </c>
      <c r="C8" s="18" t="s">
        <v>554</v>
      </c>
      <c r="D8" t="s">
        <v>88</v>
      </c>
      <c r="E8" t="s">
        <v>39</v>
      </c>
      <c r="F8" s="15">
        <f>1/'Forage, input data per ha'!C8*10000</f>
        <v>1.7618706912145321</v>
      </c>
      <c r="G8" s="52">
        <f>('Forage, input data per ha'!D8+'Forage, input data per ha'!E8)/'Forage, input data per ha'!C8</f>
        <v>1.0762098565245551E-2</v>
      </c>
      <c r="H8" s="177">
        <f>'Forage, input data per ha'!G8/'Forage, input data per ha'!C8</f>
        <v>3.8463374244824273E-5</v>
      </c>
      <c r="I8" s="13">
        <f>'Forage, input data per ha'!I8/'Forage, input data per ha'!C8</f>
        <v>0</v>
      </c>
      <c r="J8" s="53">
        <f>'Forage, input data per ha'!J8/'Forage, input data per ha'!C8</f>
        <v>0</v>
      </c>
      <c r="K8" s="53">
        <f>1/'Forage, input data per ha'!C8*SUM('Forage, input data per ha'!R8:V8)*10000/(No_species/1000000)</f>
        <v>3.5793844576218395E-12</v>
      </c>
      <c r="L8" s="52">
        <f>'Forage, input data per ha'!D8/'Forage, input data per ha'!C8*EF_NH3*N_to_NH3</f>
        <v>1.3924589728241983E-4</v>
      </c>
    </row>
    <row r="9" spans="1:16" x14ac:dyDescent="0.2">
      <c r="B9" s="18" t="s">
        <v>264</v>
      </c>
      <c r="C9" s="18" t="s">
        <v>554</v>
      </c>
      <c r="D9" t="s">
        <v>45</v>
      </c>
      <c r="E9" t="s">
        <v>46</v>
      </c>
      <c r="F9" s="15">
        <f>1/'Forage, input data per ha'!C9*10000</f>
        <v>2.280821654707585</v>
      </c>
      <c r="G9" s="52">
        <f>('Forage, input data per ha'!D9+'Forage, input data per ha'!E9)/'Forage, input data per ha'!C9</f>
        <v>1.3261392141552595E-2</v>
      </c>
      <c r="H9" s="177">
        <f>'Forage, input data per ha'!G9/'Forage, input data per ha'!C9</f>
        <v>2.9377625397606862E-4</v>
      </c>
      <c r="I9" s="13">
        <f>'Forage, input data per ha'!I9/'Forage, input data per ha'!C9</f>
        <v>0</v>
      </c>
      <c r="J9" s="53">
        <f>'Forage, input data per ha'!J9/'Forage, input data per ha'!C9</f>
        <v>0</v>
      </c>
      <c r="K9" s="53">
        <f>1/'Forage, input data per ha'!C9*SUM('Forage, input data per ha'!R9:V9)*10000/(No_species/1000000)</f>
        <v>3.2252454611020734E-11</v>
      </c>
      <c r="L9" s="52">
        <f>'Forage, input data per ha'!D9/'Forage, input data per ha'!C9*EF_NH3*N_to_NH3</f>
        <v>2.9118945728129591E-4</v>
      </c>
    </row>
    <row r="10" spans="1:16" x14ac:dyDescent="0.2">
      <c r="B10" s="18" t="s">
        <v>264</v>
      </c>
      <c r="C10" s="18" t="s">
        <v>554</v>
      </c>
      <c r="D10" t="s">
        <v>47</v>
      </c>
      <c r="E10" t="s">
        <v>48</v>
      </c>
      <c r="F10" s="15">
        <f>1/'Forage, input data per ha'!C10*10000</f>
        <v>2.2909779070682172</v>
      </c>
      <c r="G10" s="52">
        <f>('Forage, input data per ha'!D10+'Forage, input data per ha'!E10)/'Forage, input data per ha'!C10</f>
        <v>1.4084562538983793E-2</v>
      </c>
      <c r="H10" s="177">
        <f>'Forage, input data per ha'!G10/'Forage, input data per ha'!C10</f>
        <v>1.5004291926573563E-4</v>
      </c>
      <c r="I10" s="13">
        <f>'Forage, input data per ha'!I10/'Forage, input data per ha'!C10</f>
        <v>0</v>
      </c>
      <c r="J10" s="53">
        <f>'Forage, input data per ha'!J10/'Forage, input data per ha'!C10</f>
        <v>0</v>
      </c>
      <c r="K10" s="53">
        <f>1/'Forage, input data per ha'!C10*SUM('Forage, input data per ha'!R10:V10)*10000/(No_species/1000000)</f>
        <v>1.3537280465961739E-11</v>
      </c>
      <c r="L10" s="52">
        <f>'Forage, input data per ha'!D10/'Forage, input data per ha'!C10*EF_NH3*N_to_NH3</f>
        <v>3.4123377454641629E-4</v>
      </c>
    </row>
    <row r="11" spans="1:16" x14ac:dyDescent="0.2">
      <c r="B11" s="18" t="s">
        <v>264</v>
      </c>
      <c r="C11" s="18" t="s">
        <v>554</v>
      </c>
      <c r="D11" t="s">
        <v>49</v>
      </c>
      <c r="E11" t="s">
        <v>50</v>
      </c>
      <c r="F11" s="15">
        <f>1/'Forage, input data per ha'!C11*10000</f>
        <v>5.6420294009104621</v>
      </c>
      <c r="G11" s="52">
        <f>('Forage, input data per ha'!D11+'Forage, input data per ha'!E11)/'Forage, input data per ha'!C11</f>
        <v>1.4248888174213355E-2</v>
      </c>
      <c r="H11" s="177">
        <f>'Forage, input data per ha'!G11/'Forage, input data per ha'!C11</f>
        <v>2.3847872238080549E-4</v>
      </c>
      <c r="I11" s="13">
        <f>'Forage, input data per ha'!I11/'Forage, input data per ha'!C11</f>
        <v>0</v>
      </c>
      <c r="J11" s="53">
        <f>'Forage, input data per ha'!J11/'Forage, input data per ha'!C11</f>
        <v>0</v>
      </c>
      <c r="K11" s="53">
        <f>1/'Forage, input data per ha'!C11*SUM('Forage, input data per ha'!R11:V11)*10000/(No_species/1000000)</f>
        <v>1.7393226708176557E-10</v>
      </c>
      <c r="L11" s="52">
        <f>'Forage, input data per ha'!D11/'Forage, input data per ha'!C11*EF_NH3*N_to_NH3</f>
        <v>3.5122388625340113E-4</v>
      </c>
    </row>
    <row r="12" spans="1:16" x14ac:dyDescent="0.2">
      <c r="B12" s="18" t="s">
        <v>264</v>
      </c>
      <c r="C12" s="18" t="s">
        <v>554</v>
      </c>
      <c r="D12" t="s">
        <v>86</v>
      </c>
      <c r="E12" t="s">
        <v>52</v>
      </c>
      <c r="F12" s="15">
        <f>1/'Forage, input data per ha'!C12*10000</f>
        <v>8.475697153582642</v>
      </c>
      <c r="G12" s="52">
        <f>('Forage, input data per ha'!D12+'Forage, input data per ha'!E12)/'Forage, input data per ha'!C12</f>
        <v>1.4248888174213348E-2</v>
      </c>
      <c r="H12" s="177">
        <f>'Forage, input data per ha'!G12/'Forage, input data per ha'!C12</f>
        <v>2.3847872238080524E-4</v>
      </c>
      <c r="I12" s="13">
        <f>'Forage, input data per ha'!I12/'Forage, input data per ha'!C12</f>
        <v>0</v>
      </c>
      <c r="J12" s="53">
        <f>'Forage, input data per ha'!J12/'Forage, input data per ha'!C12</f>
        <v>0</v>
      </c>
      <c r="K12" s="53">
        <f>1/'Forage, input data per ha'!C12*SUM('Forage, input data per ha'!R12:V12)*10000/(No_species/1000000)</f>
        <v>5.2095311566368976E-11</v>
      </c>
      <c r="L12" s="52">
        <f>'Forage, input data per ha'!D12/'Forage, input data per ha'!C12*EF_NH3*N_to_NH3</f>
        <v>3.5122388625340092E-4</v>
      </c>
    </row>
    <row r="13" spans="1:16" x14ac:dyDescent="0.2">
      <c r="B13" s="18" t="s">
        <v>264</v>
      </c>
      <c r="C13" s="18" t="s">
        <v>554</v>
      </c>
      <c r="D13" t="s">
        <v>89</v>
      </c>
      <c r="E13" t="s">
        <v>54</v>
      </c>
      <c r="F13" s="15">
        <f>1/'Forage, input data per ha'!C13*10000</f>
        <v>2.5604713734555196</v>
      </c>
      <c r="G13" s="52">
        <f>('Forage, input data per ha'!D13+'Forage, input data per ha'!E13)/'Forage, input data per ha'!C13</f>
        <v>1.424888817421336E-2</v>
      </c>
      <c r="H13" s="177">
        <f>'Forage, input data per ha'!G13/'Forage, input data per ha'!C13</f>
        <v>2.3847872238080595E-4</v>
      </c>
      <c r="I13" s="13">
        <f>'Forage, input data per ha'!I13/'Forage, input data per ha'!C13</f>
        <v>0</v>
      </c>
      <c r="J13" s="53">
        <f>'Forage, input data per ha'!J13/'Forage, input data per ha'!C13</f>
        <v>0</v>
      </c>
      <c r="K13" s="53">
        <f>1/'Forage, input data per ha'!C13*SUM('Forage, input data per ha'!R13:V13)*10000/(No_species/1000000)</f>
        <v>3.5392110708600923E-12</v>
      </c>
      <c r="L13" s="52">
        <f>'Forage, input data per ha'!D13/'Forage, input data per ha'!C13*EF_NH3*N_to_NH3</f>
        <v>3.5122388625340075E-4</v>
      </c>
    </row>
    <row r="14" spans="1:16" x14ac:dyDescent="0.2">
      <c r="B14" s="18" t="s">
        <v>264</v>
      </c>
      <c r="C14" s="18" t="s">
        <v>554</v>
      </c>
      <c r="D14" t="s">
        <v>55</v>
      </c>
      <c r="E14" t="s">
        <v>56</v>
      </c>
      <c r="F14" s="15">
        <f>1/'Forage, input data per ha'!C14*10000</f>
        <v>2.1104059811217217</v>
      </c>
      <c r="G14" s="52">
        <f>('Forage, input data per ha'!D14+'Forage, input data per ha'!E14)/'Forage, input data per ha'!C14</f>
        <v>1.4248888174213348E-2</v>
      </c>
      <c r="H14" s="177">
        <f>'Forage, input data per ha'!G14/'Forage, input data per ha'!C14</f>
        <v>2.3847872238080549E-4</v>
      </c>
      <c r="I14" s="13">
        <f>'Forage, input data per ha'!I14/'Forage, input data per ha'!C14</f>
        <v>0</v>
      </c>
      <c r="J14" s="53">
        <f>'Forage, input data per ha'!J14/'Forage, input data per ha'!C14</f>
        <v>0</v>
      </c>
      <c r="K14" s="53">
        <f>1/'Forage, input data per ha'!C14*SUM('Forage, input data per ha'!R14:V14)*10000/(No_species/1000000)</f>
        <v>8.6954670873459005E-11</v>
      </c>
      <c r="L14" s="52">
        <f>'Forage, input data per ha'!D14/'Forage, input data per ha'!C14*EF_NH3*N_to_NH3</f>
        <v>3.5122388625340032E-4</v>
      </c>
    </row>
    <row r="15" spans="1:16" x14ac:dyDescent="0.2">
      <c r="B15" s="18" t="s">
        <v>264</v>
      </c>
      <c r="C15" s="18" t="s">
        <v>554</v>
      </c>
      <c r="D15" t="s">
        <v>87</v>
      </c>
      <c r="E15" t="s">
        <v>58</v>
      </c>
      <c r="F15" s="15">
        <f>1/'Forage, input data per ha'!C15*10000</f>
        <v>3.5856878365593201</v>
      </c>
      <c r="G15" s="52">
        <f>('Forage, input data per ha'!D15+'Forage, input data per ha'!E15)/'Forage, input data per ha'!C15</f>
        <v>3.4288619089893758E-2</v>
      </c>
      <c r="H15" s="177">
        <f>'Forage, input data per ha'!G15/'Forage, input data per ha'!C15</f>
        <v>0</v>
      </c>
      <c r="I15" s="13">
        <f>'Forage, input data per ha'!I15/'Forage, input data per ha'!C15</f>
        <v>0</v>
      </c>
      <c r="J15" s="53">
        <f>'Forage, input data per ha'!J15/'Forage, input data per ha'!C15</f>
        <v>0</v>
      </c>
      <c r="K15" s="53">
        <f>1/'Forage, input data per ha'!C15*SUM('Forage, input data per ha'!R15:V15)*10000/(No_species/1000000)</f>
        <v>1.4439923961886749E-11</v>
      </c>
      <c r="L15" s="52">
        <f>'Forage, input data per ha'!D15/'Forage, input data per ha'!C15*EF_NH3*N_to_NH3</f>
        <v>1.5695313654600586E-3</v>
      </c>
    </row>
    <row r="16" spans="1:16" x14ac:dyDescent="0.2">
      <c r="B16" s="18" t="s">
        <v>264</v>
      </c>
      <c r="C16" s="18" t="s">
        <v>554</v>
      </c>
      <c r="D16" t="s">
        <v>59</v>
      </c>
      <c r="E16" t="s">
        <v>60</v>
      </c>
      <c r="F16" s="15">
        <f>1/'Forage, input data per ha'!C16*10000</f>
        <v>2.6494621471855515</v>
      </c>
      <c r="G16" s="52">
        <f>('Forage, input data per ha'!D16+'Forage, input data per ha'!E16)/'Forage, input data per ha'!C16</f>
        <v>1.4248888174213359E-2</v>
      </c>
      <c r="H16" s="177">
        <f>'Forage, input data per ha'!G16/'Forage, input data per ha'!C16</f>
        <v>2.3847872238080559E-4</v>
      </c>
      <c r="I16" s="13">
        <f>'Forage, input data per ha'!I16/'Forage, input data per ha'!C16</f>
        <v>0</v>
      </c>
      <c r="J16" s="53">
        <f>'Forage, input data per ha'!J16/'Forage, input data per ha'!C16</f>
        <v>0</v>
      </c>
      <c r="K16" s="53">
        <f>1/'Forage, input data per ha'!C16*SUM('Forage, input data per ha'!R16:V16)*10000/(No_species/1000000)</f>
        <v>5.6886322522779026E-12</v>
      </c>
      <c r="L16" s="52">
        <f>'Forage, input data per ha'!D16/'Forage, input data per ha'!C16*EF_NH3*N_to_NH3</f>
        <v>3.5122388625340054E-4</v>
      </c>
    </row>
    <row r="17" spans="1:16" x14ac:dyDescent="0.2">
      <c r="B17" s="18" t="s">
        <v>264</v>
      </c>
      <c r="C17" s="18" t="s">
        <v>554</v>
      </c>
      <c r="D17" t="s">
        <v>61</v>
      </c>
      <c r="E17" t="s">
        <v>62</v>
      </c>
      <c r="F17" s="15">
        <f>1/'Forage, input data per ha'!C17*10000</f>
        <v>3.8149219489237343</v>
      </c>
      <c r="G17" s="52">
        <f>('Forage, input data per ha'!D17+'Forage, input data per ha'!E17)/'Forage, input data per ha'!C17</f>
        <v>1.4248888174213376E-2</v>
      </c>
      <c r="H17" s="177">
        <f>'Forage, input data per ha'!G17/'Forage, input data per ha'!C17</f>
        <v>2.3847872238080546E-4</v>
      </c>
      <c r="I17" s="13">
        <f>'Forage, input data per ha'!I17/'Forage, input data per ha'!C17</f>
        <v>0</v>
      </c>
      <c r="J17" s="53">
        <f>'Forage, input data per ha'!J17/'Forage, input data per ha'!C17</f>
        <v>0</v>
      </c>
      <c r="K17" s="53">
        <f>1/'Forage, input data per ha'!C17*SUM('Forage, input data per ha'!R17:V17)*10000/(No_species/1000000)</f>
        <v>1.1723811931033977E-10</v>
      </c>
      <c r="L17" s="52">
        <f>'Forage, input data per ha'!D17/'Forage, input data per ha'!C17*EF_NH3*N_to_NH3</f>
        <v>3.5122388625340135E-4</v>
      </c>
    </row>
    <row r="18" spans="1:16" x14ac:dyDescent="0.2">
      <c r="B18" s="18" t="s">
        <v>264</v>
      </c>
      <c r="C18" s="18" t="s">
        <v>554</v>
      </c>
      <c r="D18" s="58" t="s">
        <v>63</v>
      </c>
      <c r="E18" t="s">
        <v>64</v>
      </c>
      <c r="F18" s="15">
        <f>1/'Forage, input data per ha'!C18*10000</f>
        <v>5.7504312823461756</v>
      </c>
      <c r="G18" s="52">
        <f>('Forage, input data per ha'!D18+'Forage, input data per ha'!E18)/'Forage, input data per ha'!C18</f>
        <v>1.3044946916826712E-2</v>
      </c>
      <c r="H18" s="177">
        <f>'Forage, input data per ha'!G18/'Forage, input data per ha'!C18</f>
        <v>0</v>
      </c>
      <c r="I18" s="13">
        <f>'Forage, input data per ha'!I18/'Forage, input data per ha'!C18</f>
        <v>0</v>
      </c>
      <c r="J18" s="53">
        <f>'Forage, input data per ha'!J18/'Forage, input data per ha'!C18</f>
        <v>0</v>
      </c>
      <c r="K18" s="53">
        <f>1/'Forage, input data per ha'!C18*SUM('Forage, input data per ha'!R18:V18)*10000/(No_species/1000000)</f>
        <v>-1.608036288990619E-11</v>
      </c>
      <c r="L18" s="52">
        <f>'Forage, input data per ha'!D18/'Forage, input data per ha'!C18*EF_NH3*N_to_NH3</f>
        <v>0</v>
      </c>
    </row>
    <row r="20" spans="1:16" ht="18" customHeight="1" x14ac:dyDescent="0.25">
      <c r="A20" s="431" t="s">
        <v>548</v>
      </c>
      <c r="B20" s="197"/>
      <c r="C20" s="197"/>
      <c r="D20" s="197"/>
      <c r="E20" s="197"/>
      <c r="F20" s="197"/>
      <c r="G20" s="197"/>
      <c r="H20" s="197"/>
      <c r="I20" s="197"/>
      <c r="J20" s="197"/>
      <c r="K20" s="197"/>
      <c r="L20" s="197"/>
      <c r="M20" s="197"/>
      <c r="N20" s="197"/>
      <c r="O20" s="197"/>
      <c r="P20" s="197"/>
    </row>
    <row r="22" spans="1:16" x14ac:dyDescent="0.2">
      <c r="A22" s="382" t="s">
        <v>458</v>
      </c>
      <c r="B22" s="276"/>
      <c r="C22" s="276"/>
      <c r="D22" s="276"/>
      <c r="E22" s="276"/>
      <c r="F22" s="383" t="s">
        <v>141</v>
      </c>
      <c r="G22" s="383" t="s">
        <v>132</v>
      </c>
      <c r="H22" s="383" t="s">
        <v>142</v>
      </c>
      <c r="I22" s="383" t="s">
        <v>143</v>
      </c>
      <c r="J22" s="384" t="s">
        <v>144</v>
      </c>
      <c r="K22" s="384" t="s">
        <v>145</v>
      </c>
      <c r="L22" s="384" t="s">
        <v>146</v>
      </c>
      <c r="M22" s="446"/>
      <c r="N22" s="380"/>
      <c r="O22" s="380"/>
      <c r="P22" s="381"/>
    </row>
    <row r="23" spans="1:16" ht="43.5" customHeight="1" x14ac:dyDescent="0.2">
      <c r="A23" s="386" t="s">
        <v>13</v>
      </c>
      <c r="B23" s="386" t="s">
        <v>458</v>
      </c>
      <c r="C23" s="386" t="s">
        <v>460</v>
      </c>
      <c r="D23" s="386" t="s">
        <v>16</v>
      </c>
      <c r="E23" s="346" t="s">
        <v>17</v>
      </c>
      <c r="F23" s="387" t="s">
        <v>156</v>
      </c>
      <c r="G23" s="387" t="s">
        <v>486</v>
      </c>
      <c r="H23" s="387" t="s">
        <v>487</v>
      </c>
      <c r="I23" s="388" t="s">
        <v>159</v>
      </c>
      <c r="J23" s="389" t="s">
        <v>160</v>
      </c>
      <c r="K23" s="390" t="s">
        <v>161</v>
      </c>
      <c r="L23" s="390" t="s">
        <v>162</v>
      </c>
      <c r="M23" s="380"/>
    </row>
    <row r="24" spans="1:16" x14ac:dyDescent="0.2">
      <c r="A24" s="447"/>
      <c r="B24" s="18" t="s">
        <v>549</v>
      </c>
      <c r="C24" s="18" t="s">
        <v>554</v>
      </c>
      <c r="D24" t="s">
        <v>88</v>
      </c>
      <c r="E24" t="s">
        <v>39</v>
      </c>
      <c r="F24" s="15">
        <f>1/'Forage, input data per ha'!C26*10000</f>
        <v>0.75224590731521113</v>
      </c>
      <c r="G24" s="52">
        <f>('Forage, input data per ha'!D26+'Forage, input data per ha'!E26)/'Forage, input data per ha'!C26</f>
        <v>3.0089836292608442E-3</v>
      </c>
      <c r="H24" s="177">
        <f>'Forage, input data per ha'!G26/'Forage, input data per ha'!C26</f>
        <v>3.9413447538205423E-4</v>
      </c>
      <c r="I24" s="13">
        <f>'Forage, input data per ha'!I26/'Forage, input data per ha'!C26</f>
        <v>0</v>
      </c>
      <c r="J24" s="53">
        <f>'Forage, input data per ha'!J26/'Forage, input data per ha'!C26</f>
        <v>2.5056963704554107E-5</v>
      </c>
      <c r="K24" s="53">
        <f>1/'Forage, input data per ha'!C26*SUM('Forage, input data per ha'!R26:V26)*10000/(No_species/1000000)</f>
        <v>2.6821313808372407E-12</v>
      </c>
      <c r="L24" s="52">
        <f>'Forage, input data per ha'!D26/'Forage, input data per ha'!C26*EF_NH3*N_to_NH3</f>
        <v>1.8292996426765701E-4</v>
      </c>
    </row>
    <row r="25" spans="1:16" x14ac:dyDescent="0.2">
      <c r="A25" s="447"/>
      <c r="B25" s="18" t="s">
        <v>549</v>
      </c>
      <c r="C25" s="18" t="s">
        <v>554</v>
      </c>
      <c r="D25" t="s">
        <v>45</v>
      </c>
      <c r="E25" t="s">
        <v>46</v>
      </c>
      <c r="F25" s="15">
        <f>1/'Forage, input data per ha'!C27*10000</f>
        <v>0.7835482278425</v>
      </c>
      <c r="G25" s="52">
        <f>('Forage, input data per ha'!D27+'Forage, input data per ha'!E27)/'Forage, input data per ha'!C27</f>
        <v>4.8579990126235003E-3</v>
      </c>
      <c r="H25" s="177">
        <f>'Forage, input data per ha'!G27/'Forage, input data per ha'!C27</f>
        <v>6.5685620452374119E-4</v>
      </c>
      <c r="I25" s="13">
        <f>'Forage, input data per ha'!I27/'Forage, input data per ha'!C27</f>
        <v>7.2251532547729412E-3</v>
      </c>
      <c r="J25" s="53">
        <f>'Forage, input data per ha'!J27/'Forage, input data per ha'!C27</f>
        <v>6.7567011968587524E-5</v>
      </c>
      <c r="K25" s="53">
        <f>1/'Forage, input data per ha'!C27*SUM('Forage, input data per ha'!R27:V27)*10000/(No_species/1000000)</f>
        <v>9.4193784415180396E-12</v>
      </c>
      <c r="L25" s="52">
        <f>'Forage, input data per ha'!D27/'Forage, input data per ha'!C27*EF_NH3*N_to_NH3</f>
        <v>2.9534011988288292E-4</v>
      </c>
    </row>
    <row r="26" spans="1:16" x14ac:dyDescent="0.2">
      <c r="A26" s="353"/>
      <c r="B26" s="18" t="s">
        <v>549</v>
      </c>
      <c r="C26" s="18" t="s">
        <v>554</v>
      </c>
      <c r="D26" t="s">
        <v>47</v>
      </c>
      <c r="E26" t="s">
        <v>48</v>
      </c>
      <c r="F26" s="15">
        <f>1/'Forage, input data per ha'!C28*10000</f>
        <v>0.63803221792873377</v>
      </c>
      <c r="G26" s="52">
        <f>('Forage, input data per ha'!D28+'Forage, input data per ha'!E28)/'Forage, input data per ha'!C28</f>
        <v>3.2539643114365422E-3</v>
      </c>
      <c r="H26" s="177">
        <f>'Forage, input data per ha'!G28/'Forage, input data per ha'!C28</f>
        <v>2.228619578117265E-4</v>
      </c>
      <c r="I26" s="13">
        <f>'Forage, input data per ha'!I28/'Forage, input data per ha'!C28</f>
        <v>1.3139329498191915E-4</v>
      </c>
      <c r="J26" s="53">
        <f>'Forage, input data per ha'!J28/'Forage, input data per ha'!C28</f>
        <v>1.0479214179139347E-4</v>
      </c>
      <c r="K26" s="53">
        <f>1/'Forage, input data per ha'!C28*SUM('Forage, input data per ha'!R28:V28)*10000/(No_species/1000000)</f>
        <v>5.8519653024927854E-12</v>
      </c>
      <c r="L26" s="52">
        <f>'Forage, input data per ha'!D28/'Forage, input data per ha'!C28*EF_NH3*N_to_NH3</f>
        <v>1.9782346750937298E-4</v>
      </c>
    </row>
    <row r="27" spans="1:16" x14ac:dyDescent="0.2">
      <c r="A27" s="353"/>
      <c r="B27" s="18" t="s">
        <v>549</v>
      </c>
      <c r="C27" s="18" t="s">
        <v>554</v>
      </c>
      <c r="D27" t="s">
        <v>49</v>
      </c>
      <c r="E27" t="s">
        <v>50</v>
      </c>
      <c r="F27" s="15">
        <f>1/'Forage, input data per ha'!C29*10000</f>
        <v>1.4743513961474717</v>
      </c>
      <c r="G27" s="52">
        <f>('Forage, input data per ha'!D29+'Forage, input data per ha'!E29)/'Forage, input data per ha'!C29</f>
        <v>2.6538325130654489E-2</v>
      </c>
      <c r="H27" s="177">
        <f>'Forage, input data per ha'!G29/'Forage, input data per ha'!C29</f>
        <v>1.4162079608064444E-3</v>
      </c>
      <c r="I27" s="13">
        <f>'Forage, input data per ha'!I29/'Forage, input data per ha'!C29</f>
        <v>4.1667992608341697E-2</v>
      </c>
      <c r="J27" s="53">
        <f>'Forage, input data per ha'!J29/'Forage, input data per ha'!C29</f>
        <v>6.7567011968587524E-5</v>
      </c>
      <c r="K27" s="53">
        <f>1/'Forage, input data per ha'!C29*SUM('Forage, input data per ha'!R29:V29)*10000/(No_species/1000000)</f>
        <v>6.9414276357248976E-11</v>
      </c>
      <c r="L27" s="52">
        <f>'Forage, input data per ha'!D29/'Forage, input data per ha'!C29*EF_NH3*N_to_NH3</f>
        <v>1.6133869326057564E-3</v>
      </c>
    </row>
    <row r="28" spans="1:16" x14ac:dyDescent="0.2">
      <c r="A28" s="353"/>
      <c r="B28" s="18" t="s">
        <v>549</v>
      </c>
      <c r="C28" s="18" t="s">
        <v>554</v>
      </c>
      <c r="D28" t="s">
        <v>86</v>
      </c>
      <c r="E28" t="s">
        <v>52</v>
      </c>
      <c r="F28" s="15">
        <f>1/'Forage, input data per ha'!C30*10000</f>
        <v>1.0253586201655649</v>
      </c>
      <c r="G28" s="52">
        <f>('Forage, input data per ha'!D30+'Forage, input data per ha'!E30)/'Forage, input data per ha'!C30</f>
        <v>1.2271227357465338E-2</v>
      </c>
      <c r="H28" s="177">
        <f>'Forage, input data per ha'!G30/'Forage, input data per ha'!C30</f>
        <v>1.343075375709827E-4</v>
      </c>
      <c r="I28" s="13">
        <f>'Forage, input data per ha'!I30/'Forage, input data per ha'!C30</f>
        <v>1.1427346860111065E-4</v>
      </c>
      <c r="J28" s="53">
        <f>'Forage, input data per ha'!J30/'Forage, input data per ha'!C30</f>
        <v>1.0479214179139347E-4</v>
      </c>
      <c r="K28" s="53">
        <f>1/'Forage, input data per ha'!C30*SUM('Forage, input data per ha'!R30:V30)*10000/(No_species/1000000)</f>
        <v>1.2876214228064374E-11</v>
      </c>
      <c r="L28" s="52">
        <f>'Forage, input data per ha'!D30/'Forage, input data per ha'!C30*EF_NH3*N_to_NH3</f>
        <v>7.4602439182191809E-4</v>
      </c>
    </row>
    <row r="29" spans="1:16" x14ac:dyDescent="0.2">
      <c r="A29" s="353"/>
      <c r="B29" s="18" t="s">
        <v>549</v>
      </c>
      <c r="C29" s="18" t="s">
        <v>554</v>
      </c>
      <c r="D29" t="s">
        <v>89</v>
      </c>
      <c r="E29" t="s">
        <v>54</v>
      </c>
      <c r="F29" s="15">
        <f>1/'Forage, input data per ha'!C31*10000</f>
        <v>0.61943752006156316</v>
      </c>
      <c r="G29" s="52">
        <f>('Forage, input data per ha'!D31+'Forage, input data per ha'!E31)/'Forage, input data per ha'!C31</f>
        <v>8.6721252808618851E-3</v>
      </c>
      <c r="H29" s="177">
        <f>'Forage, input data per ha'!G31/'Forage, input data per ha'!C31</f>
        <v>2.2919188242277837E-3</v>
      </c>
      <c r="I29" s="13">
        <f>'Forage, input data per ha'!I31/'Forage, input data per ha'!C31</f>
        <v>0</v>
      </c>
      <c r="J29" s="53">
        <f>'Forage, input data per ha'!J31/'Forage, input data per ha'!C31</f>
        <v>1.3255962929317451E-4</v>
      </c>
      <c r="K29" s="53">
        <f>1/'Forage, input data per ha'!C31*SUM('Forage, input data per ha'!R31:V31)*10000/(No_species/1000000)</f>
        <v>2.7230457417882733E-12</v>
      </c>
      <c r="L29" s="52">
        <f>'Forage, input data per ha'!D31/'Forage, input data per ha'!C31*EF_NH3*N_to_NH3</f>
        <v>5.2721841100292265E-4</v>
      </c>
    </row>
    <row r="30" spans="1:16" x14ac:dyDescent="0.2">
      <c r="A30" s="353"/>
      <c r="B30" s="18" t="s">
        <v>549</v>
      </c>
      <c r="C30" s="18" t="s">
        <v>554</v>
      </c>
      <c r="D30" t="s">
        <v>55</v>
      </c>
      <c r="E30" t="s">
        <v>56</v>
      </c>
      <c r="F30" s="15">
        <f>1/'Forage, input data per ha'!C32*10000</f>
        <v>0.51445196317795649</v>
      </c>
      <c r="G30" s="52">
        <f>('Forage, input data per ha'!D32+'Forage, input data per ha'!E32)/'Forage, input data per ha'!C32</f>
        <v>7.6719017232219043E-3</v>
      </c>
      <c r="H30" s="177">
        <f>'Forage, input data per ha'!G32/'Forage, input data per ha'!C32</f>
        <v>1.347719227480283E-4</v>
      </c>
      <c r="I30" s="13">
        <f>'Forage, input data per ha'!I32/'Forage, input data per ha'!C32</f>
        <v>5.5496587714507512E-3</v>
      </c>
      <c r="J30" s="53">
        <f>'Forage, input data per ha'!J32/'Forage, input data per ha'!C32</f>
        <v>6.7567011968587524E-5</v>
      </c>
      <c r="K30" s="53">
        <f>1/'Forage, input data per ha'!C32*SUM('Forage, input data per ha'!R32:V32)*10000/(No_species/1000000)</f>
        <v>2.768426540722231E-11</v>
      </c>
      <c r="L30" s="52">
        <f>'Forage, input data per ha'!D32/'Forage, input data per ha'!C32*EF_NH3*N_to_NH3</f>
        <v>4.664102172063691E-4</v>
      </c>
    </row>
    <row r="31" spans="1:16" x14ac:dyDescent="0.2">
      <c r="A31" s="353"/>
      <c r="B31" s="18" t="s">
        <v>549</v>
      </c>
      <c r="C31" s="18" t="s">
        <v>554</v>
      </c>
      <c r="D31" t="s">
        <v>87</v>
      </c>
      <c r="E31" t="s">
        <v>58</v>
      </c>
      <c r="F31" s="15">
        <f>1/'Forage, input data per ha'!C33*10000</f>
        <v>0.61500988697347847</v>
      </c>
      <c r="G31" s="52">
        <f>('Forage, input data per ha'!D33+'Forage, input data per ha'!E33)/'Forage, input data per ha'!C33</f>
        <v>3.1365504235647399E-4</v>
      </c>
      <c r="H31" s="177">
        <f>'Forage, input data per ha'!G33/'Forage, input data per ha'!C33</f>
        <v>8.4585514736563842E-5</v>
      </c>
      <c r="I31" s="13">
        <f>'Forage, input data per ha'!I33/'Forage, input data per ha'!C33</f>
        <v>1.0006970049386589E-3</v>
      </c>
      <c r="J31" s="53">
        <f>'Forage, input data per ha'!J33/'Forage, input data per ha'!C33</f>
        <v>7.1677920029330916E-5</v>
      </c>
      <c r="K31" s="53">
        <f>1/'Forage, input data per ha'!C33*SUM('Forage, input data per ha'!R33:V33)*10000/(No_species/1000000)</f>
        <v>4.9799456928696033E-12</v>
      </c>
      <c r="L31" s="52">
        <f>'Forage, input data per ha'!D33/'Forage, input data per ha'!C33*EF_NH3*N_to_NH3</f>
        <v>1.9068533684490285E-5</v>
      </c>
    </row>
    <row r="32" spans="1:16" x14ac:dyDescent="0.2">
      <c r="A32" s="353"/>
      <c r="B32" s="18" t="s">
        <v>549</v>
      </c>
      <c r="C32" s="18" t="s">
        <v>554</v>
      </c>
      <c r="D32" t="s">
        <v>59</v>
      </c>
      <c r="E32" t="s">
        <v>60</v>
      </c>
      <c r="F32" s="15">
        <f>1/'Forage, input data per ha'!C34*10000</f>
        <v>0.63361825022961549</v>
      </c>
      <c r="G32" s="52">
        <f>('Forage, input data per ha'!D34+'Forage, input data per ha'!E34)/'Forage, input data per ha'!C34</f>
        <v>7.9835899528931543E-3</v>
      </c>
      <c r="H32" s="177">
        <f>'Forage, input data per ha'!G34/'Forage, input data per ha'!C34</f>
        <v>1.3832511096562054E-3</v>
      </c>
      <c r="I32" s="13">
        <f>'Forage, input data per ha'!I34/'Forage, input data per ha'!C34</f>
        <v>2.3699570524521687E-4</v>
      </c>
      <c r="J32" s="53">
        <f>'Forage, input data per ha'!J34/'Forage, input data per ha'!C34</f>
        <v>1.0479214179139347E-4</v>
      </c>
      <c r="K32" s="53">
        <f>1/'Forage, input data per ha'!C34*SUM('Forage, input data per ha'!R34:V34)*10000/(No_species/1000000)</f>
        <v>2.5239361658889707E-12</v>
      </c>
      <c r="L32" s="52">
        <f>'Forage, input data per ha'!D34/'Forage, input data per ha'!C34*EF_NH3*N_to_NH3</f>
        <v>4.8535917929507855E-4</v>
      </c>
    </row>
    <row r="33" spans="1:16" x14ac:dyDescent="0.2">
      <c r="A33" s="353"/>
      <c r="B33" s="18" t="s">
        <v>549</v>
      </c>
      <c r="C33" s="18" t="s">
        <v>554</v>
      </c>
      <c r="D33" t="s">
        <v>61</v>
      </c>
      <c r="E33" t="s">
        <v>62</v>
      </c>
      <c r="F33" s="15">
        <f>1/'Forage, input data per ha'!C35*10000</f>
        <v>1.0250102501025009</v>
      </c>
      <c r="G33" s="52">
        <f>('Forage, input data per ha'!D35+'Forage, input data per ha'!E35)/'Forage, input data per ha'!C35</f>
        <v>5.6375563755637556E-3</v>
      </c>
      <c r="H33" s="177">
        <f>'Forage, input data per ha'!G35/'Forage, input data per ha'!C35</f>
        <v>1.3426190599934195E-3</v>
      </c>
      <c r="I33" s="13">
        <f>'Forage, input data per ha'!I35/'Forage, input data per ha'!C35</f>
        <v>4.1581712214757788E-2</v>
      </c>
      <c r="J33" s="53">
        <f>'Forage, input data per ha'!J35/'Forage, input data per ha'!C35</f>
        <v>6.7567011968587524E-5</v>
      </c>
      <c r="K33" s="53">
        <f>1/'Forage, input data per ha'!C35*SUM('Forage, input data per ha'!R35:V35)*10000/(No_species/1000000)</f>
        <v>7.0036243032082879E-11</v>
      </c>
      <c r="L33" s="52">
        <f>'Forage, input data per ha'!D35/'Forage, input data per ha'!C35*EF_NH3*N_to_NH3</f>
        <v>3.427330000436436E-4</v>
      </c>
    </row>
    <row r="34" spans="1:16" x14ac:dyDescent="0.2">
      <c r="A34" s="353"/>
      <c r="B34" s="18" t="s">
        <v>549</v>
      </c>
      <c r="C34" s="18" t="s">
        <v>554</v>
      </c>
      <c r="D34" s="58" t="s">
        <v>63</v>
      </c>
      <c r="E34" t="s">
        <v>64</v>
      </c>
      <c r="F34" s="15">
        <f>1/'Forage, input data per ha'!C36*10000</f>
        <v>0.91421835939926688</v>
      </c>
      <c r="G34" s="52">
        <f>('Forage, input data per ha'!D36+'Forage, input data per ha'!E36)/'Forage, input data per ha'!C36</f>
        <v>6.3995285157948684E-3</v>
      </c>
      <c r="H34" s="177">
        <f>'Forage, input data per ha'!G36/'Forage, input data per ha'!C36</f>
        <v>5.4853101563956017E-4</v>
      </c>
      <c r="I34" s="13">
        <f>'Forage, input data per ha'!I36/'Forage, input data per ha'!C36</f>
        <v>0</v>
      </c>
      <c r="J34" s="53">
        <f>'Forage, input data per ha'!J36/'Forage, input data per ha'!C36</f>
        <v>9.1421835939926697E-6</v>
      </c>
      <c r="K34" s="53">
        <f>1/'Forage, input data per ha'!C36*SUM('Forage, input data per ha'!R36:V36)*10000/(No_species/1000000)</f>
        <v>1.8706078991556407E-12</v>
      </c>
      <c r="L34" s="52">
        <f>'Forage, input data per ha'!D36/'Forage, input data per ha'!C36*EF_NH3*N_to_NH3</f>
        <v>3.8905679357643464E-4</v>
      </c>
    </row>
    <row r="35" spans="1:16" x14ac:dyDescent="0.2">
      <c r="A35" s="353"/>
      <c r="B35" s="18"/>
      <c r="C35" s="18"/>
    </row>
    <row r="36" spans="1:16" ht="18" customHeight="1" x14ac:dyDescent="0.25">
      <c r="A36" s="431" t="s">
        <v>550</v>
      </c>
      <c r="B36" s="197"/>
      <c r="C36" s="197"/>
      <c r="D36" s="197"/>
      <c r="E36" s="197"/>
      <c r="F36" s="197"/>
      <c r="G36" s="197"/>
      <c r="H36" s="197"/>
      <c r="I36" s="197"/>
      <c r="J36" s="197"/>
      <c r="K36" s="197"/>
      <c r="L36" s="197"/>
      <c r="M36" s="197"/>
      <c r="N36" s="197"/>
      <c r="O36" s="197"/>
      <c r="P36" s="197"/>
    </row>
    <row r="38" spans="1:16" x14ac:dyDescent="0.2">
      <c r="A38" s="382" t="s">
        <v>458</v>
      </c>
      <c r="B38" s="276"/>
      <c r="C38" s="276"/>
      <c r="D38" s="276"/>
      <c r="E38" s="276"/>
      <c r="F38" s="383" t="s">
        <v>141</v>
      </c>
      <c r="G38" s="383" t="s">
        <v>132</v>
      </c>
      <c r="H38" s="383" t="s">
        <v>142</v>
      </c>
      <c r="I38" s="383" t="s">
        <v>143</v>
      </c>
      <c r="J38" s="384" t="s">
        <v>144</v>
      </c>
      <c r="K38" s="384" t="s">
        <v>145</v>
      </c>
      <c r="L38" s="384" t="s">
        <v>146</v>
      </c>
      <c r="M38" s="446"/>
      <c r="N38" s="380"/>
      <c r="O38" s="380"/>
      <c r="P38" s="381"/>
    </row>
    <row r="39" spans="1:16" ht="43.5" customHeight="1" x14ac:dyDescent="0.2">
      <c r="A39" s="386" t="s">
        <v>13</v>
      </c>
      <c r="B39" s="386" t="s">
        <v>458</v>
      </c>
      <c r="C39" s="386" t="s">
        <v>460</v>
      </c>
      <c r="D39" s="386" t="s">
        <v>16</v>
      </c>
      <c r="E39" s="346" t="s">
        <v>17</v>
      </c>
      <c r="F39" s="387" t="s">
        <v>156</v>
      </c>
      <c r="G39" s="387" t="s">
        <v>486</v>
      </c>
      <c r="H39" s="387" t="s">
        <v>487</v>
      </c>
      <c r="I39" s="388" t="s">
        <v>159</v>
      </c>
      <c r="J39" s="389" t="s">
        <v>160</v>
      </c>
      <c r="K39" s="390" t="s">
        <v>161</v>
      </c>
      <c r="L39" s="390" t="s">
        <v>162</v>
      </c>
      <c r="M39" s="380"/>
    </row>
    <row r="40" spans="1:16" x14ac:dyDescent="0.2">
      <c r="A40" s="447"/>
      <c r="B40" s="18" t="s">
        <v>550</v>
      </c>
      <c r="C40" s="18" t="s">
        <v>554</v>
      </c>
      <c r="D40" t="s">
        <v>88</v>
      </c>
      <c r="E40" t="s">
        <v>39</v>
      </c>
      <c r="F40" s="15">
        <f>1/'Forage, input data per ha'!C44*10000</f>
        <v>0.88093534560726605</v>
      </c>
      <c r="G40" s="52">
        <f>('Forage, input data per ha'!D44+'Forage, input data per ha'!E44)/'Forage, input data per ha'!C44</f>
        <v>1.0762098565245551E-2</v>
      </c>
      <c r="H40" s="177">
        <f>'Forage, input data per ha'!G44/'Forage, input data per ha'!C44</f>
        <v>3.8463374244824273E-5</v>
      </c>
      <c r="I40" s="13">
        <f>'Forage, input data per ha'!I44/'Forage, input data per ha'!C44</f>
        <v>0</v>
      </c>
      <c r="J40" s="53">
        <f>'Forage, input data per ha'!J44/'Forage, input data per ha'!C44</f>
        <v>4.4813432196435392E-5</v>
      </c>
      <c r="K40" s="53">
        <f>1/'Forage, input data per ha'!C44*SUM('Forage, input data per ha'!R44:V44)*10000/(No_species/1000000)</f>
        <v>2.1758332674700831E-12</v>
      </c>
      <c r="L40" s="52">
        <f>'Forage, input data per ha'!D44/'Forage, input data per ha'!C44*EF_NH3*N_to_NH3</f>
        <v>1.3924589728241983E-4</v>
      </c>
    </row>
    <row r="41" spans="1:16" x14ac:dyDescent="0.2">
      <c r="A41" s="447"/>
      <c r="B41" s="18" t="s">
        <v>550</v>
      </c>
      <c r="C41" s="18" t="s">
        <v>554</v>
      </c>
      <c r="D41" t="s">
        <v>45</v>
      </c>
      <c r="E41" t="s">
        <v>46</v>
      </c>
      <c r="F41" s="15">
        <f>1/'Forage, input data per ha'!C45*10000</f>
        <v>1.1404108273537925</v>
      </c>
      <c r="G41" s="52">
        <f>('Forage, input data per ha'!D45+'Forage, input data per ha'!E45)/'Forage, input data per ha'!C45</f>
        <v>1.3261392141552595E-2</v>
      </c>
      <c r="H41" s="177">
        <f>'Forage, input data per ha'!G45/'Forage, input data per ha'!C45</f>
        <v>2.9377625397606862E-4</v>
      </c>
      <c r="I41" s="13">
        <f>'Forage, input data per ha'!I45/'Forage, input data per ha'!C45</f>
        <v>0</v>
      </c>
      <c r="J41" s="53">
        <f>'Forage, input data per ha'!J45/'Forage, input data per ha'!C45</f>
        <v>4.4813432196435392E-5</v>
      </c>
      <c r="K41" s="53">
        <f>1/'Forage, input data per ha'!C45*SUM('Forage, input data per ha'!R45:V45)*10000/(No_species/1000000)</f>
        <v>9.3396559792334113E-12</v>
      </c>
      <c r="L41" s="52">
        <f>'Forage, input data per ha'!D45/'Forage, input data per ha'!C45*EF_NH3*N_to_NH3</f>
        <v>2.9118945728129591E-4</v>
      </c>
    </row>
    <row r="42" spans="1:16" x14ac:dyDescent="0.2">
      <c r="A42" s="353"/>
      <c r="B42" s="18" t="s">
        <v>550</v>
      </c>
      <c r="C42" s="18" t="s">
        <v>554</v>
      </c>
      <c r="D42" t="s">
        <v>47</v>
      </c>
      <c r="E42" t="s">
        <v>48</v>
      </c>
      <c r="F42" s="15">
        <f>1/'Forage, input data per ha'!C46*10000</f>
        <v>1.1454889535341086</v>
      </c>
      <c r="G42" s="52">
        <f>('Forage, input data per ha'!D46+'Forage, input data per ha'!E46)/'Forage, input data per ha'!C46</f>
        <v>1.4084562538983793E-2</v>
      </c>
      <c r="H42" s="177">
        <f>'Forage, input data per ha'!G46/'Forage, input data per ha'!C46</f>
        <v>1.5004291926573563E-4</v>
      </c>
      <c r="I42" s="13">
        <f>'Forage, input data per ha'!I46/'Forage, input data per ha'!C46</f>
        <v>0</v>
      </c>
      <c r="J42" s="53">
        <f>'Forage, input data per ha'!J46/'Forage, input data per ha'!C46</f>
        <v>4.4813432196435392E-5</v>
      </c>
      <c r="K42" s="53">
        <f>1/'Forage, input data per ha'!C46*SUM('Forage, input data per ha'!R46:V46)*10000/(No_species/1000000)</f>
        <v>7.1575218380200387E-12</v>
      </c>
      <c r="L42" s="52">
        <f>'Forage, input data per ha'!D46/'Forage, input data per ha'!C46*EF_NH3*N_to_NH3</f>
        <v>3.4123377454641629E-4</v>
      </c>
    </row>
    <row r="43" spans="1:16" x14ac:dyDescent="0.2">
      <c r="A43" s="353"/>
      <c r="B43" s="18" t="s">
        <v>550</v>
      </c>
      <c r="C43" s="18" t="s">
        <v>554</v>
      </c>
      <c r="D43" t="s">
        <v>49</v>
      </c>
      <c r="E43" t="s">
        <v>50</v>
      </c>
      <c r="F43" s="15">
        <f>1/'Forage, input data per ha'!C47*10000</f>
        <v>2.8210147004552311</v>
      </c>
      <c r="G43" s="52">
        <f>('Forage, input data per ha'!D47+'Forage, input data per ha'!E47)/'Forage, input data per ha'!C47</f>
        <v>1.4248888174213355E-2</v>
      </c>
      <c r="H43" s="177">
        <f>'Forage, input data per ha'!G47/'Forage, input data per ha'!C47</f>
        <v>2.3847872238080549E-4</v>
      </c>
      <c r="I43" s="13">
        <f>'Forage, input data per ha'!I47/'Forage, input data per ha'!C47</f>
        <v>0</v>
      </c>
      <c r="J43" s="53">
        <f>'Forage, input data per ha'!J47/'Forage, input data per ha'!C47</f>
        <v>4.4813432196435392E-5</v>
      </c>
      <c r="K43" s="53">
        <f>1/'Forage, input data per ha'!C47*SUM('Forage, input data per ha'!R47:V47)*10000/(No_species/1000000)</f>
        <v>9.0380275303623545E-11</v>
      </c>
      <c r="L43" s="52">
        <f>'Forage, input data per ha'!D47/'Forage, input data per ha'!C47*EF_NH3*N_to_NH3</f>
        <v>3.5122388625340113E-4</v>
      </c>
    </row>
    <row r="44" spans="1:16" x14ac:dyDescent="0.2">
      <c r="A44" s="353"/>
      <c r="B44" s="18" t="s">
        <v>550</v>
      </c>
      <c r="C44" s="18" t="s">
        <v>554</v>
      </c>
      <c r="D44" t="s">
        <v>86</v>
      </c>
      <c r="E44" t="s">
        <v>52</v>
      </c>
      <c r="F44" s="15">
        <f>1/'Forage, input data per ha'!C48*10000</f>
        <v>4.237848576791321</v>
      </c>
      <c r="G44" s="52">
        <f>('Forage, input data per ha'!D48+'Forage, input data per ha'!E48)/'Forage, input data per ha'!C48</f>
        <v>1.4248888174213348E-2</v>
      </c>
      <c r="H44" s="177">
        <f>'Forage, input data per ha'!G48/'Forage, input data per ha'!C48</f>
        <v>2.3847872238080524E-4</v>
      </c>
      <c r="I44" s="13">
        <f>'Forage, input data per ha'!I48/'Forage, input data per ha'!C48</f>
        <v>0</v>
      </c>
      <c r="J44" s="53">
        <f>'Forage, input data per ha'!J48/'Forage, input data per ha'!C48</f>
        <v>4.4813432196435392E-5</v>
      </c>
      <c r="K44" s="53">
        <f>1/'Forage, input data per ha'!C48*SUM('Forage, input data per ha'!S48:V48)*10000/(No_species/1000000)</f>
        <v>3.3359181388632814E-11</v>
      </c>
      <c r="L44" s="52">
        <f>'Forage, input data per ha'!D48/'Forage, input data per ha'!C48*EF_NH3*N_to_NH3</f>
        <v>3.5122388625340092E-4</v>
      </c>
    </row>
    <row r="45" spans="1:16" x14ac:dyDescent="0.2">
      <c r="A45" s="353"/>
      <c r="B45" s="18" t="s">
        <v>550</v>
      </c>
      <c r="C45" s="18" t="s">
        <v>554</v>
      </c>
      <c r="D45" t="s">
        <v>89</v>
      </c>
      <c r="E45" t="s">
        <v>54</v>
      </c>
      <c r="F45" s="15">
        <f>1/'Forage, input data per ha'!C49*10000</f>
        <v>1.2802356867277598</v>
      </c>
      <c r="G45" s="52">
        <f>('Forage, input data per ha'!D49+'Forage, input data per ha'!E49)/'Forage, input data per ha'!C49</f>
        <v>1.424888817421336E-2</v>
      </c>
      <c r="H45" s="177">
        <f>'Forage, input data per ha'!G49/'Forage, input data per ha'!C49</f>
        <v>2.3847872238080595E-4</v>
      </c>
      <c r="I45" s="13">
        <f>'Forage, input data per ha'!I49/'Forage, input data per ha'!C49</f>
        <v>0</v>
      </c>
      <c r="J45" s="53">
        <f>'Forage, input data per ha'!J49/'Forage, input data per ha'!C49</f>
        <v>1.1522121180549837E-5</v>
      </c>
      <c r="K45" s="53">
        <f>1/'Forage, input data per ha'!C49*SUM('Forage, input data per ha'!R49:V49)*10000/(No_species/1000000)</f>
        <v>3.930975407494386E-12</v>
      </c>
      <c r="L45" s="52">
        <f>'Forage, input data per ha'!D49/'Forage, input data per ha'!C49*EF_NH3*N_to_NH3</f>
        <v>3.5122388625340075E-4</v>
      </c>
    </row>
    <row r="46" spans="1:16" x14ac:dyDescent="0.2">
      <c r="A46" s="353"/>
      <c r="B46" s="18" t="s">
        <v>550</v>
      </c>
      <c r="C46" s="18" t="s">
        <v>554</v>
      </c>
      <c r="D46" t="s">
        <v>55</v>
      </c>
      <c r="E46" t="s">
        <v>56</v>
      </c>
      <c r="F46" s="15">
        <f>1/'Forage, input data per ha'!C50*10000</f>
        <v>1.0552029905608609</v>
      </c>
      <c r="G46" s="52">
        <f>('Forage, input data per ha'!D50+'Forage, input data per ha'!E50)/'Forage, input data per ha'!C50</f>
        <v>1.4248888174213348E-2</v>
      </c>
      <c r="H46" s="177">
        <f>'Forage, input data per ha'!G50/'Forage, input data per ha'!C50</f>
        <v>2.3847872238080549E-4</v>
      </c>
      <c r="I46" s="13">
        <f>'Forage, input data per ha'!I50/'Forage, input data per ha'!C50</f>
        <v>0</v>
      </c>
      <c r="J46" s="53">
        <f>'Forage, input data per ha'!J50/'Forage, input data per ha'!C50</f>
        <v>4.4813432196435392E-5</v>
      </c>
      <c r="K46" s="53">
        <f>1/'Forage, input data per ha'!C50*SUM('Forage, input data per ha'!R50:V50)*10000/(No_species/1000000)</f>
        <v>3.8214842852610704E-11</v>
      </c>
      <c r="L46" s="52">
        <f>'Forage, input data per ha'!D50/'Forage, input data per ha'!C50*EF_NH3*N_to_NH3</f>
        <v>3.5122388625340032E-4</v>
      </c>
    </row>
    <row r="47" spans="1:16" x14ac:dyDescent="0.2">
      <c r="A47" s="353"/>
      <c r="B47" s="18" t="s">
        <v>550</v>
      </c>
      <c r="C47" s="18" t="s">
        <v>554</v>
      </c>
      <c r="D47" t="s">
        <v>87</v>
      </c>
      <c r="E47" t="s">
        <v>58</v>
      </c>
      <c r="F47" s="15">
        <f>1/'Forage, input data per ha'!C51*10000</f>
        <v>1.7928439182796601</v>
      </c>
      <c r="G47" s="52">
        <f>('Forage, input data per ha'!D51+'Forage, input data per ha'!E51)/'Forage, input data per ha'!C51</f>
        <v>3.4288619089893758E-2</v>
      </c>
      <c r="H47" s="177">
        <f>'Forage, input data per ha'!G51/'Forage, input data per ha'!C51</f>
        <v>0</v>
      </c>
      <c r="I47" s="13">
        <f>'Forage, input data per ha'!I51/'Forage, input data per ha'!C51</f>
        <v>0</v>
      </c>
      <c r="J47" s="53">
        <f>'Forage, input data per ha'!J51/'Forage, input data per ha'!C51</f>
        <v>4.4813432196435392E-5</v>
      </c>
      <c r="K47" s="53">
        <f>1/'Forage, input data per ha'!C51*SUM('Forage, input data per ha'!R51:V51)*10000/(No_species/1000000)</f>
        <v>9.9883841540653846E-12</v>
      </c>
      <c r="L47" s="52">
        <f>'Forage, input data per ha'!D51/'Forage, input data per ha'!C51*EF_NH3*N_to_NH3</f>
        <v>1.5695313654600586E-3</v>
      </c>
    </row>
    <row r="48" spans="1:16" x14ac:dyDescent="0.2">
      <c r="A48" s="353"/>
      <c r="B48" s="18" t="s">
        <v>550</v>
      </c>
      <c r="C48" s="18" t="s">
        <v>554</v>
      </c>
      <c r="D48" t="s">
        <v>59</v>
      </c>
      <c r="E48" t="s">
        <v>60</v>
      </c>
      <c r="F48" s="15">
        <f>1/'Forage, input data per ha'!C52*10000</f>
        <v>1.3247310735927758</v>
      </c>
      <c r="G48" s="52">
        <f>('Forage, input data per ha'!D52+'Forage, input data per ha'!E52)/'Forage, input data per ha'!C52</f>
        <v>1.4248888174213359E-2</v>
      </c>
      <c r="H48" s="177">
        <f>'Forage, input data per ha'!G52/'Forage, input data per ha'!C52</f>
        <v>2.3847872238080559E-4</v>
      </c>
      <c r="I48" s="13">
        <f>'Forage, input data per ha'!I52/'Forage, input data per ha'!C52</f>
        <v>0</v>
      </c>
      <c r="J48" s="53">
        <f>'Forage, input data per ha'!J52/'Forage, input data per ha'!C52</f>
        <v>4.4813432196435392E-5</v>
      </c>
      <c r="K48" s="53">
        <f>1/'Forage, input data per ha'!C52*SUM('Forage, input data per ha'!R52:V52)*10000/(No_species/1000000)</f>
        <v>3.7240185040764124E-12</v>
      </c>
      <c r="L48" s="52">
        <f>'Forage, input data per ha'!D52/'Forage, input data per ha'!C52*EF_NH3*N_to_NH3</f>
        <v>3.5122388625340054E-4</v>
      </c>
    </row>
    <row r="49" spans="1:16" x14ac:dyDescent="0.2">
      <c r="A49" s="353"/>
      <c r="B49" s="18" t="s">
        <v>550</v>
      </c>
      <c r="C49" s="18" t="s">
        <v>554</v>
      </c>
      <c r="D49" t="s">
        <v>61</v>
      </c>
      <c r="E49" t="s">
        <v>62</v>
      </c>
      <c r="F49" s="15">
        <f>1/'Forage, input data per ha'!C53*10000</f>
        <v>1.9074609744618671</v>
      </c>
      <c r="G49" s="52">
        <f>('Forage, input data per ha'!D53+'Forage, input data per ha'!E53)/'Forage, input data per ha'!C53</f>
        <v>1.4248888174213376E-2</v>
      </c>
      <c r="H49" s="177">
        <f>'Forage, input data per ha'!G53/'Forage, input data per ha'!C53</f>
        <v>2.3847872238080546E-4</v>
      </c>
      <c r="I49" s="13">
        <f>'Forage, input data per ha'!I53/'Forage, input data per ha'!C53</f>
        <v>0</v>
      </c>
      <c r="J49" s="53">
        <f>'Forage, input data per ha'!J53/'Forage, input data per ha'!C53</f>
        <v>4.4813432196435392E-5</v>
      </c>
      <c r="K49" s="53">
        <f>1/'Forage, input data per ha'!C53*SUM('Forage, input data per ha'!R53:V53)*10000/(No_species/1000000)</f>
        <v>8.7561523313164686E-11</v>
      </c>
      <c r="L49" s="52">
        <f>'Forage, input data per ha'!D53/'Forage, input data per ha'!C53*EF_NH3*N_to_NH3</f>
        <v>3.5122388625340135E-4</v>
      </c>
    </row>
    <row r="50" spans="1:16" x14ac:dyDescent="0.2">
      <c r="A50" s="353"/>
      <c r="B50" s="18" t="s">
        <v>550</v>
      </c>
      <c r="C50" s="18" t="s">
        <v>554</v>
      </c>
      <c r="D50" s="58" t="s">
        <v>63</v>
      </c>
      <c r="E50" t="s">
        <v>64</v>
      </c>
      <c r="F50" s="15">
        <f>1/'Forage, input data per ha'!C54*10000</f>
        <v>1.8672263415181414</v>
      </c>
      <c r="G50" s="52">
        <f>('Forage, input data per ha'!D54+'Forage, input data per ha'!E54)/'Forage, input data per ha'!C54</f>
        <v>1.5400709842103686E-2</v>
      </c>
      <c r="H50" s="177">
        <f>'Forage, input data per ha'!G54/'Forage, input data per ha'!C54</f>
        <v>2.7161699390061217E-4</v>
      </c>
      <c r="I50" s="13">
        <f>'Forage, input data per ha'!I54/'Forage, input data per ha'!C54</f>
        <v>0</v>
      </c>
      <c r="J50" s="53">
        <f>'Forage, input data per ha'!J54/'Forage, input data per ha'!C54</f>
        <v>4.4813432196435392E-5</v>
      </c>
      <c r="K50" s="53">
        <f>1/'Forage, input data per ha'!C54*SUM('Forage, input data per ha'!R54:V54)*10000/(No_species/1000000)</f>
        <v>2.7871316903855479E-12</v>
      </c>
      <c r="L50" s="52">
        <f>'Forage, input data per ha'!D54/'Forage, input data per ha'!C54*EF_NH3*N_to_NH3</f>
        <v>4.2124842693249E-4</v>
      </c>
    </row>
    <row r="51" spans="1:16" x14ac:dyDescent="0.2">
      <c r="A51" s="353"/>
      <c r="B51" s="18"/>
      <c r="C51" s="18"/>
    </row>
    <row r="52" spans="1:16" ht="18" customHeight="1" x14ac:dyDescent="0.25">
      <c r="A52" s="431" t="s">
        <v>551</v>
      </c>
      <c r="B52" s="197"/>
      <c r="C52" s="197"/>
      <c r="D52" s="197"/>
      <c r="E52" s="197"/>
      <c r="F52" s="197"/>
      <c r="G52" s="197"/>
      <c r="H52" s="197"/>
      <c r="I52" s="197"/>
      <c r="J52" s="197"/>
      <c r="K52" s="197"/>
      <c r="L52" s="197"/>
      <c r="M52" s="197"/>
      <c r="N52" s="197"/>
      <c r="O52" s="197"/>
      <c r="P52" s="197"/>
    </row>
    <row r="54" spans="1:16" x14ac:dyDescent="0.2">
      <c r="A54" s="382" t="s">
        <v>458</v>
      </c>
      <c r="B54" s="276"/>
      <c r="C54" s="276"/>
      <c r="D54" s="276"/>
      <c r="E54" s="276"/>
      <c r="F54" s="383" t="s">
        <v>141</v>
      </c>
      <c r="G54" s="383" t="s">
        <v>132</v>
      </c>
      <c r="H54" s="383" t="s">
        <v>142</v>
      </c>
      <c r="I54" s="383" t="s">
        <v>143</v>
      </c>
      <c r="J54" s="384" t="s">
        <v>144</v>
      </c>
      <c r="K54" s="384" t="s">
        <v>145</v>
      </c>
      <c r="L54" s="384" t="s">
        <v>146</v>
      </c>
      <c r="M54" s="446"/>
      <c r="N54" s="380"/>
      <c r="O54" s="380"/>
      <c r="P54" s="381"/>
    </row>
    <row r="55" spans="1:16" ht="43.5" customHeight="1" x14ac:dyDescent="0.2">
      <c r="A55" s="386" t="s">
        <v>13</v>
      </c>
      <c r="B55" s="386" t="s">
        <v>458</v>
      </c>
      <c r="C55" s="386" t="s">
        <v>460</v>
      </c>
      <c r="D55" s="386" t="s">
        <v>16</v>
      </c>
      <c r="E55" s="346" t="s">
        <v>17</v>
      </c>
      <c r="F55" s="387" t="s">
        <v>156</v>
      </c>
      <c r="G55" s="387" t="s">
        <v>486</v>
      </c>
      <c r="H55" s="387" t="s">
        <v>487</v>
      </c>
      <c r="I55" s="388" t="s">
        <v>159</v>
      </c>
      <c r="J55" s="389" t="s">
        <v>160</v>
      </c>
      <c r="K55" s="390" t="s">
        <v>161</v>
      </c>
      <c r="L55" s="390" t="s">
        <v>162</v>
      </c>
      <c r="M55" s="380"/>
    </row>
    <row r="56" spans="1:16" x14ac:dyDescent="0.2">
      <c r="A56" s="447"/>
      <c r="B56" s="18" t="s">
        <v>551</v>
      </c>
      <c r="C56" s="18" t="s">
        <v>554</v>
      </c>
      <c r="D56" t="s">
        <v>88</v>
      </c>
      <c r="E56" t="s">
        <v>39</v>
      </c>
      <c r="F56" s="15">
        <f>1/'Forage, input data per ha'!C62*10000</f>
        <v>0.86058319478091061</v>
      </c>
      <c r="G56" s="52">
        <f>('Forage, input data per ha'!D62+'Forage, input data per ha'!E62)/'Forage, input data per ha'!C62</f>
        <v>4.5673333333333184E-2</v>
      </c>
      <c r="H56" s="177">
        <f>'Forage, input data per ha'!G62/'Forage, input data per ha'!C62</f>
        <v>4.5717683839384691E-3</v>
      </c>
      <c r="I56" s="13">
        <f>'Forage, input data per ha'!I62/'Forage, input data per ha'!C62</f>
        <v>0</v>
      </c>
      <c r="J56" s="53">
        <f>'Forage, input data per ha'!J62/'Forage, input data per ha'!C62</f>
        <v>6.2532818319357714E-5</v>
      </c>
      <c r="K56" s="53">
        <f>1/'Forage, input data per ha'!C62*SUM('Forage, input data per ha'!R62:V62)*10000/(No_species/1000000)</f>
        <v>2.1255652346872384E-12</v>
      </c>
      <c r="L56" s="52">
        <f>'Forage, input data per ha'!D62/'Forage, input data per ha'!C62*EF_NH3*N_to_NH3</f>
        <v>0</v>
      </c>
    </row>
    <row r="57" spans="1:16" x14ac:dyDescent="0.2">
      <c r="A57" s="447"/>
      <c r="B57" s="18" t="s">
        <v>551</v>
      </c>
      <c r="C57" s="18" t="s">
        <v>554</v>
      </c>
      <c r="D57" t="s">
        <v>45</v>
      </c>
      <c r="E57" t="s">
        <v>46</v>
      </c>
      <c r="F57" s="15">
        <f>1/'Forage, input data per ha'!C63*10000</f>
        <v>1.1163207827016841</v>
      </c>
      <c r="G57" s="52">
        <f>('Forage, input data per ha'!D63+'Forage, input data per ha'!E63)/'Forage, input data per ha'!C63</f>
        <v>4.5673333333333364E-2</v>
      </c>
      <c r="H57" s="177">
        <f>'Forage, input data per ha'!G63/'Forage, input data per ha'!C63</f>
        <v>3.3619718309859199E-3</v>
      </c>
      <c r="I57" s="13">
        <f>'Forage, input data per ha'!I63/'Forage, input data per ha'!C63</f>
        <v>0</v>
      </c>
      <c r="J57" s="53">
        <f>'Forage, input data per ha'!J63/'Forage, input data per ha'!C63</f>
        <v>6.2532818319357714E-5</v>
      </c>
      <c r="K57" s="53">
        <f>1/'Forage, input data per ha'!C63*SUM('Forage, input data per ha'!R63:V63)*10000/(No_species/1000000)</f>
        <v>9.1423650344454376E-12</v>
      </c>
      <c r="L57" s="52">
        <f>'Forage, input data per ha'!D63/'Forage, input data per ha'!C63*EF_NH3*N_to_NH3</f>
        <v>0</v>
      </c>
    </row>
    <row r="58" spans="1:16" x14ac:dyDescent="0.2">
      <c r="A58" s="353"/>
      <c r="B58" s="18" t="s">
        <v>551</v>
      </c>
      <c r="C58" s="18" t="s">
        <v>554</v>
      </c>
      <c r="D58" t="s">
        <v>47</v>
      </c>
      <c r="E58" t="s">
        <v>48</v>
      </c>
      <c r="F58" s="15">
        <f>1/'Forage, input data per ha'!C64*10000</f>
        <v>1.4705228823146224</v>
      </c>
      <c r="G58" s="52">
        <f>('Forage, input data per ha'!D64+'Forage, input data per ha'!E64)/'Forage, input data per ha'!C64</f>
        <v>4.567333333333333E-2</v>
      </c>
      <c r="H58" s="177">
        <f>'Forage, input data per ha'!G64/'Forage, input data per ha'!C64</f>
        <v>3.3619718309859103E-3</v>
      </c>
      <c r="I58" s="13">
        <f>'Forage, input data per ha'!I64/'Forage, input data per ha'!C64</f>
        <v>0</v>
      </c>
      <c r="J58" s="53">
        <f>'Forage, input data per ha'!J64/'Forage, input data per ha'!C64</f>
        <v>6.2532818319357714E-5</v>
      </c>
      <c r="K58" s="53">
        <f>1/'Forage, input data per ha'!C64*SUM('Forage, input data per ha'!R64:V64)*10000/(No_species/1000000)</f>
        <v>9.1884776461632418E-12</v>
      </c>
      <c r="L58" s="52">
        <f>'Forage, input data per ha'!D64/'Forage, input data per ha'!C64*EF_NH3*N_to_NH3</f>
        <v>0</v>
      </c>
    </row>
    <row r="59" spans="1:16" x14ac:dyDescent="0.2">
      <c r="A59" s="353"/>
      <c r="B59" s="18" t="s">
        <v>551</v>
      </c>
      <c r="C59" s="18" t="s">
        <v>554</v>
      </c>
      <c r="D59" t="s">
        <v>49</v>
      </c>
      <c r="E59" t="s">
        <v>50</v>
      </c>
      <c r="F59" s="15">
        <f>1/'Forage, input data per ha'!C65*10000</f>
        <v>2.2942126795269675</v>
      </c>
      <c r="G59" s="52">
        <f>('Forage, input data per ha'!D65+'Forage, input data per ha'!E65)/'Forage, input data per ha'!C65</f>
        <v>4.5673333333333357E-2</v>
      </c>
      <c r="H59" s="177">
        <f>'Forage, input data per ha'!G65/'Forage, input data per ha'!C65</f>
        <v>3.3619718309859221E-3</v>
      </c>
      <c r="I59" s="13">
        <f>'Forage, input data per ha'!I65/'Forage, input data per ha'!C65</f>
        <v>0</v>
      </c>
      <c r="J59" s="53">
        <f>'Forage, input data per ha'!J65/'Forage, input data per ha'!C65</f>
        <v>6.2532818319357714E-5</v>
      </c>
      <c r="K59" s="53">
        <f>1/'Forage, input data per ha'!C65*SUM('Forage, input data per ha'!R65:V65)*10000/(No_species/1000000)</f>
        <v>7.350247892974487E-11</v>
      </c>
      <c r="L59" s="52">
        <f>'Forage, input data per ha'!D65/'Forage, input data per ha'!C65*EF_NH3*N_to_NH3</f>
        <v>0</v>
      </c>
    </row>
    <row r="60" spans="1:16" x14ac:dyDescent="0.2">
      <c r="A60" s="353"/>
      <c r="B60" s="18" t="s">
        <v>551</v>
      </c>
      <c r="C60" s="18" t="s">
        <v>554</v>
      </c>
      <c r="D60" t="s">
        <v>86</v>
      </c>
      <c r="E60" t="s">
        <v>52</v>
      </c>
      <c r="F60" s="15">
        <f>1/'Forage, input data per ha'!C66*10000</f>
        <v>2.4033390218840833</v>
      </c>
      <c r="G60" s="52">
        <f>('Forage, input data per ha'!D66+'Forage, input data per ha'!E66)/'Forage, input data per ha'!C66</f>
        <v>4.5673333333333357E-2</v>
      </c>
      <c r="H60" s="177">
        <f>'Forage, input data per ha'!G66/'Forage, input data per ha'!C66</f>
        <v>3.3619718309859238E-3</v>
      </c>
      <c r="I60" s="13">
        <f>'Forage, input data per ha'!I66/'Forage, input data per ha'!C66</f>
        <v>0</v>
      </c>
      <c r="J60" s="53">
        <f>'Forage, input data per ha'!J66/'Forage, input data per ha'!C66</f>
        <v>6.2532818319357714E-5</v>
      </c>
      <c r="K60" s="53">
        <f>1/'Forage, input data per ha'!C66*SUM('Forage, input data per ha'!R66:V66)*10000/(No_species/1000000)</f>
        <v>2.0971669336064368E-11</v>
      </c>
      <c r="L60" s="52">
        <f>'Forage, input data per ha'!D66/'Forage, input data per ha'!C66*EF_NH3*N_to_NH3</f>
        <v>0</v>
      </c>
    </row>
    <row r="61" spans="1:16" x14ac:dyDescent="0.2">
      <c r="A61" s="353"/>
      <c r="B61" s="18" t="s">
        <v>551</v>
      </c>
      <c r="C61" s="18" t="s">
        <v>554</v>
      </c>
      <c r="D61" t="s">
        <v>89</v>
      </c>
      <c r="E61" t="s">
        <v>54</v>
      </c>
      <c r="F61" s="15">
        <f>1/'Forage, input data per ha'!C67*10000</f>
        <v>1.3003387075222108</v>
      </c>
      <c r="G61" s="52">
        <f>('Forage, input data per ha'!D67+'Forage, input data per ha'!E67)/'Forage, input data per ha'!C67</f>
        <v>4.5673333333333406E-2</v>
      </c>
      <c r="H61" s="177">
        <f>'Forage, input data per ha'!G67/'Forage, input data per ha'!C67</f>
        <v>3.3619718309859169E-3</v>
      </c>
      <c r="I61" s="13">
        <f>'Forage, input data per ha'!I67/'Forage, input data per ha'!C67</f>
        <v>0</v>
      </c>
      <c r="J61" s="53">
        <f>'Forage, input data per ha'!J67/'Forage, input data per ha'!C67</f>
        <v>6.2532818319357714E-5</v>
      </c>
      <c r="K61" s="53">
        <f>1/'Forage, input data per ha'!C67*SUM('Forage, input data per ha'!R67:V67)*10000/(No_species/1000000)</f>
        <v>3.9927019170571052E-12</v>
      </c>
      <c r="L61" s="52">
        <f>'Forage, input data per ha'!D67/'Forage, input data per ha'!C67*EF_NH3*N_to_NH3</f>
        <v>0</v>
      </c>
    </row>
    <row r="62" spans="1:16" x14ac:dyDescent="0.2">
      <c r="A62" s="353"/>
      <c r="B62" s="18" t="s">
        <v>551</v>
      </c>
      <c r="C62" s="18" t="s">
        <v>554</v>
      </c>
      <c r="D62" t="s">
        <v>55</v>
      </c>
      <c r="E62" t="s">
        <v>56</v>
      </c>
      <c r="F62" s="15">
        <f>1/'Forage, input data per ha'!C68*10000</f>
        <v>1.3762247749482195</v>
      </c>
      <c r="G62" s="52">
        <f>('Forage, input data per ha'!D68+'Forage, input data per ha'!E68)/'Forage, input data per ha'!C68</f>
        <v>4.5673333333333267E-2</v>
      </c>
      <c r="H62" s="177">
        <f>'Forage, input data per ha'!G68/'Forage, input data per ha'!C68</f>
        <v>3.3619718309859164E-3</v>
      </c>
      <c r="I62" s="13">
        <f>'Forage, input data per ha'!I68/'Forage, input data per ha'!C68</f>
        <v>0</v>
      </c>
      <c r="J62" s="53">
        <f>'Forage, input data per ha'!J68/'Forage, input data per ha'!C68</f>
        <v>6.2532818319357714E-5</v>
      </c>
      <c r="K62" s="53">
        <f>1/'Forage, input data per ha'!C68*SUM('Forage, input data per ha'!R68:V68)*10000/(No_species/1000000)</f>
        <v>4.9840849556881897E-11</v>
      </c>
      <c r="L62" s="52">
        <f>'Forage, input data per ha'!D68/'Forage, input data per ha'!C68*EF_NH3*N_to_NH3</f>
        <v>0</v>
      </c>
    </row>
    <row r="63" spans="1:16" x14ac:dyDescent="0.2">
      <c r="A63" s="353"/>
      <c r="B63" s="18" t="s">
        <v>551</v>
      </c>
      <c r="C63" s="18" t="s">
        <v>554</v>
      </c>
      <c r="D63" t="s">
        <v>87</v>
      </c>
      <c r="E63" t="s">
        <v>58</v>
      </c>
      <c r="F63" s="15">
        <f>1/'Forage, input data per ha'!C69*10000</f>
        <v>1.4221421084328045</v>
      </c>
      <c r="G63" s="52">
        <f>('Forage, input data per ha'!D69+'Forage, input data per ha'!E69)/'Forage, input data per ha'!C69</f>
        <v>4.5673333333333392E-2</v>
      </c>
      <c r="H63" s="177">
        <f>'Forage, input data per ha'!G69/'Forage, input data per ha'!C69</f>
        <v>4.5717683839384812E-3</v>
      </c>
      <c r="I63" s="13">
        <f>'Forage, input data per ha'!I69/'Forage, input data per ha'!C69</f>
        <v>0</v>
      </c>
      <c r="J63" s="53">
        <f>'Forage, input data per ha'!J69/'Forage, input data per ha'!C69</f>
        <v>6.2532818319357714E-5</v>
      </c>
      <c r="K63" s="53">
        <f>1/'Forage, input data per ha'!C69*SUM('Forage, input data per ha'!R69:V69)*10000/(No_species/1000000)</f>
        <v>7.9231111843410247E-12</v>
      </c>
      <c r="L63" s="52">
        <f>'Forage, input data per ha'!D69/'Forage, input data per ha'!C69*EF_NH3*N_to_NH3</f>
        <v>0</v>
      </c>
    </row>
    <row r="64" spans="1:16" x14ac:dyDescent="0.2">
      <c r="A64" s="353"/>
      <c r="B64" s="18" t="s">
        <v>551</v>
      </c>
      <c r="C64" s="18" t="s">
        <v>554</v>
      </c>
      <c r="D64" t="s">
        <v>59</v>
      </c>
      <c r="E64" t="s">
        <v>60</v>
      </c>
      <c r="F64" s="15">
        <f>1/'Forage, input data per ha'!C70*10000</f>
        <v>1.2813504897096353</v>
      </c>
      <c r="G64" s="52">
        <f>('Forage, input data per ha'!D70+'Forage, input data per ha'!E70)/'Forage, input data per ha'!C70</f>
        <v>4.5673333333333316E-2</v>
      </c>
      <c r="H64" s="177">
        <f>'Forage, input data per ha'!G70/'Forage, input data per ha'!C70</f>
        <v>3.3619718309859086E-3</v>
      </c>
      <c r="I64" s="13">
        <f>'Forage, input data per ha'!I70/'Forage, input data per ha'!C70</f>
        <v>0</v>
      </c>
      <c r="J64" s="53">
        <f>'Forage, input data per ha'!J70/'Forage, input data per ha'!C70</f>
        <v>6.2532818319357714E-5</v>
      </c>
      <c r="K64" s="53">
        <f>1/'Forage, input data per ha'!C70*SUM('Forage, input data per ha'!R70:V70)*10000/(No_species/1000000)</f>
        <v>3.6020691512463937E-12</v>
      </c>
      <c r="L64" s="52">
        <f>'Forage, input data per ha'!D70/'Forage, input data per ha'!C70*EF_NH3*N_to_NH3</f>
        <v>0</v>
      </c>
    </row>
    <row r="65" spans="1:12" x14ac:dyDescent="0.2">
      <c r="A65" s="353"/>
      <c r="B65" s="18" t="s">
        <v>551</v>
      </c>
      <c r="C65" s="18" t="s">
        <v>554</v>
      </c>
      <c r="D65" t="s">
        <v>61</v>
      </c>
      <c r="E65" t="s">
        <v>62</v>
      </c>
      <c r="F65" s="15">
        <f>1/'Forage, input data per ha'!C71*10000</f>
        <v>1.1702617509720095</v>
      </c>
      <c r="G65" s="52">
        <f>('Forage, input data per ha'!D71+'Forage, input data per ha'!E71)/'Forage, input data per ha'!C71</f>
        <v>4.5673333333333337E-2</v>
      </c>
      <c r="H65" s="177">
        <f>'Forage, input data per ha'!G71/'Forage, input data per ha'!C71</f>
        <v>3.361971830985916E-3</v>
      </c>
      <c r="I65" s="13">
        <f>'Forage, input data per ha'!I71/'Forage, input data per ha'!C71</f>
        <v>0</v>
      </c>
      <c r="J65" s="53">
        <f>'Forage, input data per ha'!J71/'Forage, input data per ha'!C71</f>
        <v>6.2532818319357714E-5</v>
      </c>
      <c r="K65" s="53">
        <f>1/'Forage, input data per ha'!C71*SUM('Forage, input data per ha'!R71:V71)*10000/(No_species/1000000)</f>
        <v>5.3720575656416425E-11</v>
      </c>
      <c r="L65" s="52">
        <f>'Forage, input data per ha'!D71/'Forage, input data per ha'!C71*EF_NH3*N_to_NH3</f>
        <v>0</v>
      </c>
    </row>
    <row r="66" spans="1:12" x14ac:dyDescent="0.2">
      <c r="A66" s="353"/>
      <c r="B66" s="18" t="s">
        <v>551</v>
      </c>
      <c r="C66" s="18" t="s">
        <v>554</v>
      </c>
      <c r="D66" s="58" t="s">
        <v>63</v>
      </c>
      <c r="E66" t="s">
        <v>64</v>
      </c>
      <c r="F66" s="15">
        <f>1/'Forage, input data per ha'!C72*10000</f>
        <v>2.6055340966399045</v>
      </c>
      <c r="G66" s="52">
        <f>('Forage, input data per ha'!D72+'Forage, input data per ha'!E72)/'Forage, input data per ha'!C72</f>
        <v>4.5673333333333226E-2</v>
      </c>
      <c r="H66" s="177">
        <f>'Forage, input data per ha'!G72/'Forage, input data per ha'!C72</f>
        <v>3.3619718309859004E-3</v>
      </c>
      <c r="I66" s="13">
        <f>'Forage, input data per ha'!I72/'Forage, input data per ha'!C72</f>
        <v>0</v>
      </c>
      <c r="J66" s="53">
        <f>'Forage, input data per ha'!J72/'Forage, input data per ha'!C72</f>
        <v>6.2532818319357714E-5</v>
      </c>
      <c r="K66" s="53">
        <f>1/'Forage, input data per ha'!C72*SUM('Forage, input data per ha'!R72:V72)*10000/(No_species/1000000)</f>
        <v>3.8891732028699014E-12</v>
      </c>
      <c r="L66" s="52">
        <f>'Forage, input data per ha'!D72/'Forage, input data per ha'!C72*EF_NH3*N_to_NH3</f>
        <v>0</v>
      </c>
    </row>
    <row r="67" spans="1:12" x14ac:dyDescent="0.2">
      <c r="I67" s="58"/>
    </row>
    <row r="68" spans="1:12" x14ac:dyDescent="0.2">
      <c r="I68" s="58"/>
    </row>
    <row r="69" spans="1:12" x14ac:dyDescent="0.2">
      <c r="I69" s="58"/>
    </row>
    <row r="70" spans="1:12" x14ac:dyDescent="0.2">
      <c r="I70" s="58"/>
    </row>
    <row r="71" spans="1:12" x14ac:dyDescent="0.2">
      <c r="I71" s="58"/>
    </row>
    <row r="72" spans="1:12" x14ac:dyDescent="0.2">
      <c r="I72" s="58"/>
    </row>
    <row r="73" spans="1:12" x14ac:dyDescent="0.2">
      <c r="I73" s="58"/>
    </row>
    <row r="74" spans="1:12" x14ac:dyDescent="0.2">
      <c r="I74" s="58"/>
    </row>
    <row r="75" spans="1:12" x14ac:dyDescent="0.2">
      <c r="I75" s="58"/>
    </row>
    <row r="76" spans="1:12" x14ac:dyDescent="0.2">
      <c r="I76" s="58"/>
    </row>
    <row r="77" spans="1:12" x14ac:dyDescent="0.2">
      <c r="I77" s="58"/>
    </row>
    <row r="78" spans="1:12" x14ac:dyDescent="0.2">
      <c r="I78" s="58"/>
    </row>
    <row r="79" spans="1:12" x14ac:dyDescent="0.2">
      <c r="I79" s="58"/>
    </row>
    <row r="80" spans="1:12" x14ac:dyDescent="0.2">
      <c r="I80" s="58"/>
    </row>
    <row r="81" spans="9:9" x14ac:dyDescent="0.2">
      <c r="I81" s="58"/>
    </row>
    <row r="82" spans="9:9" x14ac:dyDescent="0.2">
      <c r="I82" s="58"/>
    </row>
    <row r="83" spans="9:9" x14ac:dyDescent="0.2">
      <c r="I83" s="58"/>
    </row>
    <row r="84" spans="9:9" x14ac:dyDescent="0.2">
      <c r="I84" s="58"/>
    </row>
    <row r="85" spans="9:9" x14ac:dyDescent="0.2">
      <c r="I85" s="58"/>
    </row>
  </sheetData>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BA135"/>
  <sheetViews>
    <sheetView zoomScale="80" zoomScaleNormal="80" workbookViewId="0">
      <selection activeCell="C44" sqref="C44"/>
    </sheetView>
  </sheetViews>
  <sheetFormatPr baseColWidth="10" defaultColWidth="8.6640625" defaultRowHeight="15" x14ac:dyDescent="0.2"/>
  <cols>
    <col min="1" max="1" width="15.33203125" customWidth="1"/>
    <col min="2" max="2" width="18.33203125" customWidth="1"/>
    <col min="3" max="3" width="1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5" customWidth="1"/>
    <col min="16" max="16" width="15" customWidth="1"/>
    <col min="17" max="17" width="17.6640625" customWidth="1"/>
    <col min="18" max="18" width="14" customWidth="1"/>
    <col min="19" max="19" width="8.83203125" customWidth="1"/>
    <col min="20" max="24" width="10.6640625" customWidth="1"/>
    <col min="25" max="25" width="13.6640625" customWidth="1"/>
    <col min="36" max="36" width="30.5" customWidth="1"/>
    <col min="37" max="37" width="32.5" customWidth="1"/>
    <col min="47" max="47" width="12" customWidth="1"/>
    <col min="49" max="49" width="9.33203125" customWidth="1"/>
  </cols>
  <sheetData>
    <row r="2" spans="1:38" ht="21" customHeight="1" x14ac:dyDescent="0.25">
      <c r="A2" s="9" t="s">
        <v>555</v>
      </c>
    </row>
    <row r="4" spans="1:38" ht="18" customHeight="1" x14ac:dyDescent="0.25">
      <c r="A4" s="431" t="s">
        <v>264</v>
      </c>
      <c r="B4" s="448" t="s">
        <v>556</v>
      </c>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row>
    <row r="5" spans="1:38" ht="18" customHeight="1" x14ac:dyDescent="0.25">
      <c r="A5" s="194"/>
      <c r="Q5" s="25"/>
    </row>
    <row r="6" spans="1:38" x14ac:dyDescent="0.2">
      <c r="A6" s="449" t="s">
        <v>458</v>
      </c>
      <c r="B6" s="450"/>
      <c r="C6" s="451" t="s">
        <v>557</v>
      </c>
      <c r="D6" s="452" t="s">
        <v>558</v>
      </c>
      <c r="E6" s="453"/>
      <c r="F6" s="454"/>
      <c r="G6" s="454"/>
      <c r="H6" s="455" t="s">
        <v>559</v>
      </c>
      <c r="I6" s="455" t="s">
        <v>143</v>
      </c>
      <c r="J6" s="456" t="s">
        <v>144</v>
      </c>
      <c r="K6" s="457" t="s">
        <v>560</v>
      </c>
      <c r="L6" s="454"/>
      <c r="M6" s="454"/>
      <c r="N6" s="453"/>
      <c r="O6" s="458"/>
      <c r="P6" s="458"/>
      <c r="Q6" s="458"/>
      <c r="R6" s="456" t="s">
        <v>561</v>
      </c>
      <c r="S6" s="458"/>
      <c r="T6" s="458"/>
      <c r="U6" s="458"/>
      <c r="V6" s="458"/>
      <c r="W6" s="456" t="s">
        <v>147</v>
      </c>
      <c r="X6" s="459" t="s">
        <v>557</v>
      </c>
      <c r="Y6" s="460" t="s">
        <v>558</v>
      </c>
      <c r="Z6" s="461"/>
      <c r="AA6" s="462"/>
      <c r="AB6" s="462"/>
      <c r="AC6" s="463" t="s">
        <v>559</v>
      </c>
      <c r="AD6" s="463" t="s">
        <v>143</v>
      </c>
      <c r="AE6" s="464" t="s">
        <v>144</v>
      </c>
      <c r="AF6" s="465" t="s">
        <v>560</v>
      </c>
      <c r="AG6" s="462"/>
      <c r="AH6" s="462"/>
      <c r="AI6" s="464" t="s">
        <v>145</v>
      </c>
      <c r="AJ6" s="466"/>
    </row>
    <row r="7" spans="1:38" ht="57.75" customHeight="1" x14ac:dyDescent="0.2">
      <c r="A7" s="467" t="s">
        <v>562</v>
      </c>
      <c r="B7" s="468" t="s">
        <v>16</v>
      </c>
      <c r="C7" s="469" t="s">
        <v>563</v>
      </c>
      <c r="D7" s="469" t="s">
        <v>564</v>
      </c>
      <c r="E7" s="470" t="s">
        <v>565</v>
      </c>
      <c r="F7" s="469" t="s">
        <v>566</v>
      </c>
      <c r="G7" s="470" t="s">
        <v>567</v>
      </c>
      <c r="H7" s="470" t="s">
        <v>568</v>
      </c>
      <c r="I7" s="471" t="s">
        <v>569</v>
      </c>
      <c r="J7" s="472" t="s">
        <v>570</v>
      </c>
      <c r="K7" s="473" t="s">
        <v>571</v>
      </c>
      <c r="L7" s="473" t="s">
        <v>572</v>
      </c>
      <c r="M7" s="473" t="s">
        <v>573</v>
      </c>
      <c r="N7" s="473" t="s">
        <v>574</v>
      </c>
      <c r="O7" s="473" t="s">
        <v>575</v>
      </c>
      <c r="P7" s="473" t="s">
        <v>576</v>
      </c>
      <c r="Q7" s="473" t="s">
        <v>577</v>
      </c>
      <c r="R7" s="474" t="s">
        <v>578</v>
      </c>
      <c r="S7" s="474" t="s">
        <v>579</v>
      </c>
      <c r="T7" s="474" t="s">
        <v>580</v>
      </c>
      <c r="U7" s="474" t="s">
        <v>581</v>
      </c>
      <c r="V7" s="474" t="s">
        <v>582</v>
      </c>
      <c r="W7" s="474" t="s">
        <v>583</v>
      </c>
      <c r="X7" s="475" t="s">
        <v>563</v>
      </c>
      <c r="Y7" s="475" t="s">
        <v>584</v>
      </c>
      <c r="Z7" s="476" t="s">
        <v>565</v>
      </c>
      <c r="AA7" s="475" t="s">
        <v>566</v>
      </c>
      <c r="AB7" s="476" t="s">
        <v>567</v>
      </c>
      <c r="AC7" s="476" t="s">
        <v>568</v>
      </c>
      <c r="AD7" s="477" t="s">
        <v>159</v>
      </c>
      <c r="AE7" s="478" t="s">
        <v>570</v>
      </c>
      <c r="AF7" s="479" t="s">
        <v>585</v>
      </c>
      <c r="AG7" s="479" t="s">
        <v>586</v>
      </c>
      <c r="AH7" s="479" t="s">
        <v>587</v>
      </c>
      <c r="AI7" s="480" t="s">
        <v>588</v>
      </c>
      <c r="AJ7" s="480"/>
    </row>
    <row r="8" spans="1:38" x14ac:dyDescent="0.2">
      <c r="A8" t="s">
        <v>264</v>
      </c>
      <c r="B8" t="s">
        <v>88</v>
      </c>
      <c r="C8" s="130">
        <f t="shared" ref="C8:I17" si="0">C44/2</f>
        <v>5675.7854307154503</v>
      </c>
      <c r="D8" s="130">
        <f t="shared" si="0"/>
        <v>13</v>
      </c>
      <c r="E8" s="130">
        <f t="shared" si="0"/>
        <v>48.083362240544353</v>
      </c>
      <c r="F8" s="130">
        <f t="shared" si="0"/>
        <v>17.347470590438704</v>
      </c>
      <c r="G8" s="130">
        <f t="shared" si="0"/>
        <v>0.21830985915492951</v>
      </c>
      <c r="H8" s="130">
        <f t="shared" si="0"/>
        <v>21.5</v>
      </c>
      <c r="I8" s="130">
        <f t="shared" si="0"/>
        <v>0</v>
      </c>
      <c r="J8" s="130">
        <v>0</v>
      </c>
      <c r="R8" s="481">
        <v>2.5000000000000001E-14</v>
      </c>
      <c r="S8" s="481">
        <v>8.8700000000000003E-14</v>
      </c>
      <c r="T8" s="481">
        <v>2.3100000000000001E-15</v>
      </c>
      <c r="U8" s="481">
        <v>7.6299999999999997E-16</v>
      </c>
      <c r="V8" s="481">
        <v>5.9899999999999997E-13</v>
      </c>
      <c r="W8" s="178">
        <f t="shared" ref="W8:W18" si="1">W44/2</f>
        <v>8.9649999999999999</v>
      </c>
      <c r="X8" s="25" t="s">
        <v>589</v>
      </c>
      <c r="AF8" t="s">
        <v>590</v>
      </c>
      <c r="AG8" t="s">
        <v>591</v>
      </c>
      <c r="AH8" t="s">
        <v>591</v>
      </c>
      <c r="AI8" t="s">
        <v>592</v>
      </c>
    </row>
    <row r="9" spans="1:38" x14ac:dyDescent="0.2">
      <c r="A9" t="s">
        <v>264</v>
      </c>
      <c r="B9" t="s">
        <v>45</v>
      </c>
      <c r="C9" s="130">
        <f t="shared" si="0"/>
        <v>4384.3848901382253</v>
      </c>
      <c r="D9" s="130">
        <f t="shared" si="0"/>
        <v>21</v>
      </c>
      <c r="E9" s="130">
        <f t="shared" si="0"/>
        <v>37.143047327620998</v>
      </c>
      <c r="F9" s="130">
        <f t="shared" si="0"/>
        <v>13.400433978218473</v>
      </c>
      <c r="G9" s="130">
        <f t="shared" si="0"/>
        <v>1.2880281690140849</v>
      </c>
      <c r="H9" s="130">
        <f t="shared" si="0"/>
        <v>21.5</v>
      </c>
      <c r="I9" s="130">
        <f t="shared" si="0"/>
        <v>0</v>
      </c>
      <c r="J9" s="130">
        <v>0</v>
      </c>
      <c r="R9" s="481">
        <v>8.5500000000000002E-14</v>
      </c>
      <c r="S9" s="481">
        <v>1.0199999999999999E-13</v>
      </c>
      <c r="T9" s="481">
        <v>3.3099999999999999E-14</v>
      </c>
      <c r="U9" s="481">
        <v>3.1499999999999998E-14</v>
      </c>
      <c r="V9" s="481">
        <v>4.7300000000000002E-12</v>
      </c>
      <c r="W9" s="178">
        <f t="shared" si="1"/>
        <v>13.56</v>
      </c>
      <c r="X9" s="25" t="s">
        <v>593</v>
      </c>
      <c r="AF9" t="s">
        <v>590</v>
      </c>
      <c r="AG9" t="s">
        <v>594</v>
      </c>
      <c r="AH9" t="s">
        <v>591</v>
      </c>
      <c r="AI9" t="s">
        <v>592</v>
      </c>
    </row>
    <row r="10" spans="1:38" x14ac:dyDescent="0.2">
      <c r="A10" t="s">
        <v>264</v>
      </c>
      <c r="B10" t="s">
        <v>47</v>
      </c>
      <c r="C10" s="130">
        <f t="shared" si="0"/>
        <v>4364.9482472736199</v>
      </c>
      <c r="D10" s="130">
        <f t="shared" si="0"/>
        <v>24.5</v>
      </c>
      <c r="E10" s="130">
        <f t="shared" si="0"/>
        <v>36.978386568152999</v>
      </c>
      <c r="F10" s="130">
        <f t="shared" si="0"/>
        <v>13.341027822967092</v>
      </c>
      <c r="G10" s="130">
        <f t="shared" si="0"/>
        <v>0.65492957746478997</v>
      </c>
      <c r="H10" s="130">
        <f t="shared" si="0"/>
        <v>21.5</v>
      </c>
      <c r="I10" s="130">
        <f t="shared" si="0"/>
        <v>0</v>
      </c>
      <c r="J10" s="130">
        <v>0</v>
      </c>
      <c r="P10" s="53"/>
      <c r="R10" s="481">
        <v>6.1199999999999994E-14</v>
      </c>
      <c r="S10" s="481">
        <v>9.29E-14</v>
      </c>
      <c r="T10" s="481">
        <v>5.6499999999999999E-15</v>
      </c>
      <c r="U10" s="481">
        <v>2.11E-15</v>
      </c>
      <c r="V10" s="481">
        <v>1.9199999999999999E-12</v>
      </c>
      <c r="W10" s="178">
        <f t="shared" si="1"/>
        <v>15.31</v>
      </c>
      <c r="AF10" t="s">
        <v>590</v>
      </c>
      <c r="AG10" t="s">
        <v>595</v>
      </c>
      <c r="AH10" t="s">
        <v>591</v>
      </c>
      <c r="AI10" t="s">
        <v>592</v>
      </c>
    </row>
    <row r="11" spans="1:38" x14ac:dyDescent="0.2">
      <c r="A11" t="s">
        <v>264</v>
      </c>
      <c r="B11" t="s">
        <v>49</v>
      </c>
      <c r="C11" s="130">
        <f t="shared" si="0"/>
        <v>1772.4118910805901</v>
      </c>
      <c r="D11" s="130">
        <f t="shared" si="0"/>
        <v>10.239616097382299</v>
      </c>
      <c r="E11" s="130">
        <f t="shared" si="0"/>
        <v>15.01528273727105</v>
      </c>
      <c r="F11" s="130">
        <f t="shared" si="0"/>
        <v>5.4171997038987163</v>
      </c>
      <c r="G11" s="130">
        <f t="shared" si="0"/>
        <v>0.42268252331744649</v>
      </c>
      <c r="H11" s="130">
        <f t="shared" si="0"/>
        <v>21.5</v>
      </c>
      <c r="I11" s="130">
        <f t="shared" si="0"/>
        <v>0</v>
      </c>
      <c r="J11" s="130">
        <v>0</v>
      </c>
      <c r="P11" s="53"/>
      <c r="R11" s="481">
        <v>2.0899999999999999E-13</v>
      </c>
      <c r="S11" s="481">
        <v>1.3199999999999999E-13</v>
      </c>
      <c r="T11" s="481">
        <v>7.8399999999999999E-14</v>
      </c>
      <c r="U11" s="481">
        <v>2.4199999999999998E-13</v>
      </c>
      <c r="V11" s="481">
        <v>1.0199999999999999E-11</v>
      </c>
      <c r="W11" s="178">
        <f t="shared" si="1"/>
        <v>10.06</v>
      </c>
      <c r="AF11" t="s">
        <v>590</v>
      </c>
      <c r="AG11" t="s">
        <v>596</v>
      </c>
      <c r="AH11" t="s">
        <v>591</v>
      </c>
      <c r="AI11" t="s">
        <v>592</v>
      </c>
    </row>
    <row r="12" spans="1:38" x14ac:dyDescent="0.2">
      <c r="A12" t="s">
        <v>264</v>
      </c>
      <c r="B12" t="s">
        <v>86</v>
      </c>
      <c r="C12" s="130">
        <f t="shared" si="0"/>
        <v>1179.8439489751049</v>
      </c>
      <c r="D12" s="130">
        <f t="shared" si="0"/>
        <v>6.8162198375678003</v>
      </c>
      <c r="E12" s="130">
        <f t="shared" si="0"/>
        <v>9.9952446544007501</v>
      </c>
      <c r="F12" s="130">
        <f t="shared" si="0"/>
        <v>3.6060750456475117</v>
      </c>
      <c r="G12" s="130">
        <f t="shared" si="0"/>
        <v>0.28136767756030701</v>
      </c>
      <c r="H12" s="130">
        <f t="shared" si="0"/>
        <v>21.5</v>
      </c>
      <c r="I12" s="130">
        <f t="shared" si="0"/>
        <v>0</v>
      </c>
      <c r="J12" s="130">
        <v>0</v>
      </c>
      <c r="P12" s="53"/>
      <c r="R12" s="481">
        <v>2.1499999999999999E-13</v>
      </c>
      <c r="S12" s="481">
        <v>7.2199999999999998E-14</v>
      </c>
      <c r="T12" s="481">
        <v>5.7199999999999999E-15</v>
      </c>
      <c r="U12" s="481">
        <v>2.6099999999999998E-15</v>
      </c>
      <c r="V12" s="481">
        <v>1.8699999999999999E-12</v>
      </c>
      <c r="W12" s="178">
        <f t="shared" si="1"/>
        <v>43.954999999999998</v>
      </c>
      <c r="AF12" t="s">
        <v>590</v>
      </c>
      <c r="AG12" t="s">
        <v>597</v>
      </c>
      <c r="AH12" t="s">
        <v>591</v>
      </c>
      <c r="AI12" t="s">
        <v>592</v>
      </c>
    </row>
    <row r="13" spans="1:38" x14ac:dyDescent="0.2">
      <c r="A13" t="s">
        <v>264</v>
      </c>
      <c r="B13" t="s">
        <v>89</v>
      </c>
      <c r="C13" s="130">
        <f t="shared" si="0"/>
        <v>3905.5308736001848</v>
      </c>
      <c r="D13" s="130">
        <f t="shared" si="0"/>
        <v>22.563116961350602</v>
      </c>
      <c r="E13" s="130">
        <f t="shared" si="0"/>
        <v>33.086355717516248</v>
      </c>
      <c r="F13" s="130">
        <f t="shared" si="0"/>
        <v>11.936864562071605</v>
      </c>
      <c r="G13" s="130">
        <f t="shared" si="0"/>
        <v>0.93138601295496504</v>
      </c>
      <c r="H13" s="130">
        <f t="shared" si="0"/>
        <v>21.5</v>
      </c>
      <c r="I13" s="130">
        <f t="shared" si="0"/>
        <v>0</v>
      </c>
      <c r="J13" s="130">
        <v>0</v>
      </c>
      <c r="P13" s="53"/>
      <c r="R13" s="482">
        <f>0.00000000000000695*0.7</f>
        <v>4.8649999999999992E-15</v>
      </c>
      <c r="S13" s="482">
        <f>0.000000000000137*0.7</f>
        <v>9.5899999999999988E-14</v>
      </c>
      <c r="T13" s="482">
        <f>0.000000000000000166*0.7</f>
        <v>1.1619999999999999E-16</v>
      </c>
      <c r="U13" s="482">
        <f>0.000000000000000596*0.7</f>
        <v>4.172E-16</v>
      </c>
      <c r="V13" s="482">
        <f>0.000000000000551*0.7</f>
        <v>3.8569999999999996E-13</v>
      </c>
      <c r="W13" s="178">
        <f t="shared" si="1"/>
        <v>29.305</v>
      </c>
      <c r="AF13" t="s">
        <v>590</v>
      </c>
      <c r="AG13" t="s">
        <v>598</v>
      </c>
      <c r="AH13" t="s">
        <v>591</v>
      </c>
      <c r="AI13" t="s">
        <v>599</v>
      </c>
    </row>
    <row r="14" spans="1:38" x14ac:dyDescent="0.2">
      <c r="A14" t="s">
        <v>264</v>
      </c>
      <c r="B14" t="s">
        <v>55</v>
      </c>
      <c r="C14" s="130">
        <f t="shared" si="0"/>
        <v>4738.4247815128001</v>
      </c>
      <c r="D14" s="130">
        <f t="shared" si="0"/>
        <v>27.374929559647949</v>
      </c>
      <c r="E14" s="130">
        <f t="shared" si="0"/>
        <v>40.142355274049251</v>
      </c>
      <c r="F14" s="130">
        <f t="shared" si="0"/>
        <v>14.482521502215725</v>
      </c>
      <c r="G14" s="130">
        <f t="shared" si="0"/>
        <v>1.1300134879927199</v>
      </c>
      <c r="H14" s="130">
        <f t="shared" si="0"/>
        <v>21.5</v>
      </c>
      <c r="I14" s="130">
        <f t="shared" si="0"/>
        <v>0</v>
      </c>
      <c r="J14" s="130">
        <v>0</v>
      </c>
      <c r="P14" s="53"/>
      <c r="R14" s="481">
        <v>2.13E-13</v>
      </c>
      <c r="S14" s="481">
        <v>1.6400000000000001E-13</v>
      </c>
      <c r="T14" s="481">
        <v>1.5200000000000001E-13</v>
      </c>
      <c r="U14" s="481">
        <v>8.7699999999999995E-14</v>
      </c>
      <c r="V14" s="481">
        <v>1.39E-11</v>
      </c>
      <c r="W14" s="178">
        <f t="shared" si="1"/>
        <v>14.215</v>
      </c>
      <c r="AF14" t="s">
        <v>590</v>
      </c>
      <c r="AG14" t="s">
        <v>600</v>
      </c>
      <c r="AH14" t="s">
        <v>591</v>
      </c>
      <c r="AI14" t="s">
        <v>592</v>
      </c>
    </row>
    <row r="15" spans="1:38" x14ac:dyDescent="0.2">
      <c r="A15" t="s">
        <v>264</v>
      </c>
      <c r="B15" t="s">
        <v>87</v>
      </c>
      <c r="C15" s="130">
        <f t="shared" si="0"/>
        <v>2788.8651929041298</v>
      </c>
      <c r="D15" s="130">
        <f t="shared" si="0"/>
        <v>72</v>
      </c>
      <c r="E15" s="130">
        <f t="shared" si="0"/>
        <v>23.6263362925528</v>
      </c>
      <c r="F15" s="130">
        <f t="shared" si="0"/>
        <v>8.5238875755921839</v>
      </c>
      <c r="G15" s="130">
        <f t="shared" si="0"/>
        <v>0</v>
      </c>
      <c r="H15" s="130">
        <f t="shared" si="0"/>
        <v>21.5</v>
      </c>
      <c r="I15" s="130">
        <f t="shared" si="0"/>
        <v>0</v>
      </c>
      <c r="J15" s="130">
        <v>0</v>
      </c>
      <c r="R15" s="481">
        <v>5.3800000000000002E-14</v>
      </c>
      <c r="S15" s="481">
        <v>1.48E-13</v>
      </c>
      <c r="T15" s="481">
        <v>4.8500000000000003E-15</v>
      </c>
      <c r="U15" s="481">
        <v>2.1900000000000001E-15</v>
      </c>
      <c r="V15" s="481">
        <v>1.2100000000000001E-12</v>
      </c>
      <c r="W15" s="178">
        <f t="shared" si="1"/>
        <v>18.37</v>
      </c>
      <c r="AF15" t="s">
        <v>590</v>
      </c>
      <c r="AG15" t="s">
        <v>601</v>
      </c>
      <c r="AH15" t="s">
        <v>591</v>
      </c>
      <c r="AI15" t="s">
        <v>592</v>
      </c>
    </row>
    <row r="16" spans="1:38" x14ac:dyDescent="0.2">
      <c r="A16" t="s">
        <v>602</v>
      </c>
      <c r="B16" t="s">
        <v>59</v>
      </c>
      <c r="C16" s="130">
        <f t="shared" si="0"/>
        <v>3774.3509604855899</v>
      </c>
      <c r="D16" s="130">
        <f t="shared" si="0"/>
        <v>21.805261545946848</v>
      </c>
      <c r="E16" s="130">
        <f t="shared" si="0"/>
        <v>31.975043220247102</v>
      </c>
      <c r="F16" s="130">
        <f t="shared" si="0"/>
        <v>11.535926275628157</v>
      </c>
      <c r="G16" s="130">
        <f t="shared" si="0"/>
        <v>0.90010239487336996</v>
      </c>
      <c r="H16" s="130">
        <f t="shared" si="0"/>
        <v>21.5</v>
      </c>
      <c r="I16" s="130">
        <f t="shared" si="0"/>
        <v>0</v>
      </c>
      <c r="J16" s="130">
        <v>0</v>
      </c>
      <c r="R16" s="481">
        <v>6.5900000000000002E-14</v>
      </c>
      <c r="S16" s="481">
        <v>7.0900000000000006E-14</v>
      </c>
      <c r="T16" s="481">
        <v>2.21E-15</v>
      </c>
      <c r="U16" s="481">
        <v>4.5899999999999996E-16</v>
      </c>
      <c r="V16" s="481">
        <v>6.17E-13</v>
      </c>
      <c r="W16" s="178">
        <f t="shared" si="1"/>
        <v>46.36</v>
      </c>
      <c r="AF16" t="s">
        <v>590</v>
      </c>
      <c r="AG16" t="s">
        <v>603</v>
      </c>
      <c r="AH16" t="s">
        <v>591</v>
      </c>
      <c r="AI16" t="s">
        <v>592</v>
      </c>
      <c r="AJ16" s="201"/>
      <c r="AL16" t="s">
        <v>604</v>
      </c>
    </row>
    <row r="17" spans="1:53" x14ac:dyDescent="0.2">
      <c r="A17" t="s">
        <v>264</v>
      </c>
      <c r="B17" t="s">
        <v>61</v>
      </c>
      <c r="C17" s="130">
        <f t="shared" si="0"/>
        <v>2621.2856079063949</v>
      </c>
      <c r="D17" s="130">
        <f t="shared" si="0"/>
        <v>15.14374759141945</v>
      </c>
      <c r="E17" s="130">
        <f t="shared" si="0"/>
        <v>22.206657908313701</v>
      </c>
      <c r="F17" s="130">
        <f t="shared" si="0"/>
        <v>8.0116973320051077</v>
      </c>
      <c r="G17" s="130">
        <f t="shared" si="0"/>
        <v>0.62512084276871005</v>
      </c>
      <c r="H17" s="130">
        <f t="shared" si="0"/>
        <v>21.5</v>
      </c>
      <c r="I17" s="130">
        <f t="shared" si="0"/>
        <v>0</v>
      </c>
      <c r="J17" s="130">
        <v>0</v>
      </c>
      <c r="R17" s="481">
        <v>1.3E-13</v>
      </c>
      <c r="S17" s="481">
        <v>1.66E-13</v>
      </c>
      <c r="T17" s="481">
        <v>2.5400000000000001E-14</v>
      </c>
      <c r="U17" s="481">
        <v>1.06E-13</v>
      </c>
      <c r="V17" s="481">
        <v>1.0399999999999999E-11</v>
      </c>
      <c r="W17" s="178">
        <f t="shared" si="1"/>
        <v>4.375</v>
      </c>
      <c r="AF17" t="s">
        <v>590</v>
      </c>
      <c r="AG17" t="s">
        <v>605</v>
      </c>
      <c r="AH17" t="s">
        <v>591</v>
      </c>
      <c r="AI17" t="s">
        <v>592</v>
      </c>
      <c r="AJ17" s="201"/>
    </row>
    <row r="18" spans="1:53" x14ac:dyDescent="0.2">
      <c r="A18" t="s">
        <v>264</v>
      </c>
      <c r="B18" s="58" t="s">
        <v>63</v>
      </c>
      <c r="C18" s="235">
        <v>1739</v>
      </c>
      <c r="D18" s="235">
        <v>0</v>
      </c>
      <c r="E18" s="483">
        <f>E54/2</f>
        <v>22.68516268836165</v>
      </c>
      <c r="F18" s="178">
        <f>F54/2</f>
        <v>8.1843318403354495</v>
      </c>
      <c r="G18" s="235">
        <v>0</v>
      </c>
      <c r="H18" s="483">
        <f>H54/2</f>
        <v>21.5</v>
      </c>
      <c r="I18" s="235">
        <v>0</v>
      </c>
      <c r="J18" s="230">
        <v>0</v>
      </c>
      <c r="R18" s="484"/>
      <c r="S18" s="484"/>
      <c r="T18" s="484"/>
      <c r="U18" s="484"/>
      <c r="V18" s="484">
        <f>AV23</f>
        <v>-9.8522726666666674E-13</v>
      </c>
      <c r="W18" s="178">
        <f t="shared" si="1"/>
        <v>8.9649999999999999</v>
      </c>
      <c r="X18" t="s">
        <v>606</v>
      </c>
      <c r="AF18" t="s">
        <v>590</v>
      </c>
      <c r="AG18" t="s">
        <v>607</v>
      </c>
      <c r="AH18" t="s">
        <v>608</v>
      </c>
      <c r="AI18" t="s">
        <v>609</v>
      </c>
      <c r="AJ18" s="201"/>
      <c r="AV18" t="s">
        <v>610</v>
      </c>
      <c r="AX18" t="s">
        <v>611</v>
      </c>
    </row>
    <row r="19" spans="1:53" x14ac:dyDescent="0.2">
      <c r="AX19" t="s">
        <v>612</v>
      </c>
      <c r="AZ19" t="s">
        <v>613</v>
      </c>
    </row>
    <row r="21" spans="1:53" x14ac:dyDescent="0.2">
      <c r="AV21">
        <v>7.2089800000000004E-13</v>
      </c>
      <c r="AX21" s="485">
        <f>0.000000000000499+0.000000000000762+0.0000000000000694+0.00000000000000714+0.00000000000153</f>
        <v>2.8675399999999997E-12</v>
      </c>
      <c r="AZ21">
        <v>9.4</v>
      </c>
    </row>
    <row r="22" spans="1:53" ht="18" customHeight="1" x14ac:dyDescent="0.25">
      <c r="A22" s="431" t="s">
        <v>548</v>
      </c>
      <c r="B22" s="197"/>
      <c r="C22" s="197"/>
      <c r="D22" s="197"/>
      <c r="E22" s="197"/>
      <c r="F22" s="197"/>
      <c r="G22" s="197"/>
      <c r="H22" s="197"/>
      <c r="I22" s="197"/>
      <c r="J22" s="197"/>
      <c r="K22" s="197"/>
      <c r="L22" s="197"/>
      <c r="M22" s="197"/>
      <c r="N22" s="197"/>
      <c r="O22" s="197"/>
      <c r="P22" s="197"/>
      <c r="Q22" s="197"/>
      <c r="R22" s="197"/>
      <c r="S22" s="197"/>
      <c r="T22" s="197"/>
      <c r="U22" s="197"/>
      <c r="V22" s="197"/>
      <c r="W22" s="197"/>
      <c r="X22" s="197"/>
      <c r="Y22" s="197"/>
      <c r="Z22" s="197"/>
      <c r="AA22" s="197"/>
      <c r="AB22" s="197"/>
      <c r="AC22" s="197"/>
      <c r="AD22" s="197"/>
      <c r="AE22" s="197"/>
      <c r="AF22" s="197"/>
      <c r="AG22" s="197"/>
      <c r="AH22" s="197"/>
      <c r="AI22" s="197"/>
      <c r="AJ22" s="197"/>
      <c r="AV22">
        <v>0</v>
      </c>
      <c r="AX22" s="130">
        <v>0</v>
      </c>
      <c r="AZ22">
        <v>0</v>
      </c>
    </row>
    <row r="23" spans="1:53" x14ac:dyDescent="0.2">
      <c r="AV23" s="486">
        <f>-AV21/3000*4100</f>
        <v>-9.8522726666666674E-13</v>
      </c>
      <c r="AX23" s="487">
        <f>-AX21/3000*4100</f>
        <v>-3.9189713333333335E-12</v>
      </c>
      <c r="AY23" s="375"/>
      <c r="AZ23" s="350">
        <f>-9.4/3000*4100</f>
        <v>-12.846666666666668</v>
      </c>
      <c r="BA23" s="374"/>
    </row>
    <row r="24" spans="1:53" x14ac:dyDescent="0.2">
      <c r="A24" s="449" t="s">
        <v>458</v>
      </c>
      <c r="B24" s="450"/>
      <c r="C24" s="451" t="s">
        <v>557</v>
      </c>
      <c r="D24" s="452" t="s">
        <v>558</v>
      </c>
      <c r="E24" s="453"/>
      <c r="F24" s="454"/>
      <c r="G24" s="454"/>
      <c r="H24" s="455" t="s">
        <v>559</v>
      </c>
      <c r="I24" s="455" t="s">
        <v>143</v>
      </c>
      <c r="J24" s="456" t="s">
        <v>144</v>
      </c>
      <c r="K24" s="457" t="s">
        <v>560</v>
      </c>
      <c r="L24" s="454"/>
      <c r="M24" s="454"/>
      <c r="N24" s="453"/>
      <c r="O24" s="458"/>
      <c r="P24" s="458"/>
      <c r="Q24" s="458"/>
      <c r="R24" s="456" t="s">
        <v>561</v>
      </c>
      <c r="S24" s="458"/>
      <c r="T24" s="458"/>
      <c r="U24" s="458"/>
      <c r="V24" s="458"/>
      <c r="W24" s="456" t="s">
        <v>147</v>
      </c>
      <c r="X24" s="459" t="s">
        <v>557</v>
      </c>
      <c r="Y24" s="460" t="s">
        <v>558</v>
      </c>
      <c r="Z24" s="461"/>
      <c r="AA24" s="462"/>
      <c r="AB24" s="462"/>
      <c r="AC24" s="463" t="s">
        <v>559</v>
      </c>
      <c r="AD24" s="463" t="s">
        <v>143</v>
      </c>
      <c r="AE24" s="464" t="s">
        <v>144</v>
      </c>
      <c r="AF24" s="465" t="s">
        <v>560</v>
      </c>
      <c r="AG24" s="462"/>
      <c r="AH24" s="462"/>
      <c r="AI24" s="464" t="s">
        <v>145</v>
      </c>
      <c r="AJ24" s="466"/>
      <c r="AZ24" t="s">
        <v>614</v>
      </c>
    </row>
    <row r="25" spans="1:53" ht="57.75" customHeight="1" x14ac:dyDescent="0.2">
      <c r="A25" s="467" t="s">
        <v>562</v>
      </c>
      <c r="B25" s="468" t="s">
        <v>16</v>
      </c>
      <c r="C25" s="469" t="s">
        <v>563</v>
      </c>
      <c r="D25" s="469" t="s">
        <v>564</v>
      </c>
      <c r="E25" s="470" t="s">
        <v>565</v>
      </c>
      <c r="F25" s="469" t="s">
        <v>566</v>
      </c>
      <c r="G25" s="470" t="s">
        <v>567</v>
      </c>
      <c r="H25" s="470" t="s">
        <v>568</v>
      </c>
      <c r="I25" s="471" t="s">
        <v>569</v>
      </c>
      <c r="J25" s="472" t="s">
        <v>570</v>
      </c>
      <c r="K25" s="473" t="s">
        <v>571</v>
      </c>
      <c r="L25" s="473" t="s">
        <v>572</v>
      </c>
      <c r="M25" s="473" t="s">
        <v>573</v>
      </c>
      <c r="N25" s="473" t="s">
        <v>574</v>
      </c>
      <c r="O25" s="473" t="s">
        <v>575</v>
      </c>
      <c r="P25" s="473" t="s">
        <v>576</v>
      </c>
      <c r="Q25" s="473" t="s">
        <v>577</v>
      </c>
      <c r="R25" s="474" t="s">
        <v>578</v>
      </c>
      <c r="S25" s="474" t="s">
        <v>579</v>
      </c>
      <c r="T25" s="474" t="s">
        <v>580</v>
      </c>
      <c r="U25" s="474" t="s">
        <v>581</v>
      </c>
      <c r="V25" s="474" t="s">
        <v>582</v>
      </c>
      <c r="W25" s="474" t="s">
        <v>583</v>
      </c>
      <c r="X25" s="475" t="s">
        <v>563</v>
      </c>
      <c r="Y25" s="475" t="s">
        <v>584</v>
      </c>
      <c r="Z25" s="476" t="s">
        <v>565</v>
      </c>
      <c r="AA25" s="475" t="s">
        <v>566</v>
      </c>
      <c r="AB25" s="476" t="s">
        <v>567</v>
      </c>
      <c r="AC25" s="476" t="s">
        <v>568</v>
      </c>
      <c r="AD25" s="477" t="s">
        <v>159</v>
      </c>
      <c r="AE25" s="478" t="s">
        <v>570</v>
      </c>
      <c r="AF25" s="479" t="s">
        <v>585</v>
      </c>
      <c r="AG25" s="479" t="s">
        <v>586</v>
      </c>
      <c r="AH25" s="479" t="s">
        <v>587</v>
      </c>
      <c r="AI25" s="480" t="s">
        <v>588</v>
      </c>
      <c r="AJ25" s="480" t="s">
        <v>615</v>
      </c>
    </row>
    <row r="26" spans="1:53" x14ac:dyDescent="0.2">
      <c r="A26" t="s">
        <v>616</v>
      </c>
      <c r="B26" t="s">
        <v>88</v>
      </c>
      <c r="C26" s="319">
        <v>13293.5252990479</v>
      </c>
      <c r="D26" s="488">
        <v>40</v>
      </c>
      <c r="E26" s="216"/>
      <c r="F26" s="489">
        <f t="shared" ref="F26:F36" si="2">((C26*P26*M26)*Q26*L26*(1-K26))+((C26*P26)+(C26*P26*M26))*N26*Q26*O26</f>
        <v>23.991729066912079</v>
      </c>
      <c r="G26" s="490">
        <v>5.23943661971831</v>
      </c>
      <c r="H26" s="491">
        <v>78.5</v>
      </c>
      <c r="I26" s="319">
        <v>0</v>
      </c>
      <c r="J26" s="222">
        <v>0.33309538092381502</v>
      </c>
      <c r="K26" s="492">
        <v>0</v>
      </c>
      <c r="L26" s="492">
        <v>6.0000000000000001E-3</v>
      </c>
      <c r="M26" s="492">
        <v>0.04</v>
      </c>
      <c r="N26" s="493">
        <v>0.22</v>
      </c>
      <c r="O26" s="494">
        <v>7.0000000000000001E-3</v>
      </c>
      <c r="P26" s="493">
        <v>0.98</v>
      </c>
      <c r="Q26" s="493">
        <v>1</v>
      </c>
      <c r="R26" s="481">
        <v>3.0300000000000001E-14</v>
      </c>
      <c r="S26" s="481">
        <v>7.3000000000000004E-14</v>
      </c>
      <c r="T26" s="481">
        <v>2.1200000000000001E-15</v>
      </c>
      <c r="U26" s="481">
        <v>7.8699999999999997E-16</v>
      </c>
      <c r="V26" s="481">
        <v>1.1499999999999999E-12</v>
      </c>
      <c r="W26" s="319">
        <v>16.63</v>
      </c>
      <c r="X26" t="s">
        <v>617</v>
      </c>
      <c r="Y26" t="s">
        <v>617</v>
      </c>
      <c r="AA26" t="s">
        <v>437</v>
      </c>
      <c r="AB26" t="s">
        <v>617</v>
      </c>
      <c r="AC26" t="s">
        <v>618</v>
      </c>
      <c r="AD26" t="s">
        <v>619</v>
      </c>
      <c r="AE26" t="s">
        <v>620</v>
      </c>
      <c r="AF26" t="s">
        <v>590</v>
      </c>
      <c r="AG26" t="s">
        <v>591</v>
      </c>
      <c r="AH26" t="s">
        <v>591</v>
      </c>
      <c r="AI26" t="s">
        <v>621</v>
      </c>
      <c r="AJ26" s="201"/>
    </row>
    <row r="27" spans="1:53" x14ac:dyDescent="0.2">
      <c r="A27" t="s">
        <v>616</v>
      </c>
      <c r="B27" t="s">
        <v>45</v>
      </c>
      <c r="C27" s="319">
        <v>12762.4562785816</v>
      </c>
      <c r="D27" s="488">
        <v>62</v>
      </c>
      <c r="E27" s="216"/>
      <c r="F27" s="489">
        <f t="shared" si="2"/>
        <v>23.033272692983154</v>
      </c>
      <c r="G27" s="490">
        <v>8.3830985915493006</v>
      </c>
      <c r="H27" s="491">
        <v>78.5</v>
      </c>
      <c r="I27" s="319">
        <v>92.210702520091203</v>
      </c>
      <c r="J27" s="222">
        <v>0.86232103612349797</v>
      </c>
      <c r="K27" s="492">
        <v>0</v>
      </c>
      <c r="L27" s="492">
        <v>6.0000000000000001E-3</v>
      </c>
      <c r="M27" s="492">
        <v>0.04</v>
      </c>
      <c r="N27" s="493">
        <v>0.22</v>
      </c>
      <c r="O27" s="494">
        <v>7.0000000000000001E-3</v>
      </c>
      <c r="P27" s="493">
        <v>0.98</v>
      </c>
      <c r="Q27" s="493">
        <v>1</v>
      </c>
      <c r="R27" s="481">
        <v>7.7900000000000001E-14</v>
      </c>
      <c r="S27" s="481">
        <v>1.1099999999999999E-13</v>
      </c>
      <c r="T27" s="481">
        <v>9.5299999999999998E-15</v>
      </c>
      <c r="U27" s="481">
        <v>7.0000000000000001E-15</v>
      </c>
      <c r="V27" s="481">
        <v>4.0300000000000004E-12</v>
      </c>
      <c r="W27" s="319">
        <v>25.14</v>
      </c>
      <c r="X27" t="s">
        <v>617</v>
      </c>
      <c r="Y27" t="s">
        <v>622</v>
      </c>
      <c r="AA27" t="s">
        <v>437</v>
      </c>
      <c r="AB27" t="s">
        <v>622</v>
      </c>
      <c r="AC27" t="s">
        <v>618</v>
      </c>
      <c r="AD27" t="s">
        <v>619</v>
      </c>
      <c r="AE27" t="s">
        <v>620</v>
      </c>
      <c r="AF27" t="s">
        <v>590</v>
      </c>
      <c r="AG27" t="s">
        <v>594</v>
      </c>
      <c r="AH27" t="s">
        <v>591</v>
      </c>
      <c r="AI27" t="s">
        <v>621</v>
      </c>
      <c r="AJ27" s="201"/>
    </row>
    <row r="28" spans="1:53" x14ac:dyDescent="0.2">
      <c r="A28" t="s">
        <v>616</v>
      </c>
      <c r="B28" t="s">
        <v>47</v>
      </c>
      <c r="C28" s="319">
        <v>15673.189721458501</v>
      </c>
      <c r="D28" s="488">
        <v>51</v>
      </c>
      <c r="E28" s="216"/>
      <c r="F28" s="489">
        <f t="shared" si="2"/>
        <v>28.286471267217216</v>
      </c>
      <c r="G28" s="490">
        <v>3.4929577464788699</v>
      </c>
      <c r="H28" s="491">
        <v>78.5</v>
      </c>
      <c r="I28" s="319">
        <v>2.0593520403791801</v>
      </c>
      <c r="J28" s="222">
        <v>1.6424271196144899</v>
      </c>
      <c r="K28" s="492">
        <v>0</v>
      </c>
      <c r="L28" s="492">
        <v>6.0000000000000001E-3</v>
      </c>
      <c r="M28" s="492">
        <v>0.04</v>
      </c>
      <c r="N28" s="493">
        <v>0.22</v>
      </c>
      <c r="O28" s="494">
        <v>7.0000000000000001E-3</v>
      </c>
      <c r="P28" s="493">
        <v>0.98</v>
      </c>
      <c r="Q28" s="493">
        <v>1</v>
      </c>
      <c r="R28" s="481">
        <v>7.5499999999999994E-14</v>
      </c>
      <c r="S28" s="481">
        <v>7.9399999999999995E-14</v>
      </c>
      <c r="T28" s="481">
        <v>4.5200000000000001E-15</v>
      </c>
      <c r="U28" s="481">
        <v>2.0500000000000002E-15</v>
      </c>
      <c r="V28" s="481">
        <v>3.07E-12</v>
      </c>
      <c r="W28" s="319">
        <v>28.38</v>
      </c>
      <c r="X28" t="s">
        <v>617</v>
      </c>
      <c r="Y28" t="s">
        <v>622</v>
      </c>
      <c r="AA28" t="s">
        <v>437</v>
      </c>
      <c r="AB28" t="s">
        <v>622</v>
      </c>
      <c r="AC28" t="s">
        <v>618</v>
      </c>
      <c r="AD28" t="s">
        <v>619</v>
      </c>
      <c r="AE28" t="s">
        <v>620</v>
      </c>
      <c r="AF28" t="s">
        <v>590</v>
      </c>
      <c r="AG28" t="s">
        <v>595</v>
      </c>
      <c r="AH28" t="s">
        <v>591</v>
      </c>
      <c r="AI28" t="s">
        <v>621</v>
      </c>
      <c r="AJ28" s="201"/>
    </row>
    <row r="29" spans="1:53" x14ac:dyDescent="0.2">
      <c r="A29" t="s">
        <v>616</v>
      </c>
      <c r="B29" t="s">
        <v>49</v>
      </c>
      <c r="C29" s="319">
        <v>6782.64355846939</v>
      </c>
      <c r="D29" s="488">
        <v>180</v>
      </c>
      <c r="E29" s="216"/>
      <c r="F29" s="489">
        <f t="shared" si="2"/>
        <v>12.241098049731685</v>
      </c>
      <c r="G29" s="490">
        <v>9.6056338028169002</v>
      </c>
      <c r="H29" s="491">
        <v>78.5</v>
      </c>
      <c r="I29" s="319">
        <v>282.61914165931898</v>
      </c>
      <c r="J29" s="222">
        <f>$J$27/$C$27*C29</f>
        <v>0.45828295849376433</v>
      </c>
      <c r="K29" s="492">
        <v>0</v>
      </c>
      <c r="L29" s="492">
        <v>6.0000000000000001E-3</v>
      </c>
      <c r="M29" s="492">
        <v>0.04</v>
      </c>
      <c r="N29" s="493">
        <v>0.22</v>
      </c>
      <c r="O29" s="494">
        <v>7.0000000000000001E-3</v>
      </c>
      <c r="P29" s="493">
        <v>0.98</v>
      </c>
      <c r="Q29" s="493">
        <v>1</v>
      </c>
      <c r="R29" s="481">
        <v>2.1499999999999999E-13</v>
      </c>
      <c r="S29" s="481">
        <v>1.31E-13</v>
      </c>
      <c r="T29" s="481">
        <v>9.5800000000000006E-14</v>
      </c>
      <c r="U29" s="481">
        <v>2.4600000000000001E-13</v>
      </c>
      <c r="V29" s="481">
        <v>1.5900000000000001E-11</v>
      </c>
      <c r="W29" s="319">
        <v>18.649999999999999</v>
      </c>
      <c r="X29" t="s">
        <v>617</v>
      </c>
      <c r="Y29" t="s">
        <v>622</v>
      </c>
      <c r="AA29" t="s">
        <v>437</v>
      </c>
      <c r="AB29" t="s">
        <v>622</v>
      </c>
      <c r="AC29" t="s">
        <v>618</v>
      </c>
      <c r="AD29" t="s">
        <v>619</v>
      </c>
      <c r="AE29" t="s">
        <v>623</v>
      </c>
      <c r="AF29" t="s">
        <v>590</v>
      </c>
      <c r="AG29" t="s">
        <v>596</v>
      </c>
      <c r="AH29" t="s">
        <v>591</v>
      </c>
      <c r="AI29" t="s">
        <v>621</v>
      </c>
      <c r="AJ29" s="201"/>
    </row>
    <row r="30" spans="1:53" x14ac:dyDescent="0.2">
      <c r="A30" t="s">
        <v>616</v>
      </c>
      <c r="B30" t="s">
        <v>86</v>
      </c>
      <c r="C30" s="319">
        <v>9752.6853564514804</v>
      </c>
      <c r="D30" s="488">
        <v>119.677419354839</v>
      </c>
      <c r="E30" s="216"/>
      <c r="F30" s="489">
        <f t="shared" si="2"/>
        <v>17.601334445392229</v>
      </c>
      <c r="G30" s="490">
        <v>1.3098591549295799</v>
      </c>
      <c r="H30" s="491">
        <v>78.5</v>
      </c>
      <c r="I30" s="319">
        <v>1.1144731838569699</v>
      </c>
      <c r="J30" s="222">
        <f>$J$28/$C$28*C30</f>
        <v>1.0220047867201103</v>
      </c>
      <c r="K30" s="492">
        <v>0</v>
      </c>
      <c r="L30" s="492">
        <v>6.0000000000000001E-3</v>
      </c>
      <c r="M30" s="492">
        <v>0.04</v>
      </c>
      <c r="N30" s="493">
        <v>0.22</v>
      </c>
      <c r="O30" s="494">
        <v>7.0000000000000001E-3</v>
      </c>
      <c r="P30" s="493">
        <v>0.98</v>
      </c>
      <c r="Q30" s="493">
        <v>1</v>
      </c>
      <c r="R30" s="481">
        <v>3.0099999999999998E-13</v>
      </c>
      <c r="S30" s="481">
        <v>6.3499999999999994E-14</v>
      </c>
      <c r="T30" s="481">
        <v>6.5900000000000002E-15</v>
      </c>
      <c r="U30" s="481">
        <v>3.3E-15</v>
      </c>
      <c r="V30" s="481">
        <v>4.0499999999999999E-12</v>
      </c>
      <c r="W30" s="319">
        <v>81.510000000000005</v>
      </c>
      <c r="X30" t="s">
        <v>617</v>
      </c>
      <c r="Y30" t="s">
        <v>622</v>
      </c>
      <c r="AA30" t="s">
        <v>437</v>
      </c>
      <c r="AB30" t="s">
        <v>622</v>
      </c>
      <c r="AC30" t="s">
        <v>618</v>
      </c>
      <c r="AD30" t="s">
        <v>619</v>
      </c>
      <c r="AE30" t="s">
        <v>373</v>
      </c>
      <c r="AF30" t="s">
        <v>590</v>
      </c>
      <c r="AG30" t="s">
        <v>597</v>
      </c>
      <c r="AH30" t="s">
        <v>591</v>
      </c>
      <c r="AI30" t="s">
        <v>621</v>
      </c>
      <c r="AJ30" s="201"/>
    </row>
    <row r="31" spans="1:53" x14ac:dyDescent="0.2">
      <c r="A31" t="s">
        <v>616</v>
      </c>
      <c r="B31" t="s">
        <v>89</v>
      </c>
      <c r="C31" s="319">
        <v>16143.6782179519</v>
      </c>
      <c r="D31" s="488">
        <v>140</v>
      </c>
      <c r="E31" s="216"/>
      <c r="F31" s="489">
        <f t="shared" si="2"/>
        <v>29.135593850056615</v>
      </c>
      <c r="G31" s="490">
        <v>37</v>
      </c>
      <c r="H31" s="491">
        <v>78.5</v>
      </c>
      <c r="I31" s="319">
        <v>0</v>
      </c>
      <c r="J31" s="222">
        <v>2.14</v>
      </c>
      <c r="K31" s="492">
        <v>0</v>
      </c>
      <c r="L31" s="492">
        <v>6.0000000000000001E-3</v>
      </c>
      <c r="M31" s="492">
        <v>0.04</v>
      </c>
      <c r="N31" s="493">
        <v>0.22</v>
      </c>
      <c r="O31" s="494">
        <v>7.0000000000000001E-3</v>
      </c>
      <c r="P31" s="493">
        <v>0.98</v>
      </c>
      <c r="Q31" s="493">
        <v>1</v>
      </c>
      <c r="R31" s="481">
        <v>9.7499999999999995E-15</v>
      </c>
      <c r="S31" s="481">
        <v>1.2800000000000001E-13</v>
      </c>
      <c r="T31" s="481">
        <v>2E-16</v>
      </c>
      <c r="U31" s="481">
        <v>8.6099999999999999E-16</v>
      </c>
      <c r="V31" s="481">
        <v>1.4100000000000001E-12</v>
      </c>
      <c r="W31" s="319">
        <v>54.34</v>
      </c>
      <c r="X31" t="s">
        <v>617</v>
      </c>
      <c r="Y31" t="s">
        <v>622</v>
      </c>
      <c r="AA31" t="s">
        <v>437</v>
      </c>
      <c r="AB31" t="s">
        <v>622</v>
      </c>
      <c r="AC31" t="s">
        <v>618</v>
      </c>
      <c r="AD31" t="s">
        <v>619</v>
      </c>
      <c r="AE31" t="s">
        <v>624</v>
      </c>
      <c r="AF31" t="s">
        <v>590</v>
      </c>
      <c r="AG31" t="s">
        <v>598</v>
      </c>
      <c r="AH31" t="s">
        <v>591</v>
      </c>
      <c r="AI31" t="s">
        <v>621</v>
      </c>
      <c r="AJ31" s="201"/>
    </row>
    <row r="32" spans="1:53" x14ac:dyDescent="0.2">
      <c r="A32" t="s">
        <v>616</v>
      </c>
      <c r="B32" t="s">
        <v>55</v>
      </c>
      <c r="C32" s="319">
        <v>19438.160830850698</v>
      </c>
      <c r="D32" s="488">
        <v>149.127659574468</v>
      </c>
      <c r="E32" s="216"/>
      <c r="F32" s="489">
        <f t="shared" si="2"/>
        <v>35.081370646372747</v>
      </c>
      <c r="G32" s="490">
        <v>2.6197183098591599</v>
      </c>
      <c r="H32" s="491">
        <v>78.5</v>
      </c>
      <c r="I32" s="319">
        <v>107.87515975580099</v>
      </c>
      <c r="J32" s="222">
        <f>$J$27/$C$27*C32</f>
        <v>1.3133784455054183</v>
      </c>
      <c r="K32" s="492">
        <v>0</v>
      </c>
      <c r="L32" s="492">
        <v>6.0000000000000001E-3</v>
      </c>
      <c r="M32" s="492">
        <v>0.04</v>
      </c>
      <c r="N32" s="493">
        <v>0.22</v>
      </c>
      <c r="O32" s="494">
        <v>7.0000000000000001E-3</v>
      </c>
      <c r="P32" s="493">
        <v>0.98</v>
      </c>
      <c r="Q32" s="493">
        <v>1</v>
      </c>
      <c r="R32" s="481">
        <v>1.4999999999999999E-13</v>
      </c>
      <c r="S32" s="481">
        <v>1.2900000000000001E-13</v>
      </c>
      <c r="T32" s="481">
        <v>1.1499999999999999E-13</v>
      </c>
      <c r="U32" s="481">
        <v>6.5600000000000006E-14</v>
      </c>
      <c r="V32" s="481">
        <v>1.8500000000000001E-11</v>
      </c>
      <c r="W32" s="319">
        <v>26.36</v>
      </c>
      <c r="X32" t="s">
        <v>617</v>
      </c>
      <c r="Y32" t="s">
        <v>622</v>
      </c>
      <c r="AA32" t="s">
        <v>437</v>
      </c>
      <c r="AB32" t="s">
        <v>622</v>
      </c>
      <c r="AC32" t="s">
        <v>618</v>
      </c>
      <c r="AD32" t="s">
        <v>619</v>
      </c>
      <c r="AE32" t="s">
        <v>623</v>
      </c>
      <c r="AF32" t="s">
        <v>590</v>
      </c>
      <c r="AG32" t="s">
        <v>600</v>
      </c>
      <c r="AH32" t="s">
        <v>591</v>
      </c>
      <c r="AI32" t="s">
        <v>621</v>
      </c>
      <c r="AJ32" s="201"/>
    </row>
    <row r="33" spans="1:37" x14ac:dyDescent="0.2">
      <c r="A33" t="s">
        <v>616</v>
      </c>
      <c r="B33" t="s">
        <v>87</v>
      </c>
      <c r="C33" s="319">
        <v>16259.9012012814</v>
      </c>
      <c r="D33" s="488">
        <v>5.0999999999999996</v>
      </c>
      <c r="E33" s="216"/>
      <c r="F33" s="489">
        <f t="shared" si="2"/>
        <v>29.345349371234228</v>
      </c>
      <c r="G33" s="490">
        <v>1.3753521126760599</v>
      </c>
      <c r="H33" s="491">
        <v>78.5</v>
      </c>
      <c r="I33" s="319">
        <v>16.271234432720799</v>
      </c>
      <c r="J33" s="222">
        <v>1.16547589799027</v>
      </c>
      <c r="K33" s="492">
        <v>0</v>
      </c>
      <c r="L33" s="492">
        <v>6.0000000000000001E-3</v>
      </c>
      <c r="M33" s="492">
        <v>0.04</v>
      </c>
      <c r="N33" s="493">
        <v>0.22</v>
      </c>
      <c r="O33" s="494">
        <v>7.0000000000000001E-3</v>
      </c>
      <c r="P33" s="493">
        <v>0.98</v>
      </c>
      <c r="Q33" s="493">
        <v>1</v>
      </c>
      <c r="R33" s="481">
        <v>7.2899999999999997E-14</v>
      </c>
      <c r="S33" s="481">
        <v>1.3199999999999999E-13</v>
      </c>
      <c r="T33" s="481">
        <v>5.0799999999999997E-15</v>
      </c>
      <c r="U33" s="481">
        <v>2.9000000000000002E-15</v>
      </c>
      <c r="V33" s="481">
        <v>2.6400000000000001E-12</v>
      </c>
      <c r="W33" s="319">
        <v>34.06</v>
      </c>
      <c r="X33" t="s">
        <v>617</v>
      </c>
      <c r="Y33" t="s">
        <v>617</v>
      </c>
      <c r="AA33" t="s">
        <v>437</v>
      </c>
      <c r="AB33" t="s">
        <v>617</v>
      </c>
      <c r="AC33" t="s">
        <v>618</v>
      </c>
      <c r="AD33" t="s">
        <v>619</v>
      </c>
      <c r="AE33" t="s">
        <v>620</v>
      </c>
      <c r="AF33" t="s">
        <v>590</v>
      </c>
      <c r="AG33" t="s">
        <v>601</v>
      </c>
      <c r="AH33" t="s">
        <v>591</v>
      </c>
      <c r="AI33" t="s">
        <v>621</v>
      </c>
      <c r="AJ33" s="201"/>
    </row>
    <row r="34" spans="1:37" x14ac:dyDescent="0.2">
      <c r="A34" t="s">
        <v>616</v>
      </c>
      <c r="B34" t="s">
        <v>59</v>
      </c>
      <c r="C34" s="319">
        <v>15782.373686957601</v>
      </c>
      <c r="D34" s="488">
        <v>126</v>
      </c>
      <c r="E34" s="216"/>
      <c r="F34" s="489">
        <f t="shared" si="2"/>
        <v>28.483522994263094</v>
      </c>
      <c r="G34" s="490">
        <v>21.830985915492999</v>
      </c>
      <c r="H34" s="491">
        <v>78.5</v>
      </c>
      <c r="I34" s="319">
        <v>3.7403547823840699</v>
      </c>
      <c r="J34" s="222">
        <f>$J$28/$C$28*C34</f>
        <v>1.6538687412084181</v>
      </c>
      <c r="K34" s="492">
        <v>0</v>
      </c>
      <c r="L34" s="492">
        <v>6.0000000000000001E-3</v>
      </c>
      <c r="M34" s="492">
        <v>0.04</v>
      </c>
      <c r="N34" s="493">
        <v>0.22</v>
      </c>
      <c r="O34" s="494">
        <v>7.0000000000000001E-3</v>
      </c>
      <c r="P34" s="493">
        <v>0.98</v>
      </c>
      <c r="Q34" s="493">
        <v>1</v>
      </c>
      <c r="R34" s="481">
        <v>8.8799999999999998E-14</v>
      </c>
      <c r="S34" s="481">
        <v>6.2000000000000001E-14</v>
      </c>
      <c r="T34" s="481">
        <v>2.1200000000000001E-15</v>
      </c>
      <c r="U34" s="481">
        <v>5.1299999999999995E-16</v>
      </c>
      <c r="V34" s="481">
        <v>1.2499999999999999E-12</v>
      </c>
      <c r="W34" s="319">
        <v>85.97</v>
      </c>
      <c r="X34" t="s">
        <v>617</v>
      </c>
      <c r="Y34" t="s">
        <v>622</v>
      </c>
      <c r="AA34" t="s">
        <v>437</v>
      </c>
      <c r="AB34" t="s">
        <v>622</v>
      </c>
      <c r="AC34" t="s">
        <v>618</v>
      </c>
      <c r="AD34" t="s">
        <v>619</v>
      </c>
      <c r="AE34" t="s">
        <v>373</v>
      </c>
      <c r="AF34" t="s">
        <v>590</v>
      </c>
      <c r="AG34" t="s">
        <v>603</v>
      </c>
      <c r="AH34" t="s">
        <v>591</v>
      </c>
      <c r="AI34" t="s">
        <v>621</v>
      </c>
      <c r="AJ34" s="201"/>
    </row>
    <row r="35" spans="1:37" x14ac:dyDescent="0.2">
      <c r="A35" t="s">
        <v>616</v>
      </c>
      <c r="B35" t="s">
        <v>61</v>
      </c>
      <c r="C35" s="319">
        <v>9756</v>
      </c>
      <c r="D35" s="488">
        <v>55</v>
      </c>
      <c r="E35" s="216"/>
      <c r="F35" s="489">
        <f t="shared" si="2"/>
        <v>17.607316608000001</v>
      </c>
      <c r="G35" s="490">
        <v>13.098591549295801</v>
      </c>
      <c r="H35" s="491">
        <v>78.5</v>
      </c>
      <c r="I35" s="319">
        <v>405.67118436717698</v>
      </c>
      <c r="J35" s="222">
        <f>$J$27/$C$27*C35</f>
        <v>0.65918376876553986</v>
      </c>
      <c r="K35" s="492">
        <v>0</v>
      </c>
      <c r="L35" s="492">
        <v>6.0000000000000001E-3</v>
      </c>
      <c r="M35" s="492">
        <v>0.04</v>
      </c>
      <c r="N35" s="493">
        <v>0.22</v>
      </c>
      <c r="O35" s="494">
        <v>7.0000000000000001E-3</v>
      </c>
      <c r="P35" s="493">
        <v>0.98</v>
      </c>
      <c r="Q35" s="493">
        <v>1</v>
      </c>
      <c r="R35" s="481">
        <v>1.7500000000000001E-13</v>
      </c>
      <c r="S35" s="481">
        <v>1.6E-13</v>
      </c>
      <c r="T35" s="481">
        <v>3.0300000000000001E-14</v>
      </c>
      <c r="U35" s="481">
        <v>1.0799999999999999E-13</v>
      </c>
      <c r="V35" s="481">
        <v>2.3600000000000001E-11</v>
      </c>
      <c r="W35" s="319">
        <v>8.11</v>
      </c>
      <c r="X35" t="s">
        <v>617</v>
      </c>
      <c r="Y35" t="s">
        <v>622</v>
      </c>
      <c r="AA35" t="s">
        <v>437</v>
      </c>
      <c r="AB35" t="s">
        <v>622</v>
      </c>
      <c r="AC35" t="s">
        <v>618</v>
      </c>
      <c r="AD35" t="s">
        <v>619</v>
      </c>
      <c r="AE35" t="s">
        <v>623</v>
      </c>
      <c r="AF35" t="s">
        <v>590</v>
      </c>
      <c r="AG35" t="s">
        <v>605</v>
      </c>
      <c r="AH35" t="s">
        <v>591</v>
      </c>
      <c r="AI35" t="s">
        <v>621</v>
      </c>
      <c r="AJ35" s="201"/>
    </row>
    <row r="36" spans="1:37" x14ac:dyDescent="0.2">
      <c r="A36" t="s">
        <v>616</v>
      </c>
      <c r="B36" s="58" t="s">
        <v>63</v>
      </c>
      <c r="C36" s="319">
        <v>10938.305818503801</v>
      </c>
      <c r="D36" s="488">
        <v>70</v>
      </c>
      <c r="E36" s="216"/>
      <c r="F36" s="489">
        <f t="shared" si="2"/>
        <v>19.741104315449466</v>
      </c>
      <c r="G36" s="490">
        <v>6</v>
      </c>
      <c r="H36" s="491">
        <v>78.5</v>
      </c>
      <c r="I36" s="319">
        <v>0</v>
      </c>
      <c r="J36" s="222">
        <v>0.1</v>
      </c>
      <c r="K36" s="492">
        <v>0</v>
      </c>
      <c r="L36" s="492">
        <v>6.0000000000000001E-3</v>
      </c>
      <c r="M36" s="492">
        <v>0.04</v>
      </c>
      <c r="N36" s="493">
        <v>0.22</v>
      </c>
      <c r="O36" s="494">
        <v>7.0000000000000001E-3</v>
      </c>
      <c r="P36" s="493">
        <v>0.98</v>
      </c>
      <c r="Q36" s="493">
        <v>1</v>
      </c>
      <c r="R36" s="481">
        <v>4.9699999999999999E-14</v>
      </c>
      <c r="S36" s="481">
        <v>8.2700000000000004E-14</v>
      </c>
      <c r="T36" s="481">
        <v>1.36E-15</v>
      </c>
      <c r="U36" s="481">
        <v>1.38E-16</v>
      </c>
      <c r="V36" s="481">
        <v>5.8700000000000002E-13</v>
      </c>
      <c r="W36" s="319">
        <v>16.63</v>
      </c>
      <c r="X36" t="s">
        <v>617</v>
      </c>
      <c r="Y36" t="s">
        <v>622</v>
      </c>
      <c r="AA36" t="s">
        <v>437</v>
      </c>
      <c r="AB36" t="s">
        <v>622</v>
      </c>
      <c r="AC36" t="s">
        <v>618</v>
      </c>
      <c r="AD36" t="s">
        <v>619</v>
      </c>
      <c r="AE36" t="s">
        <v>625</v>
      </c>
      <c r="AF36" t="s">
        <v>590</v>
      </c>
      <c r="AG36" t="s">
        <v>607</v>
      </c>
      <c r="AH36" t="s">
        <v>608</v>
      </c>
      <c r="AI36" t="s">
        <v>621</v>
      </c>
      <c r="AJ36" s="201"/>
    </row>
    <row r="38" spans="1:37" x14ac:dyDescent="0.2">
      <c r="R38" s="495"/>
      <c r="S38" s="495"/>
    </row>
    <row r="39" spans="1:37" x14ac:dyDescent="0.2">
      <c r="R39" s="495"/>
      <c r="S39" s="495"/>
    </row>
    <row r="40" spans="1:37" ht="18" customHeight="1" x14ac:dyDescent="0.25">
      <c r="A40" s="431" t="s">
        <v>550</v>
      </c>
      <c r="B40" s="197"/>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c r="AC40" s="197"/>
      <c r="AD40" s="197"/>
      <c r="AE40" s="197"/>
      <c r="AF40" s="197"/>
      <c r="AG40" s="197"/>
      <c r="AH40" s="197"/>
      <c r="AI40" s="197"/>
      <c r="AJ40" s="197"/>
      <c r="AK40" s="197"/>
    </row>
    <row r="41" spans="1:37" ht="18" customHeight="1" x14ac:dyDescent="0.25">
      <c r="A41" s="194"/>
      <c r="R41" s="495"/>
      <c r="S41" s="495"/>
    </row>
    <row r="42" spans="1:37" x14ac:dyDescent="0.2">
      <c r="A42" s="449" t="s">
        <v>458</v>
      </c>
      <c r="B42" s="450"/>
      <c r="C42" s="451" t="s">
        <v>557</v>
      </c>
      <c r="D42" s="452" t="s">
        <v>558</v>
      </c>
      <c r="E42" s="453"/>
      <c r="F42" s="454"/>
      <c r="G42" s="454"/>
      <c r="H42" s="455" t="s">
        <v>559</v>
      </c>
      <c r="I42" s="455" t="s">
        <v>143</v>
      </c>
      <c r="J42" s="456" t="s">
        <v>144</v>
      </c>
      <c r="K42" s="457" t="s">
        <v>560</v>
      </c>
      <c r="L42" s="454"/>
      <c r="M42" s="454"/>
      <c r="N42" s="453"/>
      <c r="O42" s="458"/>
      <c r="P42" s="458"/>
      <c r="Q42" s="458"/>
      <c r="R42" s="456" t="s">
        <v>561</v>
      </c>
      <c r="S42" s="458"/>
      <c r="T42" s="458"/>
      <c r="U42" s="458"/>
      <c r="V42" s="458"/>
      <c r="W42" s="456" t="s">
        <v>147</v>
      </c>
      <c r="X42" s="459" t="s">
        <v>557</v>
      </c>
      <c r="Y42" s="460" t="s">
        <v>558</v>
      </c>
      <c r="Z42" s="461"/>
      <c r="AA42" s="462"/>
      <c r="AB42" s="462"/>
      <c r="AC42" s="463" t="s">
        <v>559</v>
      </c>
      <c r="AD42" s="463" t="s">
        <v>143</v>
      </c>
      <c r="AE42" s="464" t="s">
        <v>144</v>
      </c>
      <c r="AF42" s="465" t="s">
        <v>560</v>
      </c>
      <c r="AG42" s="462"/>
      <c r="AH42" s="462"/>
      <c r="AI42" s="464" t="s">
        <v>145</v>
      </c>
      <c r="AJ42" s="466"/>
    </row>
    <row r="43" spans="1:37" ht="57.75" customHeight="1" x14ac:dyDescent="0.2">
      <c r="A43" s="467" t="s">
        <v>562</v>
      </c>
      <c r="B43" s="468" t="s">
        <v>16</v>
      </c>
      <c r="C43" s="469" t="s">
        <v>563</v>
      </c>
      <c r="D43" s="469" t="s">
        <v>564</v>
      </c>
      <c r="E43" s="470" t="s">
        <v>565</v>
      </c>
      <c r="F43" s="469" t="s">
        <v>566</v>
      </c>
      <c r="G43" s="470" t="s">
        <v>567</v>
      </c>
      <c r="H43" s="470" t="s">
        <v>568</v>
      </c>
      <c r="I43" s="471" t="s">
        <v>569</v>
      </c>
      <c r="J43" s="472" t="s">
        <v>570</v>
      </c>
      <c r="K43" s="473" t="s">
        <v>571</v>
      </c>
      <c r="L43" s="473" t="s">
        <v>572</v>
      </c>
      <c r="M43" s="473" t="s">
        <v>573</v>
      </c>
      <c r="N43" s="473" t="s">
        <v>574</v>
      </c>
      <c r="O43" s="473" t="s">
        <v>575</v>
      </c>
      <c r="P43" s="473" t="s">
        <v>576</v>
      </c>
      <c r="Q43" s="473" t="s">
        <v>577</v>
      </c>
      <c r="R43" s="474" t="s">
        <v>578</v>
      </c>
      <c r="S43" s="474" t="s">
        <v>579</v>
      </c>
      <c r="T43" s="474" t="s">
        <v>580</v>
      </c>
      <c r="U43" s="474" t="s">
        <v>581</v>
      </c>
      <c r="V43" s="474" t="s">
        <v>582</v>
      </c>
      <c r="W43" s="474" t="s">
        <v>583</v>
      </c>
      <c r="X43" s="475" t="s">
        <v>563</v>
      </c>
      <c r="Y43" s="475" t="s">
        <v>584</v>
      </c>
      <c r="Z43" s="476" t="s">
        <v>565</v>
      </c>
      <c r="AA43" s="475" t="s">
        <v>566</v>
      </c>
      <c r="AB43" s="476" t="s">
        <v>567</v>
      </c>
      <c r="AC43" s="476" t="s">
        <v>568</v>
      </c>
      <c r="AD43" s="477" t="s">
        <v>159</v>
      </c>
      <c r="AE43" s="478" t="s">
        <v>570</v>
      </c>
      <c r="AF43" s="479" t="s">
        <v>585</v>
      </c>
      <c r="AG43" s="479" t="s">
        <v>586</v>
      </c>
      <c r="AH43" s="479" t="s">
        <v>587</v>
      </c>
      <c r="AI43" s="480" t="s">
        <v>588</v>
      </c>
      <c r="AJ43" s="480" t="s">
        <v>615</v>
      </c>
    </row>
    <row r="44" spans="1:37" x14ac:dyDescent="0.2">
      <c r="A44" t="s">
        <v>550</v>
      </c>
      <c r="B44" t="s">
        <v>88</v>
      </c>
      <c r="C44" s="319">
        <v>11351.570861430901</v>
      </c>
      <c r="D44" s="488">
        <v>26</v>
      </c>
      <c r="E44" s="488">
        <v>96.166724481088707</v>
      </c>
      <c r="F44" s="489">
        <f t="shared" ref="F44:F54" si="3">((C44*P44*M44)*Q44*L44*(1-K44))+((C44*P44)+(C44*P44*M44))*N44*Q44*O44</f>
        <v>34.694941180877407</v>
      </c>
      <c r="G44" s="490">
        <v>0.43661971830985902</v>
      </c>
      <c r="H44" s="491">
        <v>43</v>
      </c>
      <c r="I44" s="319"/>
      <c r="J44" s="222">
        <f>$J$54/$C$54*C44</f>
        <v>0.50870285112176539</v>
      </c>
      <c r="K44" s="492">
        <v>0</v>
      </c>
      <c r="L44" s="13">
        <v>1.4999999999999999E-2</v>
      </c>
      <c r="M44" s="13">
        <v>0.3</v>
      </c>
      <c r="N44" s="13">
        <v>0.8</v>
      </c>
      <c r="O44" s="13">
        <v>1.2E-2</v>
      </c>
      <c r="P44" s="13">
        <v>0.9</v>
      </c>
      <c r="Q44" s="13">
        <v>0.2</v>
      </c>
      <c r="R44" s="481">
        <v>3.0300000000000001E-14</v>
      </c>
      <c r="S44" s="481">
        <v>7.3000000000000004E-14</v>
      </c>
      <c r="T44" s="481">
        <v>2.1200000000000001E-15</v>
      </c>
      <c r="U44" s="481">
        <v>7.8699999999999997E-16</v>
      </c>
      <c r="V44" s="373">
        <v>7.6399999999999998E-13</v>
      </c>
      <c r="W44" s="319">
        <v>17.93</v>
      </c>
      <c r="X44" t="s">
        <v>617</v>
      </c>
      <c r="Y44" t="s">
        <v>626</v>
      </c>
      <c r="Z44" t="s">
        <v>377</v>
      </c>
      <c r="AA44" t="s">
        <v>437</v>
      </c>
      <c r="AB44" t="s">
        <v>626</v>
      </c>
      <c r="AC44" t="s">
        <v>627</v>
      </c>
      <c r="AD44" t="s">
        <v>628</v>
      </c>
      <c r="AE44" t="s">
        <v>377</v>
      </c>
      <c r="AF44" t="s">
        <v>590</v>
      </c>
      <c r="AG44" t="s">
        <v>590</v>
      </c>
      <c r="AH44" t="s">
        <v>608</v>
      </c>
      <c r="AI44" t="s">
        <v>629</v>
      </c>
      <c r="AJ44" s="201"/>
    </row>
    <row r="45" spans="1:37" x14ac:dyDescent="0.2">
      <c r="A45" t="s">
        <v>550</v>
      </c>
      <c r="B45" t="s">
        <v>45</v>
      </c>
      <c r="C45" s="319">
        <v>8768.7697802764505</v>
      </c>
      <c r="D45" s="488">
        <v>42</v>
      </c>
      <c r="E45" s="488">
        <v>74.286094655241996</v>
      </c>
      <c r="F45" s="489">
        <f t="shared" si="3"/>
        <v>26.800867956436946</v>
      </c>
      <c r="G45" s="490">
        <v>2.5760563380281698</v>
      </c>
      <c r="H45" s="491">
        <v>43</v>
      </c>
      <c r="I45" s="319"/>
      <c r="J45" s="222">
        <f>$J$54/$C$54*C45</f>
        <v>0.39295866999457041</v>
      </c>
      <c r="K45" s="492">
        <v>0</v>
      </c>
      <c r="L45" s="13">
        <v>1.4999999999999999E-2</v>
      </c>
      <c r="M45" s="13">
        <v>0.3</v>
      </c>
      <c r="N45" s="13">
        <v>0.8</v>
      </c>
      <c r="O45" s="13">
        <v>1.2E-2</v>
      </c>
      <c r="P45" s="13">
        <v>0.9</v>
      </c>
      <c r="Q45" s="13">
        <v>0.2</v>
      </c>
      <c r="R45" s="481">
        <v>7.7900000000000001E-14</v>
      </c>
      <c r="S45" s="481">
        <v>1.1099999999999999E-13</v>
      </c>
      <c r="T45" s="481">
        <v>9.5299999999999998E-15</v>
      </c>
      <c r="U45" s="481">
        <v>7.0000000000000001E-15</v>
      </c>
      <c r="V45" s="216">
        <v>2.6799999999999999E-12</v>
      </c>
      <c r="W45" s="319">
        <v>27.12</v>
      </c>
      <c r="X45" t="s">
        <v>617</v>
      </c>
      <c r="Y45" t="s">
        <v>622</v>
      </c>
      <c r="Z45" t="s">
        <v>617</v>
      </c>
      <c r="AA45" t="s">
        <v>437</v>
      </c>
      <c r="AB45" t="s">
        <v>622</v>
      </c>
      <c r="AC45" t="s">
        <v>627</v>
      </c>
      <c r="AD45" t="s">
        <v>628</v>
      </c>
      <c r="AE45" t="s">
        <v>377</v>
      </c>
      <c r="AF45" t="s">
        <v>590</v>
      </c>
      <c r="AG45" t="s">
        <v>590</v>
      </c>
      <c r="AH45" t="s">
        <v>608</v>
      </c>
      <c r="AI45" t="s">
        <v>629</v>
      </c>
      <c r="AJ45" s="201"/>
    </row>
    <row r="46" spans="1:37" x14ac:dyDescent="0.2">
      <c r="A46" t="s">
        <v>550</v>
      </c>
      <c r="B46" t="s">
        <v>47</v>
      </c>
      <c r="C46" s="319">
        <v>8729.8964945472399</v>
      </c>
      <c r="D46" s="488">
        <v>49</v>
      </c>
      <c r="E46" s="488">
        <v>73.956773136305998</v>
      </c>
      <c r="F46" s="489">
        <f t="shared" si="3"/>
        <v>26.682055645934184</v>
      </c>
      <c r="G46" s="490">
        <v>1.3098591549295799</v>
      </c>
      <c r="H46" s="491">
        <v>43</v>
      </c>
      <c r="I46" s="319"/>
      <c r="J46" s="222">
        <f>$J$54/$C$54*C46</f>
        <v>0.39121662464029172</v>
      </c>
      <c r="K46" s="492">
        <v>0</v>
      </c>
      <c r="L46" s="13">
        <v>1.4999999999999999E-2</v>
      </c>
      <c r="M46" s="13">
        <v>0.3</v>
      </c>
      <c r="N46" s="13">
        <v>0.8</v>
      </c>
      <c r="O46" s="13">
        <v>1.2E-2</v>
      </c>
      <c r="P46" s="13">
        <v>0.9</v>
      </c>
      <c r="Q46" s="13">
        <v>0.2</v>
      </c>
      <c r="R46" s="481">
        <v>7.5499999999999994E-14</v>
      </c>
      <c r="S46" s="481">
        <v>7.9399999999999995E-14</v>
      </c>
      <c r="T46" s="481">
        <v>4.5200000000000001E-15</v>
      </c>
      <c r="U46" s="481">
        <v>2.0500000000000002E-15</v>
      </c>
      <c r="V46" s="373">
        <v>2.0400000000000002E-12</v>
      </c>
      <c r="W46" s="319">
        <v>30.62</v>
      </c>
      <c r="X46" t="s">
        <v>617</v>
      </c>
      <c r="Y46" t="s">
        <v>622</v>
      </c>
      <c r="Z46" t="s">
        <v>617</v>
      </c>
      <c r="AA46" t="s">
        <v>437</v>
      </c>
      <c r="AB46" t="s">
        <v>622</v>
      </c>
      <c r="AC46" t="s">
        <v>627</v>
      </c>
      <c r="AD46" t="s">
        <v>628</v>
      </c>
      <c r="AE46" t="s">
        <v>377</v>
      </c>
      <c r="AF46" t="s">
        <v>590</v>
      </c>
      <c r="AG46" t="s">
        <v>590</v>
      </c>
      <c r="AH46" t="s">
        <v>608</v>
      </c>
      <c r="AI46" t="s">
        <v>629</v>
      </c>
      <c r="AJ46" s="201"/>
    </row>
    <row r="47" spans="1:37" x14ac:dyDescent="0.2">
      <c r="A47" t="s">
        <v>550</v>
      </c>
      <c r="B47" t="s">
        <v>49</v>
      </c>
      <c r="C47" s="319">
        <v>3544.8237821611801</v>
      </c>
      <c r="D47" s="488">
        <v>20.479232194764599</v>
      </c>
      <c r="E47" s="488">
        <v>30.030565474542101</v>
      </c>
      <c r="F47" s="489">
        <f t="shared" si="3"/>
        <v>10.834399407797433</v>
      </c>
      <c r="G47" s="490">
        <v>0.84536504663489298</v>
      </c>
      <c r="H47" s="491">
        <v>43</v>
      </c>
      <c r="I47" s="319"/>
      <c r="J47" s="222">
        <f>$J$54/$C$54*C47</f>
        <v>0.1588557202101917</v>
      </c>
      <c r="K47" s="492">
        <v>0</v>
      </c>
      <c r="L47" s="13">
        <v>1.4999999999999999E-2</v>
      </c>
      <c r="M47" s="13">
        <v>0.3</v>
      </c>
      <c r="N47" s="13">
        <v>0.8</v>
      </c>
      <c r="O47" s="13">
        <v>1.2E-2</v>
      </c>
      <c r="P47" s="13">
        <v>0.9</v>
      </c>
      <c r="Q47" s="13">
        <v>0.2</v>
      </c>
      <c r="R47" s="481">
        <v>2.1499999999999999E-13</v>
      </c>
      <c r="S47" s="481">
        <v>1.31E-13</v>
      </c>
      <c r="T47" s="481">
        <v>9.5800000000000006E-14</v>
      </c>
      <c r="U47" s="481">
        <v>2.4600000000000001E-13</v>
      </c>
      <c r="V47" s="373">
        <v>1.0599999999999999E-11</v>
      </c>
      <c r="W47" s="319">
        <v>20.12</v>
      </c>
      <c r="X47" t="s">
        <v>617</v>
      </c>
      <c r="Y47" t="s">
        <v>622</v>
      </c>
      <c r="Z47" t="s">
        <v>617</v>
      </c>
      <c r="AA47" t="s">
        <v>437</v>
      </c>
      <c r="AB47" t="s">
        <v>622</v>
      </c>
      <c r="AC47" t="s">
        <v>627</v>
      </c>
      <c r="AD47" t="s">
        <v>628</v>
      </c>
      <c r="AE47" t="s">
        <v>377</v>
      </c>
      <c r="AF47" t="s">
        <v>590</v>
      </c>
      <c r="AG47" t="s">
        <v>590</v>
      </c>
      <c r="AH47" t="s">
        <v>608</v>
      </c>
      <c r="AI47" t="s">
        <v>629</v>
      </c>
      <c r="AJ47" s="201"/>
    </row>
    <row r="48" spans="1:37" x14ac:dyDescent="0.2">
      <c r="A48" t="s">
        <v>550</v>
      </c>
      <c r="B48" t="s">
        <v>86</v>
      </c>
      <c r="C48" s="319">
        <v>2359.6878979502098</v>
      </c>
      <c r="D48" s="488">
        <v>13.632439675135601</v>
      </c>
      <c r="E48" s="488">
        <v>19.9904893088015</v>
      </c>
      <c r="F48" s="489">
        <f t="shared" si="3"/>
        <v>7.2121500912950234</v>
      </c>
      <c r="G48" s="490">
        <v>0.56273535512061401</v>
      </c>
      <c r="H48" s="491">
        <v>43</v>
      </c>
      <c r="I48" s="319"/>
      <c r="J48" s="222">
        <f>$J$54/$C$54*C48</f>
        <v>0.10574571361954088</v>
      </c>
      <c r="K48" s="492">
        <v>0</v>
      </c>
      <c r="L48" s="13">
        <v>1.4999999999999999E-2</v>
      </c>
      <c r="M48" s="13">
        <v>0.3</v>
      </c>
      <c r="N48" s="13">
        <v>0.8</v>
      </c>
      <c r="O48" s="13">
        <v>1.2E-2</v>
      </c>
      <c r="P48" s="13">
        <v>0.9</v>
      </c>
      <c r="Q48" s="13">
        <v>0.2</v>
      </c>
      <c r="R48" s="481">
        <v>3.0099999999999998E-13</v>
      </c>
      <c r="S48" s="481">
        <v>6.3499999999999994E-14</v>
      </c>
      <c r="T48" s="481">
        <v>6.5900000000000002E-15</v>
      </c>
      <c r="U48" s="481">
        <v>3.3E-15</v>
      </c>
      <c r="V48" s="216">
        <v>2.6999999999999998E-12</v>
      </c>
      <c r="W48" s="319">
        <v>87.91</v>
      </c>
      <c r="X48" t="s">
        <v>617</v>
      </c>
      <c r="Y48" t="s">
        <v>622</v>
      </c>
      <c r="Z48" t="s">
        <v>617</v>
      </c>
      <c r="AA48" t="s">
        <v>437</v>
      </c>
      <c r="AB48" t="s">
        <v>622</v>
      </c>
      <c r="AC48" t="s">
        <v>627</v>
      </c>
      <c r="AD48" t="s">
        <v>628</v>
      </c>
      <c r="AE48" t="s">
        <v>377</v>
      </c>
      <c r="AF48" t="s">
        <v>590</v>
      </c>
      <c r="AG48" t="s">
        <v>590</v>
      </c>
      <c r="AH48" t="s">
        <v>608</v>
      </c>
      <c r="AI48" t="s">
        <v>629</v>
      </c>
      <c r="AJ48" s="201"/>
    </row>
    <row r="49" spans="1:37" x14ac:dyDescent="0.2">
      <c r="A49" t="s">
        <v>550</v>
      </c>
      <c r="B49" t="s">
        <v>89</v>
      </c>
      <c r="C49" s="319">
        <v>7811.0617472003696</v>
      </c>
      <c r="D49" s="488">
        <v>45.126233922701203</v>
      </c>
      <c r="E49" s="488">
        <v>66.172711435032497</v>
      </c>
      <c r="F49" s="489">
        <f t="shared" si="3"/>
        <v>23.87372912414321</v>
      </c>
      <c r="G49" s="490">
        <v>1.8627720259099301</v>
      </c>
      <c r="H49" s="491">
        <v>43</v>
      </c>
      <c r="I49" s="319"/>
      <c r="J49" s="222">
        <v>0.09</v>
      </c>
      <c r="K49" s="492">
        <v>0</v>
      </c>
      <c r="L49" s="13">
        <v>1.4999999999999999E-2</v>
      </c>
      <c r="M49" s="13">
        <v>0.3</v>
      </c>
      <c r="N49" s="13">
        <v>0.8</v>
      </c>
      <c r="O49" s="13">
        <v>1.2E-2</v>
      </c>
      <c r="P49" s="13">
        <v>0.9</v>
      </c>
      <c r="Q49" s="13">
        <v>0.2</v>
      </c>
      <c r="R49" s="481">
        <v>9.7499999999999995E-15</v>
      </c>
      <c r="S49" s="481">
        <v>1.2800000000000001E-13</v>
      </c>
      <c r="T49" s="481">
        <v>2E-16</v>
      </c>
      <c r="U49" s="481">
        <v>8.6099999999999999E-16</v>
      </c>
      <c r="V49" s="373">
        <v>9.4299999999999992E-13</v>
      </c>
      <c r="W49" s="319">
        <v>58.61</v>
      </c>
      <c r="X49" t="s">
        <v>617</v>
      </c>
      <c r="Y49" t="s">
        <v>622</v>
      </c>
      <c r="Z49" t="s">
        <v>617</v>
      </c>
      <c r="AA49" t="s">
        <v>437</v>
      </c>
      <c r="AB49" t="s">
        <v>622</v>
      </c>
      <c r="AC49" t="s">
        <v>627</v>
      </c>
      <c r="AD49" t="s">
        <v>628</v>
      </c>
      <c r="AE49" t="s">
        <v>630</v>
      </c>
      <c r="AF49" t="s">
        <v>590</v>
      </c>
      <c r="AG49" t="s">
        <v>590</v>
      </c>
      <c r="AH49" t="s">
        <v>608</v>
      </c>
      <c r="AI49" t="s">
        <v>629</v>
      </c>
      <c r="AJ49" s="201"/>
    </row>
    <row r="50" spans="1:37" x14ac:dyDescent="0.2">
      <c r="A50" t="s">
        <v>550</v>
      </c>
      <c r="B50" t="s">
        <v>55</v>
      </c>
      <c r="C50" s="319">
        <v>9476.8495630256002</v>
      </c>
      <c r="D50" s="488">
        <v>54.749859119295898</v>
      </c>
      <c r="E50" s="488">
        <v>80.284710548098502</v>
      </c>
      <c r="F50" s="489">
        <f t="shared" si="3"/>
        <v>28.96504300443145</v>
      </c>
      <c r="G50" s="490">
        <v>2.2600269759854399</v>
      </c>
      <c r="H50" s="491">
        <v>43</v>
      </c>
      <c r="I50" s="319"/>
      <c r="J50" s="222">
        <f>$J$54/$C$54*C50</f>
        <v>0.4246901553284661</v>
      </c>
      <c r="K50" s="492">
        <v>0</v>
      </c>
      <c r="L50" s="13">
        <v>1.4999999999999999E-2</v>
      </c>
      <c r="M50" s="13">
        <v>0.3</v>
      </c>
      <c r="N50" s="13">
        <v>0.8</v>
      </c>
      <c r="O50" s="13">
        <v>1.2E-2</v>
      </c>
      <c r="P50" s="13">
        <v>0.9</v>
      </c>
      <c r="Q50" s="13">
        <v>0.2</v>
      </c>
      <c r="R50" s="481">
        <v>1.4999999999999999E-13</v>
      </c>
      <c r="S50" s="481">
        <v>1.2900000000000001E-13</v>
      </c>
      <c r="T50" s="481">
        <v>1.1499999999999999E-13</v>
      </c>
      <c r="U50" s="481">
        <v>6.5600000000000006E-14</v>
      </c>
      <c r="V50" s="373">
        <v>1.23E-11</v>
      </c>
      <c r="W50" s="319">
        <v>28.43</v>
      </c>
      <c r="X50" t="s">
        <v>617</v>
      </c>
      <c r="Y50" t="s">
        <v>622</v>
      </c>
      <c r="Z50" t="s">
        <v>617</v>
      </c>
      <c r="AA50" t="s">
        <v>437</v>
      </c>
      <c r="AB50" t="s">
        <v>622</v>
      </c>
      <c r="AC50" t="s">
        <v>627</v>
      </c>
      <c r="AD50" t="s">
        <v>628</v>
      </c>
      <c r="AE50" t="s">
        <v>377</v>
      </c>
      <c r="AF50" t="s">
        <v>590</v>
      </c>
      <c r="AG50" t="s">
        <v>590</v>
      </c>
      <c r="AH50" t="s">
        <v>608</v>
      </c>
      <c r="AI50" t="s">
        <v>629</v>
      </c>
      <c r="AJ50" s="201"/>
    </row>
    <row r="51" spans="1:37" x14ac:dyDescent="0.2">
      <c r="A51" t="s">
        <v>550</v>
      </c>
      <c r="B51" t="s">
        <v>87</v>
      </c>
      <c r="C51" s="319">
        <v>5577.7303858082596</v>
      </c>
      <c r="D51" s="488">
        <v>144</v>
      </c>
      <c r="E51" s="488">
        <v>47.2526725851056</v>
      </c>
      <c r="F51" s="489">
        <f t="shared" si="3"/>
        <v>17.047775151184368</v>
      </c>
      <c r="G51" s="490">
        <v>0</v>
      </c>
      <c r="H51" s="491">
        <v>43</v>
      </c>
      <c r="I51" s="319"/>
      <c r="J51" s="222">
        <f>$J$54/$C$54*C51</f>
        <v>0.24995724245441586</v>
      </c>
      <c r="K51" s="492">
        <v>0</v>
      </c>
      <c r="L51" s="13">
        <v>1.4999999999999999E-2</v>
      </c>
      <c r="M51" s="13">
        <v>0.3</v>
      </c>
      <c r="N51" s="13">
        <v>0.8</v>
      </c>
      <c r="O51" s="13">
        <v>1.2E-2</v>
      </c>
      <c r="P51" s="13">
        <v>0.9</v>
      </c>
      <c r="Q51" s="13">
        <v>0.2</v>
      </c>
      <c r="R51" s="481">
        <v>7.2899999999999997E-14</v>
      </c>
      <c r="S51" s="481">
        <v>1.3199999999999999E-13</v>
      </c>
      <c r="T51" s="481">
        <v>5.0799999999999997E-15</v>
      </c>
      <c r="U51" s="481">
        <v>2.9000000000000002E-15</v>
      </c>
      <c r="V51" s="373">
        <v>1.75E-12</v>
      </c>
      <c r="W51" s="319">
        <v>36.74</v>
      </c>
      <c r="X51" t="s">
        <v>617</v>
      </c>
      <c r="Y51" t="s">
        <v>617</v>
      </c>
      <c r="AA51" t="s">
        <v>437</v>
      </c>
      <c r="AB51" t="s">
        <v>617</v>
      </c>
      <c r="AC51" t="s">
        <v>627</v>
      </c>
      <c r="AD51" t="s">
        <v>628</v>
      </c>
      <c r="AE51" t="s">
        <v>377</v>
      </c>
      <c r="AF51" t="s">
        <v>590</v>
      </c>
      <c r="AG51" t="s">
        <v>590</v>
      </c>
      <c r="AH51" t="s">
        <v>608</v>
      </c>
      <c r="AI51" t="s">
        <v>629</v>
      </c>
      <c r="AJ51" s="201"/>
    </row>
    <row r="52" spans="1:37" x14ac:dyDescent="0.2">
      <c r="A52" t="s">
        <v>550</v>
      </c>
      <c r="B52" t="s">
        <v>59</v>
      </c>
      <c r="C52" s="319">
        <v>7548.7019209711798</v>
      </c>
      <c r="D52" s="488">
        <v>43.610523091893697</v>
      </c>
      <c r="E52" s="488">
        <v>63.950086440494204</v>
      </c>
      <c r="F52" s="489">
        <f t="shared" si="3"/>
        <v>23.071852551256313</v>
      </c>
      <c r="G52" s="490">
        <v>1.8002047897467399</v>
      </c>
      <c r="H52" s="491">
        <v>43</v>
      </c>
      <c r="I52" s="319"/>
      <c r="J52" s="222">
        <f>$J$54/$C$54*C52</f>
        <v>0.33828324170654356</v>
      </c>
      <c r="K52" s="492">
        <v>0</v>
      </c>
      <c r="L52" s="13">
        <v>1.4999999999999999E-2</v>
      </c>
      <c r="M52" s="13">
        <v>0.3</v>
      </c>
      <c r="N52" s="13">
        <v>0.8</v>
      </c>
      <c r="O52" s="13">
        <v>1.2E-2</v>
      </c>
      <c r="P52" s="13">
        <v>0.9</v>
      </c>
      <c r="Q52" s="13">
        <v>0.2</v>
      </c>
      <c r="R52" s="481">
        <v>8.8799999999999998E-14</v>
      </c>
      <c r="S52" s="481">
        <v>6.2000000000000001E-14</v>
      </c>
      <c r="T52" s="481">
        <v>2.1200000000000001E-15</v>
      </c>
      <c r="U52" s="481">
        <v>5.1299999999999995E-16</v>
      </c>
      <c r="V52" s="216">
        <v>8.3699999999999997E-13</v>
      </c>
      <c r="W52" s="319">
        <v>92.72</v>
      </c>
      <c r="X52" t="s">
        <v>617</v>
      </c>
      <c r="Y52" t="s">
        <v>622</v>
      </c>
      <c r="Z52" t="s">
        <v>617</v>
      </c>
      <c r="AA52" t="s">
        <v>437</v>
      </c>
      <c r="AB52" t="s">
        <v>622</v>
      </c>
      <c r="AC52" t="s">
        <v>627</v>
      </c>
      <c r="AD52" t="s">
        <v>628</v>
      </c>
      <c r="AE52" t="s">
        <v>377</v>
      </c>
      <c r="AF52" t="s">
        <v>590</v>
      </c>
      <c r="AG52" t="s">
        <v>590</v>
      </c>
      <c r="AH52" t="s">
        <v>608</v>
      </c>
      <c r="AI52" t="s">
        <v>629</v>
      </c>
      <c r="AJ52" s="201"/>
    </row>
    <row r="53" spans="1:37" x14ac:dyDescent="0.2">
      <c r="A53" t="s">
        <v>550</v>
      </c>
      <c r="B53" t="s">
        <v>61</v>
      </c>
      <c r="C53" s="319">
        <v>5242.5712158127899</v>
      </c>
      <c r="D53" s="488">
        <v>30.287495182838899</v>
      </c>
      <c r="E53" s="488">
        <v>44.413315816627403</v>
      </c>
      <c r="F53" s="489">
        <f t="shared" si="3"/>
        <v>16.023394664010215</v>
      </c>
      <c r="G53" s="490">
        <v>1.2502416855374201</v>
      </c>
      <c r="H53" s="491">
        <v>43</v>
      </c>
      <c r="I53" s="319"/>
      <c r="J53" s="222">
        <f>$J$54/$C$54*C53</f>
        <v>0.23493760971481031</v>
      </c>
      <c r="K53" s="492">
        <v>0</v>
      </c>
      <c r="L53" s="13">
        <v>1.4999999999999999E-2</v>
      </c>
      <c r="M53" s="13">
        <v>0.3</v>
      </c>
      <c r="N53" s="13">
        <v>0.8</v>
      </c>
      <c r="O53" s="13">
        <v>1.2E-2</v>
      </c>
      <c r="P53" s="13">
        <v>0.9</v>
      </c>
      <c r="Q53" s="13">
        <v>0.2</v>
      </c>
      <c r="R53" s="481">
        <v>1.7500000000000001E-13</v>
      </c>
      <c r="S53" s="481">
        <v>1.6E-13</v>
      </c>
      <c r="T53" s="481">
        <v>3.0300000000000001E-14</v>
      </c>
      <c r="U53" s="481">
        <v>1.0799999999999999E-13</v>
      </c>
      <c r="V53" s="216">
        <v>1.5700000000000001E-11</v>
      </c>
      <c r="W53" s="319">
        <v>8.75</v>
      </c>
      <c r="X53" t="s">
        <v>617</v>
      </c>
      <c r="Y53" t="s">
        <v>622</v>
      </c>
      <c r="Z53" t="s">
        <v>617</v>
      </c>
      <c r="AA53" t="s">
        <v>437</v>
      </c>
      <c r="AB53" t="s">
        <v>622</v>
      </c>
      <c r="AC53" t="s">
        <v>627</v>
      </c>
      <c r="AD53" t="s">
        <v>628</v>
      </c>
      <c r="AE53" t="s">
        <v>377</v>
      </c>
      <c r="AF53" t="s">
        <v>590</v>
      </c>
      <c r="AG53" t="s">
        <v>590</v>
      </c>
      <c r="AH53" t="s">
        <v>608</v>
      </c>
      <c r="AI53" t="s">
        <v>629</v>
      </c>
      <c r="AJ53" s="201"/>
    </row>
    <row r="54" spans="1:37" x14ac:dyDescent="0.2">
      <c r="A54" t="s">
        <v>550</v>
      </c>
      <c r="B54" s="58" t="s">
        <v>63</v>
      </c>
      <c r="C54" s="319">
        <v>5355.5371288675897</v>
      </c>
      <c r="D54" s="488">
        <v>37.108747993579499</v>
      </c>
      <c r="E54" s="488">
        <v>45.370325376723301</v>
      </c>
      <c r="F54" s="489">
        <f t="shared" si="3"/>
        <v>16.368663680670899</v>
      </c>
      <c r="G54" s="490">
        <v>1.45465489566613</v>
      </c>
      <c r="H54" s="491">
        <v>43</v>
      </c>
      <c r="I54" s="319"/>
      <c r="J54" s="222">
        <v>0.24</v>
      </c>
      <c r="K54" s="492">
        <v>0</v>
      </c>
      <c r="L54" s="13">
        <v>1.4999999999999999E-2</v>
      </c>
      <c r="M54" s="13">
        <v>0.3</v>
      </c>
      <c r="N54" s="13">
        <v>0.8</v>
      </c>
      <c r="O54" s="13">
        <v>1.2E-2</v>
      </c>
      <c r="P54" s="13">
        <v>0.9</v>
      </c>
      <c r="Q54" s="13">
        <v>0.2</v>
      </c>
      <c r="R54" s="481">
        <v>4.9699999999999999E-14</v>
      </c>
      <c r="S54" s="481">
        <v>8.2700000000000004E-14</v>
      </c>
      <c r="T54" s="481">
        <v>1.36E-15</v>
      </c>
      <c r="U54" s="481">
        <v>1.38E-16</v>
      </c>
      <c r="V54" s="373">
        <v>3.92E-13</v>
      </c>
      <c r="W54" s="319">
        <v>17.93</v>
      </c>
      <c r="X54" t="s">
        <v>617</v>
      </c>
      <c r="Y54" t="s">
        <v>622</v>
      </c>
      <c r="Z54" t="s">
        <v>617</v>
      </c>
      <c r="AA54" t="s">
        <v>437</v>
      </c>
      <c r="AB54" t="s">
        <v>622</v>
      </c>
      <c r="AC54" t="s">
        <v>627</v>
      </c>
      <c r="AD54" t="s">
        <v>628</v>
      </c>
      <c r="AE54" t="s">
        <v>631</v>
      </c>
      <c r="AF54" t="s">
        <v>590</v>
      </c>
      <c r="AG54" t="s">
        <v>590</v>
      </c>
      <c r="AH54" t="s">
        <v>608</v>
      </c>
      <c r="AI54" t="s">
        <v>629</v>
      </c>
      <c r="AJ54" s="201"/>
    </row>
    <row r="55" spans="1:37" x14ac:dyDescent="0.2">
      <c r="B55" s="58"/>
      <c r="C55" s="319"/>
      <c r="D55" s="319"/>
      <c r="E55" s="319"/>
      <c r="F55" s="319"/>
      <c r="G55" s="319"/>
      <c r="H55" s="319"/>
      <c r="I55" s="319"/>
      <c r="J55" s="222"/>
      <c r="K55" s="239"/>
      <c r="L55" s="239"/>
      <c r="M55" s="239"/>
      <c r="N55" s="239"/>
      <c r="O55" s="239"/>
      <c r="P55" s="239"/>
      <c r="Q55" s="239"/>
      <c r="U55" s="495"/>
      <c r="V55" s="495"/>
      <c r="W55" s="319"/>
      <c r="AI55" s="201"/>
      <c r="AJ55" s="201"/>
    </row>
    <row r="58" spans="1:37" ht="18" customHeight="1" x14ac:dyDescent="0.25">
      <c r="A58" s="431" t="s">
        <v>551</v>
      </c>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c r="AA58" s="197"/>
      <c r="AB58" s="197"/>
      <c r="AC58" s="197"/>
      <c r="AD58" s="197"/>
      <c r="AE58" s="197"/>
      <c r="AF58" s="197"/>
      <c r="AG58" s="197"/>
      <c r="AH58" s="197"/>
      <c r="AI58" s="197"/>
      <c r="AJ58" s="197"/>
      <c r="AK58" s="197"/>
    </row>
    <row r="60" spans="1:37" x14ac:dyDescent="0.2">
      <c r="A60" s="449" t="s">
        <v>458</v>
      </c>
      <c r="B60" s="450"/>
      <c r="C60" s="451" t="s">
        <v>557</v>
      </c>
      <c r="D60" s="452" t="s">
        <v>558</v>
      </c>
      <c r="E60" s="453"/>
      <c r="F60" s="454"/>
      <c r="G60" s="454"/>
      <c r="H60" s="455" t="s">
        <v>559</v>
      </c>
      <c r="I60" s="455"/>
      <c r="J60" s="456" t="s">
        <v>144</v>
      </c>
      <c r="K60" s="457" t="s">
        <v>560</v>
      </c>
      <c r="L60" s="454"/>
      <c r="M60" s="454"/>
      <c r="N60" s="453"/>
      <c r="O60" s="458"/>
      <c r="P60" s="458"/>
      <c r="Q60" s="458"/>
      <c r="R60" s="456" t="s">
        <v>561</v>
      </c>
      <c r="S60" s="458"/>
      <c r="T60" s="458"/>
      <c r="U60" s="458"/>
      <c r="V60" s="458"/>
      <c r="W60" s="456" t="s">
        <v>147</v>
      </c>
      <c r="X60" s="459" t="s">
        <v>557</v>
      </c>
      <c r="Y60" s="460" t="s">
        <v>558</v>
      </c>
      <c r="Z60" s="461"/>
      <c r="AA60" s="462"/>
      <c r="AB60" s="462"/>
      <c r="AC60" s="463" t="s">
        <v>559</v>
      </c>
      <c r="AD60" s="463" t="s">
        <v>143</v>
      </c>
      <c r="AE60" s="464" t="s">
        <v>144</v>
      </c>
      <c r="AF60" s="465" t="s">
        <v>560</v>
      </c>
      <c r="AG60" s="462"/>
      <c r="AH60" s="462"/>
      <c r="AI60" s="464" t="s">
        <v>145</v>
      </c>
      <c r="AJ60" s="466"/>
    </row>
    <row r="61" spans="1:37" ht="57.75" customHeight="1" x14ac:dyDescent="0.2">
      <c r="A61" s="467" t="s">
        <v>562</v>
      </c>
      <c r="B61" s="468" t="s">
        <v>16</v>
      </c>
      <c r="C61" s="469" t="s">
        <v>563</v>
      </c>
      <c r="D61" s="469" t="s">
        <v>564</v>
      </c>
      <c r="E61" s="470" t="s">
        <v>565</v>
      </c>
      <c r="F61" s="469" t="s">
        <v>566</v>
      </c>
      <c r="G61" s="470" t="s">
        <v>567</v>
      </c>
      <c r="H61" s="470" t="s">
        <v>568</v>
      </c>
      <c r="I61" s="471"/>
      <c r="J61" s="472" t="s">
        <v>570</v>
      </c>
      <c r="K61" s="473" t="s">
        <v>571</v>
      </c>
      <c r="L61" s="473" t="s">
        <v>572</v>
      </c>
      <c r="M61" s="473" t="s">
        <v>573</v>
      </c>
      <c r="N61" s="473" t="s">
        <v>574</v>
      </c>
      <c r="O61" s="473" t="s">
        <v>575</v>
      </c>
      <c r="P61" s="473" t="s">
        <v>576</v>
      </c>
      <c r="Q61" s="473" t="s">
        <v>577</v>
      </c>
      <c r="R61" s="474" t="s">
        <v>578</v>
      </c>
      <c r="S61" s="474" t="s">
        <v>579</v>
      </c>
      <c r="T61" s="474" t="s">
        <v>580</v>
      </c>
      <c r="U61" s="474" t="s">
        <v>581</v>
      </c>
      <c r="V61" s="474" t="s">
        <v>582</v>
      </c>
      <c r="W61" s="474" t="s">
        <v>583</v>
      </c>
      <c r="X61" s="475" t="s">
        <v>563</v>
      </c>
      <c r="Y61" s="475" t="s">
        <v>584</v>
      </c>
      <c r="Z61" s="476" t="s">
        <v>565</v>
      </c>
      <c r="AA61" s="475" t="s">
        <v>566</v>
      </c>
      <c r="AB61" s="476" t="s">
        <v>567</v>
      </c>
      <c r="AC61" s="476" t="s">
        <v>568</v>
      </c>
      <c r="AD61" s="477" t="s">
        <v>159</v>
      </c>
      <c r="AE61" s="478" t="s">
        <v>570</v>
      </c>
      <c r="AF61" s="479" t="s">
        <v>585</v>
      </c>
      <c r="AG61" s="479" t="s">
        <v>586</v>
      </c>
      <c r="AH61" s="479" t="s">
        <v>587</v>
      </c>
      <c r="AI61" s="480" t="s">
        <v>588</v>
      </c>
      <c r="AJ61" s="480" t="s">
        <v>615</v>
      </c>
    </row>
    <row r="62" spans="1:37" x14ac:dyDescent="0.2">
      <c r="A62" t="s">
        <v>551</v>
      </c>
      <c r="B62" t="s">
        <v>88</v>
      </c>
      <c r="C62" s="319">
        <v>11620.0270475254</v>
      </c>
      <c r="D62" s="488">
        <v>0</v>
      </c>
      <c r="E62" s="488">
        <v>530.72536868397503</v>
      </c>
      <c r="F62" s="489">
        <f t="shared" ref="F62:F72" si="4">((C62*P44*M44)*Q44*L44*(1-K44))+((C62*P44)+(C62*P44*M44))*N44*Q44*O44</f>
        <v>35.515450668056637</v>
      </c>
      <c r="G62" s="490">
        <v>53.124072276386499</v>
      </c>
      <c r="H62" s="491">
        <v>43</v>
      </c>
      <c r="I62" s="319"/>
      <c r="J62" s="222">
        <f t="shared" ref="J62:J71" si="5">$J$72/$C$72*C62</f>
        <v>0.7266330402289285</v>
      </c>
      <c r="K62" s="492">
        <v>0</v>
      </c>
      <c r="L62" s="13">
        <v>2.7E-2</v>
      </c>
      <c r="M62" s="13">
        <v>0.15</v>
      </c>
      <c r="N62" s="13">
        <v>0.4</v>
      </c>
      <c r="O62" s="13">
        <v>1.9E-2</v>
      </c>
      <c r="P62" s="13">
        <v>0.9</v>
      </c>
      <c r="Q62" s="13">
        <v>1</v>
      </c>
      <c r="R62" s="481">
        <v>3.0300000000000001E-14</v>
      </c>
      <c r="S62" s="481">
        <v>7.3000000000000004E-14</v>
      </c>
      <c r="T62" s="481">
        <v>2.1200000000000001E-15</v>
      </c>
      <c r="U62" s="481">
        <v>7.8699999999999997E-16</v>
      </c>
      <c r="V62" s="373">
        <v>7.6399999999999998E-13</v>
      </c>
      <c r="W62" s="319">
        <v>17.93</v>
      </c>
      <c r="X62" t="s">
        <v>617</v>
      </c>
      <c r="Y62" t="s">
        <v>626</v>
      </c>
      <c r="Z62" t="s">
        <v>617</v>
      </c>
      <c r="AA62" t="s">
        <v>437</v>
      </c>
      <c r="AB62" t="s">
        <v>626</v>
      </c>
      <c r="AC62" t="s">
        <v>627</v>
      </c>
      <c r="AD62" t="s">
        <v>628</v>
      </c>
      <c r="AE62" t="s">
        <v>377</v>
      </c>
      <c r="AF62" t="s">
        <v>590</v>
      </c>
      <c r="AG62" t="s">
        <v>632</v>
      </c>
      <c r="AH62" t="s">
        <v>608</v>
      </c>
      <c r="AI62" t="s">
        <v>629</v>
      </c>
      <c r="AJ62" s="201"/>
    </row>
    <row r="63" spans="1:37" x14ac:dyDescent="0.2">
      <c r="A63" t="s">
        <v>551</v>
      </c>
      <c r="B63" t="s">
        <v>45</v>
      </c>
      <c r="C63" s="319">
        <v>8957.9985923027598</v>
      </c>
      <c r="D63" s="488">
        <v>0</v>
      </c>
      <c r="E63" s="488">
        <v>409.14165570577501</v>
      </c>
      <c r="F63" s="489">
        <f t="shared" si="4"/>
        <v>27.379226897514158</v>
      </c>
      <c r="G63" s="490">
        <v>30.116538929333402</v>
      </c>
      <c r="H63" s="491">
        <v>43</v>
      </c>
      <c r="I63" s="319"/>
      <c r="J63" s="222">
        <f t="shared" si="5"/>
        <v>0.5601688984775306</v>
      </c>
      <c r="K63" s="492">
        <v>0</v>
      </c>
      <c r="L63" s="13">
        <v>2.7E-2</v>
      </c>
      <c r="M63" s="13">
        <v>0.15</v>
      </c>
      <c r="N63" s="13">
        <v>0.4</v>
      </c>
      <c r="O63" s="13">
        <v>1.9E-2</v>
      </c>
      <c r="P63" s="13">
        <v>0.9</v>
      </c>
      <c r="Q63" s="13">
        <v>1</v>
      </c>
      <c r="R63" s="481">
        <v>7.7900000000000001E-14</v>
      </c>
      <c r="S63" s="481">
        <v>1.1099999999999999E-13</v>
      </c>
      <c r="T63" s="481">
        <v>9.5299999999999998E-15</v>
      </c>
      <c r="U63" s="481">
        <v>7.0000000000000001E-15</v>
      </c>
      <c r="V63" s="216">
        <v>2.6799999999999999E-12</v>
      </c>
      <c r="W63" s="319">
        <v>27.12</v>
      </c>
      <c r="X63" t="s">
        <v>617</v>
      </c>
      <c r="Y63" t="s">
        <v>622</v>
      </c>
      <c r="Z63" t="s">
        <v>617</v>
      </c>
      <c r="AA63" t="s">
        <v>437</v>
      </c>
      <c r="AB63" t="s">
        <v>622</v>
      </c>
      <c r="AC63" t="s">
        <v>627</v>
      </c>
      <c r="AD63" t="s">
        <v>628</v>
      </c>
      <c r="AE63" t="s">
        <v>377</v>
      </c>
      <c r="AF63" t="s">
        <v>590</v>
      </c>
      <c r="AG63" t="s">
        <v>632</v>
      </c>
      <c r="AH63" t="s">
        <v>608</v>
      </c>
      <c r="AI63" t="s">
        <v>629</v>
      </c>
      <c r="AJ63" s="201"/>
    </row>
    <row r="64" spans="1:37" x14ac:dyDescent="0.2">
      <c r="A64" t="s">
        <v>551</v>
      </c>
      <c r="B64" t="s">
        <v>47</v>
      </c>
      <c r="C64" s="319">
        <v>6800.3022056072105</v>
      </c>
      <c r="D64" s="488">
        <v>0</v>
      </c>
      <c r="E64" s="488">
        <v>310.59246940409997</v>
      </c>
      <c r="F64" s="489">
        <f t="shared" si="4"/>
        <v>20.784443661217882</v>
      </c>
      <c r="G64" s="490">
        <v>22.862424457442799</v>
      </c>
      <c r="H64" s="491">
        <v>43</v>
      </c>
      <c r="I64" s="319"/>
      <c r="J64" s="222">
        <f t="shared" si="5"/>
        <v>0.42524206233996326</v>
      </c>
      <c r="K64" s="492">
        <v>0</v>
      </c>
      <c r="L64" s="13">
        <v>2.7E-2</v>
      </c>
      <c r="M64" s="13">
        <v>0.15</v>
      </c>
      <c r="N64" s="13">
        <v>0.4</v>
      </c>
      <c r="O64" s="13">
        <v>1.9E-2</v>
      </c>
      <c r="P64" s="13">
        <v>0.9</v>
      </c>
      <c r="Q64" s="13">
        <v>1</v>
      </c>
      <c r="R64" s="481">
        <v>7.5499999999999994E-14</v>
      </c>
      <c r="S64" s="481">
        <v>7.9399999999999995E-14</v>
      </c>
      <c r="T64" s="481">
        <v>4.5200000000000001E-15</v>
      </c>
      <c r="U64" s="481">
        <v>2.0500000000000002E-15</v>
      </c>
      <c r="V64" s="373">
        <v>2.0400000000000002E-12</v>
      </c>
      <c r="W64" s="319">
        <v>30.62</v>
      </c>
      <c r="X64" t="s">
        <v>617</v>
      </c>
      <c r="Y64" t="s">
        <v>622</v>
      </c>
      <c r="Z64" t="s">
        <v>617</v>
      </c>
      <c r="AA64" t="s">
        <v>437</v>
      </c>
      <c r="AB64" t="s">
        <v>622</v>
      </c>
      <c r="AC64" t="s">
        <v>627</v>
      </c>
      <c r="AD64" t="s">
        <v>628</v>
      </c>
      <c r="AE64" t="s">
        <v>377</v>
      </c>
      <c r="AF64" t="s">
        <v>590</v>
      </c>
      <c r="AG64" t="s">
        <v>632</v>
      </c>
      <c r="AH64" t="s">
        <v>608</v>
      </c>
      <c r="AI64" t="s">
        <v>629</v>
      </c>
      <c r="AJ64" s="201"/>
    </row>
    <row r="65" spans="1:36" x14ac:dyDescent="0.2">
      <c r="A65" t="s">
        <v>551</v>
      </c>
      <c r="B65" t="s">
        <v>49</v>
      </c>
      <c r="C65" s="319">
        <v>4358.7937985164699</v>
      </c>
      <c r="D65" s="488">
        <v>0</v>
      </c>
      <c r="E65" s="488">
        <v>199.08064209090901</v>
      </c>
      <c r="F65" s="489">
        <f t="shared" si="4"/>
        <v>13.32221736578574</v>
      </c>
      <c r="G65" s="490">
        <v>14.654141967688499</v>
      </c>
      <c r="H65" s="491">
        <v>43</v>
      </c>
      <c r="I65" s="319"/>
      <c r="J65" s="222">
        <f t="shared" si="5"/>
        <v>0.27256766069417349</v>
      </c>
      <c r="K65" s="492">
        <v>0</v>
      </c>
      <c r="L65" s="13">
        <v>2.7E-2</v>
      </c>
      <c r="M65" s="13">
        <v>0.15</v>
      </c>
      <c r="N65" s="13">
        <v>0.4</v>
      </c>
      <c r="O65" s="13">
        <v>1.9E-2</v>
      </c>
      <c r="P65" s="13">
        <v>0.9</v>
      </c>
      <c r="Q65" s="13">
        <v>1</v>
      </c>
      <c r="R65" s="481">
        <v>2.1499999999999999E-13</v>
      </c>
      <c r="S65" s="481">
        <v>1.31E-13</v>
      </c>
      <c r="T65" s="481">
        <v>9.5800000000000006E-14</v>
      </c>
      <c r="U65" s="481">
        <v>2.4600000000000001E-13</v>
      </c>
      <c r="V65" s="373">
        <v>1.0599999999999999E-11</v>
      </c>
      <c r="W65" s="319">
        <v>20.12</v>
      </c>
      <c r="X65" t="s">
        <v>617</v>
      </c>
      <c r="Y65" t="s">
        <v>622</v>
      </c>
      <c r="Z65" t="s">
        <v>617</v>
      </c>
      <c r="AA65" t="s">
        <v>437</v>
      </c>
      <c r="AB65" t="s">
        <v>622</v>
      </c>
      <c r="AC65" t="s">
        <v>627</v>
      </c>
      <c r="AD65" t="s">
        <v>628</v>
      </c>
      <c r="AE65" t="s">
        <v>377</v>
      </c>
      <c r="AF65" t="s">
        <v>590</v>
      </c>
      <c r="AG65" t="s">
        <v>632</v>
      </c>
      <c r="AH65" t="s">
        <v>608</v>
      </c>
      <c r="AI65" t="s">
        <v>629</v>
      </c>
      <c r="AJ65" s="201"/>
    </row>
    <row r="66" spans="1:36" x14ac:dyDescent="0.2">
      <c r="A66" t="s">
        <v>551</v>
      </c>
      <c r="B66" t="s">
        <v>86</v>
      </c>
      <c r="C66" s="319">
        <v>4160.8778074765996</v>
      </c>
      <c r="D66" s="488">
        <v>0</v>
      </c>
      <c r="E66" s="488">
        <v>190.041159060148</v>
      </c>
      <c r="F66" s="489">
        <f t="shared" si="4"/>
        <v>12.71730693077148</v>
      </c>
      <c r="G66" s="490">
        <v>13.988753980910801</v>
      </c>
      <c r="H66" s="491">
        <v>43</v>
      </c>
      <c r="I66" s="319"/>
      <c r="J66" s="222">
        <f t="shared" si="5"/>
        <v>0.26019141598398166</v>
      </c>
      <c r="K66" s="492">
        <v>0</v>
      </c>
      <c r="L66" s="13">
        <v>2.7E-2</v>
      </c>
      <c r="M66" s="13">
        <v>0.15</v>
      </c>
      <c r="N66" s="13">
        <v>0.4</v>
      </c>
      <c r="O66" s="13">
        <v>1.9E-2</v>
      </c>
      <c r="P66" s="13">
        <v>0.9</v>
      </c>
      <c r="Q66" s="13">
        <v>1</v>
      </c>
      <c r="R66" s="481">
        <v>3.0099999999999998E-13</v>
      </c>
      <c r="S66" s="481">
        <v>6.3499999999999994E-14</v>
      </c>
      <c r="T66" s="481">
        <v>6.5900000000000002E-15</v>
      </c>
      <c r="U66" s="481">
        <v>3.3E-15</v>
      </c>
      <c r="V66" s="216">
        <v>2.6999999999999998E-12</v>
      </c>
      <c r="W66" s="319">
        <v>87.91</v>
      </c>
      <c r="X66" t="s">
        <v>617</v>
      </c>
      <c r="Y66" t="s">
        <v>622</v>
      </c>
      <c r="Z66" t="s">
        <v>617</v>
      </c>
      <c r="AA66" t="s">
        <v>437</v>
      </c>
      <c r="AB66" t="s">
        <v>622</v>
      </c>
      <c r="AC66" t="s">
        <v>627</v>
      </c>
      <c r="AD66" t="s">
        <v>628</v>
      </c>
      <c r="AE66" t="s">
        <v>377</v>
      </c>
      <c r="AF66" t="s">
        <v>590</v>
      </c>
      <c r="AG66" t="s">
        <v>632</v>
      </c>
      <c r="AH66" t="s">
        <v>608</v>
      </c>
      <c r="AI66" t="s">
        <v>629</v>
      </c>
      <c r="AJ66" s="201"/>
    </row>
    <row r="67" spans="1:36" x14ac:dyDescent="0.2">
      <c r="A67" t="s">
        <v>551</v>
      </c>
      <c r="B67" t="s">
        <v>89</v>
      </c>
      <c r="C67" s="319">
        <v>7690.30402782899</v>
      </c>
      <c r="D67" s="488">
        <v>0</v>
      </c>
      <c r="E67" s="488">
        <v>351.24181929770998</v>
      </c>
      <c r="F67" s="489">
        <f t="shared" si="4"/>
        <v>23.504645230656529</v>
      </c>
      <c r="G67" s="490">
        <v>25.8545855132786</v>
      </c>
      <c r="H67" s="491">
        <v>43</v>
      </c>
      <c r="I67" s="319"/>
      <c r="J67" s="222">
        <f t="shared" si="5"/>
        <v>0.48089638459285511</v>
      </c>
      <c r="K67" s="492">
        <v>0</v>
      </c>
      <c r="L67" s="13">
        <v>2.7E-2</v>
      </c>
      <c r="M67" s="13">
        <v>0.15</v>
      </c>
      <c r="N67" s="13">
        <v>0.4</v>
      </c>
      <c r="O67" s="13">
        <v>1.9E-2</v>
      </c>
      <c r="P67" s="13">
        <v>0.9</v>
      </c>
      <c r="Q67" s="13">
        <v>1</v>
      </c>
      <c r="R67" s="481">
        <v>9.7499999999999995E-15</v>
      </c>
      <c r="S67" s="481">
        <v>1.2800000000000001E-13</v>
      </c>
      <c r="T67" s="481">
        <v>2E-16</v>
      </c>
      <c r="U67" s="481">
        <v>8.6099999999999999E-16</v>
      </c>
      <c r="V67" s="373">
        <v>9.4299999999999992E-13</v>
      </c>
      <c r="W67" s="319">
        <v>58.61</v>
      </c>
      <c r="X67" t="s">
        <v>617</v>
      </c>
      <c r="Y67" t="s">
        <v>622</v>
      </c>
      <c r="Z67" t="s">
        <v>617</v>
      </c>
      <c r="AA67" t="s">
        <v>437</v>
      </c>
      <c r="AB67" t="s">
        <v>622</v>
      </c>
      <c r="AC67" t="s">
        <v>627</v>
      </c>
      <c r="AD67" t="s">
        <v>628</v>
      </c>
      <c r="AE67" t="s">
        <v>377</v>
      </c>
      <c r="AF67" t="s">
        <v>590</v>
      </c>
      <c r="AG67" t="s">
        <v>632</v>
      </c>
      <c r="AH67" t="s">
        <v>608</v>
      </c>
      <c r="AI67" t="s">
        <v>629</v>
      </c>
      <c r="AJ67" s="201"/>
    </row>
    <row r="68" spans="1:36" x14ac:dyDescent="0.2">
      <c r="A68" t="s">
        <v>551</v>
      </c>
      <c r="B68" t="s">
        <v>55</v>
      </c>
      <c r="C68" s="319">
        <v>7266.2548894865304</v>
      </c>
      <c r="D68" s="488">
        <v>0</v>
      </c>
      <c r="E68" s="488">
        <v>331.87408165248098</v>
      </c>
      <c r="F68" s="489">
        <f t="shared" si="4"/>
        <v>22.208581444226635</v>
      </c>
      <c r="G68" s="490">
        <v>24.428944255217399</v>
      </c>
      <c r="H68" s="491">
        <v>43</v>
      </c>
      <c r="I68" s="319"/>
      <c r="J68" s="222">
        <f t="shared" si="5"/>
        <v>0.45437939686640588</v>
      </c>
      <c r="K68" s="492">
        <v>0</v>
      </c>
      <c r="L68" s="13">
        <v>2.7E-2</v>
      </c>
      <c r="M68" s="13">
        <v>0.15</v>
      </c>
      <c r="N68" s="13">
        <v>0.4</v>
      </c>
      <c r="O68" s="13">
        <v>1.9E-2</v>
      </c>
      <c r="P68" s="13">
        <v>0.9</v>
      </c>
      <c r="Q68" s="13">
        <v>1</v>
      </c>
      <c r="R68" s="481">
        <v>1.4999999999999999E-13</v>
      </c>
      <c r="S68" s="481">
        <v>1.2900000000000001E-13</v>
      </c>
      <c r="T68" s="481">
        <v>1.1499999999999999E-13</v>
      </c>
      <c r="U68" s="481">
        <v>6.5600000000000006E-14</v>
      </c>
      <c r="V68" s="373">
        <v>1.23E-11</v>
      </c>
      <c r="W68" s="319">
        <v>28.43</v>
      </c>
      <c r="X68" t="s">
        <v>617</v>
      </c>
      <c r="Y68" t="s">
        <v>622</v>
      </c>
      <c r="Z68" t="s">
        <v>617</v>
      </c>
      <c r="AA68" t="s">
        <v>437</v>
      </c>
      <c r="AB68" t="s">
        <v>622</v>
      </c>
      <c r="AC68" t="s">
        <v>627</v>
      </c>
      <c r="AD68" t="s">
        <v>628</v>
      </c>
      <c r="AE68" t="s">
        <v>377</v>
      </c>
      <c r="AF68" t="s">
        <v>590</v>
      </c>
      <c r="AG68" t="s">
        <v>632</v>
      </c>
      <c r="AH68" t="s">
        <v>608</v>
      </c>
      <c r="AI68" t="s">
        <v>629</v>
      </c>
      <c r="AJ68" s="201"/>
    </row>
    <row r="69" spans="1:36" x14ac:dyDescent="0.2">
      <c r="A69" t="s">
        <v>551</v>
      </c>
      <c r="B69" t="s">
        <v>87</v>
      </c>
      <c r="C69" s="319">
        <v>7031.64609268195</v>
      </c>
      <c r="D69" s="488">
        <v>0</v>
      </c>
      <c r="E69" s="488">
        <v>321.15871587309402</v>
      </c>
      <c r="F69" s="489">
        <f t="shared" si="4"/>
        <v>21.491523117673115</v>
      </c>
      <c r="G69" s="490">
        <v>32.147057293567897</v>
      </c>
      <c r="H69" s="491">
        <v>43</v>
      </c>
      <c r="I69" s="319"/>
      <c r="J69" s="222">
        <f t="shared" si="5"/>
        <v>0.43970864759970191</v>
      </c>
      <c r="K69" s="492">
        <v>0</v>
      </c>
      <c r="L69" s="13">
        <v>2.7E-2</v>
      </c>
      <c r="M69" s="13">
        <v>0.15</v>
      </c>
      <c r="N69" s="13">
        <v>0.4</v>
      </c>
      <c r="O69" s="13">
        <v>1.9E-2</v>
      </c>
      <c r="P69" s="13">
        <v>0.9</v>
      </c>
      <c r="Q69" s="13">
        <v>1</v>
      </c>
      <c r="R69" s="481">
        <v>7.2899999999999997E-14</v>
      </c>
      <c r="S69" s="481">
        <v>1.3199999999999999E-13</v>
      </c>
      <c r="T69" s="481">
        <v>5.0799999999999997E-15</v>
      </c>
      <c r="U69" s="481">
        <v>2.9000000000000002E-15</v>
      </c>
      <c r="V69" s="373">
        <v>1.75E-12</v>
      </c>
      <c r="W69" s="319">
        <v>36.74</v>
      </c>
      <c r="X69" t="s">
        <v>617</v>
      </c>
      <c r="Y69" t="s">
        <v>617</v>
      </c>
      <c r="AA69" t="s">
        <v>437</v>
      </c>
      <c r="AB69" t="s">
        <v>617</v>
      </c>
      <c r="AC69" t="s">
        <v>627</v>
      </c>
      <c r="AD69" t="s">
        <v>628</v>
      </c>
      <c r="AE69" t="s">
        <v>377</v>
      </c>
      <c r="AF69" t="s">
        <v>590</v>
      </c>
      <c r="AG69" t="s">
        <v>632</v>
      </c>
      <c r="AH69" t="s">
        <v>608</v>
      </c>
      <c r="AI69" t="s">
        <v>629</v>
      </c>
      <c r="AJ69" s="201"/>
    </row>
    <row r="70" spans="1:36" x14ac:dyDescent="0.2">
      <c r="A70" t="s">
        <v>551</v>
      </c>
      <c r="B70" t="s">
        <v>59</v>
      </c>
      <c r="C70" s="319">
        <v>7804.26595245309</v>
      </c>
      <c r="D70" s="488">
        <v>0</v>
      </c>
      <c r="E70" s="488">
        <v>356.44684026837399</v>
      </c>
      <c r="F70" s="489">
        <f t="shared" si="4"/>
        <v>23.852958457077627</v>
      </c>
      <c r="G70" s="490">
        <v>26.237722293669702</v>
      </c>
      <c r="H70" s="491">
        <v>43</v>
      </c>
      <c r="I70" s="319"/>
      <c r="J70" s="222">
        <f t="shared" si="5"/>
        <v>0.48802274492069825</v>
      </c>
      <c r="K70" s="492">
        <v>0</v>
      </c>
      <c r="L70" s="13">
        <v>2.7E-2</v>
      </c>
      <c r="M70" s="13">
        <v>0.15</v>
      </c>
      <c r="N70" s="13">
        <v>0.4</v>
      </c>
      <c r="O70" s="13">
        <v>1.9E-2</v>
      </c>
      <c r="P70" s="13">
        <v>0.9</v>
      </c>
      <c r="Q70" s="13">
        <v>1</v>
      </c>
      <c r="R70" s="481">
        <v>8.8799999999999998E-14</v>
      </c>
      <c r="S70" s="481">
        <v>6.2000000000000001E-14</v>
      </c>
      <c r="T70" s="481">
        <v>2.1200000000000001E-15</v>
      </c>
      <c r="U70" s="481">
        <v>5.1299999999999995E-16</v>
      </c>
      <c r="V70" s="216">
        <v>8.3699999999999997E-13</v>
      </c>
      <c r="W70" s="319">
        <v>92.72</v>
      </c>
      <c r="X70" t="s">
        <v>617</v>
      </c>
      <c r="Y70" t="s">
        <v>622</v>
      </c>
      <c r="Z70" t="s">
        <v>617</v>
      </c>
      <c r="AA70" t="s">
        <v>437</v>
      </c>
      <c r="AB70" t="s">
        <v>622</v>
      </c>
      <c r="AC70" t="s">
        <v>627</v>
      </c>
      <c r="AD70" t="s">
        <v>628</v>
      </c>
      <c r="AE70" t="s">
        <v>377</v>
      </c>
      <c r="AF70" t="s">
        <v>590</v>
      </c>
      <c r="AG70" t="s">
        <v>632</v>
      </c>
      <c r="AH70" t="s">
        <v>608</v>
      </c>
      <c r="AI70" t="s">
        <v>629</v>
      </c>
      <c r="AJ70" s="201"/>
    </row>
    <row r="71" spans="1:36" x14ac:dyDescent="0.2">
      <c r="A71" t="s">
        <v>551</v>
      </c>
      <c r="B71" t="s">
        <v>61</v>
      </c>
      <c r="C71" s="319">
        <v>8545.0968483709603</v>
      </c>
      <c r="D71" s="488">
        <v>0</v>
      </c>
      <c r="E71" s="488">
        <v>390.28305672126299</v>
      </c>
      <c r="F71" s="489">
        <f t="shared" si="4"/>
        <v>26.117234007361006</v>
      </c>
      <c r="G71" s="490">
        <v>28.728374897269699</v>
      </c>
      <c r="H71" s="491">
        <v>43</v>
      </c>
      <c r="I71" s="319"/>
      <c r="J71" s="222">
        <f t="shared" si="5"/>
        <v>0.53434898874049741</v>
      </c>
      <c r="K71" s="492">
        <v>0</v>
      </c>
      <c r="L71" s="13">
        <v>2.7E-2</v>
      </c>
      <c r="M71" s="13">
        <v>0.15</v>
      </c>
      <c r="N71" s="13">
        <v>0.4</v>
      </c>
      <c r="O71" s="13">
        <v>1.9E-2</v>
      </c>
      <c r="P71" s="13">
        <v>0.9</v>
      </c>
      <c r="Q71" s="13">
        <v>1</v>
      </c>
      <c r="R71" s="481">
        <v>1.7500000000000001E-13</v>
      </c>
      <c r="S71" s="481">
        <v>1.6E-13</v>
      </c>
      <c r="T71" s="481">
        <v>3.0300000000000001E-14</v>
      </c>
      <c r="U71" s="481">
        <v>1.0799999999999999E-13</v>
      </c>
      <c r="V71" s="216">
        <v>1.5700000000000001E-11</v>
      </c>
      <c r="W71" s="319">
        <v>8.75</v>
      </c>
      <c r="X71" t="s">
        <v>617</v>
      </c>
      <c r="Y71" t="s">
        <v>622</v>
      </c>
      <c r="Z71" t="s">
        <v>617</v>
      </c>
      <c r="AA71" t="s">
        <v>437</v>
      </c>
      <c r="AB71" t="s">
        <v>622</v>
      </c>
      <c r="AC71" t="s">
        <v>627</v>
      </c>
      <c r="AD71" t="s">
        <v>628</v>
      </c>
      <c r="AE71" t="s">
        <v>377</v>
      </c>
      <c r="AF71" t="s">
        <v>590</v>
      </c>
      <c r="AG71" t="s">
        <v>632</v>
      </c>
      <c r="AH71" t="s">
        <v>608</v>
      </c>
      <c r="AI71" t="s">
        <v>629</v>
      </c>
      <c r="AJ71" s="201"/>
    </row>
    <row r="72" spans="1:36" x14ac:dyDescent="0.2">
      <c r="A72" t="s">
        <v>551</v>
      </c>
      <c r="B72" s="58" t="s">
        <v>63</v>
      </c>
      <c r="C72" s="319">
        <v>3837.9847006784498</v>
      </c>
      <c r="D72" s="488">
        <v>0</v>
      </c>
      <c r="E72" s="488">
        <v>175.29355456232</v>
      </c>
      <c r="F72" s="489">
        <f t="shared" si="4"/>
        <v>11.730416439153618</v>
      </c>
      <c r="G72" s="490">
        <v>12.9031964514358</v>
      </c>
      <c r="H72" s="491">
        <v>43</v>
      </c>
      <c r="I72" s="319"/>
      <c r="J72" s="222">
        <v>0.24</v>
      </c>
      <c r="K72" s="492">
        <v>0</v>
      </c>
      <c r="L72" s="13">
        <v>2.7E-2</v>
      </c>
      <c r="M72" s="13">
        <v>0.15</v>
      </c>
      <c r="N72" s="13">
        <v>0.4</v>
      </c>
      <c r="O72" s="13">
        <v>1.9E-2</v>
      </c>
      <c r="P72" s="13">
        <v>0.9</v>
      </c>
      <c r="Q72" s="13">
        <v>1</v>
      </c>
      <c r="R72" s="481">
        <v>4.9699999999999999E-14</v>
      </c>
      <c r="S72" s="481">
        <v>8.2700000000000004E-14</v>
      </c>
      <c r="T72" s="481">
        <v>1.36E-15</v>
      </c>
      <c r="U72" s="481">
        <v>1.38E-16</v>
      </c>
      <c r="V72" s="373">
        <v>3.92E-13</v>
      </c>
      <c r="W72" s="319">
        <v>17.93</v>
      </c>
      <c r="X72" t="s">
        <v>617</v>
      </c>
      <c r="Y72" t="s">
        <v>622</v>
      </c>
      <c r="Z72" t="s">
        <v>617</v>
      </c>
      <c r="AA72" t="s">
        <v>437</v>
      </c>
      <c r="AB72" t="s">
        <v>622</v>
      </c>
      <c r="AC72" t="s">
        <v>627</v>
      </c>
      <c r="AD72" t="s">
        <v>628</v>
      </c>
      <c r="AE72" t="s">
        <v>631</v>
      </c>
      <c r="AF72" t="s">
        <v>590</v>
      </c>
      <c r="AG72" t="s">
        <v>632</v>
      </c>
      <c r="AH72" t="s">
        <v>608</v>
      </c>
      <c r="AI72" t="s">
        <v>629</v>
      </c>
      <c r="AJ72" s="201"/>
    </row>
    <row r="73" spans="1:36" x14ac:dyDescent="0.2">
      <c r="C73" s="130"/>
      <c r="D73" s="130"/>
      <c r="E73" s="130"/>
      <c r="F73" s="130"/>
      <c r="G73" s="130"/>
      <c r="H73" s="130"/>
      <c r="I73" s="319"/>
      <c r="J73" s="15"/>
      <c r="K73" s="239"/>
      <c r="L73" s="239"/>
      <c r="M73" s="239"/>
      <c r="N73" s="239"/>
      <c r="O73" s="239"/>
      <c r="P73" s="239"/>
      <c r="Q73" s="239"/>
      <c r="R73" s="495"/>
      <c r="S73" s="495"/>
      <c r="T73" s="495"/>
      <c r="U73" s="495"/>
      <c r="V73" s="495"/>
    </row>
    <row r="75" spans="1:36" ht="21" customHeight="1" x14ac:dyDescent="0.25">
      <c r="A75" s="9" t="s">
        <v>633</v>
      </c>
      <c r="F75" s="496"/>
    </row>
    <row r="76" spans="1:36" x14ac:dyDescent="0.2">
      <c r="I76" s="58"/>
    </row>
    <row r="77" spans="1:36" x14ac:dyDescent="0.2">
      <c r="A77" s="497"/>
      <c r="B77" s="498" t="s">
        <v>634</v>
      </c>
      <c r="C77" s="498" t="s">
        <v>635</v>
      </c>
      <c r="D77" s="498" t="s">
        <v>636</v>
      </c>
      <c r="E77" s="499" t="s">
        <v>637</v>
      </c>
      <c r="G77" s="20" t="s">
        <v>588</v>
      </c>
      <c r="I77" s="58"/>
      <c r="J77" t="s">
        <v>638</v>
      </c>
    </row>
    <row r="78" spans="1:36" x14ac:dyDescent="0.2">
      <c r="A78" s="272" t="s">
        <v>88</v>
      </c>
      <c r="B78" s="178">
        <v>1059276</v>
      </c>
      <c r="C78" s="178">
        <v>484</v>
      </c>
      <c r="D78" s="293">
        <f t="shared" ref="D78:D88" si="6">B78/SUM($B78:$C78)</f>
        <v>0.99954329282101606</v>
      </c>
      <c r="E78" s="298">
        <f t="shared" ref="E78:E88" si="7">C78/SUM($B78:$C78)</f>
        <v>4.5670717898392088E-4</v>
      </c>
      <c r="F78" s="272"/>
      <c r="G78" t="s">
        <v>639</v>
      </c>
      <c r="I78" s="58"/>
    </row>
    <row r="79" spans="1:36" x14ac:dyDescent="0.2">
      <c r="A79" s="272" t="s">
        <v>45</v>
      </c>
      <c r="B79" s="178">
        <v>2852134</v>
      </c>
      <c r="C79" s="178">
        <v>295444.91935483803</v>
      </c>
      <c r="D79" s="293">
        <f t="shared" si="6"/>
        <v>0.90613581837833779</v>
      </c>
      <c r="E79" s="298">
        <f t="shared" si="7"/>
        <v>9.3864181621662296E-2</v>
      </c>
      <c r="F79" s="272"/>
      <c r="G79" t="s">
        <v>617</v>
      </c>
      <c r="H79" s="57"/>
      <c r="I79" s="58"/>
    </row>
    <row r="80" spans="1:36" x14ac:dyDescent="0.2">
      <c r="A80" s="272" t="s">
        <v>47</v>
      </c>
      <c r="B80" s="178">
        <v>286100</v>
      </c>
      <c r="C80" s="178">
        <v>44886.792304672097</v>
      </c>
      <c r="D80" s="293">
        <f t="shared" si="6"/>
        <v>0.86438494420842649</v>
      </c>
      <c r="E80" s="298">
        <f t="shared" si="7"/>
        <v>0.13561505579157362</v>
      </c>
      <c r="F80" s="272"/>
      <c r="G80" t="s">
        <v>617</v>
      </c>
      <c r="H80" s="57"/>
      <c r="I80" s="58"/>
    </row>
    <row r="81" spans="1:17" x14ac:dyDescent="0.2">
      <c r="A81" s="272" t="s">
        <v>49</v>
      </c>
      <c r="B81" s="178">
        <v>108490</v>
      </c>
      <c r="C81" s="178">
        <v>149600</v>
      </c>
      <c r="D81" s="293">
        <f t="shared" si="6"/>
        <v>0.42035723972257738</v>
      </c>
      <c r="E81" s="298">
        <f t="shared" si="7"/>
        <v>0.57964276027742256</v>
      </c>
      <c r="F81" s="272"/>
      <c r="G81" t="s">
        <v>617</v>
      </c>
      <c r="H81" s="57"/>
      <c r="I81" s="58"/>
    </row>
    <row r="82" spans="1:17" x14ac:dyDescent="0.2">
      <c r="A82" s="272" t="s">
        <v>86</v>
      </c>
      <c r="B82" s="178">
        <v>36106</v>
      </c>
      <c r="C82" s="178">
        <v>185008</v>
      </c>
      <c r="D82" s="293">
        <f t="shared" si="6"/>
        <v>0.16329133388206987</v>
      </c>
      <c r="E82" s="298">
        <f t="shared" si="7"/>
        <v>0.83670866611793016</v>
      </c>
      <c r="F82" s="272"/>
      <c r="G82" t="s">
        <v>617</v>
      </c>
      <c r="H82" s="57"/>
      <c r="I82" s="58"/>
    </row>
    <row r="83" spans="1:17" x14ac:dyDescent="0.2">
      <c r="A83" s="272" t="s">
        <v>89</v>
      </c>
      <c r="B83" s="178">
        <v>94046</v>
      </c>
      <c r="C83" s="178">
        <v>8</v>
      </c>
      <c r="D83" s="293">
        <f t="shared" si="6"/>
        <v>0.99991494247985202</v>
      </c>
      <c r="E83" s="298">
        <f t="shared" si="7"/>
        <v>8.5057520148000079E-5</v>
      </c>
      <c r="F83" s="272"/>
      <c r="G83" t="s">
        <v>617</v>
      </c>
      <c r="H83" s="57"/>
      <c r="I83" s="58"/>
    </row>
    <row r="84" spans="1:17" x14ac:dyDescent="0.2">
      <c r="A84" s="272" t="s">
        <v>55</v>
      </c>
      <c r="B84" s="178">
        <v>818844</v>
      </c>
      <c r="C84" s="178">
        <v>691136</v>
      </c>
      <c r="D84" s="293">
        <f t="shared" si="6"/>
        <v>0.54228797732420297</v>
      </c>
      <c r="E84" s="298">
        <f t="shared" si="7"/>
        <v>0.45771202267579703</v>
      </c>
      <c r="F84" s="272"/>
      <c r="G84" t="s">
        <v>617</v>
      </c>
      <c r="H84" s="57"/>
      <c r="I84" s="58"/>
    </row>
    <row r="85" spans="1:17" x14ac:dyDescent="0.2">
      <c r="A85" s="272" t="s">
        <v>87</v>
      </c>
      <c r="B85" s="178">
        <v>286100</v>
      </c>
      <c r="C85" s="178">
        <v>44886.792304672097</v>
      </c>
      <c r="D85" s="293">
        <f t="shared" si="6"/>
        <v>0.86438494420842649</v>
      </c>
      <c r="E85" s="298">
        <f t="shared" si="7"/>
        <v>0.13561505579157362</v>
      </c>
      <c r="F85" s="272"/>
      <c r="G85" t="s">
        <v>483</v>
      </c>
      <c r="I85" s="58"/>
    </row>
    <row r="86" spans="1:17" x14ac:dyDescent="0.2">
      <c r="A86" s="272" t="s">
        <v>59</v>
      </c>
      <c r="B86" s="178">
        <v>201026</v>
      </c>
      <c r="C86" s="178">
        <v>54148</v>
      </c>
      <c r="D86" s="293">
        <f t="shared" si="6"/>
        <v>0.78779969746134015</v>
      </c>
      <c r="E86" s="298">
        <f t="shared" si="7"/>
        <v>0.2122003025386599</v>
      </c>
      <c r="F86" s="272"/>
      <c r="G86" t="s">
        <v>617</v>
      </c>
      <c r="H86" s="57"/>
      <c r="I86" s="58"/>
    </row>
    <row r="87" spans="1:17" x14ac:dyDescent="0.2">
      <c r="A87" s="272" t="s">
        <v>61</v>
      </c>
      <c r="B87" s="178">
        <v>286312</v>
      </c>
      <c r="C87" s="178">
        <v>262696</v>
      </c>
      <c r="D87" s="293">
        <f t="shared" si="6"/>
        <v>0.52150788330953279</v>
      </c>
      <c r="E87" s="298">
        <f t="shared" si="7"/>
        <v>0.47849211669046715</v>
      </c>
      <c r="F87" s="272"/>
      <c r="G87" t="s">
        <v>617</v>
      </c>
      <c r="H87" s="57"/>
      <c r="I87" s="58"/>
    </row>
    <row r="88" spans="1:17" x14ac:dyDescent="0.2">
      <c r="A88" s="500" t="s">
        <v>63</v>
      </c>
      <c r="B88" s="501">
        <v>1059276</v>
      </c>
      <c r="C88" s="501">
        <v>484</v>
      </c>
      <c r="D88" s="502">
        <f t="shared" si="6"/>
        <v>0.99954329282101606</v>
      </c>
      <c r="E88" s="503">
        <f t="shared" si="7"/>
        <v>4.5670717898392088E-4</v>
      </c>
      <c r="F88" s="504"/>
      <c r="G88" t="s">
        <v>617</v>
      </c>
      <c r="H88" s="57"/>
      <c r="I88" s="58"/>
    </row>
    <row r="89" spans="1:17" x14ac:dyDescent="0.2">
      <c r="I89" s="58"/>
      <c r="Q89" s="58"/>
    </row>
    <row r="90" spans="1:17" x14ac:dyDescent="0.2">
      <c r="A90" s="25"/>
      <c r="I90" s="58"/>
    </row>
    <row r="91" spans="1:17" x14ac:dyDescent="0.2">
      <c r="I91" s="58"/>
    </row>
    <row r="92" spans="1:17" x14ac:dyDescent="0.2">
      <c r="I92" s="58"/>
    </row>
    <row r="93" spans="1:17" x14ac:dyDescent="0.2">
      <c r="I93" s="58"/>
    </row>
    <row r="94" spans="1:17" x14ac:dyDescent="0.2">
      <c r="I94" s="58"/>
    </row>
    <row r="95" spans="1:17" x14ac:dyDescent="0.2">
      <c r="I95" s="58"/>
    </row>
    <row r="96" spans="1:17" x14ac:dyDescent="0.2">
      <c r="I96" s="58"/>
    </row>
    <row r="101" spans="18:20" x14ac:dyDescent="0.2">
      <c r="R101" s="8"/>
      <c r="S101" s="57"/>
      <c r="T101" s="57"/>
    </row>
    <row r="102" spans="18:20" x14ac:dyDescent="0.2">
      <c r="R102" s="8"/>
      <c r="S102" s="57"/>
      <c r="T102" s="57"/>
    </row>
    <row r="103" spans="18:20" x14ac:dyDescent="0.2">
      <c r="R103" s="8"/>
      <c r="S103" s="57"/>
      <c r="T103" s="57"/>
    </row>
    <row r="104" spans="18:20" x14ac:dyDescent="0.2">
      <c r="R104" s="8"/>
      <c r="S104" s="57"/>
      <c r="T104" s="57"/>
    </row>
    <row r="105" spans="18:20" x14ac:dyDescent="0.2">
      <c r="R105" s="8"/>
      <c r="S105" s="57"/>
      <c r="T105" s="57"/>
    </row>
    <row r="106" spans="18:20" x14ac:dyDescent="0.2">
      <c r="R106" s="8"/>
      <c r="S106" s="57"/>
      <c r="T106" s="57"/>
    </row>
    <row r="108" spans="18:20" x14ac:dyDescent="0.2">
      <c r="R108" s="8"/>
      <c r="S108" s="57"/>
      <c r="T108" s="57"/>
    </row>
    <row r="109" spans="18:20" x14ac:dyDescent="0.2">
      <c r="R109" s="8"/>
      <c r="S109" s="57"/>
      <c r="T109" s="57"/>
    </row>
    <row r="110" spans="18:20" x14ac:dyDescent="0.2">
      <c r="R110" s="8"/>
      <c r="S110" s="57"/>
      <c r="T110" s="57"/>
    </row>
    <row r="118" spans="9:9" x14ac:dyDescent="0.2">
      <c r="I118" s="58"/>
    </row>
    <row r="119" spans="9:9" x14ac:dyDescent="0.2">
      <c r="I119" s="58"/>
    </row>
    <row r="120" spans="9:9" x14ac:dyDescent="0.2">
      <c r="I120" s="58"/>
    </row>
    <row r="121" spans="9:9" x14ac:dyDescent="0.2">
      <c r="I121" s="58"/>
    </row>
    <row r="122" spans="9:9" x14ac:dyDescent="0.2">
      <c r="I122" s="58"/>
    </row>
    <row r="123" spans="9:9" x14ac:dyDescent="0.2">
      <c r="I123" s="58"/>
    </row>
    <row r="124" spans="9:9" x14ac:dyDescent="0.2">
      <c r="I124" s="58"/>
    </row>
    <row r="125" spans="9:9" x14ac:dyDescent="0.2">
      <c r="I125" s="58"/>
    </row>
    <row r="126" spans="9:9" x14ac:dyDescent="0.2">
      <c r="I126" s="58"/>
    </row>
    <row r="127" spans="9:9" x14ac:dyDescent="0.2">
      <c r="I127" s="58"/>
    </row>
    <row r="128" spans="9:9" x14ac:dyDescent="0.2">
      <c r="I128" s="58"/>
    </row>
    <row r="129" spans="9:9" x14ac:dyDescent="0.2">
      <c r="I129" s="58"/>
    </row>
    <row r="130" spans="9:9" x14ac:dyDescent="0.2">
      <c r="I130" s="58"/>
    </row>
    <row r="131" spans="9:9" x14ac:dyDescent="0.2">
      <c r="I131" s="58"/>
    </row>
    <row r="132" spans="9:9" x14ac:dyDescent="0.2">
      <c r="I132" s="58"/>
    </row>
    <row r="133" spans="9:9" x14ac:dyDescent="0.2">
      <c r="I133" s="58"/>
    </row>
    <row r="134" spans="9:9" x14ac:dyDescent="0.2">
      <c r="I134" s="58"/>
    </row>
    <row r="135" spans="9:9" x14ac:dyDescent="0.2">
      <c r="I135" s="58"/>
    </row>
  </sheetData>
  <pageMargins left="0.7" right="0.7" top="0.75" bottom="0.75" header="0.511811023622047" footer="0.511811023622047"/>
  <pageSetup paperSize="9" orientation="portrait" horizontalDpi="300" verticalDpi="300"/>
  <drawing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S98"/>
  <sheetViews>
    <sheetView topLeftCell="A23" zoomScale="72" zoomScaleNormal="72" workbookViewId="0">
      <selection activeCell="N33" sqref="N33"/>
    </sheetView>
  </sheetViews>
  <sheetFormatPr baseColWidth="10" defaultColWidth="8.6640625" defaultRowHeight="15" x14ac:dyDescent="0.2"/>
  <cols>
    <col min="1" max="1" width="10.6640625" customWidth="1"/>
    <col min="2" max="2" width="18.33203125" customWidth="1"/>
    <col min="3" max="3" width="11.66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5" customWidth="1"/>
    <col min="16" max="16" width="15" customWidth="1"/>
    <col min="17" max="17" width="17.6640625" customWidth="1"/>
    <col min="18" max="18" width="24.6640625" customWidth="1"/>
  </cols>
  <sheetData>
    <row r="2" spans="1:19" ht="21" customHeight="1" x14ac:dyDescent="0.25">
      <c r="A2" s="9" t="s">
        <v>640</v>
      </c>
    </row>
    <row r="4" spans="1:19" ht="18" customHeight="1" x14ac:dyDescent="0.25">
      <c r="A4" s="431" t="s">
        <v>476</v>
      </c>
      <c r="B4" s="197"/>
      <c r="C4" s="197"/>
      <c r="D4" s="197"/>
      <c r="E4" s="197"/>
      <c r="F4" s="197"/>
      <c r="G4" s="197"/>
      <c r="H4" s="197"/>
      <c r="I4" s="197"/>
      <c r="J4" s="197"/>
      <c r="K4" s="197"/>
      <c r="L4" s="197"/>
      <c r="M4" s="197"/>
      <c r="N4" s="197"/>
      <c r="O4" s="197"/>
      <c r="P4" s="197"/>
    </row>
    <row r="6" spans="1:19" ht="18" customHeight="1" x14ac:dyDescent="0.25">
      <c r="A6" s="194" t="s">
        <v>641</v>
      </c>
    </row>
    <row r="8" spans="1:19" x14ac:dyDescent="0.2">
      <c r="A8" s="432" t="s">
        <v>458</v>
      </c>
      <c r="B8" s="433"/>
      <c r="C8" s="433"/>
      <c r="D8" s="433"/>
      <c r="E8" s="434" t="s">
        <v>6</v>
      </c>
      <c r="F8" s="434" t="s">
        <v>7</v>
      </c>
      <c r="G8" s="435"/>
      <c r="H8" s="434" t="s">
        <v>8</v>
      </c>
      <c r="I8" s="436"/>
      <c r="J8" s="437" t="s">
        <v>9</v>
      </c>
      <c r="K8" s="436"/>
      <c r="L8" s="436"/>
      <c r="M8" s="436"/>
      <c r="N8" s="437" t="s">
        <v>10</v>
      </c>
      <c r="O8" s="437" t="s">
        <v>11</v>
      </c>
      <c r="P8" s="437" t="s">
        <v>12</v>
      </c>
    </row>
    <row r="9" spans="1:19" ht="43.5" customHeight="1" x14ac:dyDescent="0.2">
      <c r="A9" s="438" t="s">
        <v>13</v>
      </c>
      <c r="B9" s="438" t="s">
        <v>458</v>
      </c>
      <c r="C9" s="438" t="s">
        <v>18</v>
      </c>
      <c r="D9" s="439" t="s">
        <v>545</v>
      </c>
      <c r="E9" s="440"/>
      <c r="F9" s="49" t="s">
        <v>20</v>
      </c>
      <c r="G9" s="49" t="s">
        <v>21</v>
      </c>
      <c r="H9" s="49" t="s">
        <v>22</v>
      </c>
      <c r="I9" s="49" t="s">
        <v>461</v>
      </c>
      <c r="J9" s="49" t="s">
        <v>24</v>
      </c>
      <c r="K9" s="49" t="s">
        <v>25</v>
      </c>
      <c r="L9" s="49" t="s">
        <v>26</v>
      </c>
      <c r="M9" s="49" t="s">
        <v>27</v>
      </c>
      <c r="N9" s="49" t="s">
        <v>28</v>
      </c>
      <c r="O9" s="49"/>
      <c r="P9" s="49"/>
      <c r="R9" s="441" t="s">
        <v>642</v>
      </c>
    </row>
    <row r="10" spans="1:19" ht="18" customHeight="1" x14ac:dyDescent="0.2">
      <c r="A10" t="s">
        <v>643</v>
      </c>
      <c r="B10" t="s">
        <v>644</v>
      </c>
      <c r="C10" t="s">
        <v>44</v>
      </c>
      <c r="D10" t="s">
        <v>645</v>
      </c>
      <c r="E10" s="13">
        <f>SUM(F10:P10)</f>
        <v>1.2947363945588037</v>
      </c>
      <c r="F10" s="13">
        <v>6.3780206352419501E-3</v>
      </c>
      <c r="G10" s="13">
        <v>3.01313E-2</v>
      </c>
      <c r="H10" s="13">
        <v>0.36167247211622799</v>
      </c>
      <c r="I10" s="13">
        <v>4.3198581779485398E-3</v>
      </c>
      <c r="J10" s="13">
        <v>5.1686805550072601E-2</v>
      </c>
      <c r="K10" s="13">
        <v>0</v>
      </c>
      <c r="L10" s="13">
        <v>8.3348896151577996E-5</v>
      </c>
      <c r="M10" s="13">
        <v>3.9645293683161199E-2</v>
      </c>
      <c r="N10" s="13">
        <v>0.80081929549999997</v>
      </c>
      <c r="O10" s="13">
        <v>0</v>
      </c>
      <c r="P10" s="13">
        <v>0</v>
      </c>
      <c r="R10" s="444" t="s">
        <v>646</v>
      </c>
      <c r="S10" s="25"/>
    </row>
    <row r="11" spans="1:19" x14ac:dyDescent="0.2">
      <c r="A11" t="s">
        <v>643</v>
      </c>
      <c r="B11" t="s">
        <v>644</v>
      </c>
      <c r="C11" t="s">
        <v>40</v>
      </c>
      <c r="D11" t="s">
        <v>645</v>
      </c>
      <c r="E11" s="13">
        <f>SUM(F11:P11)</f>
        <v>0.92073417828065618</v>
      </c>
      <c r="F11" s="13">
        <v>3.80122915901129E-3</v>
      </c>
      <c r="G11" s="13">
        <v>2.7E-2</v>
      </c>
      <c r="H11" s="13"/>
      <c r="I11" s="13"/>
      <c r="J11" s="13">
        <v>5.0646723842195603E-2</v>
      </c>
      <c r="K11" s="13"/>
      <c r="L11" s="13">
        <v>7.5028151531289998E-5</v>
      </c>
      <c r="M11" s="13">
        <v>3.8391901627918001E-2</v>
      </c>
      <c r="N11" s="13">
        <v>0.80081929549999997</v>
      </c>
      <c r="O11" s="13"/>
      <c r="P11" s="13"/>
    </row>
    <row r="12" spans="1:19" x14ac:dyDescent="0.2">
      <c r="A12" t="s">
        <v>643</v>
      </c>
      <c r="B12" t="s">
        <v>644</v>
      </c>
      <c r="C12" t="s">
        <v>41</v>
      </c>
      <c r="D12" t="s">
        <v>645</v>
      </c>
      <c r="E12" s="13">
        <f>SUM(F12:P12)</f>
        <v>1.5497351280536413E-4</v>
      </c>
      <c r="F12" s="13">
        <v>8.1660966199362198E-6</v>
      </c>
      <c r="G12" s="13">
        <v>9.5000000000000005E-5</v>
      </c>
      <c r="H12" s="13"/>
      <c r="I12" s="13"/>
      <c r="J12" s="13">
        <v>2.2434790869507899E-5</v>
      </c>
      <c r="K12" s="13"/>
      <c r="L12" s="13">
        <v>2.5092881999999999E-7</v>
      </c>
      <c r="M12" s="13">
        <v>2.9121696495920001E-5</v>
      </c>
      <c r="N12" s="13"/>
      <c r="O12" s="13"/>
      <c r="P12" s="13"/>
    </row>
    <row r="13" spans="1:19" x14ac:dyDescent="0.2">
      <c r="A13" t="s">
        <v>643</v>
      </c>
      <c r="B13" t="s">
        <v>644</v>
      </c>
      <c r="C13" t="s">
        <v>547</v>
      </c>
      <c r="D13" t="s">
        <v>645</v>
      </c>
      <c r="E13" s="13">
        <f>SUM(F13:P13)</f>
        <v>0</v>
      </c>
      <c r="F13" s="13"/>
      <c r="G13" s="13"/>
      <c r="H13" s="13"/>
      <c r="I13" s="13"/>
      <c r="J13" s="13"/>
      <c r="K13" s="13"/>
      <c r="L13" s="13"/>
      <c r="M13" s="13"/>
      <c r="N13" s="13"/>
      <c r="O13" s="13"/>
      <c r="P13" s="13"/>
    </row>
    <row r="14" spans="1:19" x14ac:dyDescent="0.2">
      <c r="A14" t="s">
        <v>643</v>
      </c>
      <c r="B14" t="s">
        <v>644</v>
      </c>
      <c r="C14" t="s">
        <v>43</v>
      </c>
      <c r="D14" t="s">
        <v>645</v>
      </c>
      <c r="E14" s="13">
        <f>SUM(F14:P14)</f>
        <v>1.8648393868060512E-4</v>
      </c>
      <c r="F14" s="13">
        <v>8.5474058496577406E-6</v>
      </c>
      <c r="G14" s="13">
        <v>1.1000000000000001E-6</v>
      </c>
      <c r="H14" s="13">
        <v>1.5823656329481801E-4</v>
      </c>
      <c r="I14" s="13">
        <v>1.5823656329481798E-5</v>
      </c>
      <c r="J14" s="13">
        <v>1.36089721599156E-6</v>
      </c>
      <c r="K14" s="13"/>
      <c r="L14" s="13">
        <v>3.0881530560000001E-9</v>
      </c>
      <c r="M14" s="13">
        <v>1.4123278375999999E-6</v>
      </c>
      <c r="N14" s="13"/>
      <c r="O14" s="13"/>
      <c r="P14" s="13"/>
    </row>
    <row r="15" spans="1:19" x14ac:dyDescent="0.2">
      <c r="E15" s="13"/>
      <c r="F15" s="13"/>
      <c r="G15" s="13"/>
      <c r="H15" s="13"/>
      <c r="I15" s="13"/>
      <c r="J15" s="13"/>
      <c r="K15" s="13"/>
      <c r="L15" s="13"/>
      <c r="M15" s="13"/>
      <c r="N15" s="13"/>
      <c r="O15" s="13"/>
      <c r="P15" s="13"/>
    </row>
    <row r="16" spans="1:19" x14ac:dyDescent="0.2">
      <c r="A16" t="s">
        <v>643</v>
      </c>
      <c r="B16" t="s">
        <v>644</v>
      </c>
      <c r="C16" t="s">
        <v>44</v>
      </c>
      <c r="D16" t="s">
        <v>647</v>
      </c>
      <c r="E16" s="13">
        <v>0.52633119479302803</v>
      </c>
      <c r="F16" s="13">
        <v>2.43705105215281E-2</v>
      </c>
      <c r="G16" s="13">
        <v>3.01313E-2</v>
      </c>
      <c r="H16" s="13">
        <v>0.36711611109208497</v>
      </c>
      <c r="I16" s="13">
        <v>4.8642220755341897E-3</v>
      </c>
      <c r="J16" s="13">
        <v>5.9248812939961697E-2</v>
      </c>
      <c r="K16" s="13">
        <v>0</v>
      </c>
      <c r="L16" s="13">
        <v>4.1674448075789002E-4</v>
      </c>
      <c r="M16" s="13">
        <v>3.9645293683161199E-2</v>
      </c>
      <c r="N16" s="13">
        <v>5.3819999999999996E-4</v>
      </c>
      <c r="O16" s="13">
        <v>0</v>
      </c>
      <c r="P16" s="13">
        <v>0</v>
      </c>
      <c r="R16" s="444" t="s">
        <v>646</v>
      </c>
      <c r="S16" s="25"/>
    </row>
    <row r="17" spans="1:18" x14ac:dyDescent="0.2">
      <c r="A17" t="s">
        <v>643</v>
      </c>
      <c r="B17" t="s">
        <v>644</v>
      </c>
      <c r="C17" t="s">
        <v>40</v>
      </c>
      <c r="D17" t="s">
        <v>647</v>
      </c>
      <c r="E17" s="13">
        <f>SUM(F17:P17)</f>
        <v>0.13888635752648032</v>
      </c>
      <c r="F17" s="13">
        <v>1.4524552445401399E-2</v>
      </c>
      <c r="G17" s="13">
        <v>2.7E-2</v>
      </c>
      <c r="H17" s="13"/>
      <c r="I17" s="13"/>
      <c r="J17" s="13">
        <v>5.80565626955045E-2</v>
      </c>
      <c r="K17" s="13"/>
      <c r="L17" s="13">
        <v>3.7514075765644999E-4</v>
      </c>
      <c r="M17" s="13">
        <v>3.8391901627918001E-2</v>
      </c>
      <c r="N17" s="445">
        <v>5.3819999999999996E-4</v>
      </c>
      <c r="O17" s="13"/>
      <c r="P17" s="13"/>
    </row>
    <row r="18" spans="1:18" x14ac:dyDescent="0.2">
      <c r="A18" t="s">
        <v>643</v>
      </c>
      <c r="B18" t="s">
        <v>644</v>
      </c>
      <c r="C18" t="s">
        <v>41</v>
      </c>
      <c r="D18" t="s">
        <v>647</v>
      </c>
      <c r="E18" s="13">
        <f>SUM(F18:P18)</f>
        <v>1.8229621534045909E-4</v>
      </c>
      <c r="F18" s="13">
        <v>3.1202775120595202E-5</v>
      </c>
      <c r="G18" s="13">
        <v>9.5000000000000005E-5</v>
      </c>
      <c r="H18" s="13"/>
      <c r="I18" s="13"/>
      <c r="J18" s="13">
        <v>2.5717099623943899E-5</v>
      </c>
      <c r="K18" s="13"/>
      <c r="L18" s="13">
        <v>1.2546440999999999E-6</v>
      </c>
      <c r="M18" s="13">
        <v>2.9121696495920001E-5</v>
      </c>
      <c r="N18" s="13"/>
      <c r="O18" s="13"/>
      <c r="P18" s="13"/>
    </row>
    <row r="19" spans="1:18" x14ac:dyDescent="0.2">
      <c r="A19" t="s">
        <v>643</v>
      </c>
      <c r="B19" t="s">
        <v>644</v>
      </c>
      <c r="C19" t="s">
        <v>547</v>
      </c>
      <c r="D19" t="s">
        <v>647</v>
      </c>
      <c r="E19" s="13">
        <f>SUM(F19:P19)</f>
        <v>0</v>
      </c>
      <c r="F19" s="13"/>
      <c r="G19" s="13"/>
      <c r="H19" s="13"/>
      <c r="I19" s="13"/>
      <c r="J19" s="13"/>
      <c r="K19" s="13"/>
      <c r="L19" s="13"/>
      <c r="M19" s="13"/>
      <c r="N19" s="13"/>
      <c r="O19" s="13"/>
      <c r="P19" s="13"/>
    </row>
    <row r="20" spans="1:18" x14ac:dyDescent="0.2">
      <c r="A20" t="s">
        <v>643</v>
      </c>
      <c r="B20" t="s">
        <v>644</v>
      </c>
      <c r="C20" t="s">
        <v>43</v>
      </c>
      <c r="D20" t="s">
        <v>647</v>
      </c>
      <c r="E20" s="13">
        <f>SUM(F20:P20)</f>
        <v>2.3274183044929973E-4</v>
      </c>
      <c r="F20" s="13">
        <v>3.2659763287666498E-5</v>
      </c>
      <c r="G20" s="13">
        <v>1.1000000000000001E-6</v>
      </c>
      <c r="H20" s="13">
        <v>1.7817663280344999E-4</v>
      </c>
      <c r="I20" s="13">
        <v>1.7817663280345001E-5</v>
      </c>
      <c r="J20" s="13">
        <v>1.5600024749582401E-6</v>
      </c>
      <c r="K20" s="13"/>
      <c r="L20" s="13">
        <v>1.5440765279999999E-8</v>
      </c>
      <c r="M20" s="13">
        <v>1.4123278375999999E-6</v>
      </c>
      <c r="N20" s="13"/>
      <c r="O20" s="13"/>
      <c r="P20" s="13"/>
    </row>
    <row r="21" spans="1:18" x14ac:dyDescent="0.2">
      <c r="E21" s="13"/>
      <c r="F21" s="13"/>
      <c r="G21" s="13"/>
      <c r="H21" s="13"/>
      <c r="I21" s="13"/>
      <c r="J21" s="13"/>
      <c r="K21" s="13"/>
      <c r="L21" s="13"/>
      <c r="M21" s="13"/>
      <c r="N21" s="13"/>
      <c r="O21" s="13"/>
      <c r="P21" s="13"/>
    </row>
    <row r="22" spans="1:18" x14ac:dyDescent="0.2">
      <c r="A22" t="s">
        <v>648</v>
      </c>
      <c r="B22" t="s">
        <v>476</v>
      </c>
      <c r="C22" t="s">
        <v>44</v>
      </c>
      <c r="D22" t="s">
        <v>491</v>
      </c>
      <c r="E22" s="13">
        <v>1.0241565454522199</v>
      </c>
      <c r="F22" s="13">
        <v>1.21869178365247E-2</v>
      </c>
      <c r="G22" s="13">
        <v>2.3884567073170701E-2</v>
      </c>
      <c r="H22" s="13">
        <v>0.28884913358866099</v>
      </c>
      <c r="I22" s="13">
        <v>3.64003180778279E-3</v>
      </c>
      <c r="J22" s="13">
        <v>4.3968385377147701E-2</v>
      </c>
      <c r="K22" s="13">
        <v>0</v>
      </c>
      <c r="L22" s="13">
        <v>1.98207740848265E-4</v>
      </c>
      <c r="M22" s="13">
        <v>3.1426147431774201E-2</v>
      </c>
      <c r="N22" s="13">
        <v>0.31761120248475599</v>
      </c>
      <c r="O22" s="13">
        <v>4.2652972381825E-2</v>
      </c>
      <c r="P22" s="13">
        <v>0.25973897972972998</v>
      </c>
    </row>
    <row r="23" spans="1:18" x14ac:dyDescent="0.2">
      <c r="A23" s="505" t="s">
        <v>648</v>
      </c>
      <c r="B23" s="80" t="s">
        <v>476</v>
      </c>
      <c r="C23" s="80" t="s">
        <v>40</v>
      </c>
      <c r="D23" s="80" t="s">
        <v>491</v>
      </c>
      <c r="E23" s="79">
        <f>SUM(F23:P23)</f>
        <v>0.7061171705997602</v>
      </c>
      <c r="F23" s="79">
        <f>$C$40*(AVERAGE(F11,F17))/$C$39</f>
        <v>7.2632670993099079E-3</v>
      </c>
      <c r="G23" s="79">
        <f>$C$40*(AVERAGE(G11,G17))/$C$39</f>
        <v>2.1402439024390246E-2</v>
      </c>
      <c r="H23" s="79"/>
      <c r="I23" s="79"/>
      <c r="J23" s="79">
        <f>$C$40*(AVERAGE(J11,J17))/$C$39</f>
        <v>4.3083619664332357E-2</v>
      </c>
      <c r="K23" s="79"/>
      <c r="L23" s="79">
        <f>$C$40*(AVERAGE(L11,L17))/$C$39</f>
        <v>1.7842060425123844E-4</v>
      </c>
      <c r="M23" s="79">
        <f>$C$40*(AVERAGE(M11,M17))/$C$39</f>
        <v>3.0432604948959392E-2</v>
      </c>
      <c r="N23" s="79">
        <f>$C$40*(AVERAGE(N11,N17))/$C$39</f>
        <v>0.31761120248475611</v>
      </c>
      <c r="O23" s="79">
        <v>3.51456167737609E-2</v>
      </c>
      <c r="P23" s="506">
        <v>0.251</v>
      </c>
      <c r="R23" t="s">
        <v>649</v>
      </c>
    </row>
    <row r="24" spans="1:18" x14ac:dyDescent="0.2">
      <c r="A24" s="272" t="s">
        <v>648</v>
      </c>
      <c r="B24" t="s">
        <v>476</v>
      </c>
      <c r="C24" t="s">
        <v>41</v>
      </c>
      <c r="D24" t="s">
        <v>491</v>
      </c>
      <c r="E24" s="442">
        <f>SUM(F24:P24)</f>
        <v>4.7266553697523944E-4</v>
      </c>
      <c r="F24" s="442">
        <f>$C$40*(AVERAGE(F12,F18))/$C$39</f>
        <v>1.5603516238625262E-5</v>
      </c>
      <c r="G24" s="442">
        <f>$C$40*(AVERAGE(G12,G18))/$C$39</f>
        <v>7.5304878048780503E-5</v>
      </c>
      <c r="H24" s="442"/>
      <c r="I24" s="442"/>
      <c r="J24" s="442">
        <f>$C$40*(AVERAGE(J12,J18))/$C$39</f>
        <v>1.9084590744355897E-5</v>
      </c>
      <c r="K24" s="442"/>
      <c r="L24" s="442">
        <f>$C$40*(AVERAGE(L12,L18))/$C$39</f>
        <v>5.9672097439024396E-7</v>
      </c>
      <c r="M24" s="442">
        <f>$C$40*(AVERAGE(M12,M18))/$C$39</f>
        <v>2.3084271612619512E-5</v>
      </c>
      <c r="N24" s="442"/>
      <c r="O24" s="442">
        <v>1.28991559356468E-4</v>
      </c>
      <c r="P24" s="507">
        <f>4.83/1000/23</f>
        <v>2.1000000000000001E-4</v>
      </c>
      <c r="R24" t="s">
        <v>650</v>
      </c>
    </row>
    <row r="25" spans="1:18" x14ac:dyDescent="0.2">
      <c r="A25" s="272" t="s">
        <v>648</v>
      </c>
      <c r="B25" t="s">
        <v>476</v>
      </c>
      <c r="C25" t="s">
        <v>547</v>
      </c>
      <c r="D25" t="s">
        <v>491</v>
      </c>
      <c r="E25" s="442">
        <f>SUM(F25:P25)</f>
        <v>0</v>
      </c>
      <c r="F25" s="442"/>
      <c r="G25" s="442"/>
      <c r="H25" s="442"/>
      <c r="I25" s="442"/>
      <c r="J25" s="442"/>
      <c r="K25" s="442"/>
      <c r="L25" s="442"/>
      <c r="M25" s="442"/>
      <c r="N25" s="442"/>
      <c r="O25" s="442"/>
      <c r="P25" s="507"/>
    </row>
    <row r="26" spans="1:18" x14ac:dyDescent="0.2">
      <c r="A26" s="332" t="s">
        <v>648</v>
      </c>
      <c r="B26" s="333" t="s">
        <v>476</v>
      </c>
      <c r="C26" s="333" t="s">
        <v>43</v>
      </c>
      <c r="D26" s="333" t="s">
        <v>491</v>
      </c>
      <c r="E26" s="508">
        <f>SUM(F26:P26)</f>
        <v>1.8866346644602484E-4</v>
      </c>
      <c r="F26" s="508">
        <f>$C$40*(AVERAGE(F14,F20))/$C$39</f>
        <v>1.6332109719061435E-5</v>
      </c>
      <c r="G26" s="508">
        <f>$C$40*(AVERAGE(G14,G20))/$C$39</f>
        <v>8.7195121951219526E-7</v>
      </c>
      <c r="H26" s="508">
        <f>$C$40*(AVERAGE(H14,H20))/$C$39</f>
        <v>1.3333449845358183E-4</v>
      </c>
      <c r="I26" s="508">
        <f>$C$40*(AVERAGE(I14,I20))/$C$39</f>
        <v>1.3333449845358186E-5</v>
      </c>
      <c r="J26" s="508">
        <f>$C$40*(AVERAGE(J14,J20))/$C$39</f>
        <v>1.1576736579983962E-6</v>
      </c>
      <c r="K26" s="508"/>
      <c r="L26" s="508">
        <f>$C$40*(AVERAGE(L14,L20))/$C$39</f>
        <v>7.3437786087804875E-9</v>
      </c>
      <c r="M26" s="508">
        <f>$C$40*(AVERAGE(M14,M20))/$C$39</f>
        <v>1.1195281639512195E-6</v>
      </c>
      <c r="N26" s="508"/>
      <c r="O26" s="508">
        <v>1.3419073770114999E-5</v>
      </c>
      <c r="P26" s="509">
        <f>2.69/1000/296</f>
        <v>9.087837837837838E-6</v>
      </c>
      <c r="R26" t="s">
        <v>650</v>
      </c>
    </row>
    <row r="29" spans="1:18" ht="18" customHeight="1" x14ac:dyDescent="0.25">
      <c r="A29" s="194" t="s">
        <v>651</v>
      </c>
    </row>
    <row r="31" spans="1:18" x14ac:dyDescent="0.2">
      <c r="A31" s="382" t="s">
        <v>458</v>
      </c>
      <c r="B31" s="276"/>
      <c r="C31" s="276"/>
      <c r="D31" s="276"/>
      <c r="E31" s="276"/>
      <c r="F31" s="383" t="s">
        <v>141</v>
      </c>
      <c r="G31" s="383" t="s">
        <v>132</v>
      </c>
      <c r="H31" s="383" t="s">
        <v>142</v>
      </c>
      <c r="I31" s="383" t="s">
        <v>143</v>
      </c>
      <c r="J31" s="384" t="s">
        <v>144</v>
      </c>
      <c r="K31" s="384" t="s">
        <v>145</v>
      </c>
      <c r="L31" s="384" t="s">
        <v>146</v>
      </c>
      <c r="M31" s="446"/>
      <c r="N31" s="380"/>
      <c r="O31" s="380"/>
      <c r="P31" s="381"/>
    </row>
    <row r="32" spans="1:18" ht="43.5" customHeight="1" x14ac:dyDescent="0.2">
      <c r="A32" s="386" t="s">
        <v>13</v>
      </c>
      <c r="B32" s="386" t="s">
        <v>458</v>
      </c>
      <c r="C32" s="386" t="s">
        <v>460</v>
      </c>
      <c r="D32" s="386" t="s">
        <v>16</v>
      </c>
      <c r="E32" s="346" t="s">
        <v>17</v>
      </c>
      <c r="F32" s="387" t="s">
        <v>156</v>
      </c>
      <c r="G32" s="387" t="s">
        <v>486</v>
      </c>
      <c r="H32" s="387" t="s">
        <v>487</v>
      </c>
      <c r="I32" s="388" t="s">
        <v>159</v>
      </c>
      <c r="J32" s="389" t="s">
        <v>160</v>
      </c>
      <c r="K32" s="390" t="s">
        <v>161</v>
      </c>
      <c r="L32" s="390" t="s">
        <v>162</v>
      </c>
      <c r="M32" s="380"/>
    </row>
    <row r="33" spans="1:18" x14ac:dyDescent="0.2">
      <c r="A33" s="447" t="s">
        <v>643</v>
      </c>
      <c r="B33" s="18" t="s">
        <v>644</v>
      </c>
      <c r="C33" s="18" t="s">
        <v>652</v>
      </c>
      <c r="D33" t="s">
        <v>645</v>
      </c>
      <c r="E33" t="s">
        <v>653</v>
      </c>
      <c r="F33">
        <v>2.9987165493168901</v>
      </c>
      <c r="G33">
        <v>7.5567657042785605E-2</v>
      </c>
      <c r="H33">
        <v>6.5971764084971603E-3</v>
      </c>
      <c r="I33">
        <v>8.3191495512068404E-4</v>
      </c>
      <c r="J33">
        <v>0.33775822794753002</v>
      </c>
      <c r="K33" s="53">
        <v>3.3104588739787198E-10</v>
      </c>
      <c r="L33">
        <v>5.4691734366476702E-5</v>
      </c>
      <c r="N33" t="s">
        <v>654</v>
      </c>
    </row>
    <row r="34" spans="1:18" x14ac:dyDescent="0.2">
      <c r="A34" s="447" t="s">
        <v>643</v>
      </c>
      <c r="B34" s="18" t="s">
        <v>644</v>
      </c>
      <c r="C34" s="18" t="s">
        <v>652</v>
      </c>
      <c r="D34" t="s">
        <v>647</v>
      </c>
      <c r="E34" t="s">
        <v>655</v>
      </c>
      <c r="F34">
        <v>3.43744199316636</v>
      </c>
      <c r="G34">
        <v>3.1968210536447099E-2</v>
      </c>
      <c r="H34">
        <v>1.7187209965831801E-3</v>
      </c>
      <c r="I34">
        <v>5.3124997988455601E-3</v>
      </c>
      <c r="J34">
        <v>0.31624466337130502</v>
      </c>
      <c r="K34" s="53">
        <v>3.6158592458834303E-11</v>
      </c>
      <c r="L34">
        <v>2.0897792027420699E-4</v>
      </c>
      <c r="N34" t="s">
        <v>656</v>
      </c>
    </row>
    <row r="36" spans="1:18" x14ac:dyDescent="0.2">
      <c r="A36" s="510" t="s">
        <v>648</v>
      </c>
      <c r="B36" s="511" t="s">
        <v>476</v>
      </c>
      <c r="C36" s="511" t="s">
        <v>657</v>
      </c>
      <c r="D36" s="511" t="s">
        <v>491</v>
      </c>
      <c r="E36" s="511"/>
      <c r="F36" s="512">
        <f t="shared" ref="F36:L36" si="0">$C$40*AVERAGE(F33:F34)/$C$39</f>
        <v>2.5509164954964105</v>
      </c>
      <c r="G36" s="512">
        <f t="shared" si="0"/>
        <v>4.2620923125915401E-2</v>
      </c>
      <c r="H36" s="513">
        <f t="shared" si="0"/>
        <v>3.2959349471355006E-3</v>
      </c>
      <c r="I36" s="513">
        <f t="shared" si="0"/>
        <v>2.435286335413451E-3</v>
      </c>
      <c r="J36" s="512">
        <f t="shared" si="0"/>
        <v>0.25920846302270906</v>
      </c>
      <c r="K36" s="514">
        <f t="shared" si="0"/>
        <v>1.4553836091881654E-10</v>
      </c>
      <c r="L36" s="514">
        <f t="shared" si="0"/>
        <v>1.0450321677831977E-4</v>
      </c>
    </row>
    <row r="38" spans="1:18" x14ac:dyDescent="0.2">
      <c r="A38" s="197" t="s">
        <v>658</v>
      </c>
      <c r="B38" s="197"/>
      <c r="C38" s="197"/>
      <c r="D38" s="197"/>
      <c r="E38" s="197"/>
      <c r="F38" s="197"/>
      <c r="G38" s="197"/>
      <c r="H38" s="197"/>
      <c r="I38" s="197"/>
      <c r="J38" s="197"/>
      <c r="K38" s="197"/>
      <c r="L38" s="197"/>
      <c r="M38" s="197"/>
      <c r="N38" s="197"/>
      <c r="O38" s="197"/>
      <c r="P38" s="197"/>
    </row>
    <row r="39" spans="1:18" x14ac:dyDescent="0.2">
      <c r="A39" t="s">
        <v>659</v>
      </c>
      <c r="C39">
        <v>0.82</v>
      </c>
      <c r="R39" t="s">
        <v>660</v>
      </c>
    </row>
    <row r="40" spans="1:18" x14ac:dyDescent="0.2">
      <c r="A40" t="s">
        <v>661</v>
      </c>
      <c r="C40">
        <v>0.65</v>
      </c>
      <c r="R40" t="s">
        <v>660</v>
      </c>
    </row>
    <row r="42" spans="1:18" x14ac:dyDescent="0.2">
      <c r="A42" t="s">
        <v>662</v>
      </c>
    </row>
    <row r="43" spans="1:18" x14ac:dyDescent="0.2">
      <c r="A43" t="s">
        <v>663</v>
      </c>
      <c r="C43">
        <v>0.16600000000000001</v>
      </c>
      <c r="D43" t="s">
        <v>664</v>
      </c>
      <c r="R43" t="s">
        <v>665</v>
      </c>
    </row>
    <row r="44" spans="1:18" x14ac:dyDescent="0.2">
      <c r="A44" t="s">
        <v>666</v>
      </c>
      <c r="C44">
        <v>0.97299999999999998</v>
      </c>
      <c r="D44" t="s">
        <v>664</v>
      </c>
      <c r="R44" t="s">
        <v>665</v>
      </c>
    </row>
    <row r="46" spans="1:18" x14ac:dyDescent="0.2">
      <c r="A46" t="s">
        <v>667</v>
      </c>
      <c r="R46" t="s">
        <v>668</v>
      </c>
    </row>
    <row r="49" spans="1:18" ht="18" customHeight="1" x14ac:dyDescent="0.25">
      <c r="A49" s="431" t="s">
        <v>669</v>
      </c>
      <c r="B49" s="197"/>
      <c r="C49" s="197"/>
      <c r="D49" s="197"/>
      <c r="E49" s="197"/>
      <c r="F49" s="197"/>
      <c r="G49" s="197"/>
      <c r="H49" s="197"/>
      <c r="I49" s="197"/>
      <c r="J49" s="197"/>
      <c r="K49" s="197"/>
      <c r="L49" s="197"/>
      <c r="M49" s="197"/>
      <c r="N49" s="197"/>
      <c r="O49" s="197"/>
      <c r="P49" s="197"/>
    </row>
    <row r="51" spans="1:18" ht="18" customHeight="1" x14ac:dyDescent="0.25">
      <c r="A51" s="194" t="s">
        <v>641</v>
      </c>
    </row>
    <row r="53" spans="1:18" x14ac:dyDescent="0.2">
      <c r="A53" s="432" t="s">
        <v>458</v>
      </c>
      <c r="B53" s="433"/>
      <c r="C53" s="433"/>
      <c r="D53" s="433"/>
      <c r="E53" s="434" t="s">
        <v>6</v>
      </c>
      <c r="F53" s="434" t="s">
        <v>7</v>
      </c>
      <c r="G53" s="435"/>
      <c r="H53" s="434" t="s">
        <v>8</v>
      </c>
      <c r="I53" s="436"/>
      <c r="J53" s="437" t="s">
        <v>9</v>
      </c>
      <c r="K53" s="436"/>
      <c r="L53" s="436"/>
      <c r="M53" s="436"/>
      <c r="N53" s="437" t="s">
        <v>10</v>
      </c>
      <c r="O53" s="437" t="s">
        <v>11</v>
      </c>
      <c r="P53" s="437" t="s">
        <v>12</v>
      </c>
    </row>
    <row r="54" spans="1:18" ht="43.5" customHeight="1" x14ac:dyDescent="0.2">
      <c r="A54" s="438" t="s">
        <v>13</v>
      </c>
      <c r="B54" s="438" t="s">
        <v>458</v>
      </c>
      <c r="C54" s="438" t="s">
        <v>18</v>
      </c>
      <c r="D54" s="439" t="s">
        <v>545</v>
      </c>
      <c r="E54" s="440"/>
      <c r="F54" s="49" t="s">
        <v>20</v>
      </c>
      <c r="G54" s="49" t="s">
        <v>21</v>
      </c>
      <c r="H54" s="49" t="s">
        <v>22</v>
      </c>
      <c r="I54" s="49" t="s">
        <v>461</v>
      </c>
      <c r="J54" s="49" t="s">
        <v>24</v>
      </c>
      <c r="K54" s="49" t="s">
        <v>25</v>
      </c>
      <c r="L54" s="49" t="s">
        <v>26</v>
      </c>
      <c r="M54" s="49" t="s">
        <v>27</v>
      </c>
      <c r="N54" s="49" t="s">
        <v>28</v>
      </c>
      <c r="O54" s="49"/>
      <c r="P54" s="49"/>
      <c r="R54" s="441" t="s">
        <v>642</v>
      </c>
    </row>
    <row r="55" spans="1:18" x14ac:dyDescent="0.2">
      <c r="A55" t="s">
        <v>670</v>
      </c>
      <c r="B55" t="s">
        <v>671</v>
      </c>
      <c r="C55" t="s">
        <v>44</v>
      </c>
      <c r="D55" t="s">
        <v>45</v>
      </c>
      <c r="E55" s="13">
        <f>SUM(F55:P55)</f>
        <v>1.6947107071173244</v>
      </c>
      <c r="F55" s="13">
        <v>0.54718153809761005</v>
      </c>
      <c r="G55" s="13">
        <v>3.01313E-2</v>
      </c>
      <c r="H55" s="13">
        <v>0.93617948957863395</v>
      </c>
      <c r="I55" s="13">
        <v>6.0825760565840097E-2</v>
      </c>
      <c r="J55" s="13">
        <v>4.9915761667236103E-2</v>
      </c>
      <c r="K55" s="13">
        <v>0</v>
      </c>
      <c r="L55" s="13">
        <v>1.08353564997051E-3</v>
      </c>
      <c r="M55" s="13">
        <v>6.9393321558033794E-2</v>
      </c>
      <c r="N55" s="13">
        <v>0</v>
      </c>
      <c r="O55" s="13">
        <v>0</v>
      </c>
      <c r="P55" s="13">
        <v>0</v>
      </c>
      <c r="R55" s="444"/>
    </row>
    <row r="56" spans="1:18" x14ac:dyDescent="0.2">
      <c r="A56" t="s">
        <v>670</v>
      </c>
      <c r="B56" t="s">
        <v>671</v>
      </c>
      <c r="C56" t="s">
        <v>40</v>
      </c>
      <c r="D56" t="s">
        <v>45</v>
      </c>
      <c r="E56" s="13">
        <f>SUM(F56:P56)</f>
        <v>0.47425566700327787</v>
      </c>
      <c r="F56" s="13">
        <v>0.32956752885768198</v>
      </c>
      <c r="G56" s="13">
        <v>2.7E-2</v>
      </c>
      <c r="H56" s="13"/>
      <c r="I56" s="13"/>
      <c r="J56" s="13">
        <v>4.8911318268339103E-2</v>
      </c>
      <c r="K56" s="13"/>
      <c r="L56" s="13">
        <v>9.7536596990676998E-4</v>
      </c>
      <c r="M56" s="13">
        <v>6.7801453907349998E-2</v>
      </c>
      <c r="N56" s="59"/>
      <c r="O56" s="13"/>
      <c r="P56" s="13"/>
    </row>
    <row r="57" spans="1:18" x14ac:dyDescent="0.2">
      <c r="A57" t="s">
        <v>670</v>
      </c>
      <c r="B57" t="s">
        <v>671</v>
      </c>
      <c r="C57" t="s">
        <v>41</v>
      </c>
      <c r="D57" t="s">
        <v>45</v>
      </c>
      <c r="E57" s="13">
        <f>SUM(F57:P57)</f>
        <v>7.8066436125071449E-4</v>
      </c>
      <c r="F57" s="99">
        <v>6.3024269760943304E-4</v>
      </c>
      <c r="G57" s="99">
        <v>9.5000000000000005E-5</v>
      </c>
      <c r="H57" s="99"/>
      <c r="I57" s="99"/>
      <c r="J57" s="99">
        <v>2.1666064717653398E-5</v>
      </c>
      <c r="K57" s="99"/>
      <c r="L57" s="99">
        <v>3.2620746600000001E-6</v>
      </c>
      <c r="M57" s="99">
        <v>3.0493524263628001E-5</v>
      </c>
      <c r="N57" s="99"/>
      <c r="O57" s="99"/>
      <c r="P57" s="99"/>
    </row>
    <row r="58" spans="1:18" x14ac:dyDescent="0.2">
      <c r="A58" t="s">
        <v>670</v>
      </c>
      <c r="B58" t="s">
        <v>671</v>
      </c>
      <c r="C58" t="s">
        <v>547</v>
      </c>
      <c r="D58" t="s">
        <v>45</v>
      </c>
      <c r="E58" s="13">
        <f>SUM(F58:P58)</f>
        <v>0</v>
      </c>
      <c r="F58" s="99"/>
      <c r="G58" s="99"/>
      <c r="H58" s="99"/>
      <c r="I58" s="99"/>
      <c r="J58" s="99"/>
      <c r="K58" s="99"/>
      <c r="L58" s="99"/>
      <c r="M58" s="99"/>
      <c r="N58" s="99"/>
      <c r="O58" s="99"/>
      <c r="P58" s="99"/>
    </row>
    <row r="59" spans="1:18" x14ac:dyDescent="0.2">
      <c r="A59" t="s">
        <v>670</v>
      </c>
      <c r="B59" t="s">
        <v>671</v>
      </c>
      <c r="C59" t="s">
        <v>43</v>
      </c>
      <c r="D59" t="s">
        <v>45</v>
      </c>
      <c r="E59" s="13">
        <f>SUM(F59:P59)</f>
        <v>3.1841368433279961E-3</v>
      </c>
      <c r="F59" s="99">
        <v>7.2832518993101703E-4</v>
      </c>
      <c r="G59" s="99">
        <v>1.1000000000000001E-6</v>
      </c>
      <c r="H59" s="99">
        <v>2.2280498375765599E-3</v>
      </c>
      <c r="I59" s="99">
        <v>2.2280498375765599E-4</v>
      </c>
      <c r="J59" s="99">
        <v>1.31426619161501E-6</v>
      </c>
      <c r="K59" s="99"/>
      <c r="L59" s="99">
        <v>4.0145989727999997E-8</v>
      </c>
      <c r="M59" s="99">
        <v>2.50241988142E-6</v>
      </c>
      <c r="N59" s="99"/>
      <c r="O59" s="99"/>
      <c r="P59" s="99"/>
    </row>
    <row r="60" spans="1:18" x14ac:dyDescent="0.2">
      <c r="E60" s="13"/>
      <c r="F60" s="13"/>
      <c r="G60" s="13"/>
      <c r="H60" s="13"/>
      <c r="I60" s="13"/>
      <c r="J60" s="13"/>
      <c r="K60" s="13"/>
      <c r="L60" s="13"/>
      <c r="M60" s="13"/>
      <c r="N60" s="13"/>
      <c r="O60" s="13"/>
      <c r="P60" s="13"/>
    </row>
    <row r="61" spans="1:18" x14ac:dyDescent="0.2">
      <c r="A61" t="s">
        <v>670</v>
      </c>
      <c r="B61" t="s">
        <v>671</v>
      </c>
      <c r="C61" t="s">
        <v>44</v>
      </c>
      <c r="D61" t="s">
        <v>47</v>
      </c>
      <c r="E61" s="13">
        <v>1.7006813867746999</v>
      </c>
      <c r="F61" s="13">
        <v>0.54718153809761005</v>
      </c>
      <c r="G61" s="13">
        <v>3.01313E-2</v>
      </c>
      <c r="H61" s="13">
        <v>0.93617948957863395</v>
      </c>
      <c r="I61" s="13">
        <v>6.0825760565840097E-2</v>
      </c>
      <c r="J61" s="13">
        <v>4.8839231914042699E-2</v>
      </c>
      <c r="K61" s="13">
        <v>0</v>
      </c>
      <c r="L61" s="13">
        <v>1.6669779230315599E-4</v>
      </c>
      <c r="M61" s="13">
        <v>7.7357368826268494E-2</v>
      </c>
      <c r="N61" s="13">
        <v>0</v>
      </c>
      <c r="O61" s="13">
        <v>0</v>
      </c>
      <c r="P61" s="13">
        <v>0</v>
      </c>
      <c r="R61" s="444"/>
    </row>
    <row r="62" spans="1:18" x14ac:dyDescent="0.2">
      <c r="A62" t="s">
        <v>670</v>
      </c>
      <c r="B62" t="s">
        <v>671</v>
      </c>
      <c r="C62" t="s">
        <v>40</v>
      </c>
      <c r="D62" t="s">
        <v>47</v>
      </c>
      <c r="E62" s="13">
        <f>SUM(F62:P62)</f>
        <v>0.47990330436934558</v>
      </c>
      <c r="F62" s="13">
        <v>0.32956752885768198</v>
      </c>
      <c r="G62" s="13">
        <v>2.7E-2</v>
      </c>
      <c r="H62" s="13"/>
      <c r="I62" s="13"/>
      <c r="J62" s="13">
        <v>4.7856451275929003E-2</v>
      </c>
      <c r="K62" s="13"/>
      <c r="L62" s="13">
        <v>1.5005630306258E-4</v>
      </c>
      <c r="M62" s="13">
        <v>7.5329267932672E-2</v>
      </c>
      <c r="N62" s="59"/>
      <c r="O62" s="13"/>
      <c r="P62" s="13"/>
    </row>
    <row r="63" spans="1:18" x14ac:dyDescent="0.2">
      <c r="A63" t="s">
        <v>670</v>
      </c>
      <c r="B63" t="s">
        <v>671</v>
      </c>
      <c r="C63" t="s">
        <v>41</v>
      </c>
      <c r="D63" t="s">
        <v>47</v>
      </c>
      <c r="E63" s="13">
        <f>SUM(F63:P63)</f>
        <v>7.897679708001405E-4</v>
      </c>
      <c r="F63" s="442">
        <v>6.3024269760943304E-4</v>
      </c>
      <c r="G63" s="442">
        <v>9.5000000000000005E-5</v>
      </c>
      <c r="H63" s="442"/>
      <c r="I63" s="442"/>
      <c r="J63" s="442">
        <v>2.11987942098194E-5</v>
      </c>
      <c r="K63" s="442"/>
      <c r="L63" s="442">
        <v>5.0185763999999998E-7</v>
      </c>
      <c r="M63" s="442">
        <v>4.2824621340887997E-5</v>
      </c>
      <c r="N63" s="442"/>
      <c r="O63" s="442"/>
      <c r="P63" s="442"/>
    </row>
    <row r="64" spans="1:18" x14ac:dyDescent="0.2">
      <c r="A64" t="s">
        <v>670</v>
      </c>
      <c r="B64" t="s">
        <v>671</v>
      </c>
      <c r="C64" t="s">
        <v>547</v>
      </c>
      <c r="D64" t="s">
        <v>47</v>
      </c>
      <c r="E64" s="13">
        <f>SUM(F64:P64)</f>
        <v>0</v>
      </c>
      <c r="F64" s="442"/>
      <c r="G64" s="442"/>
      <c r="H64" s="442"/>
      <c r="I64" s="442"/>
      <c r="J64" s="442"/>
      <c r="K64" s="442"/>
      <c r="L64" s="442"/>
      <c r="M64" s="442"/>
      <c r="N64" s="442"/>
      <c r="O64" s="442"/>
      <c r="P64" s="442"/>
    </row>
    <row r="65" spans="1:18" x14ac:dyDescent="0.2">
      <c r="A65" t="s">
        <v>670</v>
      </c>
      <c r="B65" t="s">
        <v>671</v>
      </c>
      <c r="C65" t="s">
        <v>43</v>
      </c>
      <c r="D65" t="s">
        <v>47</v>
      </c>
      <c r="E65" s="13">
        <f>SUM(F65:P65)</f>
        <v>3.1843264210815983E-3</v>
      </c>
      <c r="F65" s="442">
        <v>7.2832518993101703E-4</v>
      </c>
      <c r="G65" s="442">
        <v>1.1000000000000001E-6</v>
      </c>
      <c r="H65" s="442">
        <v>2.2280498375765599E-3</v>
      </c>
      <c r="I65" s="442">
        <v>2.2280498375765599E-4</v>
      </c>
      <c r="J65" s="442">
        <v>1.2859215042530999E-6</v>
      </c>
      <c r="K65" s="442"/>
      <c r="L65" s="442">
        <v>6.1763061120000003E-9</v>
      </c>
      <c r="M65" s="442">
        <v>2.7543120060000002E-6</v>
      </c>
      <c r="N65" s="442"/>
      <c r="O65" s="442"/>
      <c r="P65" s="442"/>
    </row>
    <row r="66" spans="1:18" x14ac:dyDescent="0.2">
      <c r="E66" s="13"/>
      <c r="F66" s="13"/>
      <c r="G66" s="13"/>
      <c r="H66" s="13"/>
      <c r="I66" s="13"/>
      <c r="J66" s="13"/>
      <c r="K66" s="13"/>
      <c r="L66" s="13"/>
      <c r="M66" s="13"/>
      <c r="N66" s="13"/>
      <c r="O66" s="13"/>
      <c r="P66" s="13"/>
    </row>
    <row r="67" spans="1:18" x14ac:dyDescent="0.2">
      <c r="A67" t="s">
        <v>670</v>
      </c>
      <c r="B67" t="s">
        <v>671</v>
      </c>
      <c r="C67" t="s">
        <v>44</v>
      </c>
      <c r="D67" t="s">
        <v>59</v>
      </c>
      <c r="E67" s="13">
        <v>1.7203907895677799</v>
      </c>
      <c r="F67" s="13">
        <v>0.54718153809761005</v>
      </c>
      <c r="G67" s="13">
        <v>3.01313E-2</v>
      </c>
      <c r="H67" s="13">
        <v>0.93617948957863395</v>
      </c>
      <c r="I67" s="13">
        <v>6.0825760565840097E-2</v>
      </c>
      <c r="J67" s="13">
        <v>5.78185850015547E-2</v>
      </c>
      <c r="K67" s="13">
        <v>0</v>
      </c>
      <c r="L67" s="13">
        <v>8.3348896151577996E-5</v>
      </c>
      <c r="M67" s="13">
        <v>8.81707674279881E-2</v>
      </c>
      <c r="N67" s="13"/>
      <c r="O67" s="13">
        <v>0</v>
      </c>
      <c r="P67" s="13">
        <v>0</v>
      </c>
      <c r="R67" s="444"/>
    </row>
    <row r="68" spans="1:18" x14ac:dyDescent="0.2">
      <c r="A68" t="s">
        <v>670</v>
      </c>
      <c r="B68" t="s">
        <v>671</v>
      </c>
      <c r="C68" t="s">
        <v>40</v>
      </c>
      <c r="D68" t="s">
        <v>59</v>
      </c>
      <c r="E68" s="13">
        <f>SUM(F68:P68)</f>
        <v>0.49886589312660767</v>
      </c>
      <c r="F68" s="13">
        <v>0.32956752885768198</v>
      </c>
      <c r="G68" s="13">
        <v>2.7E-2</v>
      </c>
      <c r="H68" s="13"/>
      <c r="I68" s="13"/>
      <c r="J68" s="13">
        <v>5.6655114905164401E-2</v>
      </c>
      <c r="K68" s="13"/>
      <c r="L68" s="13">
        <v>7.5028151531289998E-5</v>
      </c>
      <c r="M68" s="13">
        <v>8.5568221212229997E-2</v>
      </c>
      <c r="N68" s="59"/>
      <c r="O68" s="13"/>
      <c r="P68" s="13"/>
    </row>
    <row r="69" spans="1:18" x14ac:dyDescent="0.2">
      <c r="A69" t="s">
        <v>670</v>
      </c>
      <c r="B69" t="s">
        <v>671</v>
      </c>
      <c r="C69" t="s">
        <v>41</v>
      </c>
      <c r="D69" t="s">
        <v>59</v>
      </c>
      <c r="E69" s="13">
        <f>SUM(F69:P69)</f>
        <v>8.1326994831193509E-4</v>
      </c>
      <c r="F69" s="13">
        <v>6.3024269760943304E-4</v>
      </c>
      <c r="G69" s="13">
        <v>9.5000000000000005E-5</v>
      </c>
      <c r="H69" s="13"/>
      <c r="I69" s="13"/>
      <c r="J69" s="13">
        <v>2.50963055092292E-5</v>
      </c>
      <c r="K69" s="13"/>
      <c r="L69" s="13">
        <v>2.5092881999999999E-7</v>
      </c>
      <c r="M69" s="13">
        <v>6.2680016373272803E-5</v>
      </c>
      <c r="N69" s="13"/>
      <c r="O69" s="13"/>
      <c r="P69" s="13"/>
    </row>
    <row r="70" spans="1:18" x14ac:dyDescent="0.2">
      <c r="A70" t="s">
        <v>670</v>
      </c>
      <c r="B70" t="s">
        <v>671</v>
      </c>
      <c r="C70" t="s">
        <v>547</v>
      </c>
      <c r="D70" t="s">
        <v>59</v>
      </c>
      <c r="E70" s="13">
        <f>SUM(F70:P70)</f>
        <v>0</v>
      </c>
      <c r="F70" s="13"/>
      <c r="G70" s="13"/>
      <c r="H70" s="13"/>
      <c r="I70" s="13"/>
      <c r="J70" s="13"/>
      <c r="K70" s="13"/>
      <c r="L70" s="13"/>
      <c r="M70" s="13"/>
      <c r="N70" s="13"/>
      <c r="O70" s="13"/>
      <c r="P70" s="13"/>
    </row>
    <row r="71" spans="1:18" x14ac:dyDescent="0.2">
      <c r="A71" t="s">
        <v>670</v>
      </c>
      <c r="B71" t="s">
        <v>671</v>
      </c>
      <c r="C71" t="s">
        <v>43</v>
      </c>
      <c r="D71" t="s">
        <v>59</v>
      </c>
      <c r="E71" s="13">
        <f>SUM(F71:P71)</f>
        <v>3.1844965863049193E-3</v>
      </c>
      <c r="F71" s="13">
        <v>7.2832518993101703E-4</v>
      </c>
      <c r="G71" s="13">
        <v>1.1000000000000001E-6</v>
      </c>
      <c r="H71" s="13">
        <v>2.2280498375765599E-3</v>
      </c>
      <c r="I71" s="13">
        <v>2.2280498375765599E-4</v>
      </c>
      <c r="J71" s="13">
        <v>1.5223450264295999E-6</v>
      </c>
      <c r="K71" s="13"/>
      <c r="L71" s="13">
        <v>3.0881530560000001E-9</v>
      </c>
      <c r="M71" s="13">
        <v>2.6911418601999999E-6</v>
      </c>
      <c r="N71" s="13"/>
      <c r="O71" s="13"/>
      <c r="P71" s="13"/>
    </row>
    <row r="72" spans="1:18" x14ac:dyDescent="0.2">
      <c r="E72" s="13"/>
      <c r="F72" s="13"/>
      <c r="G72" s="13"/>
      <c r="H72" s="13"/>
      <c r="I72" s="13"/>
      <c r="J72" s="13"/>
      <c r="K72" s="13"/>
      <c r="L72" s="13"/>
      <c r="M72" s="13"/>
      <c r="N72" s="13"/>
      <c r="O72" s="13"/>
      <c r="P72" s="13"/>
    </row>
    <row r="73" spans="1:18" x14ac:dyDescent="0.2">
      <c r="A73" t="s">
        <v>672</v>
      </c>
      <c r="B73" t="s">
        <v>669</v>
      </c>
      <c r="C73" t="s">
        <v>44</v>
      </c>
      <c r="D73" t="s">
        <v>490</v>
      </c>
      <c r="E73" s="13">
        <v>0.869576494874024</v>
      </c>
      <c r="F73" s="13">
        <v>0.26415660459884599</v>
      </c>
      <c r="G73" s="13">
        <v>1.45461448275862E-2</v>
      </c>
      <c r="H73" s="13">
        <v>0.45194871910692702</v>
      </c>
      <c r="I73" s="13">
        <v>2.93641602731642E-2</v>
      </c>
      <c r="J73" s="13">
        <v>2.51957482776973E-2</v>
      </c>
      <c r="K73" s="13"/>
      <c r="L73" s="13">
        <v>2.1459945675808599E-4</v>
      </c>
      <c r="M73" s="13">
        <v>3.7803452981288101E-2</v>
      </c>
      <c r="N73" s="13"/>
      <c r="O73" s="13">
        <v>2.9298483418736899E-2</v>
      </c>
      <c r="P73" s="13">
        <v>1.7048581933020002E-2</v>
      </c>
    </row>
    <row r="74" spans="1:18" x14ac:dyDescent="0.2">
      <c r="A74" s="505" t="s">
        <v>672</v>
      </c>
      <c r="B74" s="80" t="s">
        <v>669</v>
      </c>
      <c r="C74" s="80" t="s">
        <v>40</v>
      </c>
      <c r="D74" s="80" t="s">
        <v>490</v>
      </c>
      <c r="E74" s="79">
        <f>SUM(F74:P74)</f>
        <v>0.27628755742228522</v>
      </c>
      <c r="F74" s="79">
        <f>$C$92*(AVERAGE(F56,F62,F68))/$C$91</f>
        <v>0.15910156565543271</v>
      </c>
      <c r="G74" s="79">
        <f>$C$92*(AVERAGE(G56,G62,G68))/$C$91</f>
        <v>1.3034482758620692E-2</v>
      </c>
      <c r="H74" s="79"/>
      <c r="I74" s="79"/>
      <c r="J74" s="79">
        <f>$C$92*(AVERAGE(J56,J62,J68))/$C$91</f>
        <v>2.4688740026345465E-2</v>
      </c>
      <c r="K74" s="79"/>
      <c r="L74" s="79">
        <f>$C$92*(AVERAGE(L56,L62,L68))/$C$91</f>
        <v>1.9317593037941337E-4</v>
      </c>
      <c r="M74" s="79">
        <f>$C$92*(AVERAGE(M56,M62,M68))/$C$91</f>
        <v>3.6802128767029069E-2</v>
      </c>
      <c r="N74" s="79"/>
      <c r="O74" s="79">
        <f>C92*(C95*AVERAGE(EF_el_CO2_FR,EF_el_CO2_DE,EF_el_CO2_PL)+C96*EF_biofuels_CO2)</f>
        <v>2.6267464284477883E-2</v>
      </c>
      <c r="P74" s="506">
        <v>1.6199999999999999E-2</v>
      </c>
      <c r="R74" t="s">
        <v>673</v>
      </c>
    </row>
    <row r="75" spans="1:18" x14ac:dyDescent="0.2">
      <c r="A75" s="272" t="s">
        <v>672</v>
      </c>
      <c r="B75" t="s">
        <v>669</v>
      </c>
      <c r="C75" t="s">
        <v>41</v>
      </c>
      <c r="D75" t="s">
        <v>490</v>
      </c>
      <c r="E75" s="442">
        <f>SUM(F75:P75)</f>
        <v>4.6478527325651404E-4</v>
      </c>
      <c r="F75" s="442">
        <f>$C$92*(AVERAGE(F57,F63,F69))/$C$91</f>
        <v>3.0425509539765735E-4</v>
      </c>
      <c r="G75" s="442">
        <f>$C$92*(AVERAGE(G57,G63,G69))/$C$91</f>
        <v>4.5862068965517246E-5</v>
      </c>
      <c r="H75" s="442"/>
      <c r="I75" s="442"/>
      <c r="J75" s="442">
        <f>$C$92*(AVERAGE(J57,J63,J69))/$C$91</f>
        <v>1.0936279334641704E-5</v>
      </c>
      <c r="K75" s="442"/>
      <c r="L75" s="442">
        <f>$C$92*(AVERAGE(L57,L63,L69))/$C$91</f>
        <v>6.4606960551724142E-7</v>
      </c>
      <c r="M75" s="442">
        <f>$C$92*(AVERAGE(M57,M63,M69))/$C$91</f>
        <v>2.1884761697575211E-5</v>
      </c>
      <c r="N75" s="442"/>
      <c r="O75" s="442">
        <f>C92*(C95*AVERAGE(EF_el_CH4_FR,EF_el_CH4_DE,EF_el_CH4_PL)+C96*EF_biofuel_CH4)</f>
        <v>5.7027085212127035E-5</v>
      </c>
      <c r="P75" s="507">
        <f>0.556/1000/23</f>
        <v>2.4173913043478263E-5</v>
      </c>
      <c r="R75" t="s">
        <v>674</v>
      </c>
    </row>
    <row r="76" spans="1:18" x14ac:dyDescent="0.2">
      <c r="A76" s="272" t="s">
        <v>672</v>
      </c>
      <c r="B76" t="s">
        <v>669</v>
      </c>
      <c r="C76" t="s">
        <v>547</v>
      </c>
      <c r="D76" t="s">
        <v>490</v>
      </c>
      <c r="E76" s="442"/>
      <c r="F76" s="442"/>
      <c r="G76" s="442"/>
      <c r="H76" s="442"/>
      <c r="I76" s="442"/>
      <c r="J76" s="442"/>
      <c r="K76" s="442"/>
      <c r="L76" s="442"/>
      <c r="M76" s="442"/>
      <c r="N76" s="442"/>
      <c r="O76" s="442"/>
      <c r="P76" s="507"/>
    </row>
    <row r="77" spans="1:18" x14ac:dyDescent="0.2">
      <c r="A77" s="332" t="s">
        <v>672</v>
      </c>
      <c r="B77" s="333" t="s">
        <v>669</v>
      </c>
      <c r="C77" s="333" t="s">
        <v>43</v>
      </c>
      <c r="D77" s="333" t="s">
        <v>490</v>
      </c>
      <c r="E77" s="508">
        <f>SUM(F77:P77)</f>
        <v>1.5426052012212821E-3</v>
      </c>
      <c r="F77" s="508">
        <f>$C$92*(AVERAGE(F59,F65,F71))/$C$91</f>
        <v>3.5160526410462891E-4</v>
      </c>
      <c r="G77" s="508">
        <f>$C$92*(AVERAGE(G59,G65,G71))/$C$91</f>
        <v>5.3103448275862083E-7</v>
      </c>
      <c r="H77" s="508">
        <f>$C$92*(AVERAGE(H59,H65,H71))/$C$91</f>
        <v>1.0756102664162706E-3</v>
      </c>
      <c r="I77" s="508">
        <f>$C$92*(AVERAGE(I59,I65,I71))/$C$91</f>
        <v>1.0756102664162704E-4</v>
      </c>
      <c r="J77" s="508">
        <f>$C$92*(AVERAGE(J59,J65,J71))/$C$91</f>
        <v>6.6339607025480393E-7</v>
      </c>
      <c r="K77" s="508"/>
      <c r="L77" s="508">
        <f>$C$92*(AVERAGE(L59,L65,L71))/$C$91</f>
        <v>7.9511067188965528E-9</v>
      </c>
      <c r="M77" s="508">
        <f>$C$92*(AVERAGE(M59,M65,M71))/$C$91</f>
        <v>1.2789681892721842E-6</v>
      </c>
      <c r="N77" s="508"/>
      <c r="O77" s="508">
        <f>C92*(C95*AVERAGE(EF_el_N2O_FR,EF_el_N2O_DE,EF_el_N2O_PL)+C96*EF_biofuel_N2O)</f>
        <v>4.8776996151562936E-6</v>
      </c>
      <c r="P77" s="509">
        <f>0.139/1000/296</f>
        <v>4.6959459459459463E-7</v>
      </c>
      <c r="R77" t="s">
        <v>674</v>
      </c>
    </row>
    <row r="80" spans="1:18" ht="18" customHeight="1" x14ac:dyDescent="0.25">
      <c r="A80" s="194" t="s">
        <v>651</v>
      </c>
    </row>
    <row r="82" spans="1:18" x14ac:dyDescent="0.2">
      <c r="A82" s="382" t="s">
        <v>458</v>
      </c>
      <c r="B82" s="276"/>
      <c r="C82" s="276"/>
      <c r="D82" s="276"/>
      <c r="E82" s="276"/>
      <c r="F82" s="383" t="s">
        <v>141</v>
      </c>
      <c r="G82" s="383" t="s">
        <v>132</v>
      </c>
      <c r="H82" s="383" t="s">
        <v>142</v>
      </c>
      <c r="I82" s="383" t="s">
        <v>143</v>
      </c>
      <c r="J82" s="384" t="s">
        <v>144</v>
      </c>
      <c r="K82" s="384" t="s">
        <v>145</v>
      </c>
      <c r="L82" s="384" t="s">
        <v>146</v>
      </c>
      <c r="M82" s="446"/>
      <c r="N82" s="380"/>
      <c r="O82" s="380"/>
      <c r="P82" s="381"/>
    </row>
    <row r="83" spans="1:18" ht="43.5" customHeight="1" x14ac:dyDescent="0.2">
      <c r="A83" s="386" t="s">
        <v>13</v>
      </c>
      <c r="B83" s="386" t="s">
        <v>458</v>
      </c>
      <c r="C83" s="386" t="s">
        <v>460</v>
      </c>
      <c r="D83" s="386" t="s">
        <v>16</v>
      </c>
      <c r="E83" s="346" t="s">
        <v>17</v>
      </c>
      <c r="F83" s="387" t="s">
        <v>156</v>
      </c>
      <c r="G83" s="387" t="s">
        <v>486</v>
      </c>
      <c r="H83" s="387" t="s">
        <v>487</v>
      </c>
      <c r="I83" s="388" t="s">
        <v>159</v>
      </c>
      <c r="J83" s="389" t="s">
        <v>160</v>
      </c>
      <c r="K83" s="390" t="s">
        <v>161</v>
      </c>
      <c r="L83" s="390" t="s">
        <v>162</v>
      </c>
      <c r="M83" s="380"/>
    </row>
    <row r="84" spans="1:18" x14ac:dyDescent="0.2">
      <c r="A84" s="272" t="s">
        <v>672</v>
      </c>
      <c r="B84" t="s">
        <v>671</v>
      </c>
      <c r="C84" s="18" t="s">
        <v>657</v>
      </c>
      <c r="D84" t="s">
        <v>45</v>
      </c>
      <c r="E84" t="s">
        <v>46</v>
      </c>
      <c r="F84">
        <v>3.05041729708624</v>
      </c>
      <c r="G84">
        <v>4.7160731472569703E-2</v>
      </c>
      <c r="H84">
        <v>5.13314084055181E-3</v>
      </c>
      <c r="I84">
        <v>5.0398432162958003E-3</v>
      </c>
      <c r="J84">
        <v>0.66988842289432105</v>
      </c>
      <c r="K84" s="53">
        <v>3.6670410199158097E-11</v>
      </c>
      <c r="L84">
        <v>2.86711793285263E-3</v>
      </c>
      <c r="N84" t="s">
        <v>654</v>
      </c>
    </row>
    <row r="85" spans="1:18" x14ac:dyDescent="0.2">
      <c r="A85" s="272" t="s">
        <v>672</v>
      </c>
      <c r="B85" t="s">
        <v>671</v>
      </c>
      <c r="C85" s="18" t="s">
        <v>657</v>
      </c>
      <c r="D85" t="s">
        <v>47</v>
      </c>
      <c r="E85" t="s">
        <v>48</v>
      </c>
      <c r="F85">
        <v>2.9846291598268899</v>
      </c>
      <c r="G85">
        <v>4.7160731472569703E-2</v>
      </c>
      <c r="H85">
        <v>5.13314084055181E-3</v>
      </c>
      <c r="I85">
        <v>0</v>
      </c>
      <c r="J85">
        <v>0.49457909998667898</v>
      </c>
      <c r="K85" s="53">
        <v>2.7374708977573999E-11</v>
      </c>
      <c r="L85">
        <v>2.86711793285263E-3</v>
      </c>
      <c r="N85" t="s">
        <v>656</v>
      </c>
    </row>
    <row r="86" spans="1:18" x14ac:dyDescent="0.2">
      <c r="A86" s="272" t="s">
        <v>672</v>
      </c>
      <c r="B86" t="s">
        <v>671</v>
      </c>
      <c r="C86" s="18" t="s">
        <v>657</v>
      </c>
      <c r="D86" t="s">
        <v>59</v>
      </c>
      <c r="E86" t="s">
        <v>60</v>
      </c>
      <c r="F86">
        <v>3.5333691381405901</v>
      </c>
      <c r="G86">
        <v>4.7160731472569703E-2</v>
      </c>
      <c r="H86">
        <v>5.13314084055181E-3</v>
      </c>
      <c r="I86">
        <v>0</v>
      </c>
      <c r="J86">
        <v>0.66057946682741997</v>
      </c>
      <c r="K86" s="53">
        <v>1.40747179424791E-11</v>
      </c>
      <c r="L86">
        <v>2.86711793285263E-3</v>
      </c>
    </row>
    <row r="88" spans="1:18" x14ac:dyDescent="0.2">
      <c r="A88" s="515" t="s">
        <v>672</v>
      </c>
      <c r="B88" s="511" t="s">
        <v>669</v>
      </c>
      <c r="C88" s="511" t="s">
        <v>657</v>
      </c>
      <c r="D88" s="511" t="s">
        <v>490</v>
      </c>
      <c r="E88" s="511"/>
      <c r="F88" s="512">
        <f t="shared" ref="F88:L88" si="1">$C$92*AVERAGE(F84:F86)/$C$91</f>
        <v>1.5397450382845068</v>
      </c>
      <c r="G88" s="512">
        <f t="shared" si="1"/>
        <v>2.276724967641296E-2</v>
      </c>
      <c r="H88" s="513">
        <f t="shared" si="1"/>
        <v>2.4780679919905292E-3</v>
      </c>
      <c r="I88" s="513">
        <f t="shared" si="1"/>
        <v>8.1100925319702543E-4</v>
      </c>
      <c r="J88" s="512">
        <f t="shared" si="1"/>
        <v>0.29368572248181479</v>
      </c>
      <c r="K88" s="514">
        <f t="shared" si="1"/>
        <v>1.2571008272056975E-11</v>
      </c>
      <c r="L88" s="514">
        <f t="shared" si="1"/>
        <v>1.3841258986185109E-3</v>
      </c>
    </row>
    <row r="90" spans="1:18" x14ac:dyDescent="0.2">
      <c r="A90" s="197" t="s">
        <v>675</v>
      </c>
      <c r="B90" s="197"/>
      <c r="C90" s="197"/>
      <c r="D90" s="197"/>
      <c r="E90" s="197"/>
      <c r="F90" s="197"/>
      <c r="G90" s="197"/>
      <c r="H90" s="197"/>
      <c r="I90" s="197"/>
      <c r="J90" s="197"/>
      <c r="K90" s="197"/>
      <c r="L90" s="197"/>
      <c r="M90" s="197"/>
      <c r="N90" s="197"/>
      <c r="O90" s="197"/>
      <c r="P90" s="197"/>
    </row>
    <row r="91" spans="1:18" x14ac:dyDescent="0.2">
      <c r="A91" t="s">
        <v>676</v>
      </c>
      <c r="C91">
        <v>0.57999999999999996</v>
      </c>
      <c r="E91" t="s">
        <v>677</v>
      </c>
      <c r="R91" t="s">
        <v>665</v>
      </c>
    </row>
    <row r="92" spans="1:18" x14ac:dyDescent="0.2">
      <c r="A92" t="s">
        <v>661</v>
      </c>
      <c r="C92">
        <v>0.28000000000000003</v>
      </c>
      <c r="E92" t="s">
        <v>678</v>
      </c>
      <c r="R92" t="s">
        <v>665</v>
      </c>
    </row>
    <row r="93" spans="1:18" x14ac:dyDescent="0.2">
      <c r="E93" t="s">
        <v>679</v>
      </c>
    </row>
    <row r="94" spans="1:18" x14ac:dyDescent="0.2">
      <c r="A94" t="s">
        <v>662</v>
      </c>
    </row>
    <row r="95" spans="1:18" x14ac:dyDescent="0.2">
      <c r="A95" t="s">
        <v>663</v>
      </c>
      <c r="C95">
        <v>0.16600000000000001</v>
      </c>
      <c r="D95" t="s">
        <v>664</v>
      </c>
      <c r="R95" t="s">
        <v>680</v>
      </c>
    </row>
    <row r="96" spans="1:18" x14ac:dyDescent="0.2">
      <c r="A96" t="s">
        <v>666</v>
      </c>
      <c r="C96">
        <v>0.97299999999999998</v>
      </c>
      <c r="D96" t="s">
        <v>664</v>
      </c>
      <c r="R96" t="s">
        <v>665</v>
      </c>
    </row>
    <row r="98" spans="1:18" x14ac:dyDescent="0.2">
      <c r="A98" t="s">
        <v>681</v>
      </c>
      <c r="R98" t="s">
        <v>682</v>
      </c>
    </row>
  </sheetData>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R74"/>
  <sheetViews>
    <sheetView topLeftCell="A56" zoomScale="72" zoomScaleNormal="72" workbookViewId="0">
      <selection activeCell="D85" sqref="D85"/>
    </sheetView>
  </sheetViews>
  <sheetFormatPr baseColWidth="10" defaultColWidth="8.6640625" defaultRowHeight="15" x14ac:dyDescent="0.2"/>
  <cols>
    <col min="1" max="1" width="10.6640625" customWidth="1"/>
    <col min="2" max="2" width="18.33203125" customWidth="1"/>
    <col min="3" max="3" width="11.66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5" customWidth="1"/>
    <col min="16" max="16" width="15" customWidth="1"/>
    <col min="17" max="17" width="17.6640625" customWidth="1"/>
    <col min="18" max="18" width="24.6640625" customWidth="1"/>
  </cols>
  <sheetData>
    <row r="2" spans="1:18" ht="21" customHeight="1" x14ac:dyDescent="0.25">
      <c r="A2" s="9" t="s">
        <v>640</v>
      </c>
      <c r="C2" s="25" t="s">
        <v>683</v>
      </c>
    </row>
    <row r="4" spans="1:18" ht="18" customHeight="1" x14ac:dyDescent="0.25">
      <c r="A4" s="431" t="s">
        <v>684</v>
      </c>
      <c r="B4" s="197"/>
      <c r="C4" s="197"/>
      <c r="D4" s="197"/>
      <c r="E4" s="197"/>
      <c r="F4" s="197"/>
      <c r="G4" s="197"/>
      <c r="H4" s="197"/>
      <c r="I4" s="197"/>
      <c r="J4" s="197"/>
      <c r="K4" s="197"/>
      <c r="L4" s="197"/>
      <c r="M4" s="197"/>
      <c r="N4" s="197"/>
      <c r="O4" s="197"/>
      <c r="P4" s="197"/>
    </row>
    <row r="6" spans="1:18" ht="18" customHeight="1" x14ac:dyDescent="0.25">
      <c r="A6" s="194" t="s">
        <v>641</v>
      </c>
    </row>
    <row r="8" spans="1:18" x14ac:dyDescent="0.2">
      <c r="A8" s="432" t="s">
        <v>458</v>
      </c>
      <c r="B8" s="433"/>
      <c r="C8" s="433"/>
      <c r="D8" s="433"/>
      <c r="E8" s="434" t="s">
        <v>6</v>
      </c>
      <c r="F8" s="434" t="s">
        <v>7</v>
      </c>
      <c r="G8" s="435"/>
      <c r="H8" s="434" t="s">
        <v>8</v>
      </c>
      <c r="I8" s="436"/>
      <c r="J8" s="437" t="s">
        <v>9</v>
      </c>
      <c r="K8" s="436"/>
      <c r="L8" s="436"/>
      <c r="M8" s="436"/>
      <c r="N8" s="437" t="s">
        <v>10</v>
      </c>
      <c r="O8" s="437" t="s">
        <v>11</v>
      </c>
      <c r="P8" s="437" t="s">
        <v>12</v>
      </c>
    </row>
    <row r="9" spans="1:18" ht="43.5" customHeight="1" x14ac:dyDescent="0.2">
      <c r="A9" s="438" t="s">
        <v>13</v>
      </c>
      <c r="B9" s="438" t="s">
        <v>458</v>
      </c>
      <c r="C9" s="438" t="s">
        <v>18</v>
      </c>
      <c r="D9" s="439" t="s">
        <v>545</v>
      </c>
      <c r="E9" s="440"/>
      <c r="F9" s="49" t="s">
        <v>20</v>
      </c>
      <c r="G9" s="49" t="s">
        <v>21</v>
      </c>
      <c r="H9" s="49" t="s">
        <v>22</v>
      </c>
      <c r="I9" s="49" t="s">
        <v>461</v>
      </c>
      <c r="J9" s="49" t="s">
        <v>24</v>
      </c>
      <c r="K9" s="49" t="s">
        <v>25</v>
      </c>
      <c r="L9" s="49" t="s">
        <v>26</v>
      </c>
      <c r="M9" s="49" t="s">
        <v>27</v>
      </c>
      <c r="N9" s="49" t="s">
        <v>28</v>
      </c>
      <c r="O9" s="49"/>
      <c r="P9" s="49"/>
      <c r="R9" s="441" t="s">
        <v>642</v>
      </c>
    </row>
    <row r="10" spans="1:18" x14ac:dyDescent="0.2">
      <c r="B10" t="s">
        <v>684</v>
      </c>
      <c r="C10" t="s">
        <v>44</v>
      </c>
      <c r="D10" t="s">
        <v>685</v>
      </c>
      <c r="E10" s="13">
        <f>SUM(F10:P10)</f>
        <v>0</v>
      </c>
      <c r="F10" s="13"/>
      <c r="G10" s="13"/>
      <c r="H10" s="13"/>
      <c r="I10" s="13"/>
      <c r="J10" s="13"/>
      <c r="K10" s="13"/>
      <c r="L10" s="13"/>
      <c r="M10" s="13"/>
      <c r="N10" s="13"/>
      <c r="O10" s="13"/>
      <c r="P10" s="13"/>
    </row>
    <row r="11" spans="1:18" x14ac:dyDescent="0.2">
      <c r="B11" t="s">
        <v>684</v>
      </c>
      <c r="C11" t="s">
        <v>40</v>
      </c>
      <c r="D11" t="s">
        <v>685</v>
      </c>
      <c r="E11" s="13">
        <f>SUM(F11:P11)</f>
        <v>0</v>
      </c>
      <c r="F11" s="13"/>
      <c r="G11" s="13"/>
      <c r="H11" s="13"/>
      <c r="I11" s="13"/>
      <c r="J11" s="13"/>
      <c r="K11" s="13"/>
      <c r="L11" s="13"/>
      <c r="M11" s="13"/>
      <c r="N11" s="13"/>
      <c r="O11" s="13"/>
      <c r="P11" s="13"/>
      <c r="R11" t="s">
        <v>649</v>
      </c>
    </row>
    <row r="12" spans="1:18" x14ac:dyDescent="0.2">
      <c r="B12" t="s">
        <v>684</v>
      </c>
      <c r="C12" t="s">
        <v>41</v>
      </c>
      <c r="D12" t="s">
        <v>685</v>
      </c>
      <c r="E12" s="442">
        <f>SUM(F12:P12)</f>
        <v>0</v>
      </c>
      <c r="F12" s="442"/>
      <c r="G12" s="442"/>
      <c r="H12" s="442"/>
      <c r="I12" s="442"/>
      <c r="J12" s="442"/>
      <c r="K12" s="442"/>
      <c r="L12" s="442"/>
      <c r="M12" s="442"/>
      <c r="N12" s="442"/>
      <c r="O12" s="442"/>
      <c r="P12" s="442"/>
      <c r="R12" t="s">
        <v>650</v>
      </c>
    </row>
    <row r="13" spans="1:18" x14ac:dyDescent="0.2">
      <c r="B13" t="s">
        <v>684</v>
      </c>
      <c r="C13" t="s">
        <v>547</v>
      </c>
      <c r="D13" t="s">
        <v>685</v>
      </c>
      <c r="E13" s="442">
        <f>SUM(F13:P13)</f>
        <v>0</v>
      </c>
      <c r="F13" s="442"/>
      <c r="G13" s="442"/>
      <c r="H13" s="442"/>
      <c r="I13" s="442"/>
      <c r="J13" s="442"/>
      <c r="K13" s="442"/>
      <c r="L13" s="442"/>
      <c r="M13" s="442"/>
      <c r="N13" s="442"/>
      <c r="O13" s="442"/>
      <c r="P13" s="442"/>
    </row>
    <row r="14" spans="1:18" x14ac:dyDescent="0.2">
      <c r="B14" t="s">
        <v>684</v>
      </c>
      <c r="C14" t="s">
        <v>43</v>
      </c>
      <c r="D14" t="s">
        <v>685</v>
      </c>
      <c r="E14" s="442">
        <f>SUM(F14:P14)</f>
        <v>0</v>
      </c>
      <c r="F14" s="442"/>
      <c r="G14" s="442"/>
      <c r="H14" s="442"/>
      <c r="I14" s="442"/>
      <c r="J14" s="442"/>
      <c r="K14" s="442"/>
      <c r="L14" s="442"/>
      <c r="M14" s="442"/>
      <c r="N14" s="442"/>
      <c r="O14" s="442"/>
      <c r="P14" s="442"/>
      <c r="R14" t="s">
        <v>650</v>
      </c>
    </row>
    <row r="16" spans="1:18" ht="18" customHeight="1" x14ac:dyDescent="0.25">
      <c r="A16" s="194" t="s">
        <v>651</v>
      </c>
    </row>
    <row r="18" spans="1:16" x14ac:dyDescent="0.2">
      <c r="A18" s="382" t="s">
        <v>458</v>
      </c>
      <c r="B18" s="276"/>
      <c r="C18" s="276"/>
      <c r="D18" s="276"/>
      <c r="E18" s="276"/>
      <c r="F18" s="383" t="s">
        <v>141</v>
      </c>
      <c r="G18" s="383" t="s">
        <v>132</v>
      </c>
      <c r="H18" s="383" t="s">
        <v>142</v>
      </c>
      <c r="I18" s="383" t="s">
        <v>143</v>
      </c>
      <c r="J18" s="384" t="s">
        <v>144</v>
      </c>
      <c r="K18" s="384" t="s">
        <v>145</v>
      </c>
      <c r="L18" s="384" t="s">
        <v>146</v>
      </c>
      <c r="M18" s="446"/>
      <c r="N18" s="380"/>
      <c r="O18" s="380"/>
      <c r="P18" s="381"/>
    </row>
    <row r="19" spans="1:16" ht="43.5" customHeight="1" x14ac:dyDescent="0.2">
      <c r="A19" s="386" t="s">
        <v>13</v>
      </c>
      <c r="B19" s="386" t="s">
        <v>458</v>
      </c>
      <c r="C19" s="386" t="s">
        <v>460</v>
      </c>
      <c r="D19" s="386" t="s">
        <v>16</v>
      </c>
      <c r="E19" s="346" t="s">
        <v>17</v>
      </c>
      <c r="F19" s="387" t="s">
        <v>156</v>
      </c>
      <c r="G19" s="387" t="s">
        <v>486</v>
      </c>
      <c r="H19" s="387" t="s">
        <v>487</v>
      </c>
      <c r="I19" s="388" t="s">
        <v>159</v>
      </c>
      <c r="J19" s="389" t="s">
        <v>160</v>
      </c>
      <c r="K19" s="390" t="s">
        <v>161</v>
      </c>
      <c r="L19" s="390" t="s">
        <v>162</v>
      </c>
      <c r="M19" s="380"/>
    </row>
    <row r="20" spans="1:16" x14ac:dyDescent="0.2">
      <c r="A20" s="447"/>
      <c r="B20" t="s">
        <v>684</v>
      </c>
      <c r="C20" s="18" t="s">
        <v>463</v>
      </c>
      <c r="D20" t="s">
        <v>88</v>
      </c>
      <c r="E20" t="s">
        <v>39</v>
      </c>
      <c r="F20" s="59">
        <f t="shared" ref="F20:F30" si="0">1/$C$33*10000</f>
        <v>1.4285714285714286</v>
      </c>
      <c r="G20" s="13">
        <f t="shared" ref="G20:G30" si="1">$C$34/$C$33</f>
        <v>1.4285714285714285E-2</v>
      </c>
      <c r="H20">
        <v>2E-3</v>
      </c>
      <c r="I20">
        <v>0</v>
      </c>
      <c r="J20" s="350">
        <f t="shared" ref="J20:J30" si="2">0.0835652093*10^-3*1000</f>
        <v>8.3565209299999998E-2</v>
      </c>
      <c r="K20">
        <f>F20/10000*4.49051507445716E-07</f>
        <v>6.4150215349388005E-11</v>
      </c>
    </row>
    <row r="21" spans="1:16" x14ac:dyDescent="0.2">
      <c r="A21" s="447"/>
      <c r="B21" t="s">
        <v>684</v>
      </c>
      <c r="C21" s="18" t="s">
        <v>463</v>
      </c>
      <c r="D21" t="s">
        <v>45</v>
      </c>
      <c r="E21" t="s">
        <v>46</v>
      </c>
      <c r="F21" s="59">
        <f t="shared" si="0"/>
        <v>1.4285714285714286</v>
      </c>
      <c r="G21" s="13">
        <f t="shared" si="1"/>
        <v>1.4285714285714285E-2</v>
      </c>
      <c r="H21">
        <v>2E-3</v>
      </c>
      <c r="I21">
        <v>0</v>
      </c>
      <c r="J21" s="350">
        <f t="shared" si="2"/>
        <v>8.3565209299999998E-2</v>
      </c>
      <c r="M21" s="25" t="s">
        <v>686</v>
      </c>
    </row>
    <row r="22" spans="1:16" x14ac:dyDescent="0.2">
      <c r="A22" s="447"/>
      <c r="B22" t="s">
        <v>684</v>
      </c>
      <c r="C22" s="18" t="s">
        <v>463</v>
      </c>
      <c r="D22" t="s">
        <v>47</v>
      </c>
      <c r="E22" t="s">
        <v>48</v>
      </c>
      <c r="F22" s="59">
        <f t="shared" si="0"/>
        <v>1.4285714285714286</v>
      </c>
      <c r="G22" s="13">
        <f t="shared" si="1"/>
        <v>1.4285714285714285E-2</v>
      </c>
      <c r="H22">
        <v>2E-3</v>
      </c>
      <c r="I22">
        <v>0</v>
      </c>
      <c r="J22" s="350">
        <f t="shared" si="2"/>
        <v>8.3565209299999998E-2</v>
      </c>
    </row>
    <row r="23" spans="1:16" x14ac:dyDescent="0.2">
      <c r="A23" s="447"/>
      <c r="B23" t="s">
        <v>684</v>
      </c>
      <c r="C23" s="18" t="s">
        <v>463</v>
      </c>
      <c r="D23" t="s">
        <v>49</v>
      </c>
      <c r="E23" t="s">
        <v>50</v>
      </c>
      <c r="F23" s="59">
        <f t="shared" si="0"/>
        <v>1.4285714285714286</v>
      </c>
      <c r="G23" s="13">
        <f t="shared" si="1"/>
        <v>1.4285714285714285E-2</v>
      </c>
      <c r="H23">
        <v>2E-3</v>
      </c>
      <c r="I23">
        <v>0</v>
      </c>
      <c r="J23" s="350">
        <f t="shared" si="2"/>
        <v>8.3565209299999998E-2</v>
      </c>
    </row>
    <row r="24" spans="1:16" x14ac:dyDescent="0.2">
      <c r="A24" s="447"/>
      <c r="B24" t="s">
        <v>684</v>
      </c>
      <c r="C24" s="18" t="s">
        <v>463</v>
      </c>
      <c r="D24" t="s">
        <v>86</v>
      </c>
      <c r="E24" t="s">
        <v>52</v>
      </c>
      <c r="F24" s="59">
        <f t="shared" si="0"/>
        <v>1.4285714285714286</v>
      </c>
      <c r="G24" s="13">
        <f t="shared" si="1"/>
        <v>1.4285714285714285E-2</v>
      </c>
      <c r="H24">
        <v>2E-3</v>
      </c>
      <c r="I24">
        <v>0</v>
      </c>
      <c r="J24" s="350">
        <f t="shared" si="2"/>
        <v>8.3565209299999998E-2</v>
      </c>
    </row>
    <row r="25" spans="1:16" x14ac:dyDescent="0.2">
      <c r="A25" s="447"/>
      <c r="B25" t="s">
        <v>684</v>
      </c>
      <c r="C25" s="18" t="s">
        <v>463</v>
      </c>
      <c r="D25" t="s">
        <v>89</v>
      </c>
      <c r="E25" t="s">
        <v>54</v>
      </c>
      <c r="F25" s="59">
        <f t="shared" si="0"/>
        <v>1.4285714285714286</v>
      </c>
      <c r="G25" s="13">
        <f t="shared" si="1"/>
        <v>1.4285714285714285E-2</v>
      </c>
      <c r="H25">
        <v>2E-3</v>
      </c>
      <c r="I25">
        <v>0</v>
      </c>
      <c r="J25" s="350">
        <f t="shared" si="2"/>
        <v>8.3565209299999998E-2</v>
      </c>
    </row>
    <row r="26" spans="1:16" x14ac:dyDescent="0.2">
      <c r="A26" s="447"/>
      <c r="B26" t="s">
        <v>684</v>
      </c>
      <c r="C26" s="18" t="s">
        <v>463</v>
      </c>
      <c r="D26" t="s">
        <v>55</v>
      </c>
      <c r="E26" t="s">
        <v>56</v>
      </c>
      <c r="F26" s="59">
        <f t="shared" si="0"/>
        <v>1.4285714285714286</v>
      </c>
      <c r="G26" s="13">
        <f t="shared" si="1"/>
        <v>1.4285714285714285E-2</v>
      </c>
      <c r="H26">
        <v>2E-3</v>
      </c>
      <c r="I26">
        <v>0</v>
      </c>
      <c r="J26" s="350">
        <f t="shared" si="2"/>
        <v>8.3565209299999998E-2</v>
      </c>
    </row>
    <row r="27" spans="1:16" x14ac:dyDescent="0.2">
      <c r="A27" s="447"/>
      <c r="B27" t="s">
        <v>684</v>
      </c>
      <c r="C27" s="18" t="s">
        <v>463</v>
      </c>
      <c r="D27" t="s">
        <v>87</v>
      </c>
      <c r="E27" t="s">
        <v>58</v>
      </c>
      <c r="F27" s="59">
        <f t="shared" si="0"/>
        <v>1.4285714285714286</v>
      </c>
      <c r="G27" s="13">
        <f t="shared" si="1"/>
        <v>1.4285714285714285E-2</v>
      </c>
      <c r="H27">
        <v>2E-3</v>
      </c>
      <c r="I27">
        <v>0</v>
      </c>
      <c r="J27" s="350">
        <f t="shared" si="2"/>
        <v>8.3565209299999998E-2</v>
      </c>
    </row>
    <row r="28" spans="1:16" x14ac:dyDescent="0.2">
      <c r="A28" s="447"/>
      <c r="B28" t="s">
        <v>684</v>
      </c>
      <c r="C28" s="18" t="s">
        <v>463</v>
      </c>
      <c r="D28" t="s">
        <v>59</v>
      </c>
      <c r="E28" t="s">
        <v>60</v>
      </c>
      <c r="F28" s="59">
        <f t="shared" si="0"/>
        <v>1.4285714285714286</v>
      </c>
      <c r="G28" s="13">
        <f t="shared" si="1"/>
        <v>1.4285714285714285E-2</v>
      </c>
      <c r="H28">
        <v>2E-3</v>
      </c>
      <c r="I28">
        <v>0</v>
      </c>
      <c r="J28" s="350">
        <f t="shared" si="2"/>
        <v>8.3565209299999998E-2</v>
      </c>
    </row>
    <row r="29" spans="1:16" x14ac:dyDescent="0.2">
      <c r="A29" s="447"/>
      <c r="B29" t="s">
        <v>684</v>
      </c>
      <c r="C29" s="18" t="s">
        <v>463</v>
      </c>
      <c r="D29" t="s">
        <v>61</v>
      </c>
      <c r="E29" t="s">
        <v>62</v>
      </c>
      <c r="F29" s="59">
        <f t="shared" si="0"/>
        <v>1.4285714285714286</v>
      </c>
      <c r="G29" s="13">
        <f t="shared" si="1"/>
        <v>1.4285714285714285E-2</v>
      </c>
      <c r="H29">
        <v>2E-3</v>
      </c>
      <c r="I29">
        <v>0</v>
      </c>
      <c r="J29" s="350">
        <f t="shared" si="2"/>
        <v>8.3565209299999998E-2</v>
      </c>
    </row>
    <row r="30" spans="1:16" x14ac:dyDescent="0.2">
      <c r="A30" s="447"/>
      <c r="B30" t="s">
        <v>684</v>
      </c>
      <c r="C30" s="18" t="s">
        <v>463</v>
      </c>
      <c r="D30" s="58" t="s">
        <v>63</v>
      </c>
      <c r="E30" s="58" t="s">
        <v>64</v>
      </c>
      <c r="F30" s="59">
        <f t="shared" si="0"/>
        <v>1.4285714285714286</v>
      </c>
      <c r="G30" s="13">
        <f t="shared" si="1"/>
        <v>1.4285714285714285E-2</v>
      </c>
      <c r="H30">
        <v>2E-3</v>
      </c>
      <c r="I30">
        <v>0</v>
      </c>
      <c r="J30" s="350">
        <f t="shared" si="2"/>
        <v>8.3565209299999998E-2</v>
      </c>
    </row>
    <row r="32" spans="1:16" x14ac:dyDescent="0.2">
      <c r="A32" s="197" t="s">
        <v>687</v>
      </c>
      <c r="B32" s="197"/>
      <c r="C32" s="197"/>
      <c r="D32" s="197"/>
      <c r="E32" s="197"/>
      <c r="F32" s="197"/>
      <c r="G32" s="197"/>
      <c r="H32" s="197"/>
      <c r="I32" s="197"/>
      <c r="J32" s="197"/>
      <c r="K32" s="197"/>
      <c r="L32" s="197"/>
      <c r="M32" s="197"/>
      <c r="N32" s="197"/>
      <c r="O32" s="197"/>
      <c r="P32" s="197"/>
    </row>
    <row r="33" spans="1:18" x14ac:dyDescent="0.2">
      <c r="A33" t="s">
        <v>688</v>
      </c>
      <c r="C33">
        <v>7000</v>
      </c>
      <c r="D33" t="s">
        <v>689</v>
      </c>
      <c r="R33" t="s">
        <v>690</v>
      </c>
    </row>
    <row r="34" spans="1:18" x14ac:dyDescent="0.2">
      <c r="A34" t="s">
        <v>691</v>
      </c>
      <c r="C34">
        <v>100</v>
      </c>
    </row>
    <row r="36" spans="1:18" x14ac:dyDescent="0.2">
      <c r="A36" t="s">
        <v>662</v>
      </c>
    </row>
    <row r="37" spans="1:18" x14ac:dyDescent="0.2">
      <c r="A37" t="s">
        <v>663</v>
      </c>
      <c r="D37" t="s">
        <v>692</v>
      </c>
    </row>
    <row r="38" spans="1:18" x14ac:dyDescent="0.2">
      <c r="A38" t="s">
        <v>666</v>
      </c>
      <c r="D38" t="s">
        <v>692</v>
      </c>
    </row>
    <row r="40" spans="1:18" ht="18" customHeight="1" x14ac:dyDescent="0.25">
      <c r="A40" s="431" t="s">
        <v>693</v>
      </c>
      <c r="B40" s="197"/>
      <c r="C40" s="197"/>
      <c r="D40" s="197"/>
      <c r="E40" s="197"/>
      <c r="F40" s="197"/>
      <c r="G40" s="197"/>
      <c r="H40" s="197"/>
      <c r="I40" s="197"/>
      <c r="J40" s="197"/>
      <c r="K40" s="197"/>
      <c r="L40" s="197"/>
      <c r="M40" s="197"/>
      <c r="N40" s="197"/>
      <c r="O40" s="197"/>
      <c r="P40" s="197"/>
    </row>
    <row r="42" spans="1:18" ht="18" customHeight="1" x14ac:dyDescent="0.25">
      <c r="A42" s="194" t="s">
        <v>641</v>
      </c>
    </row>
    <row r="44" spans="1:18" x14ac:dyDescent="0.2">
      <c r="A44" s="432" t="s">
        <v>458</v>
      </c>
      <c r="B44" s="433"/>
      <c r="C44" s="433"/>
      <c r="D44" s="433"/>
      <c r="E44" s="434" t="s">
        <v>6</v>
      </c>
      <c r="F44" s="434" t="s">
        <v>7</v>
      </c>
      <c r="G44" s="435"/>
      <c r="H44" s="434" t="s">
        <v>8</v>
      </c>
      <c r="I44" s="436"/>
      <c r="J44" s="437" t="s">
        <v>9</v>
      </c>
      <c r="K44" s="436"/>
      <c r="L44" s="436"/>
      <c r="M44" s="436"/>
      <c r="N44" s="437" t="s">
        <v>10</v>
      </c>
      <c r="O44" s="437" t="s">
        <v>11</v>
      </c>
      <c r="P44" s="437" t="s">
        <v>12</v>
      </c>
    </row>
    <row r="45" spans="1:18" ht="43.5" customHeight="1" x14ac:dyDescent="0.2">
      <c r="A45" s="438" t="s">
        <v>13</v>
      </c>
      <c r="B45" s="438" t="s">
        <v>458</v>
      </c>
      <c r="C45" s="438" t="s">
        <v>18</v>
      </c>
      <c r="D45" s="439" t="s">
        <v>545</v>
      </c>
      <c r="E45" s="440"/>
      <c r="F45" s="49" t="s">
        <v>20</v>
      </c>
      <c r="G45" s="49" t="s">
        <v>21</v>
      </c>
      <c r="H45" s="49" t="s">
        <v>22</v>
      </c>
      <c r="I45" s="49" t="s">
        <v>461</v>
      </c>
      <c r="J45" s="49" t="s">
        <v>24</v>
      </c>
      <c r="K45" s="49" t="s">
        <v>25</v>
      </c>
      <c r="L45" s="49" t="s">
        <v>26</v>
      </c>
      <c r="M45" s="49" t="s">
        <v>27</v>
      </c>
      <c r="N45" s="49" t="s">
        <v>28</v>
      </c>
      <c r="O45" s="49"/>
      <c r="P45" s="49"/>
      <c r="R45" s="441" t="s">
        <v>642</v>
      </c>
    </row>
    <row r="46" spans="1:18" x14ac:dyDescent="0.2">
      <c r="B46" t="s">
        <v>694</v>
      </c>
      <c r="C46" t="s">
        <v>44</v>
      </c>
      <c r="D46" t="s">
        <v>685</v>
      </c>
      <c r="E46" s="13">
        <f>SUM(F46:P46)</f>
        <v>0</v>
      </c>
      <c r="F46" s="13"/>
      <c r="G46" s="13"/>
      <c r="H46" s="13"/>
      <c r="I46" s="13"/>
      <c r="J46" s="13"/>
      <c r="K46" s="13"/>
      <c r="L46" s="13"/>
      <c r="M46" s="13"/>
      <c r="N46" s="13"/>
      <c r="O46" s="13"/>
      <c r="P46" s="13"/>
    </row>
    <row r="47" spans="1:18" x14ac:dyDescent="0.2">
      <c r="B47" t="s">
        <v>694</v>
      </c>
      <c r="C47" t="s">
        <v>40</v>
      </c>
      <c r="D47" t="s">
        <v>685</v>
      </c>
      <c r="E47" s="13">
        <f>SUM(F47:P47)</f>
        <v>0</v>
      </c>
      <c r="F47" s="13"/>
      <c r="G47" s="13"/>
      <c r="H47" s="13"/>
      <c r="I47" s="13"/>
      <c r="J47" s="13"/>
      <c r="K47" s="13"/>
      <c r="L47" s="13"/>
      <c r="M47" s="13"/>
      <c r="N47" s="13"/>
      <c r="O47" s="13"/>
      <c r="P47" s="13"/>
      <c r="R47" t="s">
        <v>649</v>
      </c>
    </row>
    <row r="48" spans="1:18" x14ac:dyDescent="0.2">
      <c r="B48" t="s">
        <v>694</v>
      </c>
      <c r="C48" t="s">
        <v>41</v>
      </c>
      <c r="D48" t="s">
        <v>685</v>
      </c>
      <c r="E48" s="442">
        <f>SUM(F48:P48)</f>
        <v>0</v>
      </c>
      <c r="F48" s="442"/>
      <c r="G48" s="442"/>
      <c r="H48" s="442"/>
      <c r="I48" s="442"/>
      <c r="J48" s="442"/>
      <c r="K48" s="442"/>
      <c r="L48" s="442"/>
      <c r="M48" s="442"/>
      <c r="N48" s="442"/>
      <c r="O48" s="442"/>
      <c r="P48" s="442"/>
      <c r="R48" t="s">
        <v>650</v>
      </c>
    </row>
    <row r="49" spans="1:18" x14ac:dyDescent="0.2">
      <c r="B49" t="s">
        <v>694</v>
      </c>
      <c r="C49" t="s">
        <v>547</v>
      </c>
      <c r="D49" t="s">
        <v>685</v>
      </c>
      <c r="E49" s="442">
        <f>SUM(F49:P49)</f>
        <v>0</v>
      </c>
      <c r="F49" s="442"/>
      <c r="G49" s="442"/>
      <c r="H49" s="442"/>
      <c r="I49" s="442"/>
      <c r="J49" s="442"/>
      <c r="K49" s="442"/>
      <c r="L49" s="442"/>
      <c r="M49" s="442"/>
      <c r="N49" s="442"/>
      <c r="O49" s="442"/>
      <c r="P49" s="442"/>
    </row>
    <row r="50" spans="1:18" x14ac:dyDescent="0.2">
      <c r="B50" t="s">
        <v>694</v>
      </c>
      <c r="C50" t="s">
        <v>43</v>
      </c>
      <c r="D50" t="s">
        <v>685</v>
      </c>
      <c r="E50" s="442">
        <f>SUM(F50:P50)</f>
        <v>0</v>
      </c>
      <c r="F50" s="442"/>
      <c r="G50" s="442"/>
      <c r="H50" s="442"/>
      <c r="I50" s="442"/>
      <c r="J50" s="442"/>
      <c r="K50" s="442"/>
      <c r="L50" s="442"/>
      <c r="M50" s="442"/>
      <c r="N50" s="442"/>
      <c r="O50" s="442"/>
      <c r="P50" s="442"/>
      <c r="R50" t="s">
        <v>650</v>
      </c>
    </row>
    <row r="52" spans="1:18" ht="18" customHeight="1" x14ac:dyDescent="0.25">
      <c r="A52" s="194" t="s">
        <v>651</v>
      </c>
    </row>
    <row r="54" spans="1:18" x14ac:dyDescent="0.2">
      <c r="A54" s="382" t="s">
        <v>458</v>
      </c>
      <c r="B54" s="276"/>
      <c r="C54" s="276"/>
      <c r="D54" s="276"/>
      <c r="E54" s="276"/>
      <c r="F54" s="383" t="s">
        <v>141</v>
      </c>
      <c r="G54" s="383" t="s">
        <v>132</v>
      </c>
      <c r="H54" s="383" t="s">
        <v>142</v>
      </c>
      <c r="I54" s="383" t="s">
        <v>143</v>
      </c>
      <c r="J54" s="384" t="s">
        <v>144</v>
      </c>
      <c r="K54" s="384" t="s">
        <v>145</v>
      </c>
      <c r="L54" s="384" t="s">
        <v>146</v>
      </c>
      <c r="M54" s="446"/>
      <c r="N54" s="380"/>
      <c r="O54" s="380"/>
      <c r="P54" s="381"/>
    </row>
    <row r="55" spans="1:18" ht="43.5" customHeight="1" x14ac:dyDescent="0.2">
      <c r="A55" s="386" t="s">
        <v>13</v>
      </c>
      <c r="B55" s="386" t="s">
        <v>458</v>
      </c>
      <c r="C55" s="386" t="s">
        <v>460</v>
      </c>
      <c r="D55" s="386" t="s">
        <v>16</v>
      </c>
      <c r="E55" s="346" t="s">
        <v>17</v>
      </c>
      <c r="F55" s="387" t="s">
        <v>156</v>
      </c>
      <c r="G55" s="387" t="s">
        <v>486</v>
      </c>
      <c r="H55" s="387" t="s">
        <v>487</v>
      </c>
      <c r="I55" s="388" t="s">
        <v>159</v>
      </c>
      <c r="J55" s="389" t="s">
        <v>160</v>
      </c>
      <c r="K55" s="390" t="s">
        <v>161</v>
      </c>
      <c r="L55" s="390" t="s">
        <v>162</v>
      </c>
      <c r="M55" s="380"/>
    </row>
    <row r="56" spans="1:18" x14ac:dyDescent="0.2">
      <c r="A56" s="447"/>
      <c r="B56" t="s">
        <v>694</v>
      </c>
      <c r="C56" s="18" t="s">
        <v>463</v>
      </c>
      <c r="D56" t="s">
        <v>88</v>
      </c>
      <c r="E56" t="s">
        <v>39</v>
      </c>
      <c r="F56" s="59">
        <f t="shared" ref="F56:F66" si="3">1/$C$33*10000</f>
        <v>1.4285714285714286</v>
      </c>
      <c r="G56" s="13">
        <f t="shared" ref="G56:G66" si="4">$C$34/$C$33</f>
        <v>1.4285714285714285E-2</v>
      </c>
      <c r="H56">
        <v>2E-3</v>
      </c>
      <c r="I56">
        <v>0</v>
      </c>
      <c r="J56" s="350">
        <f t="shared" ref="J56:J66" si="5">0.0835652093*10^-3*1000</f>
        <v>8.3565209299999998E-2</v>
      </c>
      <c r="K56">
        <f>F56/10000*4.49051507445716E-07</f>
        <v>6.4150215349388005E-11</v>
      </c>
    </row>
    <row r="57" spans="1:18" x14ac:dyDescent="0.2">
      <c r="A57" s="447"/>
      <c r="B57" t="s">
        <v>694</v>
      </c>
      <c r="C57" s="18" t="s">
        <v>463</v>
      </c>
      <c r="D57" t="s">
        <v>45</v>
      </c>
      <c r="E57" t="s">
        <v>46</v>
      </c>
      <c r="F57" s="59">
        <f t="shared" si="3"/>
        <v>1.4285714285714286</v>
      </c>
      <c r="G57" s="13">
        <f t="shared" si="4"/>
        <v>1.4285714285714285E-2</v>
      </c>
      <c r="H57">
        <v>2E-3</v>
      </c>
      <c r="I57">
        <v>0</v>
      </c>
      <c r="J57" s="350">
        <f t="shared" si="5"/>
        <v>8.3565209299999998E-2</v>
      </c>
      <c r="M57" s="25" t="s">
        <v>686</v>
      </c>
    </row>
    <row r="58" spans="1:18" x14ac:dyDescent="0.2">
      <c r="A58" s="447"/>
      <c r="B58" t="s">
        <v>694</v>
      </c>
      <c r="C58" s="18" t="s">
        <v>463</v>
      </c>
      <c r="D58" t="s">
        <v>47</v>
      </c>
      <c r="E58" t="s">
        <v>48</v>
      </c>
      <c r="F58" s="59">
        <f t="shared" si="3"/>
        <v>1.4285714285714286</v>
      </c>
      <c r="G58" s="13">
        <f t="shared" si="4"/>
        <v>1.4285714285714285E-2</v>
      </c>
      <c r="H58">
        <v>2E-3</v>
      </c>
      <c r="I58">
        <v>0</v>
      </c>
      <c r="J58" s="350">
        <f t="shared" si="5"/>
        <v>8.3565209299999998E-2</v>
      </c>
    </row>
    <row r="59" spans="1:18" x14ac:dyDescent="0.2">
      <c r="A59" s="447"/>
      <c r="B59" t="s">
        <v>694</v>
      </c>
      <c r="C59" s="18" t="s">
        <v>463</v>
      </c>
      <c r="D59" t="s">
        <v>49</v>
      </c>
      <c r="E59" t="s">
        <v>50</v>
      </c>
      <c r="F59" s="59">
        <f t="shared" si="3"/>
        <v>1.4285714285714286</v>
      </c>
      <c r="G59" s="13">
        <f t="shared" si="4"/>
        <v>1.4285714285714285E-2</v>
      </c>
      <c r="H59">
        <v>2E-3</v>
      </c>
      <c r="I59">
        <v>0</v>
      </c>
      <c r="J59" s="350">
        <f t="shared" si="5"/>
        <v>8.3565209299999998E-2</v>
      </c>
    </row>
    <row r="60" spans="1:18" x14ac:dyDescent="0.2">
      <c r="A60" s="447"/>
      <c r="B60" t="s">
        <v>694</v>
      </c>
      <c r="C60" s="18" t="s">
        <v>463</v>
      </c>
      <c r="D60" t="s">
        <v>86</v>
      </c>
      <c r="E60" t="s">
        <v>52</v>
      </c>
      <c r="F60" s="59">
        <f t="shared" si="3"/>
        <v>1.4285714285714286</v>
      </c>
      <c r="G60" s="13">
        <f t="shared" si="4"/>
        <v>1.4285714285714285E-2</v>
      </c>
      <c r="H60">
        <v>2E-3</v>
      </c>
      <c r="I60">
        <v>0</v>
      </c>
      <c r="J60" s="350">
        <f t="shared" si="5"/>
        <v>8.3565209299999998E-2</v>
      </c>
    </row>
    <row r="61" spans="1:18" x14ac:dyDescent="0.2">
      <c r="A61" s="447"/>
      <c r="B61" t="s">
        <v>694</v>
      </c>
      <c r="C61" s="18" t="s">
        <v>463</v>
      </c>
      <c r="D61" t="s">
        <v>89</v>
      </c>
      <c r="E61" t="s">
        <v>54</v>
      </c>
      <c r="F61" s="59">
        <f t="shared" si="3"/>
        <v>1.4285714285714286</v>
      </c>
      <c r="G61" s="13">
        <f t="shared" si="4"/>
        <v>1.4285714285714285E-2</v>
      </c>
      <c r="H61">
        <v>2E-3</v>
      </c>
      <c r="I61">
        <v>0</v>
      </c>
      <c r="J61" s="350">
        <f t="shared" si="5"/>
        <v>8.3565209299999998E-2</v>
      </c>
    </row>
    <row r="62" spans="1:18" x14ac:dyDescent="0.2">
      <c r="A62" s="447"/>
      <c r="B62" t="s">
        <v>694</v>
      </c>
      <c r="C62" s="18" t="s">
        <v>463</v>
      </c>
      <c r="D62" t="s">
        <v>55</v>
      </c>
      <c r="E62" t="s">
        <v>56</v>
      </c>
      <c r="F62" s="59">
        <f t="shared" si="3"/>
        <v>1.4285714285714286</v>
      </c>
      <c r="G62" s="13">
        <f t="shared" si="4"/>
        <v>1.4285714285714285E-2</v>
      </c>
      <c r="H62">
        <v>2E-3</v>
      </c>
      <c r="I62">
        <v>0</v>
      </c>
      <c r="J62" s="350">
        <f t="shared" si="5"/>
        <v>8.3565209299999998E-2</v>
      </c>
    </row>
    <row r="63" spans="1:18" x14ac:dyDescent="0.2">
      <c r="A63" s="447"/>
      <c r="B63" t="s">
        <v>694</v>
      </c>
      <c r="C63" s="18" t="s">
        <v>463</v>
      </c>
      <c r="D63" t="s">
        <v>87</v>
      </c>
      <c r="E63" t="s">
        <v>58</v>
      </c>
      <c r="F63" s="59">
        <f t="shared" si="3"/>
        <v>1.4285714285714286</v>
      </c>
      <c r="G63" s="13">
        <f t="shared" si="4"/>
        <v>1.4285714285714285E-2</v>
      </c>
      <c r="H63">
        <v>2E-3</v>
      </c>
      <c r="I63">
        <v>0</v>
      </c>
      <c r="J63" s="350">
        <f t="shared" si="5"/>
        <v>8.3565209299999998E-2</v>
      </c>
    </row>
    <row r="64" spans="1:18" x14ac:dyDescent="0.2">
      <c r="A64" s="447"/>
      <c r="B64" t="s">
        <v>694</v>
      </c>
      <c r="C64" s="18" t="s">
        <v>463</v>
      </c>
      <c r="D64" t="s">
        <v>59</v>
      </c>
      <c r="E64" t="s">
        <v>60</v>
      </c>
      <c r="F64" s="59">
        <f t="shared" si="3"/>
        <v>1.4285714285714286</v>
      </c>
      <c r="G64" s="13">
        <f t="shared" si="4"/>
        <v>1.4285714285714285E-2</v>
      </c>
      <c r="H64">
        <v>2E-3</v>
      </c>
      <c r="I64">
        <v>0</v>
      </c>
      <c r="J64" s="350">
        <f t="shared" si="5"/>
        <v>8.3565209299999998E-2</v>
      </c>
    </row>
    <row r="65" spans="1:18" x14ac:dyDescent="0.2">
      <c r="A65" s="447"/>
      <c r="B65" t="s">
        <v>694</v>
      </c>
      <c r="C65" s="18" t="s">
        <v>463</v>
      </c>
      <c r="D65" t="s">
        <v>61</v>
      </c>
      <c r="E65" t="s">
        <v>62</v>
      </c>
      <c r="F65" s="59">
        <f t="shared" si="3"/>
        <v>1.4285714285714286</v>
      </c>
      <c r="G65" s="13">
        <f t="shared" si="4"/>
        <v>1.4285714285714285E-2</v>
      </c>
      <c r="H65">
        <v>2E-3</v>
      </c>
      <c r="I65">
        <v>0</v>
      </c>
      <c r="J65" s="350">
        <f t="shared" si="5"/>
        <v>8.3565209299999998E-2</v>
      </c>
    </row>
    <row r="66" spans="1:18" x14ac:dyDescent="0.2">
      <c r="A66" s="447"/>
      <c r="B66" t="s">
        <v>694</v>
      </c>
      <c r="C66" s="18" t="s">
        <v>463</v>
      </c>
      <c r="D66" s="58" t="s">
        <v>63</v>
      </c>
      <c r="E66" s="58" t="s">
        <v>64</v>
      </c>
      <c r="F66" s="59">
        <f t="shared" si="3"/>
        <v>1.4285714285714286</v>
      </c>
      <c r="G66" s="13">
        <f t="shared" si="4"/>
        <v>1.4285714285714285E-2</v>
      </c>
      <c r="H66">
        <v>2E-3</v>
      </c>
      <c r="I66">
        <v>0</v>
      </c>
      <c r="J66" s="350">
        <f t="shared" si="5"/>
        <v>8.3565209299999998E-2</v>
      </c>
    </row>
    <row r="68" spans="1:18" x14ac:dyDescent="0.2">
      <c r="A68" s="197" t="s">
        <v>695</v>
      </c>
      <c r="B68" s="197"/>
      <c r="C68" s="197"/>
      <c r="D68" s="197"/>
      <c r="E68" s="197"/>
      <c r="F68" s="197"/>
      <c r="G68" s="197"/>
      <c r="H68" s="197"/>
      <c r="I68" s="197"/>
      <c r="J68" s="197"/>
      <c r="K68" s="197"/>
      <c r="L68" s="197"/>
      <c r="M68" s="197"/>
      <c r="N68" s="197"/>
      <c r="O68" s="197"/>
      <c r="P68" s="197"/>
    </row>
    <row r="69" spans="1:18" x14ac:dyDescent="0.2">
      <c r="A69" t="s">
        <v>688</v>
      </c>
      <c r="C69">
        <v>7000</v>
      </c>
      <c r="D69" t="s">
        <v>689</v>
      </c>
      <c r="R69" t="s">
        <v>690</v>
      </c>
    </row>
    <row r="70" spans="1:18" x14ac:dyDescent="0.2">
      <c r="A70" t="s">
        <v>691</v>
      </c>
      <c r="C70">
        <v>100</v>
      </c>
    </row>
    <row r="72" spans="1:18" x14ac:dyDescent="0.2">
      <c r="A72" t="s">
        <v>662</v>
      </c>
    </row>
    <row r="73" spans="1:18" x14ac:dyDescent="0.2">
      <c r="A73" t="s">
        <v>663</v>
      </c>
      <c r="D73" t="s">
        <v>692</v>
      </c>
    </row>
    <row r="74" spans="1:18" x14ac:dyDescent="0.2">
      <c r="A74" t="s">
        <v>666</v>
      </c>
      <c r="D74" t="s">
        <v>692</v>
      </c>
    </row>
  </sheetData>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5E0B4"/>
  </sheetPr>
  <dimension ref="A3:M16"/>
  <sheetViews>
    <sheetView zoomScaleNormal="100" workbookViewId="0">
      <selection activeCell="A8" sqref="A8"/>
    </sheetView>
  </sheetViews>
  <sheetFormatPr baseColWidth="10" defaultColWidth="8.6640625" defaultRowHeight="15" x14ac:dyDescent="0.2"/>
  <cols>
    <col min="1" max="1" width="21.1640625" customWidth="1"/>
    <col min="2" max="2" width="10.5" customWidth="1"/>
    <col min="3" max="4" width="14.6640625" customWidth="1"/>
    <col min="5" max="5" width="22" customWidth="1"/>
    <col min="10" max="10" width="12.5" customWidth="1"/>
  </cols>
  <sheetData>
    <row r="3" spans="1:13" ht="21" customHeight="1" x14ac:dyDescent="0.25">
      <c r="A3" s="9" t="s">
        <v>696</v>
      </c>
    </row>
    <row r="4" spans="1:13" x14ac:dyDescent="0.2">
      <c r="A4" s="20"/>
    </row>
    <row r="5" spans="1:13" x14ac:dyDescent="0.2">
      <c r="A5" s="20" t="s">
        <v>697</v>
      </c>
    </row>
    <row r="6" spans="1:13" x14ac:dyDescent="0.2">
      <c r="B6" s="231" t="s">
        <v>698</v>
      </c>
      <c r="C6" s="231" t="s">
        <v>699</v>
      </c>
      <c r="D6" s="231" t="s">
        <v>700</v>
      </c>
      <c r="E6" s="231" t="s">
        <v>701</v>
      </c>
      <c r="F6" s="231" t="s">
        <v>702</v>
      </c>
      <c r="G6" s="231" t="s">
        <v>300</v>
      </c>
    </row>
    <row r="7" spans="1:13" x14ac:dyDescent="0.2">
      <c r="A7" s="516" t="s">
        <v>171</v>
      </c>
      <c r="B7" s="232">
        <v>3620</v>
      </c>
      <c r="C7" s="232">
        <v>1300</v>
      </c>
      <c r="D7" s="232">
        <v>2160</v>
      </c>
      <c r="E7" s="517">
        <v>1910</v>
      </c>
      <c r="F7" s="130">
        <f>SUM(B7:E7)</f>
        <v>8990</v>
      </c>
      <c r="G7" s="518" t="s">
        <v>703</v>
      </c>
    </row>
    <row r="8" spans="1:13" x14ac:dyDescent="0.2">
      <c r="A8" s="516" t="s">
        <v>704</v>
      </c>
      <c r="B8" s="232">
        <v>2510</v>
      </c>
      <c r="C8" s="232">
        <v>2350</v>
      </c>
      <c r="D8" s="232">
        <v>420</v>
      </c>
      <c r="E8" s="517">
        <v>50</v>
      </c>
      <c r="F8" s="130">
        <f>SUM(B8:E8)</f>
        <v>5330</v>
      </c>
    </row>
    <row r="9" spans="1:13" x14ac:dyDescent="0.2">
      <c r="A9" s="213" t="s">
        <v>705</v>
      </c>
      <c r="C9" s="15"/>
    </row>
    <row r="10" spans="1:13" x14ac:dyDescent="0.2">
      <c r="B10" s="15"/>
    </row>
    <row r="11" spans="1:13" x14ac:dyDescent="0.2">
      <c r="A11" s="213" t="s">
        <v>706</v>
      </c>
      <c r="B11" s="17"/>
      <c r="C11" s="17"/>
      <c r="D11" s="17"/>
      <c r="F11">
        <f>F8/2</f>
        <v>2665</v>
      </c>
    </row>
    <row r="12" spans="1:13" x14ac:dyDescent="0.2">
      <c r="A12" s="213" t="s">
        <v>707</v>
      </c>
      <c r="B12">
        <v>8831</v>
      </c>
      <c r="C12" t="s">
        <v>708</v>
      </c>
    </row>
    <row r="16" spans="1:13" x14ac:dyDescent="0.2">
      <c r="M16" s="25"/>
    </row>
  </sheetData>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70AD47"/>
  </sheetPr>
  <dimension ref="A2:A14"/>
  <sheetViews>
    <sheetView zoomScaleNormal="100" workbookViewId="0">
      <selection activeCell="K8" sqref="K8"/>
    </sheetView>
  </sheetViews>
  <sheetFormatPr baseColWidth="10" defaultColWidth="8.6640625" defaultRowHeight="15" x14ac:dyDescent="0.2"/>
  <sheetData>
    <row r="2" spans="1:1" ht="21" customHeight="1" x14ac:dyDescent="0.25">
      <c r="A2" s="9" t="s">
        <v>709</v>
      </c>
    </row>
    <row r="4" spans="1:1" x14ac:dyDescent="0.2">
      <c r="A4" t="s">
        <v>710</v>
      </c>
    </row>
    <row r="5" spans="1:1" x14ac:dyDescent="0.2">
      <c r="A5" t="s">
        <v>711</v>
      </c>
    </row>
    <row r="6" spans="1:1" x14ac:dyDescent="0.2">
      <c r="A6" t="s">
        <v>712</v>
      </c>
    </row>
    <row r="7" spans="1:1" x14ac:dyDescent="0.2">
      <c r="A7" t="s">
        <v>713</v>
      </c>
    </row>
    <row r="8" spans="1:1" x14ac:dyDescent="0.2">
      <c r="A8" t="s">
        <v>714</v>
      </c>
    </row>
    <row r="9" spans="1:1" x14ac:dyDescent="0.2">
      <c r="A9" t="s">
        <v>715</v>
      </c>
    </row>
    <row r="10" spans="1:1" x14ac:dyDescent="0.2">
      <c r="A10" t="s">
        <v>716</v>
      </c>
    </row>
    <row r="11" spans="1:1" x14ac:dyDescent="0.2">
      <c r="A11" t="s">
        <v>717</v>
      </c>
    </row>
    <row r="12" spans="1:1" x14ac:dyDescent="0.2">
      <c r="A12" t="s">
        <v>718</v>
      </c>
    </row>
    <row r="13" spans="1:1" x14ac:dyDescent="0.2">
      <c r="A13" t="s">
        <v>719</v>
      </c>
    </row>
    <row r="14" spans="1:1" x14ac:dyDescent="0.2">
      <c r="A14" t="s">
        <v>720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29</vt:i4>
      </vt:variant>
      <vt:variant>
        <vt:lpstr>Named Ranges</vt:lpstr>
      </vt:variant>
      <vt:variant>
        <vt:i4>306</vt:i4>
      </vt:variant>
    </vt:vector>
  </HeadingPairs>
  <TitlesOfParts>
    <vt:vector size="335" baseType="lpstr">
      <vt:lpstr>README</vt:lpstr>
      <vt:lpstr>Figures</vt:lpstr>
      <vt:lpstr>Footprints, per kg milk</vt:lpstr>
      <vt:lpstr>GHG det, per kg milk</vt:lpstr>
      <vt:lpstr>Footprints, per kg meat</vt:lpstr>
      <vt:lpstr>GHG det, per kg meat</vt:lpstr>
      <vt:lpstr>Footprints, results per calf</vt:lpstr>
      <vt:lpstr>GHG det, results per calf</vt:lpstr>
      <vt:lpstr>Footprints, per kg offal</vt:lpstr>
      <vt:lpstr>GHG det, per kg offal</vt:lpstr>
      <vt:lpstr>Footprints, per kg tallow</vt:lpstr>
      <vt:lpstr>GHG det, per kg tallow</vt:lpstr>
      <vt:lpstr>Footprints, absolute</vt:lpstr>
      <vt:lpstr>GHG detailed, absolute</vt:lpstr>
      <vt:lpstr>Production</vt:lpstr>
      <vt:lpstr>Parameters, country spec</vt:lpstr>
      <vt:lpstr>Manure</vt:lpstr>
      <vt:lpstr>CO2 per kg feed</vt:lpstr>
      <vt:lpstr>CH4 per kg feed</vt:lpstr>
      <vt:lpstr>N2O per kg feed</vt:lpstr>
      <vt:lpstr>EFP per kg feed</vt:lpstr>
      <vt:lpstr>Parameters, general</vt:lpstr>
      <vt:lpstr>Forage crops, CF</vt:lpstr>
      <vt:lpstr>Forage crops, footprints</vt:lpstr>
      <vt:lpstr>Forage, input data per ha</vt:lpstr>
      <vt:lpstr>Off-farm feed</vt:lpstr>
      <vt:lpstr>Forage feed OLD</vt:lpstr>
      <vt:lpstr>Verification</vt:lpstr>
      <vt:lpstr>References</vt:lpstr>
      <vt:lpstr>AF_beef</vt:lpstr>
      <vt:lpstr>AF_beef_DE</vt:lpstr>
      <vt:lpstr>AF_beef_DK</vt:lpstr>
      <vt:lpstr>AF_beef_ES</vt:lpstr>
      <vt:lpstr>AF_beef_FR</vt:lpstr>
      <vt:lpstr>AF_beef_GR</vt:lpstr>
      <vt:lpstr>AF_beef_HU</vt:lpstr>
      <vt:lpstr>AF_beef_IE</vt:lpstr>
      <vt:lpstr>AF_beef_IT</vt:lpstr>
      <vt:lpstr>AF_beef_NL</vt:lpstr>
      <vt:lpstr>AF_beef_PL</vt:lpstr>
      <vt:lpstr>AF_beef_SE</vt:lpstr>
      <vt:lpstr>AF_calves</vt:lpstr>
      <vt:lpstr>AF_calves_DE</vt:lpstr>
      <vt:lpstr>AF_calves_DK</vt:lpstr>
      <vt:lpstr>AF_calves_ES</vt:lpstr>
      <vt:lpstr>AF_calves_FR</vt:lpstr>
      <vt:lpstr>AF_calves_GR</vt:lpstr>
      <vt:lpstr>AF_calves_HU</vt:lpstr>
      <vt:lpstr>AF_calves_IE</vt:lpstr>
      <vt:lpstr>AF_calves_IT</vt:lpstr>
      <vt:lpstr>AF_calves_NL</vt:lpstr>
      <vt:lpstr>AF_calves_PL</vt:lpstr>
      <vt:lpstr>AF_calves_SE</vt:lpstr>
      <vt:lpstr>AF_milk</vt:lpstr>
      <vt:lpstr>AF_milk_DE</vt:lpstr>
      <vt:lpstr>AF_milk_DK</vt:lpstr>
      <vt:lpstr>AF_milk_ES</vt:lpstr>
      <vt:lpstr>AF_milk_FR</vt:lpstr>
      <vt:lpstr>AF_milk_GR</vt:lpstr>
      <vt:lpstr>AF_milk_HU</vt:lpstr>
      <vt:lpstr>AF_milk_IE</vt:lpstr>
      <vt:lpstr>AF_milk_IT</vt:lpstr>
      <vt:lpstr>AF_milk_NL</vt:lpstr>
      <vt:lpstr>AF_milk_PL</vt:lpstr>
      <vt:lpstr>AF_milk_SE</vt:lpstr>
      <vt:lpstr>AF_offal</vt:lpstr>
      <vt:lpstr>AF_offal_DE</vt:lpstr>
      <vt:lpstr>AF_offal_DK</vt:lpstr>
      <vt:lpstr>AF_offal_ES</vt:lpstr>
      <vt:lpstr>AF_offal_FR</vt:lpstr>
      <vt:lpstr>AF_offal_GR</vt:lpstr>
      <vt:lpstr>AF_offal_HU</vt:lpstr>
      <vt:lpstr>AF_offal_IE</vt:lpstr>
      <vt:lpstr>AF_offal_IT</vt:lpstr>
      <vt:lpstr>AF_offal_NL</vt:lpstr>
      <vt:lpstr>AF_offal_PL</vt:lpstr>
      <vt:lpstr>AF_offal_SE</vt:lpstr>
      <vt:lpstr>AF_tallow</vt:lpstr>
      <vt:lpstr>AF_tallow_DE</vt:lpstr>
      <vt:lpstr>AF_tallow_DK</vt:lpstr>
      <vt:lpstr>AF_tallow_ES</vt:lpstr>
      <vt:lpstr>AF_tallow_FR</vt:lpstr>
      <vt:lpstr>AF_tallow_GR</vt:lpstr>
      <vt:lpstr>AF_tallow_HU</vt:lpstr>
      <vt:lpstr>AF_tallow_IE</vt:lpstr>
      <vt:lpstr>AF_tallow_IT</vt:lpstr>
      <vt:lpstr>AF_tallow_NL</vt:lpstr>
      <vt:lpstr>AF_tallow_PL</vt:lpstr>
      <vt:lpstr>AF_tallow_SE</vt:lpstr>
      <vt:lpstr>CF_GWP_CH4_biog</vt:lpstr>
      <vt:lpstr>CF_GWP_CH4_biogenic</vt:lpstr>
      <vt:lpstr>CF_GWP_CH4_fossil</vt:lpstr>
      <vt:lpstr>CF_GWP_N2O</vt:lpstr>
      <vt:lpstr>'Forage crops, CF'!Crop_data</vt:lpstr>
      <vt:lpstr>Crop_data</vt:lpstr>
      <vt:lpstr>'Forage crops, CF'!Crop_data_codes</vt:lpstr>
      <vt:lpstr>Crop_data_codes</vt:lpstr>
      <vt:lpstr>EF_biofuel_CH4</vt:lpstr>
      <vt:lpstr>EF_biofuel_N2O</vt:lpstr>
      <vt:lpstr>EF_biofuels_CO2</vt:lpstr>
      <vt:lpstr>EF_capital_goods_CH4</vt:lpstr>
      <vt:lpstr>EF_capital_goods_CO2</vt:lpstr>
      <vt:lpstr>EF_capital_goods_N2O</vt:lpstr>
      <vt:lpstr>EF_diesel_CH4</vt:lpstr>
      <vt:lpstr>EF_diesel_CO2</vt:lpstr>
      <vt:lpstr>EF_diesel_N2O</vt:lpstr>
      <vt:lpstr>EF_el_CH4_DE</vt:lpstr>
      <vt:lpstr>EF_el_CH4_DK</vt:lpstr>
      <vt:lpstr>EF_el_CH4_ES</vt:lpstr>
      <vt:lpstr>EF_el_CH4_FR</vt:lpstr>
      <vt:lpstr>EF_el_CH4_GR</vt:lpstr>
      <vt:lpstr>EF_el_CH4_HU</vt:lpstr>
      <vt:lpstr>EF_el_CH4_IE</vt:lpstr>
      <vt:lpstr>EF_el_CH4_IT</vt:lpstr>
      <vt:lpstr>EF_el_CH4_NL</vt:lpstr>
      <vt:lpstr>EF_el_CH4_PL</vt:lpstr>
      <vt:lpstr>EF_el_CH4_SE</vt:lpstr>
      <vt:lpstr>EF_el_CO2_DE</vt:lpstr>
      <vt:lpstr>EF_el_CO2_DK</vt:lpstr>
      <vt:lpstr>EF_el_CO2_ES</vt:lpstr>
      <vt:lpstr>EF_el_CO2_FR</vt:lpstr>
      <vt:lpstr>EF_el_CO2_GR</vt:lpstr>
      <vt:lpstr>EF_el_CO2_HU</vt:lpstr>
      <vt:lpstr>EF_el_CO2_IE</vt:lpstr>
      <vt:lpstr>EF_el_CO2_IT</vt:lpstr>
      <vt:lpstr>EF_el_CO2_NL</vt:lpstr>
      <vt:lpstr>EF_el_CO2_PL</vt:lpstr>
      <vt:lpstr>EF_el_CO2_SE</vt:lpstr>
      <vt:lpstr>EF_el_N2O_DE</vt:lpstr>
      <vt:lpstr>EF_el_N2O_DK</vt:lpstr>
      <vt:lpstr>EF_el_N2O_ES</vt:lpstr>
      <vt:lpstr>EF_el_N2O_FR</vt:lpstr>
      <vt:lpstr>EF_el_N2O_GR</vt:lpstr>
      <vt:lpstr>EF_el_N2O_HU</vt:lpstr>
      <vt:lpstr>EF_el_N2O_IE</vt:lpstr>
      <vt:lpstr>EF_el_N2O_IT</vt:lpstr>
      <vt:lpstr>EF_el_N2O_NL</vt:lpstr>
      <vt:lpstr>EF_el_N2O_PL</vt:lpstr>
      <vt:lpstr>EF_el_N2O_SE</vt:lpstr>
      <vt:lpstr>EF_electricity</vt:lpstr>
      <vt:lpstr>EF_ent_ferm_DE</vt:lpstr>
      <vt:lpstr>EF_ent_ferm_DK</vt:lpstr>
      <vt:lpstr>EF_ent_ferm_ES</vt:lpstr>
      <vt:lpstr>EF_ent_ferm_FR</vt:lpstr>
      <vt:lpstr>EF_ent_ferm_GR</vt:lpstr>
      <vt:lpstr>EF_ent_ferm_heif_DE</vt:lpstr>
      <vt:lpstr>EF_ent_ferm_heif_DK</vt:lpstr>
      <vt:lpstr>EF_ent_ferm_heif_ES</vt:lpstr>
      <vt:lpstr>EF_ent_ferm_heif_FR</vt:lpstr>
      <vt:lpstr>EF_ent_ferm_heif_GR</vt:lpstr>
      <vt:lpstr>EF_ent_ferm_heif_HU</vt:lpstr>
      <vt:lpstr>EF_ent_ferm_heif_IE</vt:lpstr>
      <vt:lpstr>EF_ent_ferm_heif_IT</vt:lpstr>
      <vt:lpstr>EF_ent_ferm_heif_NL</vt:lpstr>
      <vt:lpstr>EF_ent_ferm_heif_PL</vt:lpstr>
      <vt:lpstr>EF_ent_ferm_heif_SE</vt:lpstr>
      <vt:lpstr>EF_ent_ferm_HU</vt:lpstr>
      <vt:lpstr>EF_ent_ferm_IE</vt:lpstr>
      <vt:lpstr>EF_ent_ferm_IT</vt:lpstr>
      <vt:lpstr>EF_ent_ferm_NL</vt:lpstr>
      <vt:lpstr>EF_ent_ferm_PL</vt:lpstr>
      <vt:lpstr>EF_ent_ferm_SE</vt:lpstr>
      <vt:lpstr>EF_gas_CH4</vt:lpstr>
      <vt:lpstr>EF_gas_CO2</vt:lpstr>
      <vt:lpstr>EF_gas_N2O</vt:lpstr>
      <vt:lpstr>EF_GWP_CH4_biog</vt:lpstr>
      <vt:lpstr>EF_indirect_N2O_DE</vt:lpstr>
      <vt:lpstr>EF_indirect_N2O_DK</vt:lpstr>
      <vt:lpstr>EF_indirect_N2O_ES</vt:lpstr>
      <vt:lpstr>EF_indirect_N2O_FR</vt:lpstr>
      <vt:lpstr>EF_indirect_N2O_GR</vt:lpstr>
      <vt:lpstr>EF_indirect_N2O_HU</vt:lpstr>
      <vt:lpstr>EF_indirect_N2O_IE</vt:lpstr>
      <vt:lpstr>EF_indirect_N2O_IT</vt:lpstr>
      <vt:lpstr>EF_indirect_N2O_NL</vt:lpstr>
      <vt:lpstr>EF_indirect_N2O_PL</vt:lpstr>
      <vt:lpstr>EF_indirect_N2O_SE</vt:lpstr>
      <vt:lpstr>EF_min_fert_AN_CH4</vt:lpstr>
      <vt:lpstr>EF_min_fert_AN_CO2</vt:lpstr>
      <vt:lpstr>EF_min_fert_AN_N2O</vt:lpstr>
      <vt:lpstr>EF_min_fert_BAT_CH4</vt:lpstr>
      <vt:lpstr>EF_min_fert_BAT_CO2</vt:lpstr>
      <vt:lpstr>EF_min_fert_BAT_N2O</vt:lpstr>
      <vt:lpstr>EF_min_fert_CH4_DE</vt:lpstr>
      <vt:lpstr>EF_min_fert_CH4_DK</vt:lpstr>
      <vt:lpstr>EF_min_fert_CH4_ES</vt:lpstr>
      <vt:lpstr>EF_min_fert_CH4_FR</vt:lpstr>
      <vt:lpstr>EF_min_fert_CH4_GR</vt:lpstr>
      <vt:lpstr>EF_min_fert_CH4_HU</vt:lpstr>
      <vt:lpstr>EF_min_fert_CH4_IE</vt:lpstr>
      <vt:lpstr>EF_min_fert_CH4_IT</vt:lpstr>
      <vt:lpstr>EF_min_fert_CH4_NL</vt:lpstr>
      <vt:lpstr>EF_min_fert_CH4_PL</vt:lpstr>
      <vt:lpstr>EF_min_fert_CH4_SE</vt:lpstr>
      <vt:lpstr>EF_min_fert_CO2_DE</vt:lpstr>
      <vt:lpstr>EF_min_fert_CO2_DK</vt:lpstr>
      <vt:lpstr>EF_min_fert_CO2_ES</vt:lpstr>
      <vt:lpstr>EF_min_fert_CO2_FR</vt:lpstr>
      <vt:lpstr>EF_min_fert_CO2_GR</vt:lpstr>
      <vt:lpstr>EF_min_fert_CO2_HU</vt:lpstr>
      <vt:lpstr>EF_min_fert_CO2_IE</vt:lpstr>
      <vt:lpstr>EF_min_fert_CO2_IT</vt:lpstr>
      <vt:lpstr>EF_min_fert_CO2_NL</vt:lpstr>
      <vt:lpstr>EF_min_fert_CO2_PL</vt:lpstr>
      <vt:lpstr>EF_min_fert_CO2_SE</vt:lpstr>
      <vt:lpstr>EF_min_fert_N2O_DE</vt:lpstr>
      <vt:lpstr>EF_min_fert_N2O_DK</vt:lpstr>
      <vt:lpstr>EF_min_fert_N2O_ES</vt:lpstr>
      <vt:lpstr>EF_min_fert_N2O_FR</vt:lpstr>
      <vt:lpstr>EF_min_fert_N2O_GR</vt:lpstr>
      <vt:lpstr>EF_min_fert_N2O_HU</vt:lpstr>
      <vt:lpstr>EF_min_fert_N2O_IE</vt:lpstr>
      <vt:lpstr>EF_min_fert_N2O_IT</vt:lpstr>
      <vt:lpstr>EF_min_fert_N2O_NL</vt:lpstr>
      <vt:lpstr>EF_min_fert_N2O_PL</vt:lpstr>
      <vt:lpstr>EF_min_fert_N2O_SE</vt:lpstr>
      <vt:lpstr>EF_N2O_diff_DE</vt:lpstr>
      <vt:lpstr>EF_N2O_diff_DK</vt:lpstr>
      <vt:lpstr>EF_N2O_diff_ES</vt:lpstr>
      <vt:lpstr>EF_N2O_diff_FR</vt:lpstr>
      <vt:lpstr>EF_N2O_diff_GR</vt:lpstr>
      <vt:lpstr>EF_N2O_diff_HU</vt:lpstr>
      <vt:lpstr>EF_N2O_diff_IE</vt:lpstr>
      <vt:lpstr>EF_N2O_diff_IT</vt:lpstr>
      <vt:lpstr>EF_N2O_diff_NL</vt:lpstr>
      <vt:lpstr>EF_N2O_diff_PL</vt:lpstr>
      <vt:lpstr>EF_N2O_diff_SE</vt:lpstr>
      <vt:lpstr>EF_NH3</vt:lpstr>
      <vt:lpstr>EF_oil_CH4</vt:lpstr>
      <vt:lpstr>EF_oil_CO2</vt:lpstr>
      <vt:lpstr>EF_oil_N2O</vt:lpstr>
      <vt:lpstr>Energy_slaughter_el_DE</vt:lpstr>
      <vt:lpstr>Energy_slaughter_el_DK</vt:lpstr>
      <vt:lpstr>Energy_slaughter_el_ES</vt:lpstr>
      <vt:lpstr>Energy_slaughter_el_FR</vt:lpstr>
      <vt:lpstr>Energy_slaughter_el_GR</vt:lpstr>
      <vt:lpstr>Energy_slaughter_el_HU</vt:lpstr>
      <vt:lpstr>Energy_slaughter_el_IE</vt:lpstr>
      <vt:lpstr>Energy_slaughter_el_IT</vt:lpstr>
      <vt:lpstr>Energy_slaughter_el_NL</vt:lpstr>
      <vt:lpstr>Energy_slaughter_el_PL</vt:lpstr>
      <vt:lpstr>Energy_slaughter_el_SE</vt:lpstr>
      <vt:lpstr>Energy_slaughter_heat_DE</vt:lpstr>
      <vt:lpstr>Energy_slaughter_heat_DK</vt:lpstr>
      <vt:lpstr>Energy_slaughter_heat_ES</vt:lpstr>
      <vt:lpstr>Energy_slaughter_heat_FR</vt:lpstr>
      <vt:lpstr>Energy_slaughter_heat_GR</vt:lpstr>
      <vt:lpstr>Energy_slaughter_heat_HU</vt:lpstr>
      <vt:lpstr>Energy_slaughter_heat_IE</vt:lpstr>
      <vt:lpstr>Energy_slaughter_heat_IT</vt:lpstr>
      <vt:lpstr>Energy_slaughter_heat_NL</vt:lpstr>
      <vt:lpstr>Energy_slaughter_heat_PL</vt:lpstr>
      <vt:lpstr>Energy_slaughter_heat_SE</vt:lpstr>
      <vt:lpstr>Energy_slaughter_oil_DE</vt:lpstr>
      <vt:lpstr>Energy_slaughter_oil_DK</vt:lpstr>
      <vt:lpstr>Energy_slaughter_oil_ES</vt:lpstr>
      <vt:lpstr>Energy_slaughter_oil_FR</vt:lpstr>
      <vt:lpstr>Energy_slaughter_oil_GR</vt:lpstr>
      <vt:lpstr>Energy_slaughter_oil_HU</vt:lpstr>
      <vt:lpstr>Energy_slaughter_oil_IE</vt:lpstr>
      <vt:lpstr>Energy_slaughter_oil_IT</vt:lpstr>
      <vt:lpstr>Energy_slaughter_oil_NL</vt:lpstr>
      <vt:lpstr>Energy_slaughter_oil_PL</vt:lpstr>
      <vt:lpstr>Energy_slaughter_oil_SE</vt:lpstr>
      <vt:lpstr>Excreted_N_after_losses_DE</vt:lpstr>
      <vt:lpstr>Excreted_N_after_losses_DK</vt:lpstr>
      <vt:lpstr>Excreted_N_after_losses_ES</vt:lpstr>
      <vt:lpstr>Excreted_N_after_losses_FR</vt:lpstr>
      <vt:lpstr>Excreted_N_after_losses_GR</vt:lpstr>
      <vt:lpstr>Excreted_N_after_losses_HU</vt:lpstr>
      <vt:lpstr>Excreted_N_after_losses_IE</vt:lpstr>
      <vt:lpstr>Excreted_N_after_losses_IT</vt:lpstr>
      <vt:lpstr>Excreted_N_after_losses_NL</vt:lpstr>
      <vt:lpstr>Excreted_N_after_losses_PL</vt:lpstr>
      <vt:lpstr>Excreted_N_after_losses_SE</vt:lpstr>
      <vt:lpstr>GRAT</vt:lpstr>
      <vt:lpstr>Heating_value_diesel</vt:lpstr>
      <vt:lpstr>Manure_repl_factor_DE</vt:lpstr>
      <vt:lpstr>Manure_repl_factor_DK</vt:lpstr>
      <vt:lpstr>Manure_repl_factor_ES</vt:lpstr>
      <vt:lpstr>Manure_repl_factor_FR</vt:lpstr>
      <vt:lpstr>Manure_repl_factor_GR</vt:lpstr>
      <vt:lpstr>Manure_repl_factor_HU</vt:lpstr>
      <vt:lpstr>Manure_repl_factor_IE</vt:lpstr>
      <vt:lpstr>Manure_repl_factor_IT</vt:lpstr>
      <vt:lpstr>Manure_repl_factor_NL</vt:lpstr>
      <vt:lpstr>Manure_repl_factor_PL</vt:lpstr>
      <vt:lpstr>Manure_repl_factor_SE</vt:lpstr>
      <vt:lpstr>N_to_NH3</vt:lpstr>
      <vt:lpstr>No_species</vt:lpstr>
      <vt:lpstr>Water_drinking_dairy_cow_DE</vt:lpstr>
      <vt:lpstr>Water_drinking_dairy_cow_DK</vt:lpstr>
      <vt:lpstr>Water_drinking_dairy_cow_ES</vt:lpstr>
      <vt:lpstr>Water_drinking_dairy_cow_FR</vt:lpstr>
      <vt:lpstr>Water_drinking_dairy_cow_GR</vt:lpstr>
      <vt:lpstr>Water_drinking_dairy_cow_HU</vt:lpstr>
      <vt:lpstr>Water_drinking_dairy_cow_IE</vt:lpstr>
      <vt:lpstr>Water_drinking_dairy_cow_IT</vt:lpstr>
      <vt:lpstr>Water_drinking_dairy_cow_NL</vt:lpstr>
      <vt:lpstr>Water_drinking_dairy_cow_PL</vt:lpstr>
      <vt:lpstr>Water_drinking_dairy_cow_SE</vt:lpstr>
      <vt:lpstr>Water_drinking_DK</vt:lpstr>
      <vt:lpstr>Water_drinking_heifer_DE</vt:lpstr>
      <vt:lpstr>Water_drinking_heifer_DK</vt:lpstr>
      <vt:lpstr>Water_drinking_heifer_ES</vt:lpstr>
      <vt:lpstr>Water_drinking_heifer_FR</vt:lpstr>
      <vt:lpstr>Water_drinking_heifer_GR</vt:lpstr>
      <vt:lpstr>Water_drinking_heifer_HU</vt:lpstr>
      <vt:lpstr>Water_drinking_heifer_IE</vt:lpstr>
      <vt:lpstr>Water_drinking_heifer_IT</vt:lpstr>
      <vt:lpstr>Water_drinking_heifer_NL</vt:lpstr>
      <vt:lpstr>Water_drinking_heifer_PL</vt:lpstr>
      <vt:lpstr>Water_drinking_heifer_SE</vt:lpstr>
      <vt:lpstr>Water_service_dairy_cow_DE</vt:lpstr>
      <vt:lpstr>Water_service_dairy_cow_DK</vt:lpstr>
      <vt:lpstr>Water_service_dairy_cow_ES</vt:lpstr>
      <vt:lpstr>Water_service_dairy_cow_FR</vt:lpstr>
      <vt:lpstr>Water_service_dairy_cow_GR</vt:lpstr>
      <vt:lpstr>Water_service_dairy_cow_HU</vt:lpstr>
      <vt:lpstr>Water_service_dairy_cow_IE</vt:lpstr>
      <vt:lpstr>Water_service_dairy_cow_IT</vt:lpstr>
      <vt:lpstr>Water_service_dairy_cow_NL</vt:lpstr>
      <vt:lpstr>Water_service_dairy_cow_PL</vt:lpstr>
      <vt:lpstr>Water_service_dairy_cow_SE</vt:lpstr>
      <vt:lpstr>Water_service_heifer_DE</vt:lpstr>
      <vt:lpstr>Water_service_heifer_DK</vt:lpstr>
      <vt:lpstr>Water_service_heifer_ES</vt:lpstr>
      <vt:lpstr>Water_service_heifer_FR</vt:lpstr>
      <vt:lpstr>Water_service_heifer_GR</vt:lpstr>
      <vt:lpstr>Water_service_heifer_HU</vt:lpstr>
      <vt:lpstr>Water_service_heifer_IE</vt:lpstr>
      <vt:lpstr>Water_service_heifer_IT</vt:lpstr>
      <vt:lpstr>Water_service_heifer_NL</vt:lpstr>
      <vt:lpstr>Water_service_heifer_PL</vt:lpstr>
      <vt:lpstr>Water_service_heifer_SE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Elin Röös</dc:creator>
  <cp:lastModifiedBy>Wilhelm Wanecek</cp:lastModifiedBy>
  <cp:revision>0</cp:revision>
  <dcterms:created xsi:type="dcterms:W3CDTF">2015-06-05T18:19:34Z</dcterms:created>
  <dcterms:modified xsi:type="dcterms:W3CDTF">2026-09-09T12:46:49Z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