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4 - Novel foods/"/>
    </mc:Choice>
  </mc:AlternateContent>
  <xr:revisionPtr revIDLastSave="5727" documentId="8_{069EEEDE-4085-4710-9133-92B7CAA14FFF}" xr6:coauthVersionLast="47" xr6:coauthVersionMax="47" xr10:uidLastSave="{2E9DCE2E-6E39-4D2B-9192-FB7C1513FF9D}"/>
  <bookViews>
    <workbookView xWindow="-108" yWindow="-108" windowWidth="23256" windowHeight="12576" tabRatio="886" activeTab="3" xr2:uid="{00000000-000D-0000-FFFF-FFFF00000000}"/>
  </bookViews>
  <sheets>
    <sheet name="Footprints, results per kg" sheetId="4" r:id="rId1"/>
    <sheet name="GHG detailed, results per kg" sheetId="29" r:id="rId2"/>
    <sheet name="Novel foods, input data" sheetId="17" r:id="rId3"/>
    <sheet name="Agri ing" sheetId="22" r:id="rId4"/>
    <sheet name="Emission factors" sheetId="18" r:id="rId5"/>
    <sheet name="CF climate" sheetId="21" r:id="rId6"/>
    <sheet name="Types of NFs table" sheetId="14" r:id="rId7"/>
    <sheet name="Inputs - Cultured Meat" sheetId="8" r:id="rId8"/>
    <sheet name="Inputs - Microbial Milk" sheetId="9" r:id="rId9"/>
    <sheet name="Input - Microbial Ovalbumin" sheetId="12" r:id="rId10"/>
    <sheet name="Input - Mycoprotein" sheetId="6" r:id="rId11"/>
    <sheet name="Input - Yeast Microb. Fat" sheetId="27" r:id="rId12"/>
    <sheet name="Input - Algae Microb. Fat" sheetId="28" r:id="rId13"/>
    <sheet name="Input - Microbial Protein" sheetId="5" r:id="rId14"/>
    <sheet name="Input - Insect" sheetId="7" r:id="rId15"/>
    <sheet name="Input - Fats, CellAg" sheetId="16" r:id="rId16"/>
    <sheet name="OLD_Footprints, results per kg" sheetId="23" r:id="rId17"/>
    <sheet name="Example Calculations" sheetId="13" r:id="rId18"/>
    <sheet name="NOT THIS ONE - Microbial Fat" sheetId="15" r:id="rId19"/>
    <sheet name="Bkgrd - Kelp" sheetId="10" r:id="rId20"/>
    <sheet name="Bkgrd - Microalgae" sheetId="11" r:id="rId21"/>
    <sheet name="OLD, NOT USED---&gt;" sheetId="30" r:id="rId22"/>
    <sheet name="Novel foods CO2e" sheetId="20" r:id="rId23"/>
    <sheet name="Novel foods CO2" sheetId="19" r:id="rId24"/>
    <sheet name="Novel foods CH4" sheetId="25" r:id="rId25"/>
    <sheet name="Novel foods N2O" sheetId="26" r:id="rId26"/>
  </sheets>
  <externalReferences>
    <externalReference r:id="rId27"/>
    <externalReference r:id="rId28"/>
  </externalReferences>
  <definedNames>
    <definedName name="_Ref32411070">'Input - Microbial Protein'!$I$187</definedName>
    <definedName name="_Ref45878722">'Input - Microbial Protein'!$I$149</definedName>
    <definedName name="_Ref45878756">'Input - Microbial Protein'!$I$150</definedName>
    <definedName name="_Toc62923992">'Input - Microbial Protein'!$I$169</definedName>
    <definedName name="_Toc62924001" localSheetId="13">'Input - Microbial Protein'!$A$149</definedName>
    <definedName name="Bonefree_outof_CW_DE">'[1]Parameters, country spec'!$D$8</definedName>
    <definedName name="Bonefree_outof_CW_DK">'[1]Parameters, country spec'!$B$8</definedName>
    <definedName name="Bonefree_outof_CW_ES">'[1]Parameters, country spec'!$K$8</definedName>
    <definedName name="Bonefree_outof_CW_FR">'[1]Parameters, country spec'!$C$8</definedName>
    <definedName name="Bonefree_outof_CW_GR">'[1]Parameters, country spec'!$E$8</definedName>
    <definedName name="Bonefree_outof_CW_HU">'[1]Parameters, country spec'!$F$8</definedName>
    <definedName name="Bonefree_outof_CW_IE">'[1]Parameters, country spec'!$G$8</definedName>
    <definedName name="Bonefree_outof_CW_IT">'[1]Parameters, country spec'!$H$8</definedName>
    <definedName name="Bonefree_outof_CW_NL">'[1]Parameters, country spec'!$I$8</definedName>
    <definedName name="Bonefree_outof_CW_PL">'[1]Parameters, country spec'!$J$8</definedName>
    <definedName name="Bonefree_outof_CW_SE">'[1]Parameters, country spec'!$L$8</definedName>
    <definedName name="CF_CH4_bio">'CF climate'!$C$5</definedName>
    <definedName name="CF_CH4_foss">'CF climate'!$D$5</definedName>
    <definedName name="CF_CO2">'CF climate'!$B$5</definedName>
    <definedName name="CF_N2O">'CF climate'!$E$5</definedName>
    <definedName name="EF_biofuel_CH4">#REF!</definedName>
    <definedName name="EF_biofuel_N2O">#REF!</definedName>
    <definedName name="EF_biofuels_CO2">#REF!</definedName>
    <definedName name="EF_el_CH4_BR">#REF!</definedName>
    <definedName name="EF_el_CH4_DE">'[1]Parameters, country spec'!$D$91</definedName>
    <definedName name="EF_el_CH4_DK">'[1]Parameters, country spec'!$B$91</definedName>
    <definedName name="EF_el_CH4_ES">'[1]Parameters, country spec'!$K$91</definedName>
    <definedName name="EF_el_CH4_FR">#REF!</definedName>
    <definedName name="EF_el_CH4_GR">'[1]Parameters, country spec'!$E$91</definedName>
    <definedName name="EF_el_CH4_HU">'[1]Parameters, country spec'!$F$91</definedName>
    <definedName name="EF_el_CH4_IE">'[1]Parameters, country spec'!$G$91</definedName>
    <definedName name="EF_el_CH4_IT">'[1]Parameters, country spec'!$H$91</definedName>
    <definedName name="EF_el_CH4_NL">'[1]Parameters, country spec'!$I$91</definedName>
    <definedName name="EF_el_CH4_PL">'[1]Parameters, country spec'!$J$91</definedName>
    <definedName name="EF_el_CH4_SE">'[1]Parameters, country spec'!$L$91</definedName>
    <definedName name="EF_el_CO2_BR">#REF!</definedName>
    <definedName name="EF_el_CO2_DE">'[1]Parameters, country spec'!$D$90</definedName>
    <definedName name="EF_el_CO2_DK">'[1]Parameters, country spec'!$B$90</definedName>
    <definedName name="EF_el_CO2_ES">'[1]Parameters, country spec'!$K$90</definedName>
    <definedName name="EF_el_CO2_FR">#REF!</definedName>
    <definedName name="EF_el_CO2_GR">'[1]Parameters, country spec'!$E$90</definedName>
    <definedName name="EF_el_CO2_HU">'[1]Parameters, country spec'!$F$90</definedName>
    <definedName name="EF_el_CO2_IE">'[1]Parameters, country spec'!$G$90</definedName>
    <definedName name="EF_el_CO2_IT">'[1]Parameters, country spec'!$H$90</definedName>
    <definedName name="EF_el_CO2_NL">'[1]Parameters, country spec'!$I$90</definedName>
    <definedName name="EF_el_CO2_PL">'[1]Parameters, country spec'!$J$90</definedName>
    <definedName name="EF_el_CO2_SE">'[1]Parameters, country spec'!$L$90</definedName>
    <definedName name="EF_el_N2O_BR">#REF!</definedName>
    <definedName name="EF_el_N2O_DE">'[1]Parameters, country spec'!$D$92</definedName>
    <definedName name="EF_el_N2O_DK">'[1]Parameters, country spec'!$B$92</definedName>
    <definedName name="EF_el_N2O_ES">'[1]Parameters, country spec'!$K$92</definedName>
    <definedName name="EF_el_N2O_FR">#REF!</definedName>
    <definedName name="EF_el_N2O_GR">'[1]Parameters, country spec'!$E$92</definedName>
    <definedName name="EF_el_N2O_HU">'[1]Parameters, country spec'!$F$92</definedName>
    <definedName name="EF_el_N2O_IE">'[1]Parameters, country spec'!$G$92</definedName>
    <definedName name="EF_el_N2O_IT">'[1]Parameters, country spec'!$H$92</definedName>
    <definedName name="EF_el_N2O_NL">'[1]Parameters, country spec'!$I$92</definedName>
    <definedName name="EF_el_N2O_PL">'[1]Parameters, country spec'!$J$92</definedName>
    <definedName name="EF_el_N2O_SE">'[1]Parameters, country spec'!$L$92</definedName>
    <definedName name="EF_ent_ferm_DE">'[1]Parameters, country spec'!$D$75</definedName>
    <definedName name="EF_ent_ferm_DK">'[1]Parameters, country spec'!$B$75</definedName>
    <definedName name="EF_ent_ferm_ES">'[1]Parameters, country spec'!$K$75</definedName>
    <definedName name="EF_ent_ferm_FR">'[1]Parameters, country spec'!$C$75</definedName>
    <definedName name="EF_ent_ferm_GR">'[1]Parameters, country spec'!$E$75</definedName>
    <definedName name="EF_ent_ferm_HU">'[1]Parameters, country spec'!$F$75</definedName>
    <definedName name="EF_ent_ferm_IE">'[1]Parameters, country spec'!$G$75</definedName>
    <definedName name="EF_ent_ferm_IT">'[1]Parameters, country spec'!$H$75</definedName>
    <definedName name="EF_ent_ferm_NL">'[1]Parameters, country spec'!$I$75</definedName>
    <definedName name="EF_ent_ferm_PL">'[1]Parameters, country spec'!$J$75</definedName>
    <definedName name="EF_ent_ferm_SE">'[1]Parameters, country spec'!$L$75</definedName>
    <definedName name="EF_indirect_N2O_DE">'[1]Parameters, country spec'!$D$105</definedName>
    <definedName name="EF_indirect_N2O_DK">'[1]Parameters, country spec'!$B$105</definedName>
    <definedName name="EF_indirect_N2O_ES">'[1]Parameters, country spec'!$K$105</definedName>
    <definedName name="EF_indirect_N2O_FR">#REF!</definedName>
    <definedName name="EF_indirect_N2O_GR">'[1]Parameters, country spec'!$E$105</definedName>
    <definedName name="EF_indirect_N2O_HU">'[1]Parameters, country spec'!$F$105</definedName>
    <definedName name="EF_indirect_N2O_IE">'[1]Parameters, country spec'!$G$105</definedName>
    <definedName name="EF_indirect_N2O_IT">'[1]Parameters, country spec'!$H$105</definedName>
    <definedName name="EF_indirect_N2O_NL">'[1]Parameters, country spec'!$I$105</definedName>
    <definedName name="EF_indirect_N2O_PL">'[1]Parameters, country spec'!$J$105</definedName>
    <definedName name="EF_indirect_N2O_SE">'[1]Parameters, country spec'!$L$105</definedName>
    <definedName name="EF_min_fert_AN_CH4">#REF!</definedName>
    <definedName name="EF_min_fert_AN_CO2">#REF!</definedName>
    <definedName name="EF_min_fert_AN_N2O">#REF!</definedName>
    <definedName name="EF_min_fert_BAT_CH4">#REF!</definedName>
    <definedName name="EF_min_fert_BAT_CO2">#REF!</definedName>
    <definedName name="EF_min_fert_BAT_N2O">#REF!</definedName>
    <definedName name="EF_N2O_diff_DE">'[1]Parameters, country spec'!$D$104</definedName>
    <definedName name="EF_N2O_diff_DK">'[1]Parameters, country spec'!$B$104</definedName>
    <definedName name="EF_N2O_diff_ES">'[1]Parameters, country spec'!$K$104</definedName>
    <definedName name="EF_N2O_diff_FR">#REF!</definedName>
    <definedName name="EF_N2O_diff_GR">'[1]Parameters, country spec'!$E$104</definedName>
    <definedName name="EF_N2O_diff_HU">'[1]Parameters, country spec'!$F$104</definedName>
    <definedName name="EF_N2O_diff_IE">'[1]Parameters, country spec'!$G$104</definedName>
    <definedName name="EF_N2O_diff_IT">'[1]Parameters, country spec'!$H$104</definedName>
    <definedName name="EF_N2O_diff_NL">'[1]Parameters, country spec'!$I$104</definedName>
    <definedName name="EF_N2O_diff_PL">'[1]Parameters, country spec'!$J$104</definedName>
    <definedName name="EF_N2O_diff_SE">'[1]Parameters, country spec'!$L$104</definedName>
    <definedName name="EF_oil_CH4">#REF!</definedName>
    <definedName name="EF_oil_CO2">#REF!</definedName>
    <definedName name="EF_oil_N2O">#REF!</definedName>
    <definedName name="Energy_slaughter_el_DE">'[1]Parameters, country spec'!$D$85</definedName>
    <definedName name="Energy_slaughter_el_DK">'[1]Parameters, country spec'!$B$85</definedName>
    <definedName name="Energy_slaughter_el_ES">'[1]Parameters, country spec'!$K$85</definedName>
    <definedName name="Energy_slaughter_el_FR">#REF!</definedName>
    <definedName name="Energy_slaughter_el_GR">'[1]Parameters, country spec'!$E$85</definedName>
    <definedName name="Energy_slaughter_el_HU">'[1]Parameters, country spec'!$F$85</definedName>
    <definedName name="Energy_slaughter_el_IE">'[1]Parameters, country spec'!$G$85</definedName>
    <definedName name="Energy_slaughter_el_IT">'[1]Parameters, country spec'!$H$85</definedName>
    <definedName name="Energy_slaughter_el_NL">'[1]Parameters, country spec'!$I$85</definedName>
    <definedName name="Energy_slaughter_el_PL">'[1]Parameters, country spec'!$J$85</definedName>
    <definedName name="Energy_slaughter_el_SE">'[1]Parameters, country spec'!$L$85</definedName>
    <definedName name="Energy_slaughter_oil_DE">'[1]Parameters, country spec'!$D$86</definedName>
    <definedName name="Energy_slaughter_oil_DK">'[1]Parameters, country spec'!$B$86</definedName>
    <definedName name="Energy_slaughter_oil_ES">'[1]Parameters, country spec'!$K$86</definedName>
    <definedName name="Energy_slaughter_oil_FR">#REF!</definedName>
    <definedName name="Energy_slaughter_oil_GR">'[1]Parameters, country spec'!$E$86</definedName>
    <definedName name="Energy_slaughter_oil_HU">'[1]Parameters, country spec'!$F$86</definedName>
    <definedName name="Energy_slaughter_oil_IE">'[1]Parameters, country spec'!$G$86</definedName>
    <definedName name="Energy_slaughter_oil_IT">'[1]Parameters, country spec'!$H$86</definedName>
    <definedName name="Energy_slaughter_oil_NL">'[1]Parameters, country spec'!$I$86</definedName>
    <definedName name="Energy_slaughter_oil_PL">'[1]Parameters, country spec'!$J$86</definedName>
    <definedName name="Energy_slaughter_oil_SE">'[1]Parameters, country spec'!$L$86</definedName>
    <definedName name="Energy_stables_DE">'[1]Parameters, country spec'!$D$80</definedName>
    <definedName name="Energy_stables_DK">'[1]Parameters, country spec'!$B$80</definedName>
    <definedName name="Energy_stables_ES">'[1]Parameters, country spec'!$K$80</definedName>
    <definedName name="Energy_stables_FR">#REF!</definedName>
    <definedName name="Energy_stables_GR">'[1]Parameters, country spec'!$E$80</definedName>
    <definedName name="Energy_stables_HU">'[1]Parameters, country spec'!$F$80</definedName>
    <definedName name="Energy_stables_IE">'[1]Parameters, country spec'!$G$80</definedName>
    <definedName name="Energy_stables_IT">'[1]Parameters, country spec'!$H$80</definedName>
    <definedName name="Energy_stables_NL">'[1]Parameters, country spec'!$I$80</definedName>
    <definedName name="Energy_stables_PL">'[1]Parameters, country spec'!$J$80</definedName>
    <definedName name="Energy_stables_SE">'[1]Parameters, country spec'!$L$80</definedName>
    <definedName name="Excreted_N_after_losses_DE">[1]Manure!$J$139</definedName>
    <definedName name="Excreted_N_after_losses_DK">[1]Manure!$B$139</definedName>
    <definedName name="Excreted_N_after_losses_ES">[1]Manure!$AL$139</definedName>
    <definedName name="Excreted_N_after_losses_FR">#REF!</definedName>
    <definedName name="Excreted_N_after_losses_GR">[1]Manure!$N$139</definedName>
    <definedName name="Excreted_N_after_losses_HU">[1]Manure!$R$139</definedName>
    <definedName name="Excreted_N_after_losses_IE">[1]Manure!$V$139</definedName>
    <definedName name="Excreted_N_after_losses_IT">[1]Manure!$Z$139</definedName>
    <definedName name="Excreted_N_after_losses_NL">[1]Manure!$AD$139</definedName>
    <definedName name="Excreted_N_after_losses_PL">[1]Manure!$AH$139</definedName>
    <definedName name="Excreted_N_after_losses_SE">[1]Manure!$AP$139</definedName>
    <definedName name="FCR_bonefree_incl_parents_DE">'[1]Parameters, country spec'!$D$71</definedName>
    <definedName name="FCR_bonefree_incl_parents_DK">'[1]Parameters, country spec'!$B$71</definedName>
    <definedName name="FCR_bonefree_incl_parents_ES">'[1]Parameters, country spec'!$K$71</definedName>
    <definedName name="FCR_bonefree_incl_parents_FR">#REF!</definedName>
    <definedName name="FCR_bonefree_incl_parents_GR">'[1]Parameters, country spec'!$E$71</definedName>
    <definedName name="FCR_bonefree_incl_parents_HU">'[1]Parameters, country spec'!$F$71</definedName>
    <definedName name="FCR_bonefree_incl_parents_IE">'[1]Parameters, country spec'!$G$71</definedName>
    <definedName name="FCR_bonefree_incl_parents_IT">'[1]Parameters, country spec'!$H$71</definedName>
    <definedName name="FCR_bonefree_incl_parents_NL">'[1]Parameters, country spec'!$I$71</definedName>
    <definedName name="FCR_bonefree_incl_parents_PL">'[1]Parameters, country spec'!$J$71</definedName>
    <definedName name="FCR_bonefree_incl_parents_SE">'[1]Parameters, country spec'!$L$71</definedName>
    <definedName name="Frac_AN_DE">'[1]Parameters, country spec'!$D$99</definedName>
    <definedName name="Frac_AN_DK">'[1]Parameters, country spec'!$B$99</definedName>
    <definedName name="Frac_AN_ES">'[1]Parameters, country spec'!$K$99</definedName>
    <definedName name="Frac_AN_FR">#REF!</definedName>
    <definedName name="Frac_AN_GR">'[1]Parameters, country spec'!$E$99</definedName>
    <definedName name="Frac_AN_HU">'[1]Parameters, country spec'!$F$99</definedName>
    <definedName name="Frac_AN_IE">'[1]Parameters, country spec'!$G$99</definedName>
    <definedName name="Frac_AN_IT">'[1]Parameters, country spec'!$H$99</definedName>
    <definedName name="Frac_AN_NL">'[1]Parameters, country spec'!$I$99</definedName>
    <definedName name="Frac_AN_PL">'[1]Parameters, country spec'!$J$99</definedName>
    <definedName name="Frac_AN_SE">'[1]Parameters, country spec'!$L$99</definedName>
    <definedName name="Frac_BAT_DE">'[1]Parameters, country spec'!$D$98</definedName>
    <definedName name="Frac_BAT_DK">'[1]Parameters, country spec'!$B$98</definedName>
    <definedName name="Frac_BAT_ES">'[1]Parameters, country spec'!$K$98</definedName>
    <definedName name="Frac_BAT_FR">#REF!</definedName>
    <definedName name="Frac_BAT_GR">'[1]Parameters, country spec'!$E$98</definedName>
    <definedName name="Frac_BAT_HU">'[1]Parameters, country spec'!$F$98</definedName>
    <definedName name="Frac_BAT_IE">'[1]Parameters, country spec'!$G$98</definedName>
    <definedName name="Frac_BAT_IT">'[1]Parameters, country spec'!$H$98</definedName>
    <definedName name="Frac_BAT_NL">'[1]Parameters, country spec'!$I$98</definedName>
    <definedName name="Frac_BAT_PL">'[1]Parameters, country spec'!$J$98</definedName>
    <definedName name="Frac_BAT_SE">'[1]Parameters, country spec'!$L$98</definedName>
    <definedName name="Manure_repl_factor_DE">'[1]Parameters, country spec'!$D$108</definedName>
    <definedName name="Manure_repl_factor_DK">'[1]Parameters, country spec'!$B$108</definedName>
    <definedName name="Manure_repl_factor_ES">'[1]Parameters, country spec'!$K$108</definedName>
    <definedName name="Manure_repl_factor_FR">#REF!</definedName>
    <definedName name="Manure_repl_factor_GR">'[1]Parameters, country spec'!$E$108</definedName>
    <definedName name="Manure_repl_factor_HU">'[1]Parameters, country spec'!$F$108</definedName>
    <definedName name="Manure_repl_factor_IE">'[1]Parameters, country spec'!$G$108</definedName>
    <definedName name="Manure_repl_factor_IT">'[1]Parameters, country spec'!$H$108</definedName>
    <definedName name="Manure_repl_factor_NL">'[1]Parameters, country spec'!$I$108</definedName>
    <definedName name="Manure_repl_factor_PL">'[1]Parameters, country spec'!$J$108</definedName>
    <definedName name="Manure_repl_factor_SE">'[1]Parameters, country spec'!$L$108</definedName>
    <definedName name="NH3_per_kg_DE">[1]Manure!$M$142</definedName>
    <definedName name="NH3_per_kg_DK">[1]Manure!$E$142</definedName>
    <definedName name="NH3_per_kg_ES">[1]Manure!$AO$142</definedName>
    <definedName name="NH3_per_kg_FR">#REF!</definedName>
    <definedName name="NH3_per_kg_GR">[1]Manure!$Q$142</definedName>
    <definedName name="NH3_per_kg_HU">[1]Manure!$U$142</definedName>
    <definedName name="NH3_per_kg_IE">[1]Manure!$Y$142</definedName>
    <definedName name="NH3_per_kg_IT">[1]Manure!$AC$142</definedName>
    <definedName name="NH3_per_kg_NL">[1]Manure!$AG$142</definedName>
    <definedName name="NH3_per_kg_PL">[1]Manure!$AK$142</definedName>
    <definedName name="NH3_per_kg_SE">[1]Manure!$AS$142</definedName>
    <definedName name="Share_biofuels_DE">'[1]Parameters, country spec'!$D$82</definedName>
    <definedName name="Share_biofuels_DK">'[1]Parameters, country spec'!$B$82</definedName>
    <definedName name="Share_biofuels_ES">'[1]Parameters, country spec'!$K$82</definedName>
    <definedName name="Share_biofuels_FR">#REF!</definedName>
    <definedName name="Share_biofuels_GR">'[1]Parameters, country spec'!$E$82</definedName>
    <definedName name="Share_biofuels_HU">'[1]Parameters, country spec'!$F$82</definedName>
    <definedName name="Share_biofuels_IE">'[1]Parameters, country spec'!$G$82</definedName>
    <definedName name="Share_biofuels_IT">'[1]Parameters, country spec'!$H$82</definedName>
    <definedName name="Share_biofuels_NL">'[1]Parameters, country spec'!$I$82</definedName>
    <definedName name="Share_biofuels_PL">'[1]Parameters, country spec'!$J$82</definedName>
    <definedName name="Share_biofuels_SE">'[1]Parameters, country spec'!$L$82</definedName>
    <definedName name="Share_heating_DE">'[1]Parameters, country spec'!$D$81</definedName>
    <definedName name="Share_heating_DK">'[1]Parameters, country spec'!$B$81</definedName>
    <definedName name="Share_heating_ES">'[1]Parameters, country spec'!$K$81</definedName>
    <definedName name="Share_heating_FR">#REF!</definedName>
    <definedName name="Share_heating_GR">'[1]Parameters, country spec'!$E$81</definedName>
    <definedName name="Share_heating_HU">'[1]Parameters, country spec'!$F$81</definedName>
    <definedName name="Share_heating_IE">'[1]Parameters, country spec'!$G$81</definedName>
    <definedName name="Share_heating_IT">'[1]Parameters, country spec'!$H$81</definedName>
    <definedName name="Share_heating_NL">'[1]Parameters, country spec'!$I$81</definedName>
    <definedName name="Share_heating_PL">'[1]Parameters, country spec'!$J$81</definedName>
    <definedName name="Share_heating_SE">'[1]Parameters, country spec'!$L$81</definedName>
    <definedName name="Water_stables_FR">'[2]Parameters, country spec'!$B$63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9" i="29" l="1"/>
  <c r="D15" i="18"/>
  <c r="C15" i="18"/>
  <c r="O92" i="29" s="1"/>
  <c r="B15" i="18"/>
  <c r="O139" i="29"/>
  <c r="O137" i="29"/>
  <c r="O136" i="29"/>
  <c r="O134" i="29"/>
  <c r="O132" i="29"/>
  <c r="O131" i="29"/>
  <c r="O129" i="29"/>
  <c r="O127" i="29"/>
  <c r="O126" i="29"/>
  <c r="O124" i="29"/>
  <c r="O122" i="29"/>
  <c r="O121" i="29"/>
  <c r="O117" i="29"/>
  <c r="O116" i="29"/>
  <c r="O114" i="29"/>
  <c r="O112" i="29"/>
  <c r="O111" i="29"/>
  <c r="O109" i="29"/>
  <c r="O107" i="29"/>
  <c r="O106" i="29"/>
  <c r="O104" i="29"/>
  <c r="O102" i="29"/>
  <c r="O101" i="29"/>
  <c r="O99" i="29"/>
  <c r="O97" i="29"/>
  <c r="O96" i="29"/>
  <c r="O89" i="29"/>
  <c r="O94" i="29"/>
  <c r="O87" i="29"/>
  <c r="O91" i="29"/>
  <c r="O86" i="29"/>
  <c r="O84" i="29"/>
  <c r="O82" i="29"/>
  <c r="O81" i="29"/>
  <c r="O79" i="29"/>
  <c r="O77" i="29"/>
  <c r="O76" i="29"/>
  <c r="O74" i="29"/>
  <c r="O72" i="29"/>
  <c r="O71" i="29"/>
  <c r="O69" i="29"/>
  <c r="O67" i="29"/>
  <c r="O66" i="29"/>
  <c r="O64" i="29"/>
  <c r="O62" i="29"/>
  <c r="O61" i="29"/>
  <c r="O59" i="29"/>
  <c r="O57" i="29"/>
  <c r="O56" i="29"/>
  <c r="O54" i="29"/>
  <c r="O52" i="29"/>
  <c r="O51" i="29"/>
  <c r="O49" i="29"/>
  <c r="O47" i="29"/>
  <c r="O46" i="29"/>
  <c r="O44" i="29"/>
  <c r="O41" i="29"/>
  <c r="O42" i="29"/>
  <c r="O39" i="29"/>
  <c r="O37" i="29"/>
  <c r="O36" i="29"/>
  <c r="O34" i="29"/>
  <c r="O32" i="29"/>
  <c r="O31" i="29"/>
  <c r="O29" i="29"/>
  <c r="O27" i="29"/>
  <c r="O26" i="29"/>
  <c r="O24" i="29"/>
  <c r="O22" i="29"/>
  <c r="O21" i="29"/>
  <c r="O19" i="29"/>
  <c r="O17" i="29"/>
  <c r="O16" i="29"/>
  <c r="O9" i="29"/>
  <c r="O11" i="29"/>
  <c r="O14" i="29"/>
  <c r="O12" i="29"/>
  <c r="O7" i="29"/>
  <c r="O6" i="29"/>
  <c r="L139" i="29"/>
  <c r="J139" i="29"/>
  <c r="I139" i="29"/>
  <c r="H139" i="29"/>
  <c r="L137" i="29"/>
  <c r="I137" i="29"/>
  <c r="H137" i="29"/>
  <c r="L136" i="29"/>
  <c r="I136" i="29"/>
  <c r="H136" i="29"/>
  <c r="L134" i="29"/>
  <c r="J134" i="29"/>
  <c r="I134" i="29"/>
  <c r="H134" i="29"/>
  <c r="L132" i="29"/>
  <c r="I132" i="29"/>
  <c r="H132" i="29"/>
  <c r="L131" i="29"/>
  <c r="I131" i="29"/>
  <c r="H131" i="29"/>
  <c r="L129" i="29"/>
  <c r="J129" i="29"/>
  <c r="I129" i="29"/>
  <c r="H129" i="29"/>
  <c r="L127" i="29"/>
  <c r="I127" i="29"/>
  <c r="H127" i="29"/>
  <c r="L126" i="29"/>
  <c r="I126" i="29"/>
  <c r="H126" i="29"/>
  <c r="L124" i="29"/>
  <c r="J124" i="29"/>
  <c r="I124" i="29"/>
  <c r="H124" i="29"/>
  <c r="L122" i="29"/>
  <c r="I122" i="29"/>
  <c r="H122" i="29"/>
  <c r="L121" i="29"/>
  <c r="I121" i="29"/>
  <c r="H121" i="29"/>
  <c r="L119" i="29"/>
  <c r="J119" i="29"/>
  <c r="I119" i="29"/>
  <c r="H119" i="29"/>
  <c r="L117" i="29"/>
  <c r="I117" i="29"/>
  <c r="H117" i="29"/>
  <c r="L116" i="29"/>
  <c r="I116" i="29"/>
  <c r="H116" i="29"/>
  <c r="T94" i="29"/>
  <c r="T93" i="29"/>
  <c r="P91" i="29"/>
  <c r="T89" i="29"/>
  <c r="T88" i="29"/>
  <c r="G88" i="29" s="1"/>
  <c r="P86" i="29"/>
  <c r="L74" i="29"/>
  <c r="J74" i="29"/>
  <c r="I74" i="29"/>
  <c r="H74" i="29"/>
  <c r="L72" i="29"/>
  <c r="I72" i="29"/>
  <c r="H72" i="29"/>
  <c r="L71" i="29"/>
  <c r="I71" i="29"/>
  <c r="H71" i="29"/>
  <c r="L69" i="29"/>
  <c r="J69" i="29"/>
  <c r="I69" i="29"/>
  <c r="H69" i="29"/>
  <c r="L67" i="29"/>
  <c r="I67" i="29"/>
  <c r="H67" i="29"/>
  <c r="L66" i="29"/>
  <c r="I66" i="29"/>
  <c r="H66" i="29"/>
  <c r="L64" i="29"/>
  <c r="J64" i="29"/>
  <c r="I64" i="29"/>
  <c r="H64" i="29"/>
  <c r="L62" i="29"/>
  <c r="I62" i="29"/>
  <c r="H62" i="29"/>
  <c r="L61" i="29"/>
  <c r="I61" i="29"/>
  <c r="H61" i="29"/>
  <c r="L59" i="29"/>
  <c r="J59" i="29"/>
  <c r="I59" i="29"/>
  <c r="H59" i="29"/>
  <c r="L57" i="29"/>
  <c r="I57" i="29"/>
  <c r="H57" i="29"/>
  <c r="L56" i="29"/>
  <c r="I56" i="29"/>
  <c r="H56" i="29"/>
  <c r="L54" i="29"/>
  <c r="J54" i="29"/>
  <c r="I54" i="29"/>
  <c r="H54" i="29"/>
  <c r="L52" i="29"/>
  <c r="I52" i="29"/>
  <c r="H52" i="29"/>
  <c r="L51" i="29"/>
  <c r="I51" i="29"/>
  <c r="H51" i="29"/>
  <c r="L49" i="29"/>
  <c r="J49" i="29"/>
  <c r="I49" i="29"/>
  <c r="H49" i="29"/>
  <c r="L47" i="29"/>
  <c r="I47" i="29"/>
  <c r="H47" i="29"/>
  <c r="L46" i="29"/>
  <c r="I46" i="29"/>
  <c r="H46" i="29"/>
  <c r="L44" i="29"/>
  <c r="J44" i="29"/>
  <c r="I44" i="29"/>
  <c r="H44" i="29"/>
  <c r="L42" i="29"/>
  <c r="I42" i="29"/>
  <c r="H42" i="29"/>
  <c r="L41" i="29"/>
  <c r="I41" i="29"/>
  <c r="H41" i="29"/>
  <c r="L39" i="29"/>
  <c r="J39" i="29"/>
  <c r="I39" i="29"/>
  <c r="H39" i="29"/>
  <c r="L37" i="29"/>
  <c r="I37" i="29"/>
  <c r="H37" i="29"/>
  <c r="L36" i="29"/>
  <c r="I36" i="29"/>
  <c r="H36" i="29"/>
  <c r="L34" i="29"/>
  <c r="J34" i="29"/>
  <c r="I34" i="29"/>
  <c r="H34" i="29"/>
  <c r="L32" i="29"/>
  <c r="I32" i="29"/>
  <c r="H32" i="29"/>
  <c r="L31" i="29"/>
  <c r="I31" i="29"/>
  <c r="H31" i="29"/>
  <c r="L29" i="29"/>
  <c r="J29" i="29"/>
  <c r="I29" i="29"/>
  <c r="H29" i="29"/>
  <c r="L27" i="29"/>
  <c r="I27" i="29"/>
  <c r="H27" i="29"/>
  <c r="L26" i="29"/>
  <c r="I26" i="29"/>
  <c r="H26" i="29"/>
  <c r="L24" i="29"/>
  <c r="J24" i="29"/>
  <c r="I24" i="29"/>
  <c r="H24" i="29"/>
  <c r="L22" i="29"/>
  <c r="I22" i="29"/>
  <c r="H22" i="29"/>
  <c r="L21" i="29"/>
  <c r="I21" i="29"/>
  <c r="H21" i="29"/>
  <c r="L19" i="29"/>
  <c r="J19" i="29"/>
  <c r="I19" i="29"/>
  <c r="H19" i="29"/>
  <c r="L17" i="29"/>
  <c r="I17" i="29"/>
  <c r="H17" i="29"/>
  <c r="L16" i="29"/>
  <c r="I16" i="29"/>
  <c r="H16" i="29"/>
  <c r="L14" i="29"/>
  <c r="J14" i="29"/>
  <c r="I14" i="29"/>
  <c r="H14" i="29"/>
  <c r="L12" i="29"/>
  <c r="I12" i="29"/>
  <c r="H12" i="29"/>
  <c r="L11" i="29"/>
  <c r="I11" i="29"/>
  <c r="H11" i="29"/>
  <c r="L9" i="29"/>
  <c r="L7" i="29"/>
  <c r="L6" i="29"/>
  <c r="J9" i="29"/>
  <c r="I9" i="29"/>
  <c r="I7" i="29"/>
  <c r="I6" i="29"/>
  <c r="H9" i="29"/>
  <c r="H7" i="29"/>
  <c r="H6" i="29"/>
  <c r="Q32" i="4"/>
  <c r="Q31" i="4"/>
  <c r="Q30" i="4"/>
  <c r="Q29" i="4"/>
  <c r="Q28" i="4"/>
  <c r="M28" i="4"/>
  <c r="N28" i="4"/>
  <c r="O28" i="4"/>
  <c r="P28" i="4"/>
  <c r="R28" i="4"/>
  <c r="M29" i="4"/>
  <c r="N29" i="4"/>
  <c r="O29" i="4"/>
  <c r="P29" i="4"/>
  <c r="R29" i="4"/>
  <c r="M30" i="4"/>
  <c r="N30" i="4"/>
  <c r="O30" i="4"/>
  <c r="P30" i="4"/>
  <c r="R30" i="4"/>
  <c r="M31" i="4"/>
  <c r="N31" i="4"/>
  <c r="O31" i="4"/>
  <c r="P31" i="4"/>
  <c r="R31" i="4"/>
  <c r="M32" i="4"/>
  <c r="N32" i="4"/>
  <c r="O32" i="4"/>
  <c r="P32" i="4"/>
  <c r="R32" i="4"/>
  <c r="L32" i="4"/>
  <c r="L31" i="4"/>
  <c r="L30" i="4"/>
  <c r="L29" i="4"/>
  <c r="L28" i="4"/>
  <c r="U23" i="4"/>
  <c r="U22" i="4"/>
  <c r="T23" i="4"/>
  <c r="T22" i="4"/>
  <c r="L16" i="4"/>
  <c r="M16" i="4"/>
  <c r="N16" i="4"/>
  <c r="O16" i="4"/>
  <c r="P16" i="4"/>
  <c r="Q16" i="4"/>
  <c r="R16" i="4"/>
  <c r="L17" i="4"/>
  <c r="M17" i="4"/>
  <c r="N17" i="4"/>
  <c r="O17" i="4"/>
  <c r="P17" i="4"/>
  <c r="Q17" i="4"/>
  <c r="R17" i="4"/>
  <c r="L18" i="4"/>
  <c r="M18" i="4"/>
  <c r="N18" i="4"/>
  <c r="O18" i="4"/>
  <c r="P18" i="4"/>
  <c r="Q18" i="4"/>
  <c r="R18" i="4"/>
  <c r="L19" i="4"/>
  <c r="M19" i="4"/>
  <c r="N19" i="4"/>
  <c r="O19" i="4"/>
  <c r="P19" i="4"/>
  <c r="Q19" i="4"/>
  <c r="R19" i="4"/>
  <c r="R15" i="4"/>
  <c r="Q15" i="4"/>
  <c r="Q11" i="4"/>
  <c r="Q12" i="4"/>
  <c r="Q13" i="4"/>
  <c r="Q14" i="4"/>
  <c r="Q10" i="4"/>
  <c r="P15" i="4"/>
  <c r="O15" i="4"/>
  <c r="N15" i="4"/>
  <c r="M15" i="4"/>
  <c r="L15" i="4"/>
  <c r="L11" i="4"/>
  <c r="M11" i="4"/>
  <c r="N11" i="4"/>
  <c r="O11" i="4"/>
  <c r="P11" i="4"/>
  <c r="R11" i="4"/>
  <c r="L12" i="4"/>
  <c r="M12" i="4"/>
  <c r="N12" i="4"/>
  <c r="O12" i="4"/>
  <c r="P12" i="4"/>
  <c r="R12" i="4"/>
  <c r="L13" i="4"/>
  <c r="M13" i="4"/>
  <c r="N13" i="4"/>
  <c r="O13" i="4"/>
  <c r="P13" i="4"/>
  <c r="R13" i="4"/>
  <c r="L14" i="4"/>
  <c r="M14" i="4"/>
  <c r="N14" i="4"/>
  <c r="O14" i="4"/>
  <c r="P14" i="4"/>
  <c r="R14" i="4"/>
  <c r="R10" i="4"/>
  <c r="R7" i="4"/>
  <c r="R8" i="4"/>
  <c r="R9" i="4"/>
  <c r="R6" i="4"/>
  <c r="P10" i="4"/>
  <c r="O10" i="4"/>
  <c r="N10" i="4"/>
  <c r="M10" i="4"/>
  <c r="L10" i="4"/>
  <c r="Q7" i="4"/>
  <c r="Q8" i="4"/>
  <c r="Q9" i="4"/>
  <c r="Q6" i="4"/>
  <c r="P9" i="4"/>
  <c r="P8" i="4"/>
  <c r="P6" i="4"/>
  <c r="P7" i="4"/>
  <c r="O7" i="4"/>
  <c r="O8" i="4"/>
  <c r="O9" i="4"/>
  <c r="O6" i="4"/>
  <c r="N7" i="4"/>
  <c r="N8" i="4"/>
  <c r="N9" i="4"/>
  <c r="N6" i="4"/>
  <c r="M6" i="4"/>
  <c r="M7" i="4"/>
  <c r="M8" i="4"/>
  <c r="M9" i="4"/>
  <c r="L7" i="4"/>
  <c r="L8" i="4"/>
  <c r="L9" i="4"/>
  <c r="L6" i="4"/>
  <c r="J21" i="22"/>
  <c r="K21" i="22"/>
  <c r="L21" i="22"/>
  <c r="M21" i="22"/>
  <c r="N21" i="22"/>
  <c r="L23" i="4" s="1"/>
  <c r="O21" i="22"/>
  <c r="M22" i="4" s="1"/>
  <c r="P21" i="22"/>
  <c r="N23" i="4" s="1"/>
  <c r="Q21" i="22"/>
  <c r="O23" i="4" s="1"/>
  <c r="R21" i="22"/>
  <c r="P22" i="4" s="1"/>
  <c r="S21" i="22"/>
  <c r="Q23" i="4" s="1"/>
  <c r="T21" i="22"/>
  <c r="R23" i="4" s="1"/>
  <c r="W21" i="22"/>
  <c r="X21" i="22"/>
  <c r="Y21" i="22"/>
  <c r="Z21" i="22"/>
  <c r="AA21" i="22"/>
  <c r="AD21" i="22"/>
  <c r="H86" i="29" s="1"/>
  <c r="AE21" i="22"/>
  <c r="I86" i="29" s="1"/>
  <c r="AF21" i="22"/>
  <c r="L86" i="29" s="1"/>
  <c r="AH21" i="22"/>
  <c r="H92" i="29" s="1"/>
  <c r="AI21" i="22"/>
  <c r="I87" i="29" s="1"/>
  <c r="AJ21" i="22"/>
  <c r="L92" i="29" s="1"/>
  <c r="AN21" i="22"/>
  <c r="H89" i="29" s="1"/>
  <c r="AO21" i="22"/>
  <c r="I89" i="29" s="1"/>
  <c r="AP21" i="22"/>
  <c r="J89" i="29" s="1"/>
  <c r="AQ21" i="22"/>
  <c r="L89" i="29" s="1"/>
  <c r="I21" i="22"/>
  <c r="F8" i="6"/>
  <c r="F7" i="6"/>
  <c r="N10" i="17"/>
  <c r="AG11" i="17"/>
  <c r="AH11" i="17"/>
  <c r="AF11" i="17"/>
  <c r="AF12" i="17"/>
  <c r="R14" i="27"/>
  <c r="S14" i="27"/>
  <c r="Q14" i="27"/>
  <c r="R7" i="27"/>
  <c r="S7" i="27"/>
  <c r="R8" i="27"/>
  <c r="S8" i="27"/>
  <c r="R9" i="27"/>
  <c r="S9" i="27"/>
  <c r="R10" i="27"/>
  <c r="S10" i="27"/>
  <c r="R11" i="27"/>
  <c r="S11" i="27"/>
  <c r="R12" i="27"/>
  <c r="S12" i="27"/>
  <c r="Q8" i="27"/>
  <c r="Q9" i="27"/>
  <c r="Q10" i="27"/>
  <c r="Q11" i="27"/>
  <c r="Q12" i="27"/>
  <c r="Q7" i="27"/>
  <c r="AF9" i="17"/>
  <c r="T90" i="29" l="1"/>
  <c r="H91" i="29"/>
  <c r="I91" i="29"/>
  <c r="G93" i="29"/>
  <c r="L22" i="4"/>
  <c r="H87" i="29"/>
  <c r="H94" i="29"/>
  <c r="M23" i="4"/>
  <c r="R22" i="4"/>
  <c r="L91" i="29"/>
  <c r="O22" i="4"/>
  <c r="I94" i="29"/>
  <c r="N22" i="4"/>
  <c r="J94" i="29"/>
  <c r="P23" i="4"/>
  <c r="I92" i="29"/>
  <c r="L94" i="29"/>
  <c r="Q22" i="4"/>
  <c r="L87" i="29"/>
  <c r="O95" i="29"/>
  <c r="J25" i="9"/>
  <c r="AF7" i="17" s="1"/>
  <c r="B8" i="9"/>
  <c r="X140" i="29"/>
  <c r="W140" i="29"/>
  <c r="T140" i="29"/>
  <c r="S140" i="29"/>
  <c r="R140" i="29"/>
  <c r="Q140" i="29"/>
  <c r="X135" i="29"/>
  <c r="W135" i="29"/>
  <c r="T135" i="29"/>
  <c r="S135" i="29"/>
  <c r="R135" i="29"/>
  <c r="Q135" i="29"/>
  <c r="X130" i="29"/>
  <c r="W130" i="29"/>
  <c r="T130" i="29"/>
  <c r="S130" i="29"/>
  <c r="R130" i="29"/>
  <c r="Q130" i="29"/>
  <c r="X125" i="29"/>
  <c r="W125" i="29"/>
  <c r="T125" i="29"/>
  <c r="S125" i="29"/>
  <c r="R125" i="29"/>
  <c r="Q125" i="29"/>
  <c r="X120" i="29"/>
  <c r="W120" i="29"/>
  <c r="T120" i="29"/>
  <c r="S120" i="29"/>
  <c r="R120" i="29"/>
  <c r="Q120" i="29"/>
  <c r="X115" i="29"/>
  <c r="W115" i="29"/>
  <c r="T115" i="29"/>
  <c r="S115" i="29"/>
  <c r="R115" i="29"/>
  <c r="Q115" i="29"/>
  <c r="X110" i="29"/>
  <c r="W110" i="29"/>
  <c r="T110" i="29"/>
  <c r="S110" i="29"/>
  <c r="R110" i="29"/>
  <c r="Q110" i="29"/>
  <c r="X105" i="29"/>
  <c r="W105" i="29"/>
  <c r="T105" i="29"/>
  <c r="S105" i="29"/>
  <c r="R105" i="29"/>
  <c r="Q105" i="29"/>
  <c r="X100" i="29"/>
  <c r="W100" i="29"/>
  <c r="T100" i="29"/>
  <c r="S100" i="29"/>
  <c r="R100" i="29"/>
  <c r="Q100" i="29"/>
  <c r="I22" i="4"/>
  <c r="X85" i="29"/>
  <c r="W85" i="29"/>
  <c r="T85" i="29"/>
  <c r="S85" i="29"/>
  <c r="R85" i="29"/>
  <c r="Q85" i="29"/>
  <c r="X80" i="29"/>
  <c r="W80" i="29"/>
  <c r="T80" i="29"/>
  <c r="S80" i="29"/>
  <c r="R80" i="29"/>
  <c r="Q80" i="29"/>
  <c r="X75" i="29"/>
  <c r="W75" i="29"/>
  <c r="T75" i="29"/>
  <c r="S75" i="29"/>
  <c r="R75" i="29"/>
  <c r="Q75" i="29"/>
  <c r="X70" i="29"/>
  <c r="W70" i="29"/>
  <c r="T70" i="29"/>
  <c r="S70" i="29"/>
  <c r="R70" i="29"/>
  <c r="Q70" i="29"/>
  <c r="X65" i="29"/>
  <c r="W65" i="29"/>
  <c r="T65" i="29"/>
  <c r="S65" i="29"/>
  <c r="R65" i="29"/>
  <c r="Q65" i="29"/>
  <c r="X60" i="29"/>
  <c r="W60" i="29"/>
  <c r="T60" i="29"/>
  <c r="S60" i="29"/>
  <c r="R60" i="29"/>
  <c r="Q60" i="29"/>
  <c r="X55" i="29"/>
  <c r="W55" i="29"/>
  <c r="T55" i="29"/>
  <c r="S55" i="29"/>
  <c r="R55" i="29"/>
  <c r="Q55" i="29"/>
  <c r="X50" i="29"/>
  <c r="W50" i="29"/>
  <c r="T50" i="29"/>
  <c r="S50" i="29"/>
  <c r="R50" i="29"/>
  <c r="Q50" i="29"/>
  <c r="X45" i="29"/>
  <c r="W45" i="29"/>
  <c r="T45" i="29"/>
  <c r="S45" i="29"/>
  <c r="R45" i="29"/>
  <c r="Q45" i="29"/>
  <c r="X40" i="29"/>
  <c r="W40" i="29"/>
  <c r="T40" i="29"/>
  <c r="S40" i="29"/>
  <c r="R40" i="29"/>
  <c r="Q40" i="29"/>
  <c r="X35" i="29"/>
  <c r="W35" i="29"/>
  <c r="T35" i="29"/>
  <c r="S35" i="29"/>
  <c r="R35" i="29"/>
  <c r="Q35" i="29"/>
  <c r="X30" i="29"/>
  <c r="W30" i="29"/>
  <c r="T30" i="29"/>
  <c r="S30" i="29"/>
  <c r="R30" i="29"/>
  <c r="Q30" i="29"/>
  <c r="X25" i="29"/>
  <c r="W25" i="29"/>
  <c r="T25" i="29"/>
  <c r="S25" i="29"/>
  <c r="R25" i="29"/>
  <c r="Q25" i="29"/>
  <c r="X20" i="29"/>
  <c r="W20" i="29"/>
  <c r="T20" i="29"/>
  <c r="S20" i="29"/>
  <c r="R20" i="29"/>
  <c r="Q20" i="29"/>
  <c r="X15" i="29"/>
  <c r="W15" i="29"/>
  <c r="T15" i="29"/>
  <c r="S15" i="29"/>
  <c r="R15" i="29"/>
  <c r="Q15" i="29"/>
  <c r="Q10" i="29"/>
  <c r="R10" i="29"/>
  <c r="S10" i="29"/>
  <c r="T10" i="29"/>
  <c r="W10" i="29"/>
  <c r="X10" i="29"/>
  <c r="P100" i="29" l="1"/>
  <c r="P115" i="29"/>
  <c r="P105" i="29"/>
  <c r="P85" i="29"/>
  <c r="P80" i="29"/>
  <c r="G108" i="29"/>
  <c r="I26" i="4" s="1"/>
  <c r="G113" i="29"/>
  <c r="I27" i="4" s="1"/>
  <c r="G103" i="29"/>
  <c r="I25" i="4" s="1"/>
  <c r="P110" i="29"/>
  <c r="G98" i="29"/>
  <c r="I24" i="4" s="1"/>
  <c r="G83" i="29"/>
  <c r="I21" i="4" s="1"/>
  <c r="G78" i="29"/>
  <c r="I20" i="4" s="1"/>
  <c r="J26" i="9" l="1"/>
  <c r="F7" i="20"/>
  <c r="F7" i="28"/>
  <c r="T11" i="20"/>
  <c r="S11" i="20"/>
  <c r="R11" i="20"/>
  <c r="Q11" i="20"/>
  <c r="P11" i="20"/>
  <c r="O11" i="20"/>
  <c r="N11" i="20"/>
  <c r="M11" i="20"/>
  <c r="L11" i="20"/>
  <c r="I12" i="26"/>
  <c r="I12" i="25"/>
  <c r="H12" i="19"/>
  <c r="K12" i="20" s="1"/>
  <c r="G12" i="19"/>
  <c r="J12" i="20" s="1"/>
  <c r="F12" i="20"/>
  <c r="E12" i="20"/>
  <c r="W12" i="17"/>
  <c r="R12" i="17"/>
  <c r="O12" i="17"/>
  <c r="N12" i="17"/>
  <c r="S12" i="17"/>
  <c r="AB12" i="17"/>
  <c r="F10" i="28"/>
  <c r="Z11" i="17"/>
  <c r="D11" i="17" s="1"/>
  <c r="D12" i="17" l="1"/>
  <c r="F11" i="19"/>
  <c r="R12" i="26"/>
  <c r="Q12" i="19"/>
  <c r="P12" i="19"/>
  <c r="O12" i="19"/>
  <c r="N12" i="19"/>
  <c r="M12" i="19"/>
  <c r="L12" i="19"/>
  <c r="R12" i="25"/>
  <c r="Q12" i="25"/>
  <c r="P12" i="25"/>
  <c r="O12" i="25"/>
  <c r="N12" i="25"/>
  <c r="A19" i="9"/>
  <c r="F6" i="17"/>
  <c r="I6" i="17"/>
  <c r="H6" i="17"/>
  <c r="G6" i="17"/>
  <c r="L22" i="8"/>
  <c r="F20" i="8"/>
  <c r="F21" i="8" s="1"/>
  <c r="J9" i="20"/>
  <c r="J18" i="9"/>
  <c r="J7" i="20"/>
  <c r="J8" i="20"/>
  <c r="J10" i="20"/>
  <c r="J6" i="20"/>
  <c r="I7" i="26"/>
  <c r="I8" i="26"/>
  <c r="I9" i="26"/>
  <c r="I10" i="26"/>
  <c r="I11" i="26"/>
  <c r="I7" i="25"/>
  <c r="I8" i="25"/>
  <c r="I9" i="25"/>
  <c r="I10" i="25"/>
  <c r="I11" i="25"/>
  <c r="H7" i="19"/>
  <c r="H8" i="19"/>
  <c r="H9" i="19"/>
  <c r="H10" i="19"/>
  <c r="H11" i="19"/>
  <c r="J11" i="6"/>
  <c r="P125" i="29" l="1"/>
  <c r="F8" i="9"/>
  <c r="AB7" i="17" s="1"/>
  <c r="P140" i="29"/>
  <c r="G138" i="29"/>
  <c r="I32" i="4" s="1"/>
  <c r="P135" i="29"/>
  <c r="G123" i="29"/>
  <c r="I29" i="4" s="1"/>
  <c r="D6" i="17"/>
  <c r="F6" i="19" s="1"/>
  <c r="G128" i="29"/>
  <c r="I30" i="4" s="1"/>
  <c r="G133" i="29"/>
  <c r="I31" i="4" s="1"/>
  <c r="P130" i="29"/>
  <c r="G118" i="29"/>
  <c r="I28" i="4" s="1"/>
  <c r="H6" i="19"/>
  <c r="P120" i="29"/>
  <c r="K7" i="20"/>
  <c r="K8" i="20"/>
  <c r="I6" i="25"/>
  <c r="T12" i="20"/>
  <c r="I6" i="26"/>
  <c r="K9" i="20"/>
  <c r="G12" i="26"/>
  <c r="G12" i="25"/>
  <c r="F12" i="19"/>
  <c r="K11" i="20"/>
  <c r="K10" i="20"/>
  <c r="P30" i="29" l="1"/>
  <c r="P45" i="29"/>
  <c r="P50" i="29"/>
  <c r="P40" i="29"/>
  <c r="G33" i="29"/>
  <c r="I11" i="4" s="1"/>
  <c r="G28" i="29"/>
  <c r="I10" i="4" s="1"/>
  <c r="G48" i="29"/>
  <c r="I14" i="4" s="1"/>
  <c r="G43" i="29"/>
  <c r="I13" i="4" s="1"/>
  <c r="P35" i="29"/>
  <c r="G38" i="29"/>
  <c r="I12" i="4" s="1"/>
  <c r="K6" i="20"/>
  <c r="I12" i="20"/>
  <c r="F7" i="8"/>
  <c r="J43" i="15"/>
  <c r="K41" i="15"/>
  <c r="F14" i="20"/>
  <c r="J17" i="7"/>
  <c r="F10" i="20"/>
  <c r="J20" i="6"/>
  <c r="K27" i="12"/>
  <c r="J28" i="12"/>
  <c r="E10" i="20" l="1"/>
  <c r="AF10" i="17"/>
  <c r="I23" i="4" s="1"/>
  <c r="AF8" i="17"/>
  <c r="E8" i="20"/>
  <c r="I12" i="19"/>
  <c r="P12" i="26"/>
  <c r="R12" i="20" s="1"/>
  <c r="J12" i="26"/>
  <c r="Q12" i="26"/>
  <c r="S12" i="20" s="1"/>
  <c r="O12" i="26"/>
  <c r="Q12" i="20" s="1"/>
  <c r="N12" i="26"/>
  <c r="P12" i="20" s="1"/>
  <c r="M12" i="26"/>
  <c r="L12" i="25"/>
  <c r="K12" i="19"/>
  <c r="J12" i="25"/>
  <c r="N120" i="29"/>
  <c r="M12" i="25"/>
  <c r="L12" i="26"/>
  <c r="K12" i="26"/>
  <c r="K12" i="25"/>
  <c r="J12" i="19"/>
  <c r="E9" i="20"/>
  <c r="F9" i="20"/>
  <c r="K34" i="5"/>
  <c r="J36" i="5" s="1"/>
  <c r="F8" i="20"/>
  <c r="N105" i="29" l="1"/>
  <c r="O125" i="29"/>
  <c r="M120" i="29"/>
  <c r="M125" i="29"/>
  <c r="O130" i="29"/>
  <c r="M140" i="29"/>
  <c r="I100" i="29"/>
  <c r="O140" i="29"/>
  <c r="F12" i="25"/>
  <c r="J120" i="29"/>
  <c r="I130" i="29"/>
  <c r="N115" i="29"/>
  <c r="M105" i="29"/>
  <c r="G132" i="29"/>
  <c r="H31" i="4" s="1"/>
  <c r="J35" i="29"/>
  <c r="M50" i="29"/>
  <c r="H45" i="29"/>
  <c r="N135" i="29"/>
  <c r="J130" i="29"/>
  <c r="H40" i="29"/>
  <c r="I120" i="29"/>
  <c r="K135" i="29"/>
  <c r="L135" i="29"/>
  <c r="L125" i="29"/>
  <c r="L80" i="29"/>
  <c r="I80" i="29"/>
  <c r="K50" i="29"/>
  <c r="K45" i="29"/>
  <c r="I140" i="29"/>
  <c r="G139" i="29"/>
  <c r="J32" i="4" s="1"/>
  <c r="N130" i="29"/>
  <c r="N110" i="29"/>
  <c r="G112" i="29"/>
  <c r="H27" i="4" s="1"/>
  <c r="N12" i="20"/>
  <c r="J105" i="29"/>
  <c r="G114" i="29"/>
  <c r="J27" i="4" s="1"/>
  <c r="K85" i="29"/>
  <c r="J125" i="29"/>
  <c r="I35" i="29"/>
  <c r="G97" i="29"/>
  <c r="H24" i="4" s="1"/>
  <c r="M12" i="20"/>
  <c r="I110" i="29"/>
  <c r="N85" i="29"/>
  <c r="G107" i="29"/>
  <c r="H26" i="4" s="1"/>
  <c r="G117" i="29"/>
  <c r="H28" i="4" s="1"/>
  <c r="G129" i="29"/>
  <c r="J30" i="4" s="1"/>
  <c r="G137" i="29"/>
  <c r="H32" i="4" s="1"/>
  <c r="I85" i="29"/>
  <c r="G122" i="29"/>
  <c r="H29" i="4" s="1"/>
  <c r="F12" i="26"/>
  <c r="G99" i="29"/>
  <c r="N100" i="29"/>
  <c r="G124" i="29"/>
  <c r="J29" i="4" s="1"/>
  <c r="N50" i="29"/>
  <c r="G102" i="29"/>
  <c r="H25" i="4" s="1"/>
  <c r="G119" i="29"/>
  <c r="J28" i="4" s="1"/>
  <c r="G109" i="29"/>
  <c r="J26" i="4" s="1"/>
  <c r="J100" i="29"/>
  <c r="G127" i="29"/>
  <c r="H30" i="4" s="1"/>
  <c r="G104" i="29"/>
  <c r="J25" i="4" s="1"/>
  <c r="G134" i="29"/>
  <c r="J31" i="4" s="1"/>
  <c r="K115" i="29"/>
  <c r="J110" i="29"/>
  <c r="M35" i="29"/>
  <c r="O115" i="29"/>
  <c r="L40" i="29"/>
  <c r="H125" i="29"/>
  <c r="G121" i="29"/>
  <c r="G29" i="4" s="1"/>
  <c r="L45" i="29"/>
  <c r="H105" i="29"/>
  <c r="G101" i="29"/>
  <c r="G25" i="4" s="1"/>
  <c r="M40" i="29"/>
  <c r="K140" i="29"/>
  <c r="L50" i="29"/>
  <c r="L115" i="29"/>
  <c r="G126" i="29"/>
  <c r="G30" i="4" s="1"/>
  <c r="H130" i="29"/>
  <c r="I135" i="29"/>
  <c r="N35" i="29"/>
  <c r="N140" i="29"/>
  <c r="J45" i="29"/>
  <c r="J80" i="29"/>
  <c r="J135" i="29"/>
  <c r="M45" i="29"/>
  <c r="M85" i="29"/>
  <c r="O105" i="29"/>
  <c r="K40" i="29"/>
  <c r="K100" i="29"/>
  <c r="L35" i="29"/>
  <c r="L100" i="29"/>
  <c r="L12" i="20"/>
  <c r="E12" i="19"/>
  <c r="H80" i="29"/>
  <c r="H115" i="29"/>
  <c r="G111" i="29"/>
  <c r="G27" i="4" s="1"/>
  <c r="I50" i="29"/>
  <c r="K80" i="29"/>
  <c r="M30" i="29"/>
  <c r="K35" i="29"/>
  <c r="L140" i="29"/>
  <c r="O120" i="29"/>
  <c r="K30" i="29"/>
  <c r="K110" i="29"/>
  <c r="L30" i="29"/>
  <c r="L110" i="29"/>
  <c r="G116" i="29"/>
  <c r="G28" i="4" s="1"/>
  <c r="H120" i="29"/>
  <c r="H135" i="29"/>
  <c r="G131" i="29"/>
  <c r="G31" i="4" s="1"/>
  <c r="N30" i="29"/>
  <c r="N45" i="29"/>
  <c r="M110" i="29"/>
  <c r="I30" i="29"/>
  <c r="J50" i="29"/>
  <c r="M115" i="29"/>
  <c r="I45" i="29"/>
  <c r="O12" i="20"/>
  <c r="N40" i="29"/>
  <c r="N125" i="29"/>
  <c r="J30" i="29"/>
  <c r="J140" i="29"/>
  <c r="M80" i="29"/>
  <c r="O110" i="29"/>
  <c r="K120" i="29"/>
  <c r="K105" i="29"/>
  <c r="L120" i="29"/>
  <c r="L105" i="29"/>
  <c r="H100" i="29"/>
  <c r="G96" i="29"/>
  <c r="G24" i="4" s="1"/>
  <c r="H85" i="29"/>
  <c r="H30" i="29"/>
  <c r="O100" i="29"/>
  <c r="H35" i="29"/>
  <c r="I115" i="29"/>
  <c r="J85" i="29"/>
  <c r="I125" i="29"/>
  <c r="I40" i="29"/>
  <c r="I105" i="29"/>
  <c r="N80" i="29"/>
  <c r="J40" i="29"/>
  <c r="J115" i="29"/>
  <c r="M135" i="29"/>
  <c r="M130" i="29"/>
  <c r="M100" i="29"/>
  <c r="O135" i="29"/>
  <c r="K125" i="29"/>
  <c r="K130" i="29"/>
  <c r="L85" i="29"/>
  <c r="L130" i="29"/>
  <c r="H50" i="29"/>
  <c r="H110" i="29"/>
  <c r="G106" i="29"/>
  <c r="G26" i="4" s="1"/>
  <c r="H140" i="29"/>
  <c r="G136" i="29"/>
  <c r="G32" i="4" s="1"/>
  <c r="E7" i="20"/>
  <c r="B11" i="9"/>
  <c r="M7" i="17" s="1"/>
  <c r="B10" i="9"/>
  <c r="L7" i="17" s="1"/>
  <c r="B9" i="9"/>
  <c r="K7" i="17" s="1"/>
  <c r="J7" i="17"/>
  <c r="J9" i="9"/>
  <c r="J10" i="9"/>
  <c r="J11" i="9"/>
  <c r="J12" i="9"/>
  <c r="J13" i="9"/>
  <c r="J8" i="9"/>
  <c r="J74" i="9"/>
  <c r="F6" i="20"/>
  <c r="E6" i="20" s="1"/>
  <c r="G140" i="29" l="1"/>
  <c r="F32" i="4" s="1"/>
  <c r="G120" i="29"/>
  <c r="F28" i="4" s="1"/>
  <c r="G12" i="20"/>
  <c r="H12" i="20" s="1"/>
  <c r="G125" i="29"/>
  <c r="F29" i="4" s="1"/>
  <c r="G110" i="29"/>
  <c r="F26" i="4" s="1"/>
  <c r="G115" i="29"/>
  <c r="F27" i="4" s="1"/>
  <c r="G105" i="29"/>
  <c r="F25" i="4" s="1"/>
  <c r="G130" i="29"/>
  <c r="F30" i="4" s="1"/>
  <c r="G100" i="29"/>
  <c r="F24" i="4" s="1"/>
  <c r="G135" i="29"/>
  <c r="F31" i="4" s="1"/>
  <c r="D7" i="17"/>
  <c r="AE10" i="17"/>
  <c r="AB8" i="17"/>
  <c r="AB6" i="17"/>
  <c r="G44" i="29" l="1"/>
  <c r="J14" i="4" s="1"/>
  <c r="G29" i="29"/>
  <c r="J10" i="4" s="1"/>
  <c r="G32" i="29"/>
  <c r="H11" i="4" s="1"/>
  <c r="G47" i="29"/>
  <c r="H14" i="4" s="1"/>
  <c r="G49" i="29"/>
  <c r="J15" i="4" s="1"/>
  <c r="G39" i="29"/>
  <c r="J13" i="4" s="1"/>
  <c r="G37" i="29"/>
  <c r="H12" i="4" s="1"/>
  <c r="G27" i="29"/>
  <c r="H10" i="4" s="1"/>
  <c r="G42" i="29"/>
  <c r="H13" i="4" s="1"/>
  <c r="G34" i="29"/>
  <c r="J11" i="4" s="1"/>
  <c r="I6" i="19"/>
  <c r="J6" i="19"/>
  <c r="I8" i="19"/>
  <c r="I10" i="19"/>
  <c r="X10" i="26"/>
  <c r="AC10" i="26"/>
  <c r="U10" i="25"/>
  <c r="V10" i="25"/>
  <c r="X10" i="25"/>
  <c r="AC10" i="25"/>
  <c r="AD10" i="25"/>
  <c r="AE10" i="25"/>
  <c r="AF10" i="25"/>
  <c r="U10" i="19"/>
  <c r="W10" i="19"/>
  <c r="AB10" i="19"/>
  <c r="AC10" i="19"/>
  <c r="AD10" i="19"/>
  <c r="AE10" i="19"/>
  <c r="K10" i="26"/>
  <c r="L10" i="26"/>
  <c r="M10" i="26"/>
  <c r="N10" i="26"/>
  <c r="O10" i="26"/>
  <c r="P10" i="26"/>
  <c r="Q10" i="26"/>
  <c r="R10" i="26"/>
  <c r="J10" i="26"/>
  <c r="K10" i="25"/>
  <c r="L10" i="25"/>
  <c r="M10" i="25"/>
  <c r="N10" i="25"/>
  <c r="O10" i="25"/>
  <c r="P10" i="25"/>
  <c r="Q10" i="25"/>
  <c r="R10" i="25"/>
  <c r="J10" i="25"/>
  <c r="J10" i="19"/>
  <c r="K10" i="19"/>
  <c r="L10" i="19"/>
  <c r="M10" i="19"/>
  <c r="N10" i="19"/>
  <c r="O10" i="19"/>
  <c r="P10" i="19"/>
  <c r="Q10" i="19"/>
  <c r="L9" i="20"/>
  <c r="M9" i="20"/>
  <c r="N9" i="20"/>
  <c r="O9" i="20"/>
  <c r="P9" i="20"/>
  <c r="Q9" i="20"/>
  <c r="R9" i="20"/>
  <c r="S9" i="20"/>
  <c r="T9" i="20"/>
  <c r="K8" i="26"/>
  <c r="L8" i="26"/>
  <c r="M8" i="26"/>
  <c r="N8" i="26"/>
  <c r="O8" i="26"/>
  <c r="P8" i="26"/>
  <c r="Q8" i="26"/>
  <c r="R8" i="26"/>
  <c r="J8" i="26"/>
  <c r="K6" i="26"/>
  <c r="L6" i="26"/>
  <c r="M6" i="26"/>
  <c r="N6" i="26"/>
  <c r="O6" i="26"/>
  <c r="P6" i="26"/>
  <c r="Q6" i="26"/>
  <c r="R6" i="26"/>
  <c r="J6" i="26"/>
  <c r="J8" i="19"/>
  <c r="K8" i="19"/>
  <c r="L8" i="19"/>
  <c r="M8" i="19"/>
  <c r="N8" i="19"/>
  <c r="O8" i="19"/>
  <c r="P8" i="19"/>
  <c r="Q8" i="19"/>
  <c r="J8" i="25"/>
  <c r="K6" i="19"/>
  <c r="L6" i="19"/>
  <c r="M6" i="19"/>
  <c r="N6" i="19"/>
  <c r="O6" i="19"/>
  <c r="P6" i="19"/>
  <c r="Q6" i="19"/>
  <c r="K8" i="25"/>
  <c r="L8" i="25"/>
  <c r="M8" i="25"/>
  <c r="N8" i="25"/>
  <c r="O8" i="25"/>
  <c r="P8" i="25"/>
  <c r="Q8" i="25"/>
  <c r="R8" i="25"/>
  <c r="K6" i="25"/>
  <c r="L6" i="25"/>
  <c r="M6" i="25"/>
  <c r="N6" i="25"/>
  <c r="O6" i="25"/>
  <c r="P6" i="25"/>
  <c r="Q6" i="25"/>
  <c r="R6" i="25"/>
  <c r="J6" i="25"/>
  <c r="G11" i="26"/>
  <c r="G14" i="19"/>
  <c r="D10" i="17"/>
  <c r="D8" i="17"/>
  <c r="G6" i="26"/>
  <c r="AH10" i="26"/>
  <c r="AG10" i="26"/>
  <c r="AF10" i="26"/>
  <c r="AB10" i="26"/>
  <c r="AA10" i="26"/>
  <c r="Z10" i="26"/>
  <c r="Y10" i="26"/>
  <c r="W10" i="26"/>
  <c r="T10" i="26"/>
  <c r="S10" i="26"/>
  <c r="AH10" i="25"/>
  <c r="AG10" i="25"/>
  <c r="AB10" i="25"/>
  <c r="AA10" i="25"/>
  <c r="Z10" i="25"/>
  <c r="Y10" i="25"/>
  <c r="W10" i="25"/>
  <c r="T10" i="25"/>
  <c r="S10" i="25"/>
  <c r="AF10" i="19"/>
  <c r="AA10" i="19"/>
  <c r="Z10" i="19"/>
  <c r="Y10" i="19"/>
  <c r="X10" i="19"/>
  <c r="V10" i="19"/>
  <c r="T10" i="19"/>
  <c r="S10" i="19"/>
  <c r="R10" i="19"/>
  <c r="G7" i="29" l="1"/>
  <c r="H6" i="4" s="1"/>
  <c r="G9" i="29"/>
  <c r="O10" i="29"/>
  <c r="G92" i="29"/>
  <c r="H23" i="4" s="1"/>
  <c r="G56" i="29"/>
  <c r="G16" i="4" s="1"/>
  <c r="G59" i="29"/>
  <c r="J17" i="4" s="1"/>
  <c r="G86" i="29"/>
  <c r="G22" i="4" s="1"/>
  <c r="G64" i="29"/>
  <c r="J18" i="4" s="1"/>
  <c r="G67" i="29"/>
  <c r="H18" i="4" s="1"/>
  <c r="G89" i="29"/>
  <c r="J23" i="4" s="1"/>
  <c r="G66" i="29"/>
  <c r="G18" i="4" s="1"/>
  <c r="G74" i="29"/>
  <c r="J20" i="4" s="1"/>
  <c r="G69" i="29"/>
  <c r="J19" i="4" s="1"/>
  <c r="G71" i="29"/>
  <c r="G19" i="4" s="1"/>
  <c r="G54" i="29"/>
  <c r="J16" i="4" s="1"/>
  <c r="G87" i="29"/>
  <c r="H22" i="4" s="1"/>
  <c r="G52" i="29"/>
  <c r="H15" i="4" s="1"/>
  <c r="M20" i="29"/>
  <c r="N20" i="29"/>
  <c r="S90" i="29"/>
  <c r="Q95" i="29"/>
  <c r="J95" i="29"/>
  <c r="N75" i="29"/>
  <c r="N70" i="29"/>
  <c r="I65" i="29"/>
  <c r="I60" i="29"/>
  <c r="I95" i="29"/>
  <c r="J20" i="29"/>
  <c r="L20" i="29"/>
  <c r="J60" i="29"/>
  <c r="R90" i="29"/>
  <c r="X95" i="29"/>
  <c r="P55" i="29"/>
  <c r="M95" i="29"/>
  <c r="I15" i="29"/>
  <c r="P65" i="29"/>
  <c r="K20" i="29"/>
  <c r="M70" i="29"/>
  <c r="G94" i="29"/>
  <c r="J24" i="4" s="1"/>
  <c r="G68" i="29"/>
  <c r="I18" i="4" s="1"/>
  <c r="L60" i="29"/>
  <c r="K65" i="29"/>
  <c r="P90" i="29"/>
  <c r="N95" i="29"/>
  <c r="P75" i="29"/>
  <c r="O35" i="29"/>
  <c r="G35" i="29" s="1"/>
  <c r="G31" i="29"/>
  <c r="G11" i="4" s="1"/>
  <c r="G73" i="29"/>
  <c r="I19" i="4" s="1"/>
  <c r="P95" i="29"/>
  <c r="P10" i="29"/>
  <c r="J25" i="29"/>
  <c r="P15" i="29"/>
  <c r="G16" i="29"/>
  <c r="G8" i="4" s="1"/>
  <c r="H20" i="29"/>
  <c r="L10" i="29"/>
  <c r="H60" i="29"/>
  <c r="G58" i="29"/>
  <c r="I16" i="4" s="1"/>
  <c r="J75" i="29"/>
  <c r="P60" i="29"/>
  <c r="J10" i="29"/>
  <c r="M90" i="29"/>
  <c r="G12" i="29"/>
  <c r="H7" i="4" s="1"/>
  <c r="H10" i="29"/>
  <c r="G17" i="29"/>
  <c r="H8" i="4" s="1"/>
  <c r="M25" i="29"/>
  <c r="G18" i="29"/>
  <c r="I8" i="4" s="1"/>
  <c r="J15" i="29"/>
  <c r="H25" i="29"/>
  <c r="G21" i="29"/>
  <c r="G9" i="4" s="1"/>
  <c r="N10" i="29"/>
  <c r="K75" i="29"/>
  <c r="H70" i="29"/>
  <c r="H55" i="29"/>
  <c r="M55" i="29"/>
  <c r="M75" i="29"/>
  <c r="N60" i="29"/>
  <c r="J70" i="29"/>
  <c r="K70" i="29"/>
  <c r="R95" i="29"/>
  <c r="L90" i="29"/>
  <c r="L95" i="29"/>
  <c r="G22" i="29"/>
  <c r="H9" i="4" s="1"/>
  <c r="L70" i="29"/>
  <c r="H65" i="29"/>
  <c r="N55" i="29"/>
  <c r="M60" i="29"/>
  <c r="I70" i="29"/>
  <c r="G72" i="29"/>
  <c r="H19" i="4" s="1"/>
  <c r="Q90" i="29"/>
  <c r="W90" i="29"/>
  <c r="H90" i="29"/>
  <c r="J90" i="29"/>
  <c r="K90" i="29"/>
  <c r="K95" i="29"/>
  <c r="P20" i="29"/>
  <c r="P25" i="29"/>
  <c r="E6" i="19"/>
  <c r="G23" i="29"/>
  <c r="I9" i="4" s="1"/>
  <c r="K15" i="29"/>
  <c r="I25" i="29"/>
  <c r="M15" i="29"/>
  <c r="K25" i="29"/>
  <c r="N15" i="29"/>
  <c r="L25" i="29"/>
  <c r="O40" i="29"/>
  <c r="G40" i="29" s="1"/>
  <c r="F12" i="4" s="1"/>
  <c r="G36" i="29"/>
  <c r="G12" i="4" s="1"/>
  <c r="G57" i="29"/>
  <c r="H16" i="4" s="1"/>
  <c r="N65" i="29"/>
  <c r="G62" i="29"/>
  <c r="H17" i="4" s="1"/>
  <c r="L75" i="29"/>
  <c r="K60" i="29"/>
  <c r="K55" i="29"/>
  <c r="S95" i="29"/>
  <c r="H95" i="29"/>
  <c r="N90" i="29"/>
  <c r="G8" i="29"/>
  <c r="I6" i="4" s="1"/>
  <c r="I10" i="29"/>
  <c r="H15" i="29"/>
  <c r="G11" i="29"/>
  <c r="G7" i="4" s="1"/>
  <c r="O30" i="29"/>
  <c r="G30" i="29" s="1"/>
  <c r="F10" i="4" s="1"/>
  <c r="G26" i="29"/>
  <c r="G10" i="4" s="1"/>
  <c r="O45" i="29"/>
  <c r="G45" i="29" s="1"/>
  <c r="F13" i="4" s="1"/>
  <c r="G41" i="29"/>
  <c r="G13" i="4" s="1"/>
  <c r="L55" i="29"/>
  <c r="J65" i="29"/>
  <c r="G63" i="29"/>
  <c r="I17" i="4" s="1"/>
  <c r="P70" i="29"/>
  <c r="J55" i="29"/>
  <c r="X90" i="29"/>
  <c r="I90" i="29"/>
  <c r="N25" i="29"/>
  <c r="K10" i="29"/>
  <c r="L15" i="29"/>
  <c r="G13" i="29"/>
  <c r="I7" i="4" s="1"/>
  <c r="M10" i="29"/>
  <c r="I20" i="29"/>
  <c r="O50" i="29"/>
  <c r="G50" i="29" s="1"/>
  <c r="F14" i="4" s="1"/>
  <c r="G46" i="29"/>
  <c r="G14" i="4" s="1"/>
  <c r="G53" i="29"/>
  <c r="I15" i="4" s="1"/>
  <c r="I55" i="29"/>
  <c r="L65" i="29"/>
  <c r="H75" i="29"/>
  <c r="M65" i="29"/>
  <c r="I75" i="29"/>
  <c r="T95" i="29"/>
  <c r="W95" i="29"/>
  <c r="G6" i="29"/>
  <c r="G6" i="4" s="1"/>
  <c r="G8" i="26"/>
  <c r="F8" i="26" s="1"/>
  <c r="G8" i="25"/>
  <c r="F8" i="25" s="1"/>
  <c r="G10" i="26"/>
  <c r="G10" i="25"/>
  <c r="F10" i="25" s="1"/>
  <c r="G11" i="19"/>
  <c r="E11" i="19" s="1"/>
  <c r="H11" i="26"/>
  <c r="F7" i="19"/>
  <c r="G7" i="26"/>
  <c r="G7" i="25"/>
  <c r="F8" i="19"/>
  <c r="E8" i="19" s="1"/>
  <c r="G14" i="25"/>
  <c r="F14" i="19"/>
  <c r="G11" i="25"/>
  <c r="H14" i="26"/>
  <c r="H14" i="25"/>
  <c r="H11" i="25"/>
  <c r="F10" i="19"/>
  <c r="G14" i="26"/>
  <c r="AI10" i="20"/>
  <c r="AD10" i="26"/>
  <c r="AE10" i="26"/>
  <c r="AG10" i="20" s="1"/>
  <c r="V10" i="26"/>
  <c r="X10" i="20" s="1"/>
  <c r="U10" i="26"/>
  <c r="W10" i="20" s="1"/>
  <c r="T10" i="20"/>
  <c r="S10" i="20"/>
  <c r="AH10" i="20"/>
  <c r="AE10" i="20"/>
  <c r="R10" i="20"/>
  <c r="N10" i="20"/>
  <c r="L10" i="20"/>
  <c r="Q10" i="20"/>
  <c r="Z10" i="20"/>
  <c r="P10" i="20"/>
  <c r="O10" i="20"/>
  <c r="M10" i="20"/>
  <c r="G6" i="25"/>
  <c r="P6" i="20"/>
  <c r="Q6" i="20"/>
  <c r="T6" i="20"/>
  <c r="S6" i="20"/>
  <c r="R6" i="20"/>
  <c r="F6" i="26"/>
  <c r="O6" i="20"/>
  <c r="N6" i="20"/>
  <c r="Y10" i="20"/>
  <c r="AD10" i="20"/>
  <c r="AC10" i="20"/>
  <c r="V10" i="20"/>
  <c r="U10" i="20"/>
  <c r="AB10" i="20"/>
  <c r="AA10" i="20"/>
  <c r="AG10" i="19"/>
  <c r="AJ10" i="20" s="1"/>
  <c r="L8" i="20"/>
  <c r="T8" i="20"/>
  <c r="S8" i="20"/>
  <c r="R8" i="20"/>
  <c r="Q8" i="20"/>
  <c r="P8" i="20"/>
  <c r="O8" i="20"/>
  <c r="N8" i="20"/>
  <c r="M8" i="20"/>
  <c r="M6" i="20"/>
  <c r="L6" i="20"/>
  <c r="G95" i="29" l="1"/>
  <c r="F23" i="4" s="1"/>
  <c r="G91" i="29"/>
  <c r="G23" i="4" s="1"/>
  <c r="O90" i="29"/>
  <c r="G90" i="29" s="1"/>
  <c r="F22" i="4" s="1"/>
  <c r="O60" i="29"/>
  <c r="G60" i="29" s="1"/>
  <c r="F16" i="4" s="1"/>
  <c r="O55" i="29"/>
  <c r="G55" i="29" s="1"/>
  <c r="F15" i="4" s="1"/>
  <c r="O65" i="29"/>
  <c r="G65" i="29" s="1"/>
  <c r="F17" i="4" s="1"/>
  <c r="F11" i="4"/>
  <c r="J12" i="4"/>
  <c r="G61" i="29"/>
  <c r="G17" i="4" s="1"/>
  <c r="G51" i="29"/>
  <c r="G15" i="4" s="1"/>
  <c r="O70" i="29"/>
  <c r="G70" i="29" s="1"/>
  <c r="F18" i="4" s="1"/>
  <c r="O75" i="29"/>
  <c r="G75" i="29" s="1"/>
  <c r="F19" i="4" s="1"/>
  <c r="I14" i="20"/>
  <c r="J14" i="20"/>
  <c r="I8" i="20"/>
  <c r="G8" i="20" s="1"/>
  <c r="H8" i="20" s="1"/>
  <c r="I11" i="20"/>
  <c r="I10" i="20"/>
  <c r="J11" i="20"/>
  <c r="F6" i="25"/>
  <c r="I6" i="20"/>
  <c r="F11" i="26"/>
  <c r="F11" i="25"/>
  <c r="F10" i="26"/>
  <c r="AF10" i="20"/>
  <c r="I7" i="20"/>
  <c r="E10" i="19"/>
  <c r="H6" i="20" l="1"/>
  <c r="G10" i="20"/>
  <c r="H10" i="20" s="1"/>
  <c r="G11" i="20"/>
  <c r="H11" i="20" s="1"/>
  <c r="G6" i="20"/>
  <c r="F7" i="7"/>
  <c r="H9" i="17"/>
  <c r="L9" i="17"/>
  <c r="O9" i="17"/>
  <c r="N9" i="17"/>
  <c r="J44" i="15"/>
  <c r="N92" i="15"/>
  <c r="P92" i="15" s="1"/>
  <c r="N87" i="15"/>
  <c r="P87" i="15" s="1"/>
  <c r="N88" i="15"/>
  <c r="P88" i="15" s="1"/>
  <c r="N89" i="15"/>
  <c r="P89" i="15" s="1"/>
  <c r="N90" i="15"/>
  <c r="P90" i="15" s="1"/>
  <c r="N91" i="15"/>
  <c r="P91" i="15" s="1"/>
  <c r="N86" i="15"/>
  <c r="P86" i="15" s="1"/>
  <c r="N85" i="15"/>
  <c r="P85" i="15" s="1"/>
  <c r="N83" i="15"/>
  <c r="P83" i="15" s="1"/>
  <c r="N84" i="15"/>
  <c r="P84" i="15" s="1"/>
  <c r="N82" i="15"/>
  <c r="P82" i="15" s="1"/>
  <c r="E81" i="15"/>
  <c r="E82" i="15"/>
  <c r="E86" i="15"/>
  <c r="F86" i="15" s="1"/>
  <c r="E87" i="15"/>
  <c r="F87" i="15" s="1"/>
  <c r="E88" i="15"/>
  <c r="F88" i="15" s="1"/>
  <c r="E89" i="15"/>
  <c r="F89" i="15" s="1"/>
  <c r="E90" i="15"/>
  <c r="F90" i="15" s="1"/>
  <c r="E91" i="15"/>
  <c r="F91" i="15" s="1"/>
  <c r="E92" i="15"/>
  <c r="F92" i="15" s="1"/>
  <c r="E93" i="15"/>
  <c r="F93" i="15" s="1"/>
  <c r="E94" i="15"/>
  <c r="F94" i="15" s="1"/>
  <c r="E54" i="15"/>
  <c r="E55" i="15"/>
  <c r="E56" i="15"/>
  <c r="E57" i="15"/>
  <c r="E58" i="15"/>
  <c r="E59" i="15"/>
  <c r="E61" i="15"/>
  <c r="E62" i="15"/>
  <c r="E65" i="15"/>
  <c r="E66" i="15"/>
  <c r="E67" i="15"/>
  <c r="E68" i="15"/>
  <c r="E69" i="15"/>
  <c r="E70" i="15"/>
  <c r="E71" i="15"/>
  <c r="E72" i="15"/>
  <c r="E73" i="15"/>
  <c r="E74" i="15"/>
  <c r="E76" i="15"/>
  <c r="E77" i="15"/>
  <c r="E53" i="15"/>
  <c r="P62" i="15"/>
  <c r="R62" i="15" s="1"/>
  <c r="P61" i="15"/>
  <c r="P60" i="15"/>
  <c r="R60" i="15" s="1"/>
  <c r="P59" i="15"/>
  <c r="P58" i="15"/>
  <c r="R58" i="15" s="1"/>
  <c r="J8" i="7"/>
  <c r="B9" i="7"/>
  <c r="F8" i="7"/>
  <c r="J7" i="7"/>
  <c r="B8" i="7"/>
  <c r="B7" i="7"/>
  <c r="E80" i="7"/>
  <c r="E114" i="7"/>
  <c r="E115" i="7"/>
  <c r="E113" i="7"/>
  <c r="F113" i="7" s="1"/>
  <c r="E110" i="7"/>
  <c r="F110" i="7" s="1"/>
  <c r="E111" i="7"/>
  <c r="E112" i="7"/>
  <c r="E109" i="7"/>
  <c r="F109" i="7" s="1"/>
  <c r="E107" i="7"/>
  <c r="F107" i="7" s="1"/>
  <c r="E100" i="7"/>
  <c r="F100" i="7" s="1"/>
  <c r="E101" i="7"/>
  <c r="F101" i="7" s="1"/>
  <c r="E102" i="7"/>
  <c r="F102" i="7" s="1"/>
  <c r="E103" i="7"/>
  <c r="F103" i="7" s="1"/>
  <c r="E104" i="7"/>
  <c r="E105" i="7"/>
  <c r="E99" i="7"/>
  <c r="F99" i="7" s="1"/>
  <c r="E94" i="7"/>
  <c r="F94" i="7" s="1"/>
  <c r="E90" i="7"/>
  <c r="E89" i="7"/>
  <c r="E88" i="7"/>
  <c r="F88" i="7" s="1"/>
  <c r="E87" i="7"/>
  <c r="F87" i="7" s="1"/>
  <c r="E86" i="7"/>
  <c r="F86" i="7" s="1"/>
  <c r="E83" i="7"/>
  <c r="F83" i="7" s="1"/>
  <c r="E81" i="7"/>
  <c r="F81" i="7" s="1"/>
  <c r="E79" i="7"/>
  <c r="F79" i="7" s="1"/>
  <c r="E78" i="7"/>
  <c r="E77" i="7"/>
  <c r="E76" i="7"/>
  <c r="F76" i="7" s="1"/>
  <c r="E75" i="7"/>
  <c r="F75" i="7" s="1"/>
  <c r="E73" i="7"/>
  <c r="F73" i="7" s="1"/>
  <c r="E71" i="7"/>
  <c r="B10" i="5"/>
  <c r="B9" i="5"/>
  <c r="B8" i="5"/>
  <c r="B7" i="5"/>
  <c r="K192" i="5"/>
  <c r="Q181" i="5"/>
  <c r="Q173" i="5"/>
  <c r="Q174" i="5"/>
  <c r="Q175" i="5"/>
  <c r="Q172" i="5"/>
  <c r="K153" i="5"/>
  <c r="K154" i="5"/>
  <c r="K155" i="5"/>
  <c r="K156" i="5"/>
  <c r="K157" i="5"/>
  <c r="K158" i="5"/>
  <c r="K159" i="5"/>
  <c r="K160" i="5"/>
  <c r="K161" i="5"/>
  <c r="K162" i="5"/>
  <c r="K163" i="5"/>
  <c r="K164" i="5"/>
  <c r="K165" i="5"/>
  <c r="K152" i="5"/>
  <c r="J14" i="9"/>
  <c r="J15" i="9"/>
  <c r="J16" i="9"/>
  <c r="J17" i="9"/>
  <c r="F69" i="9"/>
  <c r="F64" i="9" s="1"/>
  <c r="F63" i="9"/>
  <c r="B63" i="9"/>
  <c r="J63" i="9"/>
  <c r="B15" i="13"/>
  <c r="B22" i="13" s="1"/>
  <c r="B412" i="8"/>
  <c r="B411" i="8"/>
  <c r="C374" i="8"/>
  <c r="B368" i="8"/>
  <c r="B410" i="8" s="1"/>
  <c r="B352" i="8"/>
  <c r="G302" i="8"/>
  <c r="G312" i="8" s="1"/>
  <c r="F302" i="8"/>
  <c r="F312" i="8" s="1"/>
  <c r="E302" i="8"/>
  <c r="E312" i="8" s="1"/>
  <c r="D302" i="8"/>
  <c r="D312" i="8" s="1"/>
  <c r="G301" i="8"/>
  <c r="G311" i="8" s="1"/>
  <c r="F301" i="8"/>
  <c r="F311" i="8" s="1"/>
  <c r="E301" i="8"/>
  <c r="E311" i="8" s="1"/>
  <c r="D301" i="8"/>
  <c r="D311" i="8" s="1"/>
  <c r="G292" i="8"/>
  <c r="F292" i="8"/>
  <c r="E292" i="8"/>
  <c r="D292" i="8"/>
  <c r="G291" i="8"/>
  <c r="G308" i="8" s="1"/>
  <c r="F291" i="8"/>
  <c r="F308" i="8" s="1"/>
  <c r="E291" i="8"/>
  <c r="E308" i="8" s="1"/>
  <c r="D291" i="8"/>
  <c r="D308" i="8" s="1"/>
  <c r="D227" i="8"/>
  <c r="C227" i="8"/>
  <c r="D222" i="8"/>
  <c r="C222" i="8"/>
  <c r="D221" i="8"/>
  <c r="D230" i="8" s="1"/>
  <c r="C221" i="8"/>
  <c r="C230" i="8" s="1"/>
  <c r="D220" i="8"/>
  <c r="C220" i="8"/>
  <c r="D219" i="8"/>
  <c r="C219" i="8"/>
  <c r="O153" i="8"/>
  <c r="O152" i="8"/>
  <c r="O151" i="8"/>
  <c r="O146" i="8"/>
  <c r="O150" i="8" s="1"/>
  <c r="P129" i="8"/>
  <c r="O108" i="8"/>
  <c r="O101" i="8" s="1"/>
  <c r="G96" i="8"/>
  <c r="G87" i="8"/>
  <c r="D9" i="17" l="1"/>
  <c r="J14" i="26"/>
  <c r="O14" i="19"/>
  <c r="L14" i="25"/>
  <c r="I14" i="19"/>
  <c r="M14" i="25"/>
  <c r="N14" i="25"/>
  <c r="O14" i="25"/>
  <c r="Q14" i="25"/>
  <c r="K14" i="26"/>
  <c r="R14" i="25"/>
  <c r="J14" i="25"/>
  <c r="Q14" i="19"/>
  <c r="J14" i="19"/>
  <c r="P14" i="26"/>
  <c r="Q14" i="26"/>
  <c r="N14" i="19"/>
  <c r="K14" i="25"/>
  <c r="P14" i="19"/>
  <c r="L14" i="26"/>
  <c r="K14" i="19"/>
  <c r="L14" i="19"/>
  <c r="P14" i="25"/>
  <c r="M14" i="26"/>
  <c r="N14" i="26"/>
  <c r="O14" i="26"/>
  <c r="M14" i="19"/>
  <c r="R14" i="26"/>
  <c r="J7" i="26"/>
  <c r="J7" i="19"/>
  <c r="K7" i="26"/>
  <c r="K7" i="19"/>
  <c r="L7" i="26"/>
  <c r="L7" i="19"/>
  <c r="M7" i="26"/>
  <c r="M7" i="19"/>
  <c r="N7" i="26"/>
  <c r="N7" i="19"/>
  <c r="K7" i="25"/>
  <c r="R7" i="26"/>
  <c r="M7" i="25"/>
  <c r="N7" i="25"/>
  <c r="O7" i="25"/>
  <c r="J7" i="25"/>
  <c r="O7" i="26"/>
  <c r="O7" i="19"/>
  <c r="P7" i="26"/>
  <c r="P7" i="19"/>
  <c r="Q7" i="26"/>
  <c r="Q7" i="19"/>
  <c r="L7" i="25"/>
  <c r="I7" i="19"/>
  <c r="P7" i="25"/>
  <c r="Q7" i="25"/>
  <c r="R7" i="25"/>
  <c r="J66" i="9"/>
  <c r="F66" i="9"/>
  <c r="F65" i="9"/>
  <c r="D229" i="8"/>
  <c r="C229" i="8"/>
  <c r="C231" i="8"/>
  <c r="D231" i="8"/>
  <c r="F53" i="15"/>
  <c r="F77" i="15"/>
  <c r="F76" i="15"/>
  <c r="F74" i="15"/>
  <c r="F73" i="15"/>
  <c r="F72" i="15"/>
  <c r="F71" i="15"/>
  <c r="F70" i="15"/>
  <c r="F69" i="15"/>
  <c r="F68" i="15"/>
  <c r="F67" i="15"/>
  <c r="F66" i="15"/>
  <c r="F65" i="15"/>
  <c r="F62" i="15"/>
  <c r="F61" i="15"/>
  <c r="F59" i="15"/>
  <c r="F58" i="15"/>
  <c r="F57" i="15"/>
  <c r="F56" i="15"/>
  <c r="F55" i="15"/>
  <c r="F54" i="15"/>
  <c r="F82" i="15"/>
  <c r="F81" i="15"/>
  <c r="B67" i="9"/>
  <c r="B66" i="9"/>
  <c r="J65" i="9"/>
  <c r="J64" i="9"/>
  <c r="B405" i="8"/>
  <c r="D307" i="8"/>
  <c r="E307" i="8"/>
  <c r="F307" i="8"/>
  <c r="G307" i="8"/>
  <c r="O147" i="8"/>
  <c r="O148" i="8"/>
  <c r="O149" i="8"/>
  <c r="G79" i="29" l="1"/>
  <c r="J21" i="4" s="1"/>
  <c r="G82" i="29"/>
  <c r="H21" i="4" s="1"/>
  <c r="G77" i="29"/>
  <c r="H20" i="4" s="1"/>
  <c r="G84" i="29"/>
  <c r="J22" i="4" s="1"/>
  <c r="G9" i="26"/>
  <c r="F9" i="26" s="1"/>
  <c r="G9" i="25"/>
  <c r="F9" i="25" s="1"/>
  <c r="F9" i="19"/>
  <c r="N14" i="20"/>
  <c r="S7" i="20"/>
  <c r="Q7" i="20"/>
  <c r="O14" i="20"/>
  <c r="Q14" i="20"/>
  <c r="R14" i="20"/>
  <c r="P14" i="20"/>
  <c r="S14" i="20"/>
  <c r="L14" i="20"/>
  <c r="E14" i="19"/>
  <c r="M14" i="20"/>
  <c r="F14" i="26"/>
  <c r="T14" i="20"/>
  <c r="F14" i="25"/>
  <c r="E7" i="19"/>
  <c r="L7" i="20"/>
  <c r="P7" i="20"/>
  <c r="M7" i="20"/>
  <c r="T7" i="20"/>
  <c r="O7" i="20"/>
  <c r="R7" i="20"/>
  <c r="N7" i="20"/>
  <c r="F7" i="25"/>
  <c r="F7" i="26"/>
  <c r="B409" i="8"/>
  <c r="B408" i="8"/>
  <c r="B407" i="8"/>
  <c r="B406" i="8"/>
  <c r="G24" i="29" l="1"/>
  <c r="J9" i="4" s="1"/>
  <c r="O25" i="29"/>
  <c r="G25" i="29" s="1"/>
  <c r="G81" i="29"/>
  <c r="G21" i="4" s="1"/>
  <c r="O85" i="29"/>
  <c r="G85" i="29" s="1"/>
  <c r="F21" i="4" s="1"/>
  <c r="O20" i="29"/>
  <c r="G20" i="29" s="1"/>
  <c r="G19" i="29"/>
  <c r="J8" i="4" s="1"/>
  <c r="G10" i="29"/>
  <c r="O15" i="29"/>
  <c r="G15" i="29" s="1"/>
  <c r="G14" i="29"/>
  <c r="J7" i="4" s="1"/>
  <c r="G76" i="29"/>
  <c r="G20" i="4" s="1"/>
  <c r="O80" i="29"/>
  <c r="G80" i="29" s="1"/>
  <c r="F20" i="4" s="1"/>
  <c r="E9" i="19"/>
  <c r="I9" i="20"/>
  <c r="G9" i="20" s="1"/>
  <c r="H9" i="20" s="1"/>
  <c r="G14" i="20"/>
  <c r="H14" i="20" s="1"/>
  <c r="G7" i="20"/>
  <c r="H7" i="20" s="1"/>
  <c r="M160" i="7"/>
  <c r="N160" i="7"/>
  <c r="L160" i="7"/>
  <c r="B95" i="5"/>
  <c r="J66" i="5"/>
  <c r="J65" i="5"/>
  <c r="J64" i="5"/>
  <c r="J63" i="5"/>
  <c r="J62" i="5"/>
  <c r="J61" i="5"/>
  <c r="J60" i="5"/>
  <c r="J58" i="5"/>
  <c r="J57" i="5"/>
  <c r="J56" i="5"/>
  <c r="J55" i="5"/>
  <c r="J54" i="5"/>
  <c r="J52" i="5"/>
  <c r="J6" i="4" l="1"/>
  <c r="F6" i="4"/>
  <c r="F7" i="4"/>
  <c r="F9" i="4"/>
  <c r="F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Q5" authorId="0" shapeId="0" xr:uid="{7B95C832-A808-417C-9A9E-F9668D7C07A3}">
      <text>
        <r>
          <rPr>
            <b/>
            <sz val="9"/>
            <color indexed="81"/>
            <rFont val="Tahoma"/>
            <family val="2"/>
          </rPr>
          <t>Elin Röös:</t>
        </r>
        <r>
          <rPr>
            <sz val="9"/>
            <color indexed="81"/>
            <rFont val="Tahoma"/>
            <family val="2"/>
          </rPr>
          <t xml:space="preserve">
Times 100 as the RR-script that aggregates all footprints divides them by 100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D10" authorId="0" shapeId="0" xr:uid="{E89095EC-C27F-4384-8338-8C905EAA9CC3}">
      <text>
        <r>
          <rPr>
            <b/>
            <sz val="9"/>
            <color indexed="81"/>
            <rFont val="Tahoma"/>
            <family val="2"/>
          </rPr>
          <t>Elin Röös:</t>
        </r>
        <r>
          <rPr>
            <sz val="9"/>
            <color indexed="81"/>
            <rFont val="Tahoma"/>
            <family val="2"/>
          </rPr>
          <t xml:space="preserve">
This is set so that total land use to correspond to land use of 4m2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Rachel Mazac</author>
  </authors>
  <commentList>
    <comment ref="A39" authorId="0" shapeId="0" xr:uid="{99572DE2-2582-438D-80AB-4537930E87B9}">
      <text>
        <r>
          <rPr>
            <b/>
            <sz val="9"/>
            <color indexed="81"/>
            <rFont val="Tahoma"/>
            <family val="2"/>
          </rPr>
          <t xml:space="preserve">RM: </t>
        </r>
        <r>
          <rPr>
            <sz val="9"/>
            <color indexed="81"/>
            <rFont val="Tahoma"/>
            <family val="2"/>
          </rPr>
          <t>I know these authors from Helsinki, I could contact for more detailed inventory data if needed.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tc={4913C71D-B624-4E1F-A2C0-664C035B631A}</author>
    <author>Rachel Mazac</author>
    <author>tc={F807ACF2-6A7F-4CBA-93F2-F82AC4777181}</author>
    <author>tc={2750F62D-2CC3-4722-B208-B7BD59460AE0}</author>
    <author>tc={9C1CCE03-884F-49BA-A8E5-B5CF3D2A8104}</author>
  </authors>
  <commentList>
    <comment ref="T5" authorId="0" shapeId="0" xr:uid="{78E4227F-3F86-41E5-BD92-59712D408B30}">
      <text>
        <t>[Threaded comment]
Your version of Excel allows you to read this threaded comment; however, any edits to it will get removed if the file is opened in a newer version of Excel. Learn more: https://go.microsoft.com/fwlink/?linkid=870924
Comment:
    How can we calculate these for the insects/cultured products with the animal welfare index?</t>
      </text>
    </comment>
    <comment ref="O8" authorId="1" shapeId="0" xr:uid="{BB6C2027-F034-45CD-BFFB-F4BFA00E592C}">
      <text>
        <r>
          <rPr>
            <b/>
            <sz val="9"/>
            <color indexed="81"/>
            <rFont val="Tahoma"/>
            <family val="2"/>
          </rPr>
          <t xml:space="preserve">Source: </t>
        </r>
        <r>
          <rPr>
            <sz val="9"/>
            <color indexed="81"/>
            <rFont val="Tahoma"/>
            <family val="2"/>
          </rPr>
          <t>Smetana, S., Aganovic, K., Irmscher, S., &amp; Heinz, V. (2018). Agri-food waste streams utilization for development of more sustainable food substitutes. Designing sustainable technologies, products and policies: From science to innovation, 145-155.</t>
        </r>
      </text>
    </comment>
    <comment ref="F9" authorId="2" shapeId="0" xr:uid="{72E4AAE2-C642-4E58-9FF9-F804E48E013D}">
      <text>
        <t>[Threaded comment]
Your version of Excel allows you to read this threaded comment; however, any edits to it will get removed if the file is opened in a newer version of Excel. Learn more: https://go.microsoft.com/fwlink/?linkid=870924
Comment:
    There are other scenarios which assume more renewables and more efficient technology which could also be used, "The environmental impacts of the CMB were 1.7–2.3 times higher compared to the CMB128 and 3.8–5.7 times higher compared to the impacts of the CMC depending on the impact category (Table 3)."</t>
      </text>
    </comment>
    <comment ref="R9" authorId="3" shapeId="0" xr:uid="{F2DC9AD1-4878-4008-87CA-B744B7A50B3E}">
      <text>
        <t>[Threaded comment]
Your version of Excel allows you to read this threaded comment; however, any edits to it will get removed if the file is opened in a newer version of Excel. Learn more: https://go.microsoft.com/fwlink/?linkid=870924
Comment:
    possibly just a waste product, not the resulting impact?</t>
      </text>
    </comment>
    <comment ref="B10" authorId="4" shapeId="0" xr:uid="{C3DD7C23-DAD0-41B3-892A-00944895A9A0}">
      <text>
        <t>[Threaded comment]
Your version of Excel allows you to read this threaded comment; however, any edits to it will get removed if the file is opened in a newer version of Excel. Learn more: https://go.microsoft.com/fwlink/?linkid=870924
Comment:
    Limited information, "Cultured milk protein production is a new and proprietary process, and so our analysis is based on data extracted from resources documenting similar production processes." Bhandri et al. (2021)</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tc={49E73F3B-0326-4CAC-9403-FEC07F4EED56}</author>
  </authors>
  <commentList>
    <comment ref="A80" authorId="0" shapeId="0" xr:uid="{49E73F3B-0326-4CAC-9403-FEC07F4EED56}">
      <text>
        <t>[Threaded comment]
Your version of Excel allows you to read this threaded comment; however, any edits to it will get removed if the file is opened in a newer version of Excel. Learn more: https://go.microsoft.com/fwlink/?linkid=870924
Comment:
    NOTE: this is a comparison of the two fermentation types: continuously stirred-tank reactor (CSTR) or raceway pond. We chose the tank here as akin to bioreactor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Rachel Mazac</author>
  </authors>
  <commentList>
    <comment ref="E14" authorId="0" shapeId="0" xr:uid="{4DF419F5-2E3A-4E59-BACD-B99CFADEFBC5}">
      <text>
        <r>
          <rPr>
            <sz val="9"/>
            <color indexed="81"/>
            <rFont val="Tahoma"/>
            <family val="2"/>
          </rPr>
          <t>All inputs accounted for in electricity and feed, similar to other livestock products</t>
        </r>
      </text>
    </comment>
  </commentList>
</comments>
</file>

<file path=xl/sharedStrings.xml><?xml version="1.0" encoding="utf-8"?>
<sst xmlns="http://schemas.openxmlformats.org/spreadsheetml/2006/main" count="12325" uniqueCount="3633">
  <si>
    <t>Novel foods</t>
  </si>
  <si>
    <t>Species</t>
  </si>
  <si>
    <t>Climate</t>
  </si>
  <si>
    <t>Land</t>
  </si>
  <si>
    <t>Nitrogen</t>
  </si>
  <si>
    <t>Phosphorus</t>
  </si>
  <si>
    <t>Water</t>
  </si>
  <si>
    <t>Pesticides</t>
  </si>
  <si>
    <t>Biodiversity</t>
  </si>
  <si>
    <t>Ammonia</t>
  </si>
  <si>
    <t>Labour</t>
  </si>
  <si>
    <t>Animal welfare</t>
  </si>
  <si>
    <t>Use of antibiotics</t>
  </si>
  <si>
    <t>Code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</si>
  <si>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</si>
  <si>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</si>
  <si>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</si>
  <si>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</si>
  <si>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</si>
  <si>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</si>
  <si>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</si>
  <si>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</si>
  <si>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</si>
  <si>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</si>
  <si>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</si>
  <si>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</si>
  <si>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</si>
  <si>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</si>
  <si>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</si>
  <si>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</si>
  <si>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</si>
  <si>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novel food</t>
  </si>
  <si>
    <t>NF-01</t>
  </si>
  <si>
    <t>Cultured Meat (Bos. Spp.)</t>
  </si>
  <si>
    <t>Novel food</t>
  </si>
  <si>
    <t>Israel</t>
  </si>
  <si>
    <t>IL</t>
  </si>
  <si>
    <t>Netherlands</t>
  </si>
  <si>
    <t>NL</t>
  </si>
  <si>
    <t>Sweden</t>
  </si>
  <si>
    <t>SE</t>
  </si>
  <si>
    <t>USA</t>
  </si>
  <si>
    <t>US</t>
  </si>
  <si>
    <t>NF-02</t>
  </si>
  <si>
    <t>Microbial Milk (T. reesei)</t>
  </si>
  <si>
    <t>Denmark</t>
  </si>
  <si>
    <t>DK</t>
  </si>
  <si>
    <t>Germany</t>
  </si>
  <si>
    <t>DE</t>
  </si>
  <si>
    <t>Switzerland</t>
  </si>
  <si>
    <t>CH</t>
  </si>
  <si>
    <t>NF-03</t>
  </si>
  <si>
    <t>Microbial Ovalbumin (T. reesei)</t>
  </si>
  <si>
    <t>NF-04</t>
  </si>
  <si>
    <t>Microbial Protein (Solein)</t>
  </si>
  <si>
    <t>Finland</t>
  </si>
  <si>
    <t>FI</t>
  </si>
  <si>
    <t>NF-05</t>
  </si>
  <si>
    <t>Mycoprotein (Quorn)</t>
  </si>
  <si>
    <t>UK</t>
  </si>
  <si>
    <t>GB</t>
  </si>
  <si>
    <t>NF-06</t>
  </si>
  <si>
    <t>Yeast Fat (Rhodotorula babjevae)</t>
  </si>
  <si>
    <t>NF-07</t>
  </si>
  <si>
    <t>Algae Fat (Schizochytrium)</t>
  </si>
  <si>
    <t>GHG emissions (per kg of  novel food)</t>
  </si>
  <si>
    <t>Product</t>
  </si>
  <si>
    <t>Sum</t>
  </si>
  <si>
    <t>Inputs</t>
  </si>
  <si>
    <t>Soil emissions</t>
  </si>
  <si>
    <t>Energy use</t>
  </si>
  <si>
    <t>Land use change</t>
  </si>
  <si>
    <t>Feed processing</t>
  </si>
  <si>
    <t>Transports</t>
  </si>
  <si>
    <t>Gas</t>
  </si>
  <si>
    <t>GHG</t>
  </si>
  <si>
    <t>Production of mineral fertilizer</t>
  </si>
  <si>
    <t xml:space="preserve">Production of capital goods </t>
  </si>
  <si>
    <t>Direct emissions</t>
  </si>
  <si>
    <t>Indirect emissions</t>
  </si>
  <si>
    <t>Diesel use field mach</t>
  </si>
  <si>
    <t>Energy use in greenhouses</t>
  </si>
  <si>
    <t>Energy use for irrigation</t>
  </si>
  <si>
    <t>Energy use for processing of novel foods and for minor ingredients</t>
  </si>
  <si>
    <t>LUC emissions</t>
  </si>
  <si>
    <t>Feed transports</t>
  </si>
  <si>
    <t>Enteric fermentation</t>
  </si>
  <si>
    <t>Manure management - tot</t>
  </si>
  <si>
    <t>Manure management - direct</t>
  </si>
  <si>
    <t>Manure management - indirect</t>
  </si>
  <si>
    <t>Energy use in stables</t>
  </si>
  <si>
    <t>Energy use for slaughter</t>
  </si>
  <si>
    <t>CO2</t>
  </si>
  <si>
    <t>CH4, fossil</t>
  </si>
  <si>
    <t>CH4, biogenic</t>
  </si>
  <si>
    <t>N2O</t>
  </si>
  <si>
    <t>CO2e</t>
  </si>
  <si>
    <t>These energy processes here included in Diesel use mach</t>
  </si>
  <si>
    <t>Novel foods, input data per kg final product</t>
  </si>
  <si>
    <t>SMALL INGREDIENTS DONE FOR ALL PRODUCTS (EXCEPT CULT MEAT-not needed)</t>
  </si>
  <si>
    <t>Energy (MJ/kg food)</t>
  </si>
  <si>
    <t>Ingredients from agriculture (kg/kg food)</t>
  </si>
  <si>
    <t>Other small ingredients/input</t>
  </si>
  <si>
    <t>Food</t>
  </si>
  <si>
    <t>Total Electicity</t>
  </si>
  <si>
    <t>Total Heat</t>
  </si>
  <si>
    <t>Energy ingredients 
(NOTE: this is done differently for cultured meat as the ingredients were a large part of the impacts, and not "minor")</t>
  </si>
  <si>
    <t>Bioreactor energy (Average)</t>
  </si>
  <si>
    <t>Bioreactor Cleaning/Cleaning in Place</t>
  </si>
  <si>
    <t>Water Sterilisation</t>
  </si>
  <si>
    <t>Microfiltration</t>
  </si>
  <si>
    <t>Combined ultra- and diafiltration</t>
  </si>
  <si>
    <t>Spray drying</t>
  </si>
  <si>
    <t>SMB system (Chromatographic separation)</t>
  </si>
  <si>
    <t>Fermentation (including transport, sterilization, electrolysis, and pasteurization)</t>
  </si>
  <si>
    <t>Separation</t>
  </si>
  <si>
    <t>Electricity - Feeding/harvesting/processing</t>
  </si>
  <si>
    <t>Heat - Feeding/harvesting/processing</t>
  </si>
  <si>
    <t>Electricity - High moisture intermediate production</t>
  </si>
  <si>
    <t>Electricity (water pumping, lamps, sparger) - Cultivation, nursery</t>
  </si>
  <si>
    <t>Heat (Steam) - Pre-treatment and hydrolysis</t>
  </si>
  <si>
    <t>Electricity - Pre-treatment and hydrolysis</t>
  </si>
  <si>
    <t>Heating - nutrient production</t>
  </si>
  <si>
    <t>Electricity - Lipid extraction and refining</t>
  </si>
  <si>
    <t>Heat (steam) - Lipid extraction and refining</t>
  </si>
  <si>
    <t>Electricity (fractionation) - Lipid extraction and refining</t>
  </si>
  <si>
    <t>Diesel (L/kg food)</t>
  </si>
  <si>
    <t>Petrol (L/kg food)</t>
  </si>
  <si>
    <t>Glucose</t>
  </si>
  <si>
    <t>Sugar beet</t>
  </si>
  <si>
    <t>Wheat</t>
  </si>
  <si>
    <t>Egg white</t>
  </si>
  <si>
    <t>CH4</t>
  </si>
  <si>
    <t>Agricultural ingredients</t>
  </si>
  <si>
    <t>Average European wheat, from SAFAD ID Footprints RPC.csv</t>
  </si>
  <si>
    <t>Long code</t>
  </si>
  <si>
    <t>FoodEx2 code</t>
  </si>
  <si>
    <t>FoodEx2 name</t>
  </si>
  <si>
    <t>SUA code</t>
  </si>
  <si>
    <t>SUA name</t>
  </si>
  <si>
    <t>Country name</t>
  </si>
  <si>
    <t>Carbon footprint, primary production</t>
  </si>
  <si>
    <t>Carbon dioxide, primary production</t>
  </si>
  <si>
    <t>Methane, fossil, primary production</t>
  </si>
  <si>
    <t>Methane, biogenic, primary production</t>
  </si>
  <si>
    <t>Nitrous oxide, primary production</t>
  </si>
  <si>
    <t>N input</t>
  </si>
  <si>
    <t>P input</t>
  </si>
  <si>
    <t>Antibiotics</t>
  </si>
  <si>
    <t>Mineral fertiliser production (CO2e)</t>
  </si>
  <si>
    <t>Capital goods (CO2e)</t>
  </si>
  <si>
    <t>Soil emissions (CO2e)</t>
  </si>
  <si>
    <t>Energy primary production (CO2e)</t>
  </si>
  <si>
    <t>Land use change (CO2e)</t>
  </si>
  <si>
    <t>Enteric fermentation (CO2e)</t>
  </si>
  <si>
    <t>Manure management (CO2e)</t>
  </si>
  <si>
    <t>Mineral fertiliser production (CO2)</t>
  </si>
  <si>
    <t>Capital goods (CO2)</t>
  </si>
  <si>
    <t>Energy primary production (CO2)</t>
  </si>
  <si>
    <t>Land use change (CO2)</t>
  </si>
  <si>
    <t>Mineral fertiliser production (CH4, fossil)</t>
  </si>
  <si>
    <t>Capital goods (CH4, fossil)</t>
  </si>
  <si>
    <t>Energy primary production (CH4, fossil)</t>
  </si>
  <si>
    <t>Soil emissions (CH4, biogenic)</t>
  </si>
  <si>
    <t>Enteric fermentation (CH4, biogenic)</t>
  </si>
  <si>
    <t>Manure management (CH4, biogenic)</t>
  </si>
  <si>
    <t>Mineral fertiliser production (N2O)</t>
  </si>
  <si>
    <t>Capital goods (N2O)</t>
  </si>
  <si>
    <t>Soil emissions (N2O)</t>
  </si>
  <si>
    <t>Energy primary production (N2O)</t>
  </si>
  <si>
    <t>Manure management (N2O)</t>
  </si>
  <si>
    <t>A.01.02.001.003</t>
  </si>
  <si>
    <t>A001N</t>
  </si>
  <si>
    <t>Wheat grain soft</t>
  </si>
  <si>
    <t>Wheat, average</t>
  </si>
  <si>
    <t>Cereals, incl feed</t>
  </si>
  <si>
    <t>Poland</t>
  </si>
  <si>
    <t>PL</t>
  </si>
  <si>
    <t>Ireland</t>
  </si>
  <si>
    <t>IE</t>
  </si>
  <si>
    <t>France</t>
  </si>
  <si>
    <t>FR</t>
  </si>
  <si>
    <t>Hungary</t>
  </si>
  <si>
    <t>HU</t>
  </si>
  <si>
    <t>Bulgaria</t>
  </si>
  <si>
    <t>BG</t>
  </si>
  <si>
    <t>Italy</t>
  </si>
  <si>
    <t>IT</t>
  </si>
  <si>
    <t>Greece</t>
  </si>
  <si>
    <t>GR</t>
  </si>
  <si>
    <t>Spain</t>
  </si>
  <si>
    <t>ES</t>
  </si>
  <si>
    <t>Average</t>
  </si>
  <si>
    <t>Glucose and egg-white from Sweden, from SAFAD OR Footprints per Food.csv</t>
  </si>
  <si>
    <t>Name</t>
  </si>
  <si>
    <t>L1 Category</t>
  </si>
  <si>
    <t>L2 Category</t>
  </si>
  <si>
    <t>Amount (g)</t>
  </si>
  <si>
    <t>Carbon footprint, total (kg CO2e)</t>
  </si>
  <si>
    <t>Carbon dioxide, total (kg CO2)</t>
  </si>
  <si>
    <t>Methane, fossil, total (kg CH4)</t>
  </si>
  <si>
    <t>Methane, biogenic, total (kg CH4)</t>
  </si>
  <si>
    <t>Nitrous oxide, total (kg N2O)</t>
  </si>
  <si>
    <t>Carbon footprint, primary production (kg CO2e)</t>
  </si>
  <si>
    <t>Carbon dioxide, primary production (kg CO2)</t>
  </si>
  <si>
    <t>Methane, fossil, primary production (kg CH4)</t>
  </si>
  <si>
    <t>Methane, biogenic, primary production (kg CH4)</t>
  </si>
  <si>
    <t>Nitrous oxide, primary production (kg N2O)</t>
  </si>
  <si>
    <t>Cropland (m2*year/kg)</t>
  </si>
  <si>
    <t>New N input (kg N/kg)</t>
  </si>
  <si>
    <t>New P input (kg P/kg)</t>
  </si>
  <si>
    <t>Water (m3/kg)</t>
  </si>
  <si>
    <t>Pesticides (g a.i/kg)</t>
  </si>
  <si>
    <t>Biodiversity (E/MSY/kg)</t>
  </si>
  <si>
    <t>Ammonia (kg NH3/kg)</t>
  </si>
  <si>
    <t>Animal welfare (index)</t>
  </si>
  <si>
    <t>Antibiotics (index)</t>
  </si>
  <si>
    <t>Mineral fertiliser production (kg CO2e)</t>
  </si>
  <si>
    <t>Capital goods (kg CO2e)</t>
  </si>
  <si>
    <t>Soil emissions (kg CO2e)</t>
  </si>
  <si>
    <t>Energy primary production (kg CO2e)</t>
  </si>
  <si>
    <t>Land use change (kg CO2e)</t>
  </si>
  <si>
    <t>Enteric fermentation (kg CO2e)</t>
  </si>
  <si>
    <t>Manure management (kg CO2e)</t>
  </si>
  <si>
    <t>Mineral fertiliser production (kg CO2)</t>
  </si>
  <si>
    <t>Capital goods (kg CO2)</t>
  </si>
  <si>
    <t>Energy primary production (kg CO2)</t>
  </si>
  <si>
    <t>Land use change (kg CO2)</t>
  </si>
  <si>
    <t>Mineral fertiliser production (kg CH4, fossil)</t>
  </si>
  <si>
    <t>Capital goods (kg CH4, fossil)</t>
  </si>
  <si>
    <t>Energy primary production (kg CH4, fossil)</t>
  </si>
  <si>
    <t>Soil emissions (kg CH4, biogenic)</t>
  </si>
  <si>
    <t>Enteric fermentation (kg CH4, biogenic)</t>
  </si>
  <si>
    <t>Manure management (kg CH4, biogenic)</t>
  </si>
  <si>
    <t>Mineral fertiliser production (kg N2O)</t>
  </si>
  <si>
    <t>Capital goods (kg N2O)</t>
  </si>
  <si>
    <t>Soil emissions (kg N2O)</t>
  </si>
  <si>
    <t>Energy primary production (kg N2O)</t>
  </si>
  <si>
    <t>Manure management (kg N2O)</t>
  </si>
  <si>
    <t>Processing (kg CO2e)</t>
  </si>
  <si>
    <t>Processing (kg CO2)</t>
  </si>
  <si>
    <t>Processing (kg CH4, fossil)</t>
  </si>
  <si>
    <t>Processing (kg N2O)</t>
  </si>
  <si>
    <t>Packaging (kg CO2e)</t>
  </si>
  <si>
    <t>Packaging (kg CO2)</t>
  </si>
  <si>
    <t>Packaging (kg CH4, fossil)</t>
  </si>
  <si>
    <t>Packaging (kg CH4, biogenic)</t>
  </si>
  <si>
    <t>Packaging (kg N2O)</t>
  </si>
  <si>
    <t>Transports (kg CO2e)</t>
  </si>
  <si>
    <t>Transports (kg CO2)</t>
  </si>
  <si>
    <t>Transports (kg CH4, fossil)</t>
  </si>
  <si>
    <t>Transports (kg N2O)</t>
  </si>
  <si>
    <t>Processes</t>
  </si>
  <si>
    <t>Packaging</t>
  </si>
  <si>
    <t>RPCs with missing data</t>
  </si>
  <si>
    <t>A.09.01.003</t>
  </si>
  <si>
    <t>Egg white, chicken</t>
  </si>
  <si>
    <t>Eggs and egg products</t>
  </si>
  <si>
    <t>Eggs, fresh</t>
  </si>
  <si>
    <t>P15</t>
  </si>
  <si>
    <t>A.10.01.008</t>
  </si>
  <si>
    <t>Sugar and confectionary</t>
  </si>
  <si>
    <t>Sugars</t>
  </si>
  <si>
    <t>F28.A07MJ$F28.A0C0B$F28.A0BZV</t>
  </si>
  <si>
    <t>P14</t>
  </si>
  <si>
    <t>Emission factors</t>
  </si>
  <si>
    <t>Emissions from production and use of electricity (ecoinvent version 3.9.1, market for electricity SE, low voltage) and fuels (Gode et al. 2011)</t>
  </si>
  <si>
    <t>kg CO2 per MJ</t>
  </si>
  <si>
    <t>kg CH4 per MJ</t>
  </si>
  <si>
    <t>kg N2O per MJ</t>
  </si>
  <si>
    <t>Heating value, MJ/l</t>
  </si>
  <si>
    <t>Electricity DK</t>
  </si>
  <si>
    <t>Electricity NL</t>
  </si>
  <si>
    <t>Electricity DE</t>
  </si>
  <si>
    <t>Electricity CH</t>
  </si>
  <si>
    <t>Appox Sweden - CHANGE!!</t>
  </si>
  <si>
    <t>Electricity FI</t>
  </si>
  <si>
    <t>Electricity SE</t>
  </si>
  <si>
    <t>Electricity IL</t>
  </si>
  <si>
    <t>Electricity US</t>
  </si>
  <si>
    <t>Electricity GB</t>
  </si>
  <si>
    <t>Electricity GB, Quorn</t>
  </si>
  <si>
    <t>This is a energy mix set to get a carbon footprint of approx. 2 kg CO2e, Quorn has updated to renewable energy and states a carbon footprint of 1.7 kg CO2e but we round upto 2 kg CO2e</t>
  </si>
  <si>
    <t>Heating oil</t>
  </si>
  <si>
    <t>Natural gas</t>
  </si>
  <si>
    <t>Other fossil energy sources</t>
  </si>
  <si>
    <t>Average of heating oil and natural gas</t>
  </si>
  <si>
    <t>Bark and chips</t>
  </si>
  <si>
    <t>Pellets and briquettes</t>
  </si>
  <si>
    <t>Other renewable energy sources</t>
  </si>
  <si>
    <t>Average of bark and chips; pellets and briquettes</t>
  </si>
  <si>
    <t>Diesel fuel</t>
  </si>
  <si>
    <t>District heating</t>
  </si>
  <si>
    <t>Representative for Sweden</t>
  </si>
  <si>
    <t xml:space="preserve">Emissions from the production of N mineral fertilizer </t>
  </si>
  <si>
    <t>kg CO2 per kg N</t>
  </si>
  <si>
    <t>kg CH4 per kg N</t>
  </si>
  <si>
    <t>kg N2O per kg N</t>
  </si>
  <si>
    <t>Fraction of tech*</t>
  </si>
  <si>
    <t>Source:</t>
  </si>
  <si>
    <t>Best Available Technology (BAT)</t>
  </si>
  <si>
    <t>Yara International 2010</t>
  </si>
  <si>
    <t>Ammonium nitrate**</t>
  </si>
  <si>
    <t>Ecoinvent Centre, 2021, Activity name: “Ammonium nitrate production", Rest of the world, adjusted to N content in fertilizer (33.5%)</t>
  </si>
  <si>
    <t>*Swedish Agency for Public Management (2010)</t>
  </si>
  <si>
    <t>Characterisation factors (CF) climate change</t>
  </si>
  <si>
    <t>Carbon dioxide (CO2)</t>
  </si>
  <si>
    <t>Biogenic methane (CH4)</t>
  </si>
  <si>
    <t>Fossil methane (CH4)</t>
  </si>
  <si>
    <t>Nitrous oxide (N2O)</t>
  </si>
  <si>
    <t>Chlorodifluoromethane (HCFC-22)</t>
  </si>
  <si>
    <t>IPCC, 2021</t>
  </si>
  <si>
    <t>Table 1. Examples of cellular and acellular products, their origins and cellular agricultural components.</t>
  </si>
  <si>
    <t>Table 2. Our novel foods for Mistra FF, WP3 diet scenarios</t>
  </si>
  <si>
    <t>CELLULAR AGRICULTURE PRODUCTS</t>
  </si>
  <si>
    <t>Input Data Collected/to be included?</t>
  </si>
  <si>
    <t>Consumer Category</t>
  </si>
  <si>
    <t>Production Type</t>
  </si>
  <si>
    <t>Cell origin**</t>
  </si>
  <si>
    <t>Notes</t>
  </si>
  <si>
    <t>Consumer product category</t>
  </si>
  <si>
    <t>Cell Origin</t>
  </si>
  <si>
    <t>CellAg component  </t>
  </si>
  <si>
    <t>Cellular/Acellular/Fermentation</t>
  </si>
  <si>
    <t>Cellular</t>
  </si>
  <si>
    <t> </t>
  </si>
  <si>
    <t>(Cells as main product)</t>
  </si>
  <si>
    <t>Y</t>
  </si>
  <si>
    <t>Meat</t>
  </si>
  <si>
    <t>An</t>
  </si>
  <si>
    <t>Culturing the protein/meat cells</t>
  </si>
  <si>
    <t>A</t>
  </si>
  <si>
    <t>Cultured meat cells</t>
  </si>
  <si>
    <t>N</t>
  </si>
  <si>
    <t>Fish</t>
  </si>
  <si>
    <t>Not yet being done/no LCA--&gt; Similar to cultured bovine meat, but with aquaculture component</t>
  </si>
  <si>
    <t>Cultured fish cells</t>
  </si>
  <si>
    <t>Milk</t>
  </si>
  <si>
    <t>Acellular</t>
  </si>
  <si>
    <t>Not yet being done --&gt; Cell cultured mammalian Gland Cells for milk ingredient production</t>
  </si>
  <si>
    <t>Coffee</t>
  </si>
  <si>
    <t>P</t>
  </si>
  <si>
    <t>Cultured Coffee cells</t>
  </si>
  <si>
    <t>Precision Fermentation*</t>
  </si>
  <si>
    <t>B / F</t>
  </si>
  <si>
    <t>Microbial production of casein or beta-lactoglobulin</t>
  </si>
  <si>
    <t>Chocolate</t>
  </si>
  <si>
    <t>Cultured Cacao cells</t>
  </si>
  <si>
    <t>F</t>
  </si>
  <si>
    <t>Microbial production of ovalbumin</t>
  </si>
  <si>
    <t>Fat</t>
  </si>
  <si>
    <t>Cultured Fat Cells</t>
  </si>
  <si>
    <t>Protein (Solein powder)</t>
  </si>
  <si>
    <t>B</t>
  </si>
  <si>
    <t>Microbical production of protein cells</t>
  </si>
  <si>
    <t>Microbial protein</t>
  </si>
  <si>
    <t>Solein - Protein powder</t>
  </si>
  <si>
    <t>Protein (Quorn product)</t>
  </si>
  <si>
    <t>Fermentation</t>
  </si>
  <si>
    <t>Fungi-based protein, Similar to conventional fermentation</t>
  </si>
  <si>
    <t>(Proteins produced by growing microbial (cells) using carbon dioxide capture)</t>
  </si>
  <si>
    <t>Not widely being done/studied/no LCA--&gt;cultured insect or psosible other livestock (see Fats, CellAg tab)</t>
  </si>
  <si>
    <t>(Substances produced by the cultivated cells)</t>
  </si>
  <si>
    <t>B / F / Alg</t>
  </si>
  <si>
    <t>Fungus producing oils with microalgal sugars, cenventional fermentaion</t>
  </si>
  <si>
    <t>Gelatin</t>
  </si>
  <si>
    <t>Cell culturing for gelatin production</t>
  </si>
  <si>
    <t>Other/Agricultural</t>
  </si>
  <si>
    <t>Precision fermentation
Casein milk protein</t>
  </si>
  <si>
    <t>Insects</t>
  </si>
  <si>
    <t>Agriculture</t>
  </si>
  <si>
    <t>Similar to livestock rearing, feed and conventional inputs</t>
  </si>
  <si>
    <t>Cell cultured mammalian Gland Cells for cow milk ingredient production</t>
  </si>
  <si>
    <t>Blue Food</t>
  </si>
  <si>
    <t>Baby formula</t>
  </si>
  <si>
    <t>Cell cultured mammalian Gland Cells for human milk production</t>
  </si>
  <si>
    <t>Kelp</t>
  </si>
  <si>
    <t>Mariculture</t>
  </si>
  <si>
    <t>Moved to Blue food</t>
  </si>
  <si>
    <t>Precision fermentation
ovalbumin</t>
  </si>
  <si>
    <t>Microalgae</t>
  </si>
  <si>
    <t>Alg</t>
  </si>
  <si>
    <t>Precision fermentation fats that mimic animal fats</t>
  </si>
  <si>
    <t>**Origin: An = Animal, Alg = Algae, B = Bacteria, F = Fungi, P = Plant</t>
  </si>
  <si>
    <t>Heme</t>
  </si>
  <si>
    <t>Precision fermentation heme </t>
  </si>
  <si>
    <t>(Gives the blood taste for plant based burger)</t>
  </si>
  <si>
    <t>*What is precision fermentation?</t>
  </si>
  <si>
    <t>Other</t>
  </si>
  <si>
    <t>Precision fermentation uses genetically modified microorganisms to produce specific proteins, enzymes, and other compounds. This is accomplished by inserting genes into the microorganisms' DNA to allow them to produce the desired product. The term "precision" refers to the ability to precisely control the process, from the genetic modification of the microorganisms to the optimization of fermentation conditions.</t>
  </si>
  <si>
    <t>Mycoprotein</t>
  </si>
  <si>
    <t>Fermentation of fungus cells</t>
  </si>
  <si>
    <t>What is the difference between general fermentation and precision fermentation?</t>
  </si>
  <si>
    <r>
      <rPr>
        <b/>
        <sz val="9"/>
        <color rgb="FF1D1C1D"/>
        <rFont val="Arial"/>
        <family val="2"/>
      </rPr>
      <t>Origin:</t>
    </r>
    <r>
      <rPr>
        <sz val="9"/>
        <color rgb="FF1D1C1D"/>
        <rFont val="Arial"/>
        <family val="2"/>
      </rPr>
      <t xml:space="preserve"> A = Animal, B = Bacteria, F = Fungi, P = Plant </t>
    </r>
  </si>
  <si>
    <t>The main distinction between precision fermentation and general fermentation is that the microorganisms used in precision fermentation are designed to create a particular end product.</t>
  </si>
  <si>
    <t>Source: Precision Fermentation simply explained</t>
  </si>
  <si>
    <t>Additional possible references</t>
  </si>
  <si>
    <t>Ref(s)</t>
  </si>
  <si>
    <t>Rubio, N., Datar, I., Stachura, D., Kaplan, D., &amp; Krueger, K. (2019). Cell-based fish: a novel approach to seafood production and an opportunity for cellular agriculture. Frontiers in Sustainable Food Systems, 3, 43.</t>
  </si>
  <si>
    <t xml:space="preserve">Precision fermentation heme </t>
  </si>
  <si>
    <t>Reis, G. G., Heidemann, M. S., Goes, H. A. A., &amp; Molento, C. F. M. (2021). Can radical innovation mitigate environmental and animal welfare misconduct in global value chains? The case of cell-based tuna. Technological Forecasting and Social Change, 169, 120845.</t>
  </si>
  <si>
    <t>Telesetsky, A. (2023). Cellular mariculture: Challenges of delivering sustainable protein security. Marine Policy, 147, 105400.</t>
  </si>
  <si>
    <t>Ge, J., Wang, X., Bai, Y., Wang, Y., Wang, Y., Tu, T., ... &amp; Zhang, J. (2023). Engineering Escherichia coli for efficient assembly of heme proteins. Microbial Cell Factories, 22(1), 1-14.</t>
  </si>
  <si>
    <t>Group</t>
  </si>
  <si>
    <t>High Tech Novel Foods</t>
  </si>
  <si>
    <t>Low Tech Novel Foods</t>
  </si>
  <si>
    <t>High Tech (highly processed) meat/diary alternatives</t>
  </si>
  <si>
    <t>Low Tech (minimally processed) meat/dairy alternatives</t>
  </si>
  <si>
    <t>Other/Blue Foods</t>
  </si>
  <si>
    <t>Foods</t>
  </si>
  <si>
    <t>cultured meat, microbial milk, microbial protein, microbial ovalbumin, microbial fat</t>
  </si>
  <si>
    <t>mycoprotein (Quorn), insects</t>
  </si>
  <si>
    <t>soy based meat alternatives (e.g., soy sausages), oat/soy drink</t>
  </si>
  <si>
    <t>tofu, tempeh, falafel</t>
  </si>
  <si>
    <t>kelp, microalgae, mussels, oysters</t>
  </si>
  <si>
    <t>Scenario(s) 
{to be discussed}</t>
  </si>
  <si>
    <t>Food as Tech</t>
  </si>
  <si>
    <t>…</t>
  </si>
  <si>
    <t>all</t>
  </si>
  <si>
    <t>Food as Culture</t>
  </si>
  <si>
    <t>ASF Analog</t>
  </si>
  <si>
    <t>Cell origin*</t>
  </si>
  <si>
    <t>Cellular/Acellular/Precision Fermentaion</t>
  </si>
  <si>
    <t>Meat (red)</t>
  </si>
  <si>
    <t>B / P</t>
  </si>
  <si>
    <t>Cocoa</t>
  </si>
  <si>
    <t>Plant-Based/Conventional Agriculture</t>
  </si>
  <si>
    <t>Tofu</t>
  </si>
  <si>
    <t>Crop inputs, medium processing</t>
  </si>
  <si>
    <t>Tempeh</t>
  </si>
  <si>
    <t>Seitan</t>
  </si>
  <si>
    <t>PB-cheese</t>
  </si>
  <si>
    <t>Crop inputs, ingredient isolation or extrusion</t>
  </si>
  <si>
    <t>PB-milk</t>
  </si>
  <si>
    <t>PB-fish</t>
  </si>
  <si>
    <t>PB-meat-products</t>
  </si>
  <si>
    <t>*Origin: An = Animal, Alg = Algae, B = Bacteria, F = Fungi, P = Plant</t>
  </si>
  <si>
    <t>Cultured Meat</t>
  </si>
  <si>
    <t>CulturedMeatCombined (CMC)</t>
  </si>
  <si>
    <t>Tuomisto et al. (2022)</t>
  </si>
  <si>
    <t>NOT USED (GRAY)</t>
  </si>
  <si>
    <t>Raw commodities</t>
  </si>
  <si>
    <t>Other stuff / ingredients</t>
  </si>
  <si>
    <t>Amount</t>
  </si>
  <si>
    <t>Unit (per kg prod)</t>
  </si>
  <si>
    <t>RAC</t>
  </si>
  <si>
    <t>Item</t>
  </si>
  <si>
    <t>Bioreactor</t>
  </si>
  <si>
    <t>MJ</t>
  </si>
  <si>
    <t>kg</t>
  </si>
  <si>
    <t>Oxygen</t>
  </si>
  <si>
    <t>0.556</t>
  </si>
  <si>
    <t>Cleaning</t>
  </si>
  <si>
    <t>Polystyrene</t>
  </si>
  <si>
    <t>0.1007</t>
  </si>
  <si>
    <t>Water sterilisation</t>
  </si>
  <si>
    <t>tapwater</t>
  </si>
  <si>
    <t>403.12</t>
  </si>
  <si>
    <t>L</t>
  </si>
  <si>
    <t>Production of medium ingrediets</t>
  </si>
  <si>
    <t>sodium hydroxide, without water, in 50% solution state</t>
  </si>
  <si>
    <t>0.059</t>
  </si>
  <si>
    <t>Total</t>
  </si>
  <si>
    <t>The above data are used in the calculations, received from author correspondence with Hanna Tuomisto</t>
  </si>
  <si>
    <t>NOTES</t>
  </si>
  <si>
    <t>See below for the LCI data, we used the cultured meat combined (CMC) scenario from Tuomisto et al. (2022)</t>
  </si>
  <si>
    <t>Published</t>
  </si>
  <si>
    <t>% of total GWP</t>
  </si>
  <si>
    <t>We assume that it is only the DMEM in the ingredient list that comes from agriculture</t>
  </si>
  <si>
    <t>Minor/Other</t>
  </si>
  <si>
    <t>Vitamins and minerals</t>
  </si>
  <si>
    <t>Dulbecco's Modified Eagle's Medium (DMEM) is a 4.5 g/L concentration of glucose, we assume DMEM has a density of 1 kg/L</t>
  </si>
  <si>
    <t>RAC*</t>
  </si>
  <si>
    <t>Source for DMEM data from the producer: https://www.nordicbiolabs.se/nordic-biolabs-ab/cellodling-cellbiologi/cellodlingsmedier/klassiska-medier/dmem/dmem-ha-product</t>
  </si>
  <si>
    <t>Dulbecco's Modified Eagle's Medium (DMEM)</t>
  </si>
  <si>
    <t>95% of GWP is from ingredients (vitamins, oxygen, DMEM, minerals)</t>
  </si>
  <si>
    <t>Glucose (4.5 g/kg DMEM)</t>
  </si>
  <si>
    <t xml:space="preserve">kg glucose </t>
  </si>
  <si>
    <t>65% of energy use is from ingredients</t>
  </si>
  <si>
    <t>Total GWP of Other</t>
  </si>
  <si>
    <t>kg CO2e/kg</t>
  </si>
  <si>
    <t>Published total</t>
  </si>
  <si>
    <t>highlighted values are used</t>
  </si>
  <si>
    <t>Tuomisto, H. L., Allan, S. J., &amp; Ellis, M. J. (2022). Prospective life cycle assessment of a bioprocess design for cultured meat production in hollow fiber bioreactors. Science of the Total Environment, 851, 158051.</t>
  </si>
  <si>
    <t>Supplementary data</t>
  </si>
  <si>
    <t>Prospective life cycle assessment of a bioprocess design for cultured meat production in hollow fiber bioreactors</t>
  </si>
  <si>
    <t>Hanna L. Tuomisto, Scott J. Allan, Marianne J. Ellis</t>
  </si>
  <si>
    <r>
      <t>Fig. 4. Contribution of different processes on the environmental impacts of cultured meat baseline (</t>
    </r>
    <r>
      <rPr>
        <b/>
        <i/>
        <sz val="12"/>
        <color theme="2"/>
        <rFont val="ElsevierGulliver"/>
        <charset val="1"/>
      </rPr>
      <t>CMB</t>
    </r>
    <r>
      <rPr>
        <sz val="12"/>
        <color theme="2"/>
        <rFont val="ElsevierGulliver"/>
        <charset val="1"/>
      </rPr>
      <t>) scenario and cultured meat combined (</t>
    </r>
    <r>
      <rPr>
        <b/>
        <i/>
        <sz val="12"/>
        <color theme="2"/>
        <rFont val="ElsevierGulliver"/>
        <charset val="1"/>
      </rPr>
      <t>CMC</t>
    </r>
    <r>
      <rPr>
        <sz val="12"/>
        <color theme="2"/>
        <rFont val="ElsevierGulliver"/>
        <charset val="1"/>
      </rPr>
      <t>) scenario.</t>
    </r>
  </si>
  <si>
    <t>Structure of the data file</t>
  </si>
  <si>
    <t xml:space="preserve">The sheet called "LCI data" shows and overview of the data used for the scenarios and refers to the other sheet for additional information regarding specific processes </t>
  </si>
  <si>
    <t>The basis for those calculations are explained in detail in the Supplementary Information file.</t>
  </si>
  <si>
    <t>The basis for the parameter values are explained in Process LCI-sheet and the Supplementary Information -file.</t>
  </si>
  <si>
    <t>The  scenarios as explained in Section 2.2.2 in the main manuscript</t>
  </si>
  <si>
    <t>LCI data</t>
  </si>
  <si>
    <t>Parameter</t>
  </si>
  <si>
    <t>Unit</t>
  </si>
  <si>
    <t>CulturedMeatBaseline (CMB)</t>
  </si>
  <si>
    <t>128% mass increase (CMB128)</t>
  </si>
  <si>
    <t>adjusted amino acids</t>
  </si>
  <si>
    <t>Chemical wastewater treatment</t>
  </si>
  <si>
    <t>CHO cells</t>
  </si>
  <si>
    <t>Doubling time experimental</t>
  </si>
  <si>
    <t>seawater cooling</t>
  </si>
  <si>
    <t>serum-free baseline</t>
  </si>
  <si>
    <t>Serum free experimental</t>
  </si>
  <si>
    <t>solar energy</t>
  </si>
  <si>
    <t>TrypLE</t>
  </si>
  <si>
    <t>water recycling</t>
  </si>
  <si>
    <t>wind energy</t>
  </si>
  <si>
    <t>Source</t>
  </si>
  <si>
    <t>INPUTS</t>
  </si>
  <si>
    <t>Amino0</t>
  </si>
  <si>
    <t>Item(s)</t>
  </si>
  <si>
    <t>See Amino-acids-actual-0 - GB in AminoAcids-sheet</t>
  </si>
  <si>
    <t>Ecoinvent process: market for electricity, medium voltage | electricity, medium voltage | APOS, S - GB</t>
  </si>
  <si>
    <t>Bioreactor energy (Solar)</t>
  </si>
  <si>
    <t>Ecoinvent process: electricity production, photovoltaic, 570kWp open ground installation, multi-Si | electricity, low voltage | APOS, S - GB</t>
  </si>
  <si>
    <t>Bioreactor energy (Wind)</t>
  </si>
  <si>
    <t>Ecoinvent process: electricity production, wind, &gt;3MW turbine, onshore | electricity, high voltage | APOS, S - GB</t>
  </si>
  <si>
    <t>Clean0</t>
  </si>
  <si>
    <t>See Cleaning-sheet</t>
  </si>
  <si>
    <t>Clean128</t>
  </si>
  <si>
    <t>CleanSolar</t>
  </si>
  <si>
    <t>CleanWind</t>
  </si>
  <si>
    <t>CleanWind128</t>
  </si>
  <si>
    <t>DMEM</t>
  </si>
  <si>
    <t>See DMEM LCI and DMEM -sheets</t>
  </si>
  <si>
    <t>DMEM (Solar)</t>
  </si>
  <si>
    <t>DMEM (Wind)</t>
  </si>
  <si>
    <t>DMEM without amino acids</t>
  </si>
  <si>
    <t>DMEM without aminoa acids, see DMEM -sheet</t>
  </si>
  <si>
    <t>Essential</t>
  </si>
  <si>
    <t>See Essential8-sheet</t>
  </si>
  <si>
    <t>EssentialWind</t>
  </si>
  <si>
    <t>FBS</t>
  </si>
  <si>
    <t>Ecoinvent process: urea production, as N | urea, as N | APOS, S - RER; see Supplementary Information Section 2 for details</t>
  </si>
  <si>
    <t>Glutamine</t>
  </si>
  <si>
    <t>See Glutamine -sheet</t>
  </si>
  <si>
    <t>Glutamine (Solar)</t>
  </si>
  <si>
    <t>Glutamine (Wind)</t>
  </si>
  <si>
    <t>Ecoinvent process: market for oxygen, liquid | oxygen, liquid | APOS, S - RER</t>
  </si>
  <si>
    <t>Ecoinvent process: polystyrene production, general purpose | polystyrene, general purpose | APOS, S - RER</t>
  </si>
  <si>
    <t>SodiumHypo</t>
  </si>
  <si>
    <t>Ecoinvent process: market for sodium hypochlorite, without water, in 15% solution state | sodium hypochlorite, without water, in 15% solution state | APOS, S - RER</t>
  </si>
  <si>
    <t>Ecoinvent process: market for tap water | tap water | APOS, S - Europe without Switzerland</t>
  </si>
  <si>
    <t>See TrypLE-sheet</t>
  </si>
  <si>
    <t>WaterSterilisation</t>
  </si>
  <si>
    <t>WaterSterilisation (Solar)</t>
  </si>
  <si>
    <t>WaterSterilisation (Wind)</t>
  </si>
  <si>
    <t>OUTPUTS</t>
  </si>
  <si>
    <t>Cultured meat</t>
  </si>
  <si>
    <t>Lactate</t>
  </si>
  <si>
    <t>g</t>
  </si>
  <si>
    <t>WasteWater</t>
  </si>
  <si>
    <t>Ecoinvent process: market for Was teWater | Was teWater | APOS, S - Europe without Switzerland</t>
  </si>
  <si>
    <t>DMEM LCA models</t>
  </si>
  <si>
    <t>Ingredients used in the DMEM</t>
  </si>
  <si>
    <t>DMEM LCI</t>
  </si>
  <si>
    <t>The inventory data is provided on DMEM LCI Sheet. If provider is not an LCA database, the specific sheet is indicated.</t>
  </si>
  <si>
    <t>Marinussen &amp; Kool 2010</t>
  </si>
  <si>
    <t>DMEM D7777</t>
  </si>
  <si>
    <t>Requirements in the baseline scenario with different cell mass increase rates</t>
  </si>
  <si>
    <t>Source for ingredient amounts: Sigma-Aldrich, Product Information, Dulbecco's Modified Eagle's Medium (DME), St. Louis, MO, USA</t>
  </si>
  <si>
    <t>DMEM (1 L without water)</t>
  </si>
  <si>
    <t>Classification for average amino acid and hydrolysis product categories based on Mattick et al. 2015. For vitamins produced through fermentation, the same data than for average amino acid production was used.</t>
  </si>
  <si>
    <t>kg/kg cultured meat</t>
  </si>
  <si>
    <t>Flow</t>
  </si>
  <si>
    <t>Provider</t>
  </si>
  <si>
    <t>Average amino acid</t>
  </si>
  <si>
    <t>mg</t>
  </si>
  <si>
    <t>AminoAcids</t>
  </si>
  <si>
    <t>Components</t>
  </si>
  <si>
    <t>Concentration (mg/L)</t>
  </si>
  <si>
    <t>OpenLCA provider</t>
  </si>
  <si>
    <t>Database/Data assumptions</t>
  </si>
  <si>
    <t>Note</t>
  </si>
  <si>
    <t>calcium chloride</t>
  </si>
  <si>
    <t>market for calcium chloride | calcium chloride | APOS, S - RER</t>
  </si>
  <si>
    <t>Ecoinvent 3.6</t>
  </si>
  <si>
    <t>Amino Acids</t>
  </si>
  <si>
    <t>glucose</t>
  </si>
  <si>
    <t>market for glucose | glucose | APOS, S - GLO</t>
  </si>
  <si>
    <t>Glycine</t>
  </si>
  <si>
    <t>50% L-Lysine and 50% L-Threonine</t>
  </si>
  <si>
    <t>See AminoAcids-sheet for further details</t>
  </si>
  <si>
    <t>Glutamine - GB</t>
  </si>
  <si>
    <t>L-Glutamine</t>
  </si>
  <si>
    <t>Glutamine -GB</t>
  </si>
  <si>
    <t>Mattick et al. 2015</t>
  </si>
  <si>
    <t>See Glutamine-sheet for further details</t>
  </si>
  <si>
    <t>Hydrolysis product</t>
  </si>
  <si>
    <t>Hydrolysis product - GB</t>
  </si>
  <si>
    <t>L-Arginine hydrochloride</t>
  </si>
  <si>
    <t>iron sulfate</t>
  </si>
  <si>
    <t>market for iron sulfate | iron sulfate | APOS, S - RER</t>
  </si>
  <si>
    <t>L-Cystine 2HCl</t>
  </si>
  <si>
    <t>L-Lysine</t>
  </si>
  <si>
    <t>L-Lysine production</t>
  </si>
  <si>
    <t>L-Histidine hydrochloride-H2O</t>
  </si>
  <si>
    <t>L-Threonine - GB</t>
  </si>
  <si>
    <t>L-Threonine</t>
  </si>
  <si>
    <t>L-Isoleucine</t>
  </si>
  <si>
    <t>magnesium sulfate</t>
  </si>
  <si>
    <t>market for magnesium sulfate | magnesium sulfate | APOS, S - GLO</t>
  </si>
  <si>
    <t>L-Leucine</t>
  </si>
  <si>
    <t>Methionine</t>
  </si>
  <si>
    <t>Methionine - GB</t>
  </si>
  <si>
    <t>L-Lysine hydrochloride</t>
  </si>
  <si>
    <t>potassium chloride, as K2O</t>
  </si>
  <si>
    <t>potassium chloride production | potassium chloride, as K2O | APOS, S - RER</t>
  </si>
  <si>
    <t>L-Methionine</t>
  </si>
  <si>
    <t>Methionine-GB</t>
  </si>
  <si>
    <t>sodium bicarbonate</t>
  </si>
  <si>
    <t>market for sodium bicarbonate | sodium bicarbonate | APOS, S - GLO</t>
  </si>
  <si>
    <t>L-Phenylalanine</t>
  </si>
  <si>
    <t>sodium chloride, powder</t>
  </si>
  <si>
    <t>sodium chloride production, powder | sodium chloride, powder | APOS, S - RER</t>
  </si>
  <si>
    <t>L-Serine</t>
  </si>
  <si>
    <t>sodium phosphate</t>
  </si>
  <si>
    <t>market for sodium phosphate | sodium phosphate | APOS, S - RER</t>
  </si>
  <si>
    <t>L-Tryptophan</t>
  </si>
  <si>
    <t>L-Tyrosine * 2Na * 2h2O</t>
  </si>
  <si>
    <t>DMEM-wind (1 L without water)</t>
  </si>
  <si>
    <t>L-Valine</t>
  </si>
  <si>
    <t>Vitamins</t>
  </si>
  <si>
    <t>Average amino acid wind</t>
  </si>
  <si>
    <t>Choline chloride</t>
  </si>
  <si>
    <t>Hydrolysis</t>
  </si>
  <si>
    <t>D-Panthothenic Acid * 1/2Ca</t>
  </si>
  <si>
    <t>Folic Acid</t>
  </si>
  <si>
    <t>Glutamine -wind</t>
  </si>
  <si>
    <t>Niacinamide</t>
  </si>
  <si>
    <t>Hydrolysis product -wind</t>
  </si>
  <si>
    <t>Pyridoxine * HCL</t>
  </si>
  <si>
    <t>Riboflavin</t>
  </si>
  <si>
    <t>L-Lysine production wind</t>
  </si>
  <si>
    <t>Thiamine hydrochloride</t>
  </si>
  <si>
    <t>L-Threonine -wind</t>
  </si>
  <si>
    <t>i-Inositol</t>
  </si>
  <si>
    <t>Inorganic Salts</t>
  </si>
  <si>
    <t>Calcium Chloride (CaCl2-2H2O)</t>
  </si>
  <si>
    <t>Ferric Nitrate (Fe(NO3)3"9H2O)</t>
  </si>
  <si>
    <t>Magnesium Sulfate (MgSO4-7H2O)</t>
  </si>
  <si>
    <t>Potassium Chloride (KCl)</t>
  </si>
  <si>
    <t>Sodium Bicarbonate (NaHCO3)</t>
  </si>
  <si>
    <t>Sodium Chloride (NaCl)</t>
  </si>
  <si>
    <t>DMEM-solar (1 L without water)</t>
  </si>
  <si>
    <t>Sodium Phosphate monobasic (NaH2PO4-2H2O)</t>
  </si>
  <si>
    <t>Other Components</t>
  </si>
  <si>
    <t>Average amino acid -solar</t>
  </si>
  <si>
    <t>D-Glucose (Dextrose)</t>
  </si>
  <si>
    <t>Phenol Red</t>
  </si>
  <si>
    <t>Not included as used only for colour</t>
  </si>
  <si>
    <t>Pyruvic Acid * Na</t>
  </si>
  <si>
    <t>Pyruvic acid is produced through fermentation and as better data was not available, the data for amino acid production was used, but it may be an overestimate</t>
  </si>
  <si>
    <t>Glutamine -solar</t>
  </si>
  <si>
    <t>Water (L)</t>
  </si>
  <si>
    <t>Hydrolysis product -solar</t>
  </si>
  <si>
    <t>Total mg/L</t>
  </si>
  <si>
    <t>DM %</t>
  </si>
  <si>
    <t>L-Lysine production -solar</t>
  </si>
  <si>
    <t>L-Threonine -solar</t>
  </si>
  <si>
    <t>Amino Acids (% of total dry matter of DMEM)</t>
  </si>
  <si>
    <t>Glucose (% of total dry matter of DMEM)</t>
  </si>
  <si>
    <t>Average amino acids mg</t>
  </si>
  <si>
    <t>hydrolysis (mg)</t>
  </si>
  <si>
    <t>Average amino acids used for vitamins and other compounds (mg)</t>
  </si>
  <si>
    <t>DMEM-without-amino-acids (1 L without water)</t>
  </si>
  <si>
    <t>DMEM-without-amino-acids-wind (1 L without water)</t>
  </si>
  <si>
    <t>DMEM-without-amino-acids-solar (1 L without water)</t>
  </si>
  <si>
    <t>Cleaning of the bioreactor</t>
  </si>
  <si>
    <t>Data from Supplementary Information Table S13-14</t>
  </si>
  <si>
    <t>Batch</t>
  </si>
  <si>
    <t>Cleaning in place (CIP)</t>
  </si>
  <si>
    <t>Mass increase during differentiation</t>
  </si>
  <si>
    <t>Water for pre- and post-clean rinse (L)</t>
  </si>
  <si>
    <t>Water for alkali cleaning solution (L)</t>
  </si>
  <si>
    <t>Sodium hydroxide (kg)</t>
  </si>
  <si>
    <t>Energy per batch (MJ)</t>
  </si>
  <si>
    <t>Steam-in-place (SIP)</t>
  </si>
  <si>
    <t>Sterilization-in-Place (kJ)</t>
  </si>
  <si>
    <t>per 1 kg meat (FU)</t>
  </si>
  <si>
    <t>CIP</t>
  </si>
  <si>
    <t>SIP</t>
  </si>
  <si>
    <t>Cleaning total per FU</t>
  </si>
  <si>
    <t>Total energy (MJ)</t>
  </si>
  <si>
    <t>Total water (L)</t>
  </si>
  <si>
    <t>Cleaning requirements per 1 kg cultured meat (FU)</t>
  </si>
  <si>
    <t>0% mass growth during differentiation -average electriticy</t>
  </si>
  <si>
    <t>electricity, medium voltage</t>
  </si>
  <si>
    <t>market for electricity, medium voltage | electricity, medium voltage | APOS, S - GB</t>
  </si>
  <si>
    <t>market for sodium hydroxide, without water, in 50% solution state | sodium hydroxide, without water, in 50% solution state | APOS, S - GLO</t>
  </si>
  <si>
    <t>tap water</t>
  </si>
  <si>
    <t>market for tap water | tap water | APOS, S - Europe without Switzerland</t>
  </si>
  <si>
    <t>0% mass growth during differentiation -wind</t>
  </si>
  <si>
    <t>electricity, high voltage</t>
  </si>
  <si>
    <t>electricity production, wind, &gt;3MW turbine, onshore | electricity, high voltage | APOS, S - GB</t>
  </si>
  <si>
    <t>128% mass growth during differentiation -average electricity</t>
  </si>
  <si>
    <t>128% mass growth during differentiation -wind</t>
  </si>
  <si>
    <t xml:space="preserve">Data for sterilisation of used medium </t>
  </si>
  <si>
    <t>Data from Supplementary Information Table S15</t>
  </si>
  <si>
    <t>Source for inventory: adapted from Mattick et al. 2015</t>
  </si>
  <si>
    <t>Includes baseline scenario: heat inactivation; and the chemical decontamination as an alternative scenario (assessed in the scenario analysis)</t>
  </si>
  <si>
    <t>1 kg Glutamine</t>
  </si>
  <si>
    <t>Provider (All Ecoinvent 3.6 data)</t>
  </si>
  <si>
    <t>ammonium sulfate, as N</t>
  </si>
  <si>
    <t>market for ammonium sulfate, as N | ammonium sulfate, as N | APOS, S - GLO</t>
  </si>
  <si>
    <t>kWh</t>
  </si>
  <si>
    <t>market for electricity, high voltage | electricity, high voltage | APOS, S - GB</t>
  </si>
  <si>
    <t>LCI</t>
  </si>
  <si>
    <t>glass fibre reinforced plastic, polyester resin, hand lay-up</t>
  </si>
  <si>
    <t>glass fibre reinforced plastic production, polyester resin, hand lay-up | glass fibre reinforced plastic, polyester resin, hand lay-up | APOS, S - RER</t>
  </si>
  <si>
    <t>Scenario</t>
  </si>
  <si>
    <t>heat, from steam, in chemical industry</t>
  </si>
  <si>
    <t>kJ</t>
  </si>
  <si>
    <t>market for heat, from steam, in chemical industry | heat, from steam, in chemical industry | APOS, S - RER</t>
  </si>
  <si>
    <t>Proliferation metabolism</t>
  </si>
  <si>
    <t>C2C12</t>
  </si>
  <si>
    <t>CHO</t>
  </si>
  <si>
    <t>magnesium sulfate production | magnesium sulfate | APOS, S - RER</t>
  </si>
  <si>
    <t>Differentiation metabolism</t>
  </si>
  <si>
    <t>CHO a</t>
  </si>
  <si>
    <t>phosphate rock, as P2O5, beneficiated, dry</t>
  </si>
  <si>
    <t>market for phosphate rock, as P2O5, beneficiated, dry | phosphate rock, as P2O5, beneficiated, dry | APOS, S - GLO</t>
  </si>
  <si>
    <t>Differentiation period</t>
  </si>
  <si>
    <t>potassium fertiliser, as K2O</t>
  </si>
  <si>
    <t>market for potassium fertiliser, as K2O | potassium fertiliser, as K2O | APOS, S - GLO</t>
  </si>
  <si>
    <t>No recycle</t>
  </si>
  <si>
    <t>Total process wastewater (L)</t>
  </si>
  <si>
    <t>zinc sulfide</t>
  </si>
  <si>
    <t>zinc sulfide production | zinc sulfide | APOS, S - RER</t>
  </si>
  <si>
    <t>With recycle</t>
  </si>
  <si>
    <t>1 kg Glutamine-wind</t>
  </si>
  <si>
    <t>Disposal option</t>
  </si>
  <si>
    <t>Sodium hypochlorite</t>
  </si>
  <si>
    <t>Sodium hypochlorite (12.5 %w/v) required (L)</t>
  </si>
  <si>
    <t>Chemical wastewater decontamination</t>
  </si>
  <si>
    <t>Heat inactivation</t>
  </si>
  <si>
    <t>Heat inactivation of spent media (kJ)</t>
  </si>
  <si>
    <t>Glutamine solar (1 kg)</t>
  </si>
  <si>
    <t>electricity, low voltage</t>
  </si>
  <si>
    <t>electricity production, photovoltaic, 570kWp open ground installation, multi-Si | electricity, low voltage | APOS, S - GB</t>
  </si>
  <si>
    <t>Baseline/CMB</t>
  </si>
  <si>
    <t>no recycle (MJ)</t>
  </si>
  <si>
    <t>CMC</t>
  </si>
  <si>
    <t>with recycle</t>
  </si>
  <si>
    <t>LCIA</t>
  </si>
  <si>
    <t xml:space="preserve">Chemical wastewater decontamination </t>
  </si>
  <si>
    <t>sodium hypochlorite, without water, in 15% solution state</t>
  </si>
  <si>
    <t>market for sodium hypochlorite, without water, in 15% solution state | sodium hypochlorite, without water, in 15% solution state | APOS, S - RER</t>
  </si>
  <si>
    <t>CMB</t>
  </si>
  <si>
    <t>Polystyrene scaffold requirements</t>
  </si>
  <si>
    <t>Data from Supplementary Information Table S12</t>
  </si>
  <si>
    <t>per 1 kg cultured meat</t>
  </si>
  <si>
    <t>Used once</t>
  </si>
  <si>
    <t>Polystyrene (kg)</t>
  </si>
  <si>
    <t>0.302</t>
  </si>
  <si>
    <t>0.142</t>
  </si>
  <si>
    <t>Used in 3 batches</t>
  </si>
  <si>
    <t>0.101</t>
  </si>
  <si>
    <t>0.047</t>
  </si>
  <si>
    <t>FBS LCI</t>
  </si>
  <si>
    <t>Serum-free medium (Essential 8)</t>
  </si>
  <si>
    <t>Source for Essential 8 inventory: Chen et al. 2011. Chemically defined conditions for human iPS cell derivation and culture. Nat Methods. 2011 May; 8(5): 424–429. doi: 10.1038/nmeth.1593</t>
  </si>
  <si>
    <t>Essential 8 (1 L)</t>
  </si>
  <si>
    <t>Essential 8 Inventory</t>
  </si>
  <si>
    <t>Component</t>
  </si>
  <si>
    <t>Quantity</t>
  </si>
  <si>
    <t>Process used</t>
  </si>
  <si>
    <t>DMEM/F12</t>
  </si>
  <si>
    <t>L-ascorbic acid-2-phosphate magnesium</t>
  </si>
  <si>
    <t>Hydrolysis process</t>
  </si>
  <si>
    <t>Sodium selenium</t>
  </si>
  <si>
    <t>μg</t>
  </si>
  <si>
    <t>Excluded as no data found and the quantity was low</t>
  </si>
  <si>
    <t>NaHCO3</t>
  </si>
  <si>
    <t>market for sodium borates | sodium borates | APOS, S - GLO</t>
  </si>
  <si>
    <t>Ecoinvent</t>
  </si>
  <si>
    <t>Substituted as no data</t>
  </si>
  <si>
    <t>Transferrin</t>
  </si>
  <si>
    <t>Insulin</t>
  </si>
  <si>
    <t>FGF2</t>
  </si>
  <si>
    <t>TGFβ1</t>
  </si>
  <si>
    <t>Source: ThermoFisher Scientific, Technical Reports, 11320 DMEM/F-12</t>
  </si>
  <si>
    <t>Production Method</t>
  </si>
  <si>
    <t>Other amino acids</t>
  </si>
  <si>
    <t>B12</t>
  </si>
  <si>
    <t>Biotin</t>
  </si>
  <si>
    <t>Cupric sulfate</t>
  </si>
  <si>
    <t>market for zinc monosulfate | zinc monosulfate | APOS, S - RER</t>
  </si>
  <si>
    <t>Ferric sulfate</t>
  </si>
  <si>
    <t>Magnesium Chloride</t>
  </si>
  <si>
    <t>Sodium phosphate dibasic anhydrous</t>
  </si>
  <si>
    <t>Zinc sulfate</t>
  </si>
  <si>
    <t>Hypoxanthine Na</t>
  </si>
  <si>
    <t>Linoleic Acid</t>
  </si>
  <si>
    <t>market for soybean oil, refined | soybean oil, refined | APOS, S - GLO</t>
  </si>
  <si>
    <t>Lipoic Acid</t>
  </si>
  <si>
    <t>Putrescine 2HCL</t>
  </si>
  <si>
    <t>Sodium Pyruvate</t>
  </si>
  <si>
    <t>Thymidine</t>
  </si>
  <si>
    <t>1L</t>
  </si>
  <si>
    <t>Essential 8 (1 kg)</t>
  </si>
  <si>
    <t>Costs/Revenues</t>
  </si>
  <si>
    <t>Uncertainty</t>
  </si>
  <si>
    <t>Avoided waste</t>
  </si>
  <si>
    <t>Data quality entry</t>
  </si>
  <si>
    <t>Description</t>
  </si>
  <si>
    <t>S:Other service activities</t>
  </si>
  <si>
    <t>none</t>
  </si>
  <si>
    <t>ug</t>
  </si>
  <si>
    <t>DMEM-F</t>
  </si>
  <si>
    <t>sodium borates</t>
  </si>
  <si>
    <t>B:Mining and quarrying/08:Other mining and quarrying/089:Mining and quarrying n.e.c./0891:Mining of chemical and fertilizer minerals</t>
  </si>
  <si>
    <t>Essential 8 -wind (1 kg)</t>
  </si>
  <si>
    <t>DMEM-F-wind</t>
  </si>
  <si>
    <t>Essential 8 -solar (1 kg)</t>
  </si>
  <si>
    <t>DMEM-F-solar</t>
  </si>
  <si>
    <t>DMEM-F (1 L without water)</t>
  </si>
  <si>
    <t>C:Manufacturing/20:Manufacture of chemicals and chemical products/201:Manufacture of basic chemicals, fertilizers and nitrogen compounds, plastics and synthetic rubber in primary forms/2011:Manufacture of basic chemicals</t>
  </si>
  <si>
    <t>C:Manufacturing/10:Manufacture of food products/106:Manufacture of grain mill products, starches and starch products/1062:Manufacture of starches and starch products</t>
  </si>
  <si>
    <t>B:Mining and quarrying/07:Mining of metal ores/072:Mining of non-ferrous metal ores/0729:Mining of other non-ferrous metal ores</t>
  </si>
  <si>
    <t>B:Mining and quarrying/08:Other mining and quarrying/089:Mining and quarrying n.e.c./0893:Extraction of salt</t>
  </si>
  <si>
    <t>market for sodium chloride, powder | sodium chloride, powder | APOS, S - GLO</t>
  </si>
  <si>
    <t>soybean oil, refined</t>
  </si>
  <si>
    <t>C:Manufacturing/10:Manufacture of food products/104:Manufacture of vegetable and animal oils and fats/1040:Manufacture of vegetable and animal oils and fats</t>
  </si>
  <si>
    <t>zinc monosulfate</t>
  </si>
  <si>
    <t>DMEM-F wind (1 L without water)</t>
  </si>
  <si>
    <t>DMEM-F solar (1 L without water)</t>
  </si>
  <si>
    <t>Microbial Milk**</t>
  </si>
  <si>
    <t>Option 1</t>
  </si>
  <si>
    <t>Recombinant beta-lactoglobulin (BLG)</t>
  </si>
  <si>
    <t>Behm et al. (2022)</t>
  </si>
  <si>
    <t>Scenario 1 (base scenario)—carbon source: sugar beet glucose, fungal biomass applied as feed, 90% product purity, produced in Germany</t>
  </si>
  <si>
    <t>Converted units--&gt; MJ or kg per kg product (density = 1 kg/L)</t>
  </si>
  <si>
    <t>T. reesei, Acellular, precision fermentation</t>
  </si>
  <si>
    <t>functional unit of this study was one tonne of dry rBLG</t>
  </si>
  <si>
    <t xml:space="preserve">Sodium hydroxide, NaOH (dry) </t>
  </si>
  <si>
    <t xml:space="preserve">Sodium chloride, NaCl (dry) </t>
  </si>
  <si>
    <t xml:space="preserve">Sodium phosphate, Na2HPO4 (dry) </t>
  </si>
  <si>
    <t xml:space="preserve">Trisodium phosphate, NaH2PO4 (dry) </t>
  </si>
  <si>
    <t xml:space="preserve">Process water </t>
  </si>
  <si>
    <t>Antifoam agent</t>
  </si>
  <si>
    <t>Ammonium sulphate</t>
  </si>
  <si>
    <t>Potassium phosphate</t>
  </si>
  <si>
    <t>kg of enzyme (rBLG)/kg glucose - from Table 18 in Humbird et al. (2011) (see below)</t>
  </si>
  <si>
    <t>Magnesium sulphate</t>
  </si>
  <si>
    <t>g/L enzyme titer at harvest - from Table 18 in Humbird et al (2011)</t>
  </si>
  <si>
    <t>Calcium chloride</t>
  </si>
  <si>
    <t>g/L corn steep liquor for 50 g/L of enzyme</t>
  </si>
  <si>
    <t>Corn steep liquor (nitrogen)</t>
  </si>
  <si>
    <t>ratio enzyme to corn steep</t>
  </si>
  <si>
    <t>Use any "corn steep liquor" to glucose as a proxy</t>
  </si>
  <si>
    <t>Assume final "microbial milk" is composed of 90% water, and 10% rBLG enzyme</t>
  </si>
  <si>
    <t>kg CO2e/kg rBLG</t>
  </si>
  <si>
    <t>Other materials</t>
  </si>
  <si>
    <t>Behm, K., Nappa, M., Aro, N., Welman, A., Ledgard, S., Suomalainen, M., &amp; Hill, J. (2022). Comparison of carbon footprint and water scarcity footprint of milk protein produced by cellular agriculture and the dairy industry. The International Journal of Life Cycle Assessment, 27(8), 1017-1034.</t>
  </si>
  <si>
    <t>Oringinal units (scenario 1)</t>
  </si>
  <si>
    <t>Scenario 1 (base scenario—carbon source: glucose, fungal biomass applied as feed, 90% product purity</t>
  </si>
  <si>
    <t>kwh/m3</t>
  </si>
  <si>
    <t>Corn steep liquor</t>
  </si>
  <si>
    <t>g/l</t>
  </si>
  <si>
    <t>kg/kg target protein</t>
  </si>
  <si>
    <t>Gj/tonne</t>
  </si>
  <si>
    <t xml:space="preserve">dm3/kg target protein </t>
  </si>
  <si>
    <t>Additional information in the Supplementary Material</t>
  </si>
  <si>
    <t>Glucose information</t>
  </si>
  <si>
    <t>Source: Humbird, D, Davis, R, Tao, L, Kinchin, C, Hsu, D, Aden, A, Schoen, P, Lukas, J, Olthof, B, Worley, M, Sexton, D, and Dudgeon, D. Process Design and Economics for Biochemical Conversion of Lignocellulosic Biomass to Ethanol: Dilute-Acid Pretreatment and Enzymatic Hydrolysis of Corn Stover. United States: N. p., 2011. Web. doi:10.2172/1013269.</t>
  </si>
  <si>
    <t>Bhandari, P., Mason, S., &amp; Olander, L. (2021). Life cycle assessment and carbon offset potential for cultured milk protein.</t>
  </si>
  <si>
    <t>Option 2</t>
  </si>
  <si>
    <t>Casein in cultured milk - High-end baseline scenario**</t>
  </si>
  <si>
    <t>Bhandari et al. (2021) [fungal protein+cyanobacteria Smetana et al. (2017)]</t>
  </si>
  <si>
    <t>Bioreactor energy (Natural gas)</t>
  </si>
  <si>
    <t>Sugar (beet)</t>
  </si>
  <si>
    <t>Cleaning of the bioreactor (copied from Tuomisto et al. 2022 - cultured meat process)</t>
  </si>
  <si>
    <t>Hydrogen peroxide, 3% solution</t>
  </si>
  <si>
    <t>m^3</t>
  </si>
  <si>
    <t>WaterSterilisation (copied from Tuomisto et al. 2022 - cultured meat process)</t>
  </si>
  <si>
    <t>Fertilizers (Nitrogen)</t>
  </si>
  <si>
    <t>Steam</t>
  </si>
  <si>
    <t>Cyanobacteria cultivation (natural gas)</t>
  </si>
  <si>
    <t>Fertilizers (Phosphorus)</t>
  </si>
  <si>
    <t>Electrodes (Fe, AL)</t>
  </si>
  <si>
    <t>Cyanobacteria processing</t>
  </si>
  <si>
    <t>Cyanobacteria (culture medium)***</t>
  </si>
  <si>
    <t>kg cy/kg prod</t>
  </si>
  <si>
    <t>***Estimates of cultured cyanobacteria information from Smetana et al. (2017)</t>
  </si>
  <si>
    <t>RAC of 1 kg Cyanobacteria</t>
  </si>
  <si>
    <t>**It is likely tha 1 kg of cultured milk would be in the range of 3-5% by mass acellularly produced protein and mostly water and vitamins otherwise (low-end would be the estimate of production "at-scale" according to authors)</t>
  </si>
  <si>
    <t xml:space="preserve">Cultured milk protein production is a new and proprietary process, and so our analysis is based on data extracted from resources documenting similar production processes. We examined both the production of citric acid and the production of cultured meat or microbe-produced enzymes. The former is likely to underestimate the cultured milk protein production process’s environmental impact, and the latter is likely to overestimate that impact. We assume that emissions from cultured milk protein likely fall somewhere in between the under- and overestimate, and that actual production of cultured protein at-scale would more closely mimic that of our underestimate, based on industry research and emissions calculations for similar products. </t>
  </si>
  <si>
    <t xml:space="preserve">Location: </t>
  </si>
  <si>
    <t>India</t>
  </si>
  <si>
    <t>Ovalbumin - Tr-OVA</t>
  </si>
  <si>
    <t>Ovalbumin (T. reesei)*</t>
  </si>
  <si>
    <t>Järviö et al. (2021)</t>
  </si>
  <si>
    <t>*1 kg of produt, with a 8% moisture content and 92% protein content, produced in Finland, average electricity mix</t>
  </si>
  <si>
    <t>Processes**</t>
  </si>
  <si>
    <t>**Total Cumulartive Energy Demand</t>
  </si>
  <si>
    <t>RAC***</t>
  </si>
  <si>
    <t>1 kg of ovalbumin produced by T. reesei (Tr-OVA).</t>
  </si>
  <si>
    <t>(Bioreactor) Electricity, medium voltage {FI}| market for | Cut-off, U</t>
  </si>
  <si>
    <t>Glucose {WITH LULUC}| market for glucose | Cut-off, U</t>
  </si>
  <si>
    <t>Tap water {RER}| market group for | Cut-off, U</t>
  </si>
  <si>
    <t>Impact category</t>
  </si>
  <si>
    <t>Finland - low carbon electricity mix</t>
  </si>
  <si>
    <t>Magnesium sulfate {RER}| production | Cut-off, U</t>
  </si>
  <si>
    <t>Non renewable, fossil</t>
  </si>
  <si>
    <t>***Processes from Simapro</t>
  </si>
  <si>
    <t>Calcium chloride {RER}| market for calcium chloride | Cut-off, U</t>
  </si>
  <si>
    <t>Non-renewable, nuclear</t>
  </si>
  <si>
    <t>Sodium phosphate {RER}| market for sodium phosphate | Cut-off, U</t>
  </si>
  <si>
    <t>Non-renewable, biomass</t>
  </si>
  <si>
    <t>**See Total Cumulative Energy Demand for comparisons</t>
  </si>
  <si>
    <t>Ammonium sulfate, as N {RER}| ammonium sulfate production | Cut-off, U</t>
  </si>
  <si>
    <t>Renewable, biomass</t>
  </si>
  <si>
    <t>Zinc oxide {RER}| production | Cut-off, U</t>
  </si>
  <si>
    <t>Renewable, wind, solar, geothe</t>
  </si>
  <si>
    <t>Cobalt {GLO}| production | Cut-off, U</t>
  </si>
  <si>
    <t>Renewable, water</t>
  </si>
  <si>
    <t>Iron sulfate {RER}| market for iron sulfate | Cut-off, U</t>
  </si>
  <si>
    <t>Manganese sulfate {GLO}| market for | Cut-off, U</t>
  </si>
  <si>
    <t>Tap water {FI}| market for | Cut-off, U</t>
  </si>
  <si>
    <t>(Bioreactor) Natural gas, low pressure {FI}| market for | Cut-off, U</t>
  </si>
  <si>
    <t>m3</t>
  </si>
  <si>
    <t>Polydimethylsiloxane {GLO}| market for polydimethylsiloxane | Cut-off, U</t>
  </si>
  <si>
    <t>Ammonia, liquid {RER}| market for | Cut-off, U</t>
  </si>
  <si>
    <t>Biowaste {EU}| market for | Cut-off, U</t>
  </si>
  <si>
    <t>Ammonia water</t>
  </si>
  <si>
    <t>Ammonium sulfate</t>
  </si>
  <si>
    <t>Salt mix</t>
  </si>
  <si>
    <t>Minor total</t>
  </si>
  <si>
    <t>Järviö, N., Parviainen, T., Maljanen, N. L., Kobayashi, Y., Kujanpää, L., Ercili-Cura, D., ... &amp; Tuomisto, H. L. (2021). Ovalbumin production using Trichoderma reesei culture and low-carbon energy could mitigate the environmental impacts of chicken-egg-derived ovalbumin. Nature food, 2(12), 1005-1013.</t>
  </si>
  <si>
    <t>Supportive information 2</t>
  </si>
  <si>
    <t>Natasha Järviö, Tuure Parviainen, Netta-Leena Maljanen, Yumi Kobayashi, Lauri Kujanpää, Dilek Ercili-Cura, Christopher P. Landowski, Toni Ryynänen, Emilia Nordlund, Hanna L. Tuomisto</t>
  </si>
  <si>
    <t>Content</t>
  </si>
  <si>
    <t>Topic</t>
  </si>
  <si>
    <t>Sheet name</t>
  </si>
  <si>
    <t>Deterministic results of Tr-OVA production</t>
  </si>
  <si>
    <t>Deterministic results</t>
  </si>
  <si>
    <t>Deterministic ReCiPe, CED and water scarcity results of Tr-OVA production for all four scenarios.</t>
  </si>
  <si>
    <t>Contribution analysis</t>
  </si>
  <si>
    <t>Contributions</t>
  </si>
  <si>
    <t>Contribution analysis of inputs per scenario.</t>
  </si>
  <si>
    <t>Contribution (%)</t>
  </si>
  <si>
    <t>Contribution analysis of inputs per scenario in %.</t>
  </si>
  <si>
    <t>Monte Carlo</t>
  </si>
  <si>
    <t>Monte Carlo results</t>
  </si>
  <si>
    <t>Results of the Monte Carlo runs for all scenarios and products per kg of product and per kg of protein.</t>
  </si>
  <si>
    <t>Monte Carlo runs</t>
  </si>
  <si>
    <t>All Monte Carlo results.</t>
  </si>
  <si>
    <t>Comparison Tr-OVA with egg white powder from chicken eggs</t>
  </si>
  <si>
    <t>Tr-OVA-chicken egg comparison</t>
  </si>
  <si>
    <t>Results of the comparison Tr-OVA with egg white powder from chicken eggs.</t>
  </si>
  <si>
    <t>Tr-OVA-egg comparison (%)</t>
  </si>
  <si>
    <t>Results of the comparison Tr-OVA with egg white powder from chicken eggs in percentages.</t>
  </si>
  <si>
    <t>Sensitivity analysis</t>
  </si>
  <si>
    <t>Senstivity test</t>
  </si>
  <si>
    <t>The results of the sensitivity test, taking into account uncertianties per test.</t>
  </si>
  <si>
    <t>Deterministic results sens.test</t>
  </si>
  <si>
    <t>Deterministic results of the sensitivity test.</t>
  </si>
  <si>
    <t>Statistical tests</t>
  </si>
  <si>
    <t>Descernibility test</t>
  </si>
  <si>
    <t>Results of the descernibility test.</t>
  </si>
  <si>
    <t>Dependent modified NHST</t>
  </si>
  <si>
    <t>Results of the dependent modified null-hypothesis significance testing.</t>
  </si>
  <si>
    <t>Allocation of by-products</t>
  </si>
  <si>
    <t>Allocation</t>
  </si>
  <si>
    <t>Allocation of by-products on a physical and economical basis.</t>
  </si>
  <si>
    <t>Simapro model</t>
  </si>
  <si>
    <t>Simapro Tr-OVA</t>
  </si>
  <si>
    <t>Simapro model of the Tr-OVA model for Finland (for German, Polish and low carbon scenariothe electricity source and natural gas source were changed to its respective country mix).</t>
  </si>
  <si>
    <t>Simapro chicken</t>
  </si>
  <si>
    <t>Simapro model of the egg white powder produced using chicken eggs for Germany (for the Polish scenario the electricity source was changed to the Polish electricity mix).</t>
  </si>
  <si>
    <t>Finnish low carbon mix</t>
  </si>
  <si>
    <t>Simapro model of the inputs and outputs of the Finnish low carbon electricity mix.</t>
  </si>
  <si>
    <t>Simapro model for Tr-OVA production</t>
  </si>
  <si>
    <t>ReCiPe results (per kg product)</t>
  </si>
  <si>
    <t>Cumulative energy demand (CED) (per kg product)</t>
  </si>
  <si>
    <t>Water scarcity (per kg product)</t>
  </si>
  <si>
    <t>SimaPro 9.1.0.11</t>
  </si>
  <si>
    <t>process</t>
  </si>
  <si>
    <t>Date:</t>
  </si>
  <si>
    <t>Time:</t>
  </si>
  <si>
    <t xml:space="preserve">Calculation: </t>
  </si>
  <si>
    <t>Compare</t>
  </si>
  <si>
    <t>Project</t>
  </si>
  <si>
    <t>Tr_OVA</t>
  </si>
  <si>
    <t xml:space="preserve">Results: </t>
  </si>
  <si>
    <t>Impact assessment</t>
  </si>
  <si>
    <t xml:space="preserve">Product 1: </t>
  </si>
  <si>
    <t>1 kg Tr_OVA (FI) (of project Tr_OVA)</t>
  </si>
  <si>
    <t>Outputs</t>
  </si>
  <si>
    <t xml:space="preserve">Product 2: </t>
  </si>
  <si>
    <t>1 kg Tr_OVA (FI_LOW CARBON) (of project Tr_OVA)</t>
  </si>
  <si>
    <t>Products</t>
  </si>
  <si>
    <t>Allocation (%)</t>
  </si>
  <si>
    <t>Waste type</t>
  </si>
  <si>
    <t>Comments</t>
  </si>
  <si>
    <t xml:space="preserve">Product 3: </t>
  </si>
  <si>
    <t>1 kg Tr_OVA (DE) (of project Tr_OVA)</t>
  </si>
  <si>
    <t>Tr_OVA (FI MC)</t>
  </si>
  <si>
    <t>not defined</t>
  </si>
  <si>
    <t>Agricultural\Food\Market</t>
  </si>
  <si>
    <t>1 kg of produt, with a 8% moisture content and 92% protein content</t>
  </si>
  <si>
    <t xml:space="preserve">Product 4: </t>
  </si>
  <si>
    <t>1 kg Tr_OVA (PL) (of project Tr_OVA)</t>
  </si>
  <si>
    <t xml:space="preserve">Method: </t>
  </si>
  <si>
    <t>ReCiPe 2016 Midpoint (H) V1.04 / World (2010) H</t>
  </si>
  <si>
    <t>Cumulative Energy Demand V1.11 / Cumulative energy demand</t>
  </si>
  <si>
    <t>AWARE_helsinki_area_TR-OVA V1.01</t>
  </si>
  <si>
    <t>Avoided products</t>
  </si>
  <si>
    <t xml:space="preserve">Indicator: </t>
  </si>
  <si>
    <t>Characterization</t>
  </si>
  <si>
    <t xml:space="preserve">Skip categories: </t>
  </si>
  <si>
    <t>Never</t>
  </si>
  <si>
    <t xml:space="preserve">Exclude infrastructure processes: </t>
  </si>
  <si>
    <t>No</t>
  </si>
  <si>
    <t>Resources</t>
  </si>
  <si>
    <t>Uncertainty distribution</t>
  </si>
  <si>
    <t>Min</t>
  </si>
  <si>
    <t>Max</t>
  </si>
  <si>
    <t xml:space="preserve">Exclude long-term emissions: </t>
  </si>
  <si>
    <t>Occupation, industrial area</t>
  </si>
  <si>
    <t/>
  </si>
  <si>
    <t>m2a</t>
  </si>
  <si>
    <t>Uniform</t>
  </si>
  <si>
    <t>Calculated based on 100.000 kg per year, 75 years operational</t>
  </si>
  <si>
    <t xml:space="preserve">Sorted on item: </t>
  </si>
  <si>
    <t>Transformation, to industrial area</t>
  </si>
  <si>
    <t>m2</t>
  </si>
  <si>
    <t xml:space="preserve">Sort order: </t>
  </si>
  <si>
    <t>Ascending</t>
  </si>
  <si>
    <t>Transformation, from agriculture</t>
  </si>
  <si>
    <t>Materials/fuels</t>
  </si>
  <si>
    <t>Based on World Food LCA Database glucose</t>
  </si>
  <si>
    <t>Global warming</t>
  </si>
  <si>
    <t>kg CO2 eq</t>
  </si>
  <si>
    <t>Water use</t>
  </si>
  <si>
    <t>Stratospheric ozone depletion</t>
  </si>
  <si>
    <t>kg CFC11 eq</t>
  </si>
  <si>
    <t>Process is 100% ammonia, only need 25%, so multiplied by 0.25 and the rest modelled for average european tap water</t>
  </si>
  <si>
    <t>Ionizing radiation</t>
  </si>
  <si>
    <t>kBq Co-60 eq</t>
  </si>
  <si>
    <t>Ozone formation, Human health</t>
  </si>
  <si>
    <t>kg NOx eq</t>
  </si>
  <si>
    <t>Fine particulate matter formation</t>
  </si>
  <si>
    <t>kg PM2.5 eq</t>
  </si>
  <si>
    <t>Ozone formation, Terrestrial ecosystems</t>
  </si>
  <si>
    <t>Terrestrial acidification</t>
  </si>
  <si>
    <t>kg SO2 eq</t>
  </si>
  <si>
    <t>Freshwater eutrophication</t>
  </si>
  <si>
    <t>kg P eq</t>
  </si>
  <si>
    <t>Marine eutrophication</t>
  </si>
  <si>
    <t>kg N eq</t>
  </si>
  <si>
    <t>Terrestrial ecotoxicity</t>
  </si>
  <si>
    <t>kg 1,4-DCB</t>
  </si>
  <si>
    <t>Freshwater ecotoxicity</t>
  </si>
  <si>
    <t>Marine ecotoxicity</t>
  </si>
  <si>
    <t>Tr_OVA Cleaning of (FI)</t>
  </si>
  <si>
    <t>Human carcinogenic toxicity</t>
  </si>
  <si>
    <t>Human non-carcinogenic toxicity</t>
  </si>
  <si>
    <t>Land use</t>
  </si>
  <si>
    <t>m2a crop eq</t>
  </si>
  <si>
    <t>Electricity/heat</t>
  </si>
  <si>
    <t>Mineral resource scarcity</t>
  </si>
  <si>
    <t>kg Cu eq</t>
  </si>
  <si>
    <t>Electricity, medium voltage {FI}| market for | Cut-off, U</t>
  </si>
  <si>
    <t>Fossil resource scarcity</t>
  </si>
  <si>
    <t>kg oil eq</t>
  </si>
  <si>
    <t>Natural gas, low pressure {FI}| market for | Cut-off, U</t>
  </si>
  <si>
    <t>Based on a conversion ratio of 11.15 kWh /m3 (used in Ecoinvent).</t>
  </si>
  <si>
    <t>Water consumption</t>
  </si>
  <si>
    <t>Emissions to air</t>
  </si>
  <si>
    <t>Methane, fossil</t>
  </si>
  <si>
    <t>5 kg CH4 / TJ natural gas</t>
  </si>
  <si>
    <t>Nitrogen dioxide, FI</t>
  </si>
  <si>
    <t>150 kg NO2 / TJ natural gas</t>
  </si>
  <si>
    <t>Dinitrogen monoxide</t>
  </si>
  <si>
    <t>0.1 kg N2O / TJ natural gas</t>
  </si>
  <si>
    <t>Carbon dioxide, fossil</t>
  </si>
  <si>
    <t xml:space="preserve">15.3 tC / TJ natural gas </t>
  </si>
  <si>
    <t>Emissions to water</t>
  </si>
  <si>
    <t>Emissions to soil</t>
  </si>
  <si>
    <t>Final waste flows</t>
  </si>
  <si>
    <t>Non material emissions</t>
  </si>
  <si>
    <t>Social issues</t>
  </si>
  <si>
    <t>Economic issues</t>
  </si>
  <si>
    <t>Waste to treatment</t>
  </si>
  <si>
    <t>Input parameters</t>
  </si>
  <si>
    <t>Calculated parameters</t>
  </si>
  <si>
    <t>Mycoprotein, ready-to-eat product</t>
  </si>
  <si>
    <t>Fermentation/Production</t>
  </si>
  <si>
    <t>sugar beet*</t>
  </si>
  <si>
    <t>egg white</t>
  </si>
  <si>
    <t>nitrogen fertilizer</t>
  </si>
  <si>
    <t>In email from Quorn they state that they no use hydrolyzed wheat starch instead of sugar beet</t>
  </si>
  <si>
    <t>Land use should be 4m2 per kg Quorn according to Quorn so we adjust the wheat amount to correspond to that</t>
  </si>
  <si>
    <t>kg of sugar beet</t>
  </si>
  <si>
    <t>kg sugar beet per kg of sugar</t>
  </si>
  <si>
    <t>*molasses from sugar beet, original data in LCI</t>
  </si>
  <si>
    <t>kg of molasses/beetfiber per kg of sugar</t>
  </si>
  <si>
    <t>of impact allocated to sugar</t>
  </si>
  <si>
    <t>allocation factor for impacts of sugar beet production to molasses</t>
  </si>
  <si>
    <t>molasses to sugar beet ratio</t>
  </si>
  <si>
    <t>albumen accounts for most of an egg’s liquid weight, about 66%</t>
  </si>
  <si>
    <t>NC Egg Association</t>
  </si>
  <si>
    <t>Smetana, S., Mathys, A., Knoch, A., &amp; Heinz, V. (2015). Meat alternatives: life cycle assessment of most known meat substitutes. The International Journal of Life Cycle Assessment, 20, 1254-1267.</t>
  </si>
  <si>
    <t>Smetana, S., Profeta, A., Voigt, R., Kircher, C., &amp; Heinz, V. (2021). Meat substitution in burgers: Nutritional scoring, sensorial testing, and life cycle assessment. Future Foods, 4, 100042.</t>
  </si>
  <si>
    <t>Table 1 Main inputs in the production of meals used in the study (from cradle to plate)</t>
  </si>
  <si>
    <t>From: Meat alternatives: life cycle assessment of most known meat substitutes</t>
  </si>
  <si>
    <t>Resources used per FU (1 kg of ready-to-eat product)</t>
  </si>
  <si>
    <t>Table A1. Main components of studied burger patties, per 113 g.</t>
  </si>
  <si>
    <t>Main ingredients</t>
  </si>
  <si>
    <r>
      <t>Electricity, MJ</t>
    </r>
    <r>
      <rPr>
        <b/>
        <sz val="6"/>
        <color theme="2"/>
        <rFont val="Segoe UI"/>
        <family val="2"/>
      </rPr>
      <t>d,g</t>
    </r>
  </si>
  <si>
    <r>
      <t>Tap water, kg</t>
    </r>
    <r>
      <rPr>
        <b/>
        <sz val="6"/>
        <color theme="2"/>
        <rFont val="Segoe UI"/>
        <family val="2"/>
      </rPr>
      <t>d</t>
    </r>
  </si>
  <si>
    <r>
      <t>Transport, kgkm</t>
    </r>
    <r>
      <rPr>
        <b/>
        <sz val="6"/>
        <color theme="2"/>
        <rFont val="Segoe UI"/>
        <family val="2"/>
      </rPr>
      <t>d,h</t>
    </r>
  </si>
  <si>
    <r>
      <t>Other</t>
    </r>
    <r>
      <rPr>
        <b/>
        <sz val="6"/>
        <color theme="2"/>
        <rFont val="Segoe UI"/>
        <family val="2"/>
      </rPr>
      <t>p</t>
    </r>
  </si>
  <si>
    <t>B1</t>
  </si>
  <si>
    <t>B2</t>
  </si>
  <si>
    <t>B3</t>
  </si>
  <si>
    <t>B4</t>
  </si>
  <si>
    <t>B5</t>
  </si>
  <si>
    <t>Sources of data</t>
  </si>
  <si>
    <t>LCI model</t>
  </si>
  <si>
    <t>(1) Chicken</t>
  </si>
  <si>
    <r>
      <t>1 kg chicken</t>
    </r>
    <r>
      <rPr>
        <sz val="6"/>
        <color theme="2"/>
        <rFont val="Segoe UI"/>
        <family val="2"/>
      </rPr>
      <t>a</t>
    </r>
  </si>
  <si>
    <t>49.78*</t>
  </si>
  <si>
    <t>16.3*</t>
  </si>
  <si>
    <t>850*</t>
  </si>
  <si>
    <t>–</t>
  </si>
  <si>
    <t>Beef meat</t>
  </si>
  <si>
    <t>102.3</t>
  </si>
  <si>
    <t>-</t>
  </si>
  <si>
    <t>DPF</t>
  </si>
  <si>
    <t>Beef meat, fresh, from dairy cattle (AF)</t>
  </si>
  <si>
    <r>
      <t>(2) Dairy based</t>
    </r>
    <r>
      <rPr>
        <sz val="6"/>
        <color theme="2"/>
        <rFont val="Segoe UI"/>
        <family val="2"/>
      </rPr>
      <t>k</t>
    </r>
  </si>
  <si>
    <r>
      <t>6 kg skimmed milk</t>
    </r>
    <r>
      <rPr>
        <sz val="6"/>
        <color theme="2"/>
        <rFont val="Segoe UI"/>
        <family val="2"/>
      </rPr>
      <t>b</t>
    </r>
  </si>
  <si>
    <t>12.27*</t>
  </si>
  <si>
    <t>4.2*</t>
  </si>
  <si>
    <t>360*</t>
  </si>
  <si>
    <r>
      <t>0.84 kg oat hull fiber</t>
    </r>
    <r>
      <rPr>
        <sz val="6"/>
        <color theme="2"/>
        <rFont val="Segoe UI"/>
        <family val="2"/>
      </rPr>
      <t>c</t>
    </r>
  </si>
  <si>
    <t>Beet juice concentrate</t>
  </si>
  <si>
    <t>3.4</t>
  </si>
  <si>
    <t>P4</t>
  </si>
  <si>
    <t>Own model</t>
  </si>
  <si>
    <r>
      <t>(3) Lab grown</t>
    </r>
    <r>
      <rPr>
        <sz val="6"/>
        <color theme="2"/>
        <rFont val="Segoe UI"/>
        <family val="2"/>
      </rPr>
      <t>l</t>
    </r>
  </si>
  <si>
    <r>
      <t>1 kg urea</t>
    </r>
    <r>
      <rPr>
        <sz val="6"/>
        <color theme="2"/>
        <rFont val="Segoe UI"/>
        <family val="2"/>
      </rPr>
      <t>d</t>
    </r>
  </si>
  <si>
    <t>Cellulose and methylcellulose</t>
  </si>
  <si>
    <t>2.3</t>
  </si>
  <si>
    <t>2.2</t>
  </si>
  <si>
    <t>1.1</t>
  </si>
  <si>
    <t>1.4</t>
  </si>
  <si>
    <t>P2-5</t>
  </si>
  <si>
    <t>Carboxymethyl cellulose (EI)</t>
  </si>
  <si>
    <r>
      <t>(4) Insect based</t>
    </r>
    <r>
      <rPr>
        <sz val="6"/>
        <color theme="2"/>
        <rFont val="Segoe UI"/>
        <family val="2"/>
      </rPr>
      <t>m</t>
    </r>
  </si>
  <si>
    <r>
      <t>0.8 kg carrots</t>
    </r>
    <r>
      <rPr>
        <sz val="6"/>
        <color theme="2"/>
        <rFont val="Segoe UI"/>
        <family val="2"/>
      </rPr>
      <t>d</t>
    </r>
  </si>
  <si>
    <r>
      <t>10.762</t>
    </r>
    <r>
      <rPr>
        <sz val="6"/>
        <color theme="2"/>
        <rFont val="Segoe UI"/>
        <family val="2"/>
      </rPr>
      <t>f</t>
    </r>
  </si>
  <si>
    <r>
      <t>1.34</t>
    </r>
    <r>
      <rPr>
        <sz val="6"/>
        <color theme="2"/>
        <rFont val="Segoe UI"/>
        <family val="2"/>
      </rPr>
      <t>f</t>
    </r>
  </si>
  <si>
    <r>
      <t>0.57 kg grain mix (rye, wheat, barley)</t>
    </r>
    <r>
      <rPr>
        <sz val="6"/>
        <color theme="2"/>
        <rFont val="Segoe UI"/>
        <family val="2"/>
      </rPr>
      <t>d</t>
    </r>
  </si>
  <si>
    <t>Coconut fat and oil</t>
  </si>
  <si>
    <t>5.7</t>
  </si>
  <si>
    <t>4.5</t>
  </si>
  <si>
    <t>P2, P4</t>
  </si>
  <si>
    <t>Refined coconut oil (AF)</t>
  </si>
  <si>
    <r>
      <t>0.048 kg oat hull fiber</t>
    </r>
    <r>
      <rPr>
        <sz val="6"/>
        <color theme="2"/>
        <rFont val="Segoe UI"/>
        <family val="2"/>
      </rPr>
      <t>c</t>
    </r>
  </si>
  <si>
    <t>Egg protein</t>
  </si>
  <si>
    <t>P3</t>
  </si>
  <si>
    <r>
      <t>(5) Gluten based</t>
    </r>
    <r>
      <rPr>
        <sz val="6"/>
        <color theme="2"/>
        <rFont val="Segoe UI"/>
        <family val="2"/>
      </rPr>
      <t>e</t>
    </r>
  </si>
  <si>
    <r>
      <t>1.622 kg wheat grain</t>
    </r>
    <r>
      <rPr>
        <sz val="6"/>
        <color theme="2"/>
        <rFont val="Segoe UI"/>
        <family val="2"/>
      </rPr>
      <t>d</t>
    </r>
  </si>
  <si>
    <r>
      <t>0.15 kg oat hull fiber</t>
    </r>
    <r>
      <rPr>
        <sz val="6"/>
        <color theme="2"/>
        <rFont val="Segoe UI"/>
        <family val="2"/>
      </rPr>
      <t>c</t>
    </r>
  </si>
  <si>
    <t>10.6</t>
  </si>
  <si>
    <r>
      <t>(6) Soy meal based</t>
    </r>
    <r>
      <rPr>
        <sz val="6"/>
        <color theme="2"/>
        <rFont val="Segoe UI"/>
        <family val="2"/>
      </rPr>
      <t>n</t>
    </r>
  </si>
  <si>
    <r>
      <t>0.27 kg soy meal</t>
    </r>
    <r>
      <rPr>
        <sz val="6"/>
        <color theme="2"/>
        <rFont val="Segoe UI"/>
        <family val="2"/>
      </rPr>
      <t>d</t>
    </r>
  </si>
  <si>
    <r>
      <t>10.002</t>
    </r>
    <r>
      <rPr>
        <sz val="6"/>
        <color theme="2"/>
        <rFont val="Segoe UI"/>
        <family val="2"/>
      </rPr>
      <t>f</t>
    </r>
  </si>
  <si>
    <r>
      <t>0.73</t>
    </r>
    <r>
      <rPr>
        <sz val="6"/>
        <color theme="2"/>
        <rFont val="Segoe UI"/>
        <family val="2"/>
      </rPr>
      <t>f</t>
    </r>
  </si>
  <si>
    <t>2791*</t>
  </si>
  <si>
    <t>Lemon juice</t>
  </si>
  <si>
    <t>0.6</t>
  </si>
  <si>
    <t>P3-4</t>
  </si>
  <si>
    <r>
      <t>(7) Mycoprotein based</t>
    </r>
    <r>
      <rPr>
        <sz val="6"/>
        <color theme="2"/>
        <rFont val="Segoe UI"/>
        <family val="2"/>
      </rPr>
      <t>o</t>
    </r>
  </si>
  <si>
    <r>
      <t>3 kg molasses from sugar beet</t>
    </r>
    <r>
      <rPr>
        <sz val="6"/>
        <color theme="2"/>
        <rFont val="Segoe UI"/>
        <family val="2"/>
      </rPr>
      <t>d</t>
    </r>
  </si>
  <si>
    <r>
      <t>0.069 kg nitrogen fertilizer</t>
    </r>
    <r>
      <rPr>
        <sz val="6"/>
        <color theme="2"/>
        <rFont val="Segoe UI"/>
        <family val="2"/>
      </rPr>
      <t>d</t>
    </r>
  </si>
  <si>
    <t>Mustard</t>
  </si>
  <si>
    <t>1.6</t>
  </si>
  <si>
    <t>0.04 kg egg white</t>
  </si>
  <si>
    <t>11.3</t>
  </si>
  <si>
    <t>(Finnigan, 2010; Jungbluth 2016)</t>
  </si>
  <si>
    <t>Onion</t>
  </si>
  <si>
    <t>P3, P5</t>
  </si>
  <si>
    <t>Onion (EI)</t>
  </si>
  <si>
    <r>
      <t>a</t>
    </r>
    <r>
      <rPr>
        <sz val="9"/>
        <color theme="2"/>
        <rFont val="Calibri"/>
        <family val="2"/>
        <scheme val="minor"/>
      </rPr>
      <t>From a supermarket (LCA Food DK), based on live chicken for slaughterhouse (Ecoinvent 3 database)</t>
    </r>
  </si>
  <si>
    <t>Palm oil</t>
  </si>
  <si>
    <t>Palm oil, refined (EI)</t>
  </si>
  <si>
    <r>
      <t>b</t>
    </r>
    <r>
      <rPr>
        <sz val="9"/>
        <color theme="2"/>
        <rFont val="Calibri"/>
        <family val="2"/>
        <scheme val="minor"/>
      </rPr>
      <t>From dairy (LCA Food DK), water, electricity, and heat inputs are changed (Ecoinvent 3 database)</t>
    </r>
  </si>
  <si>
    <t>Pea protein</t>
  </si>
  <si>
    <t>11.6</t>
  </si>
  <si>
    <t>Pea concentrate (AF)</t>
  </si>
  <si>
    <r>
      <t>c</t>
    </r>
    <r>
      <rPr>
        <sz val="9"/>
        <color theme="2"/>
        <rFont val="Calibri"/>
        <family val="2"/>
        <scheme val="minor"/>
      </rPr>
      <t>By-product of oat cereals production, includes 2.3 m</t>
    </r>
    <r>
      <rPr>
        <sz val="7"/>
        <color theme="2"/>
        <rFont val="Calibri"/>
        <family val="2"/>
        <scheme val="minor"/>
      </rPr>
      <t>2</t>
    </r>
    <r>
      <rPr>
        <sz val="9"/>
        <color theme="2"/>
        <rFont val="Calibri"/>
        <family val="2"/>
        <scheme val="minor"/>
      </rPr>
      <t> of arable land occupation, use of 0.023 kg of nitrogen, 0.0048 kg of phosphate, and 0.0143 kg of potassium fertilizers, and 0.95 MJ of energy for 1 kg production (LCA Food DK, and Ecoinvent 3 database)</t>
    </r>
  </si>
  <si>
    <t>Pea protein isolate</t>
  </si>
  <si>
    <t>20.0</t>
  </si>
  <si>
    <t>3.8</t>
  </si>
  <si>
    <t>Pea isolate (AF)</t>
  </si>
  <si>
    <r>
      <t>d</t>
    </r>
    <r>
      <rPr>
        <sz val="9"/>
        <color theme="2"/>
        <rFont val="Calibri"/>
        <family val="2"/>
        <scheme val="minor"/>
      </rPr>
      <t>Based on a product from Ecoinvent 3 database</t>
    </r>
  </si>
  <si>
    <t>Potato protein</t>
  </si>
  <si>
    <t>Potato protein, wet milling (AF)</t>
  </si>
  <si>
    <r>
      <t>e</t>
    </r>
    <r>
      <rPr>
        <sz val="9"/>
        <color theme="2"/>
        <rFont val="Calibri"/>
        <family val="2"/>
        <scheme val="minor"/>
      </rPr>
      <t>van Zeist et al. (2012) and Deng et al. (2013)</t>
    </r>
  </si>
  <si>
    <t>Potato starch</t>
  </si>
  <si>
    <t>1.7</t>
  </si>
  <si>
    <t>DPF, P2, P3</t>
  </si>
  <si>
    <t>Potato starch, wet milling (AF)</t>
  </si>
  <si>
    <r>
      <t>f</t>
    </r>
    <r>
      <rPr>
        <sz val="9"/>
        <color theme="2"/>
        <rFont val="Calibri"/>
        <family val="2"/>
        <scheme val="minor"/>
      </rPr>
      <t>Data from DIL e.V. are included</t>
    </r>
  </si>
  <si>
    <t>Rape oil</t>
  </si>
  <si>
    <t>15.8</t>
  </si>
  <si>
    <t>7.1</t>
  </si>
  <si>
    <t>11.5</t>
  </si>
  <si>
    <t>P2-3, P5</t>
  </si>
  <si>
    <t>Crude rape oil (EI)</t>
  </si>
  <si>
    <t>gFoster et al. (2006)</t>
  </si>
  <si>
    <t>Salt</t>
  </si>
  <si>
    <t>DPF, P2-3, P5</t>
  </si>
  <si>
    <t>Sodium chloride (EI)</t>
  </si>
  <si>
    <t>hAssumed resources transported 50 km to assembly and supermarket, 10 km from a supermarket to the consumer (McEachern and Warnaby 2006)</t>
  </si>
  <si>
    <t>Soy protein</t>
  </si>
  <si>
    <t>18.0</t>
  </si>
  <si>
    <t>Soy concentrate (AF)</t>
  </si>
  <si>
    <r>
      <t>i</t>
    </r>
    <r>
      <rPr>
        <sz val="9"/>
        <color theme="2"/>
        <rFont val="Calibri"/>
        <family val="2"/>
        <scheme val="minor"/>
      </rPr>
      <t>Assumed, 20 g of oil needed to fry 0.5 kg of product</t>
    </r>
  </si>
  <si>
    <t>Soy sauce</t>
  </si>
  <si>
    <t>jPYR Ltd (2014)</t>
  </si>
  <si>
    <t>Spices</t>
  </si>
  <si>
    <t>DPF, P3, P5</t>
  </si>
  <si>
    <r>
      <t>k</t>
    </r>
    <r>
      <rPr>
        <sz val="9"/>
        <color theme="2"/>
        <rFont val="Calibri"/>
        <family val="2"/>
        <scheme val="minor"/>
      </rPr>
      <t>Berlin (2002), Blonk et al. (2008), and Head et al. (2011)</t>
    </r>
  </si>
  <si>
    <t>Sunflower oil</t>
  </si>
  <si>
    <t>Refined sunflower oil (AF)</t>
  </si>
  <si>
    <r>
      <t>l</t>
    </r>
    <r>
      <rPr>
        <sz val="9"/>
        <color theme="2"/>
        <rFont val="Calibri"/>
        <family val="2"/>
        <scheme val="minor"/>
      </rPr>
      <t>Tuomisto and De Mattos (2010) and Tuomisto and Roy (2012)</t>
    </r>
  </si>
  <si>
    <t>Tap water</t>
  </si>
  <si>
    <t>62.2</t>
  </si>
  <si>
    <t>70.4</t>
  </si>
  <si>
    <t>38.4</t>
  </si>
  <si>
    <t>61.0</t>
  </si>
  <si>
    <t>DPF, P2-5</t>
  </si>
  <si>
    <t>Tap water (EI)</t>
  </si>
  <si>
    <r>
      <t>m</t>
    </r>
    <r>
      <rPr>
        <sz val="9"/>
        <color theme="2"/>
        <rFont val="Calibri"/>
        <family val="2"/>
        <scheme val="minor"/>
      </rPr>
      <t>Oonincx and de Boer (2012) and Van Huis et al. (2013)</t>
    </r>
  </si>
  <si>
    <t>Colorants (vegetable-based)</t>
  </si>
  <si>
    <t>P5</t>
  </si>
  <si>
    <r>
      <t>n</t>
    </r>
    <r>
      <rPr>
        <sz val="9"/>
        <color theme="2"/>
        <rFont val="Calibri"/>
        <family val="2"/>
        <scheme val="minor"/>
      </rPr>
      <t>Berk (1992) and Dalgaard et al. (2008)</t>
    </r>
  </si>
  <si>
    <t>Wheat flour</t>
  </si>
  <si>
    <t>Wheat flour, dry milling (AF)</t>
  </si>
  <si>
    <r>
      <t>o</t>
    </r>
    <r>
      <rPr>
        <sz val="9"/>
        <color theme="2"/>
        <rFont val="Calibri"/>
        <family val="2"/>
        <scheme val="minor"/>
      </rPr>
      <t>Raats (2007) and Finnigan et al. (2010)</t>
    </r>
  </si>
  <si>
    <t>Wheat gluten</t>
  </si>
  <si>
    <t>15.4</t>
  </si>
  <si>
    <t>P4, P5</t>
  </si>
  <si>
    <t>Wheat gluten, wet milling (AF)</t>
  </si>
  <si>
    <t>pTable 1 does not include the data similar for all scenarios</t>
  </si>
  <si>
    <t>Wheat starch</t>
  </si>
  <si>
    <t>Wheat starch, wet milling (AF)</t>
  </si>
  <si>
    <t>Other*</t>
  </si>
  <si>
    <t>4.3</t>
  </si>
  <si>
    <t>6.8</t>
  </si>
  <si>
    <t>Direct processing inputs</t>
  </si>
  <si>
    <t>Smetana, S., Aganovic, K., Irmscher, S., &amp; Heinz, V. (2018). Agri-food waste streams utilization for development of more sustainable food substitutes. Designing sustainable technologies, products and policies: From science to innovation, 145-155.</t>
  </si>
  <si>
    <t>Electricity, kWh</t>
  </si>
  <si>
    <t>0.05</t>
  </si>
  <si>
    <t>0.0114</t>
  </si>
  <si>
    <t>0.0064</t>
  </si>
  <si>
    <t>0.0156</t>
  </si>
  <si>
    <t>0.0106</t>
  </si>
  <si>
    <t>Medium voltage, consumption mix DE (EI)</t>
  </si>
  <si>
    <t>Water, kg</t>
  </si>
  <si>
    <t>1.24</t>
  </si>
  <si>
    <t>0.24</t>
  </si>
  <si>
    <t>Note:</t>
  </si>
  <si>
    <t>⁎</t>
  </si>
  <si>
    <t>additives: spices, additives, extracts, natural colorants, sunflower oil, parsley, ascorbic acid, vinegar, glucose, aromas including smoke aromas, tomato concentrate; B1 – beef patty, B2 – pea patty (Beyond); B3 – insect patty (Bugfoundation); B4 – mycoprotein patty (Quorn); B5 – soy patty (Rügenwalder Mühle); DPF – DIL e.V. pilot facility (German Institute of Food Technologies, Quakenbrück, Germany); P2-P5 – packaging for relevant burgers (B2-B5); AF – Agri-footprint 3.0 database (Blonk Consultants, Netherlands); EI – ecoinvent 3 (Zurich, Switzerland)</t>
  </si>
  <si>
    <t>Raats, J. (2007). Meat (substitutes) comparing environmental impacts. A Case study comparing Quorn and pork. Training thesis at Centre for Energy and Environmental Studies, University of Groningen. University of Groningen Groningen.</t>
  </si>
  <si>
    <t>(Studetn thesis) Full text links not working…, but from abstract</t>
  </si>
  <si>
    <t>https://core.ac.uk/display/12938022</t>
  </si>
  <si>
    <t>"The system boundaries for this research were set on the production processes taking place only at the different production facilities of both products. Production of raw materials, transportation of raw materials and retail and consumption of the finished products were left out of this analysis, since it is assumed this is the same for both products A first analysis showed that the for the production of Quorn approximately 2,9 kg molasses, 69 grams nitrogen and 13,6 MJ energy was needed."</t>
  </si>
  <si>
    <t>"The results for this analysis showed that the amounts of required for the production of Quorn varied between: 2,2 to 4,3 kg molasses, 52 to 94 grams nitrogen and 10,4 to 26,1 MJ energy"</t>
  </si>
  <si>
    <t>Finnigan, T., Lemon, M., Allan, B., &amp; Paton, I. (2010). Mycoprotein, Life cycle Analysis and the food 2030 challenge. Aspects of Applied Biology, (102), 81-90.</t>
  </si>
  <si>
    <t>Conference proceedings, not openly accessible online</t>
  </si>
  <si>
    <t>https://www.cabdirect.org/cabdirect/abstract/20103346525</t>
  </si>
  <si>
    <t>Fats (Fermentation) yeast Sigtryggsson et al</t>
  </si>
  <si>
    <t>Allokering</t>
  </si>
  <si>
    <t>Fat, single-cell oil, produced by yeast cells from hydrolysed straw*</t>
  </si>
  <si>
    <t>Sigtryggsson et al 2023</t>
  </si>
  <si>
    <t>*Rhodotorula babjevae</t>
  </si>
  <si>
    <t>Climate imapcts</t>
  </si>
  <si>
    <t>Per kg input</t>
  </si>
  <si>
    <t>per kg of product</t>
  </si>
  <si>
    <t>comment</t>
  </si>
  <si>
    <t>Electricity</t>
  </si>
  <si>
    <t>DO NOT ADD AS AN INPUT supplied through burning the lignin fraction of the straw</t>
  </si>
  <si>
    <t>Wheat straw</t>
  </si>
  <si>
    <t>DO NOT ADD AS AN INPUT; FOR FREE IN THE MODEL</t>
  </si>
  <si>
    <t>Sulphuric acid</t>
  </si>
  <si>
    <t>Diesel for harvesting straw</t>
  </si>
  <si>
    <t>Sodium hydroxide</t>
  </si>
  <si>
    <t>Diesel</t>
  </si>
  <si>
    <t>L/kg</t>
  </si>
  <si>
    <t>Hexane</t>
  </si>
  <si>
    <t>Phosphoric acid</t>
  </si>
  <si>
    <t>Diesel fuel has a specific energy of around 38 mega joules (MJ) per litre</t>
  </si>
  <si>
    <t>Enzymes</t>
  </si>
  <si>
    <t>Total GHG per kg of product</t>
  </si>
  <si>
    <t>Fats from heterotropic algae (Fermentation)</t>
  </si>
  <si>
    <t>USE THIS ONE!</t>
  </si>
  <si>
    <t>Fat, single-cell oil, produced by algea in fermenation*</t>
  </si>
  <si>
    <t>Lu et al 2021</t>
  </si>
  <si>
    <t>Life cycle assessment of industrial production of microalgal oil from heterotrophic fermentation - ScienceDirect</t>
  </si>
  <si>
    <t>*Schizochytrium</t>
  </si>
  <si>
    <t>Electricity (Cultivation)</t>
  </si>
  <si>
    <t>Potassium</t>
  </si>
  <si>
    <t>0.04013857</t>
  </si>
  <si>
    <t>Electricity (disc centrifuge)</t>
  </si>
  <si>
    <t xml:space="preserve">Magnesium </t>
  </si>
  <si>
    <t>Electricity Enzymolys</t>
  </si>
  <si>
    <t>Corn syrup</t>
  </si>
  <si>
    <t>Ammonium Sulfate</t>
  </si>
  <si>
    <t>Electricity soilid/luquid seperation</t>
  </si>
  <si>
    <t>Yeast</t>
  </si>
  <si>
    <t>Electricity oil refining</t>
  </si>
  <si>
    <t>Sodium Glutamate</t>
  </si>
  <si>
    <r>
      <rPr>
        <sz val="11"/>
        <color rgb="FFFF0000"/>
        <rFont val="Roboto"/>
      </rPr>
      <t>1 kilogram of corn syrup is equivalent </t>
    </r>
    <r>
      <rPr>
        <b/>
        <sz val="11"/>
        <color rgb="FFFF0000"/>
        <rFont val="Roboto"/>
      </rPr>
      <t>722 milliliters</t>
    </r>
  </si>
  <si>
    <t>6-Benzyl Adenine(BA)</t>
  </si>
  <si>
    <t>NOTE: Use any corn syrup as glucose proxy</t>
  </si>
  <si>
    <t>Manganous Chloride</t>
  </si>
  <si>
    <t>Residue digestion(biogas production)</t>
  </si>
  <si>
    <t>Sodium Molybdate</t>
  </si>
  <si>
    <t>-3,296017997</t>
  </si>
  <si>
    <t>Glycerin</t>
  </si>
  <si>
    <t>Heat</t>
  </si>
  <si>
    <t>-0,648770732</t>
  </si>
  <si>
    <t>Defoamer</t>
  </si>
  <si>
    <t>Emissions from residue recycling</t>
  </si>
  <si>
    <t>Isoproponol</t>
  </si>
  <si>
    <t>VOC</t>
  </si>
  <si>
    <t>https://www,sciencedirect,com/science/article/pii/S2211926421003131</t>
  </si>
  <si>
    <t>CO</t>
  </si>
  <si>
    <t>Nox</t>
  </si>
  <si>
    <t>PM10</t>
  </si>
  <si>
    <t>PM2,5</t>
  </si>
  <si>
    <t>Minor/Other  (proxy from microbial protein)</t>
  </si>
  <si>
    <t>Nutrient input</t>
  </si>
  <si>
    <t>Sox</t>
  </si>
  <si>
    <t>Minor/Other (proxy from microbial protein)</t>
  </si>
  <si>
    <t>biogenic-no climate impact</t>
  </si>
  <si>
    <t>Parsons, S., Allen, M. J., Abeln, F., McManus, M., &amp; Chuck, C. J. (2019). Sustainability and life cycle assessment (LCA) of macroalgae-derived single cell oils. Journal of Cleaner Production, 232, 1272-1281.</t>
  </si>
  <si>
    <t>LINK to article</t>
  </si>
  <si>
    <t>Table 1. Life Cycle Inventory (LCI) for the production of microbial derived oil from seaweed.</t>
  </si>
  <si>
    <t>(NOTE: I am going to guess kg as a unit in these LCI unless otherwise stated)</t>
  </si>
  <si>
    <t>Conversions</t>
  </si>
  <si>
    <t>Input</t>
  </si>
  <si>
    <t>Value</t>
  </si>
  <si>
    <t>LCI value (units as given)</t>
  </si>
  <si>
    <t>LCI value (units per kg intermediate)</t>
  </si>
  <si>
    <t>Amount (unit/kg lipid)</t>
  </si>
  <si>
    <t>Unit (per kg lipid prod)</t>
  </si>
  <si>
    <t>1 kg dry seaweed : 0.6 kg fermentable hydrolysate</t>
  </si>
  <si>
    <t>Cultivation - Nursery</t>
  </si>
  <si>
    <t>Total carbohydrates were assumed to be 60% based on Nielsen et al. (2016). </t>
  </si>
  <si>
    <t>Ammonium nitrate</t>
  </si>
  <si>
    <r>
      <t>0.08 t</t>
    </r>
    <r>
      <rPr>
        <sz val="8"/>
        <color rgb="FFFFC000"/>
        <rFont val="Calibri"/>
        <family val="2"/>
      </rPr>
      <t>−1</t>
    </r>
    <r>
      <rPr>
        <sz val="11"/>
        <color rgb="FFFFC000"/>
        <rFont val="Calibri"/>
        <family val="2"/>
      </rPr>
      <t> dry seaweed</t>
    </r>
  </si>
  <si>
    <t>(Langlois et al. 2012)</t>
  </si>
  <si>
    <t>0.08</t>
  </si>
  <si>
    <t>0.00008</t>
  </si>
  <si>
    <t>0.000952</t>
  </si>
  <si>
    <t xml:space="preserve"> biomass yield of 0.35 g g−1 hydrolysate (sugar) and culture density of 120 g L−1, yielding 1.3 g L−1 h−1 yeast biomass which corresponds to 0.52 g L−1 h−1 lipid production</t>
  </si>
  <si>
    <t>Sodium phosphate</t>
  </si>
  <si>
    <r>
      <t>0.03 t</t>
    </r>
    <r>
      <rPr>
        <sz val="8"/>
        <color rgb="FFFFC000"/>
        <rFont val="Calibri"/>
        <family val="2"/>
      </rPr>
      <t>−1</t>
    </r>
    <r>
      <rPr>
        <sz val="11"/>
        <color rgb="FFFFC000"/>
        <rFont val="Calibri"/>
        <family val="2"/>
      </rPr>
      <t> dry seaweed</t>
    </r>
  </si>
  <si>
    <t>0.03</t>
  </si>
  <si>
    <t>0.00003</t>
  </si>
  <si>
    <t>0.000357</t>
  </si>
  <si>
    <t>1 kg fermentable hydrolysate : 0.35 kg yeast biomass</t>
  </si>
  <si>
    <t>Iron (III) chloride</t>
  </si>
  <si>
    <r>
      <t>0.003 t</t>
    </r>
    <r>
      <rPr>
        <sz val="8"/>
        <color rgb="FFFFC000"/>
        <rFont val="Calibri"/>
        <family val="2"/>
      </rPr>
      <t>−1</t>
    </r>
    <r>
      <rPr>
        <sz val="11"/>
        <color rgb="FFFFC000"/>
        <rFont val="Calibri"/>
        <family val="2"/>
      </rPr>
      <t> dry seaweed</t>
    </r>
  </si>
  <si>
    <t>0.003</t>
  </si>
  <si>
    <t>0.000003</t>
  </si>
  <si>
    <t>3.57E-05</t>
  </si>
  <si>
    <t>1.3 kg yeast biomass : 0.52 kg lipid</t>
  </si>
  <si>
    <t>Anhydrous boric acid</t>
  </si>
  <si>
    <r>
      <t>0.02 t</t>
    </r>
    <r>
      <rPr>
        <sz val="8"/>
        <color rgb="FFFFC000"/>
        <rFont val="Calibri"/>
        <family val="2"/>
      </rPr>
      <t>−1</t>
    </r>
    <r>
      <rPr>
        <sz val="11"/>
        <color rgb="FFFFC000"/>
        <rFont val="Calibri"/>
        <family val="2"/>
      </rPr>
      <t> dry seaweed</t>
    </r>
  </si>
  <si>
    <t>0.02</t>
  </si>
  <si>
    <t>0.00002</t>
  </si>
  <si>
    <t>0.000238</t>
  </si>
  <si>
    <t>Mineral solution (EDTA)</t>
  </si>
  <si>
    <t>Electricity (water pumping, lamps, sparger)</t>
  </si>
  <si>
    <r>
      <t>342 kWh t</t>
    </r>
    <r>
      <rPr>
        <sz val="8"/>
        <color rgb="FF000000"/>
        <rFont val="Calibri"/>
        <family val="2"/>
      </rPr>
      <t>−1</t>
    </r>
    <r>
      <rPr>
        <sz val="11"/>
        <color rgb="FF000000"/>
        <rFont val="Calibri"/>
        <family val="2"/>
      </rPr>
      <t> dry seaweed</t>
    </r>
  </si>
  <si>
    <t>0.342</t>
  </si>
  <si>
    <t>14.65714</t>
  </si>
  <si>
    <t>kg dry seaweed</t>
  </si>
  <si>
    <t>kg fermentable hydrolysate</t>
  </si>
  <si>
    <t>1.3</t>
  </si>
  <si>
    <t>kg yeast biomass</t>
  </si>
  <si>
    <t>=</t>
  </si>
  <si>
    <t>11.90476</t>
  </si>
  <si>
    <r>
      <t>4600 L t</t>
    </r>
    <r>
      <rPr>
        <sz val="8"/>
        <color rgb="FF000000"/>
        <rFont val="Calibri"/>
        <family val="2"/>
      </rPr>
      <t>−1</t>
    </r>
    <r>
      <rPr>
        <sz val="11"/>
        <color rgb="FF000000"/>
        <rFont val="Calibri"/>
        <family val="2"/>
      </rPr>
      <t> dry seaweed</t>
    </r>
  </si>
  <si>
    <t>4.6</t>
  </si>
  <si>
    <t>54.7619</t>
  </si>
  <si>
    <t>0.35</t>
  </si>
  <si>
    <t>0.52</t>
  </si>
  <si>
    <t>kg lipid</t>
  </si>
  <si>
    <t>0.1092</t>
  </si>
  <si>
    <t>Cultivation – long lines</t>
  </si>
  <si>
    <t>7.142857</t>
  </si>
  <si>
    <r>
      <t>30 L t</t>
    </r>
    <r>
      <rPr>
        <sz val="8"/>
        <color rgb="FF000000"/>
        <rFont val="Calibri"/>
        <family val="2"/>
      </rPr>
      <t>−1</t>
    </r>
    <r>
      <rPr>
        <sz val="11"/>
        <color rgb="FF000000"/>
        <rFont val="Calibri"/>
        <family val="2"/>
      </rPr>
      <t> dry seaweed</t>
    </r>
  </si>
  <si>
    <r>
      <t>Alvarado-Morales et al. (2013)</t>
    </r>
    <r>
      <rPr>
        <sz val="11"/>
        <color rgb="FF000000"/>
        <rFont val="Calibri"/>
        <family val="2"/>
      </rPr>
      <t>, </t>
    </r>
    <r>
      <rPr>
        <sz val="11"/>
        <color rgb="FF0C7DBB"/>
        <rFont val="Calibri"/>
        <family val="2"/>
      </rPr>
      <t>Edwards and Watson (2011)</t>
    </r>
  </si>
  <si>
    <t>0.357143</t>
  </si>
  <si>
    <t>0.182</t>
  </si>
  <si>
    <t>Petrol</t>
  </si>
  <si>
    <t>2.5</t>
  </si>
  <si>
    <t>Transport</t>
  </si>
  <si>
    <t>100 tkm</t>
  </si>
  <si>
    <t>Pre-treatment and hydrolysis (incl. enzyme production)</t>
  </si>
  <si>
    <t>Electricity (milling)</t>
  </si>
  <si>
    <r>
      <t>9.83 kWh t</t>
    </r>
    <r>
      <rPr>
        <sz val="8"/>
        <color rgb="FF000000"/>
        <rFont val="Calibri"/>
        <family val="2"/>
      </rPr>
      <t>−1</t>
    </r>
    <r>
      <rPr>
        <sz val="11"/>
        <color rgb="FF000000"/>
        <rFont val="Calibri"/>
        <family val="2"/>
      </rPr>
      <t> milled dry seaweed</t>
    </r>
  </si>
  <si>
    <t>Humbird et al. (2011)</t>
  </si>
  <si>
    <t>9.83</t>
  </si>
  <si>
    <t>0.00983</t>
  </si>
  <si>
    <t>0.421286</t>
  </si>
  <si>
    <r>
      <t>2.44 m</t>
    </r>
    <r>
      <rPr>
        <sz val="8"/>
        <color rgb="FF000000"/>
        <rFont val="Calibri"/>
        <family val="2"/>
      </rPr>
      <t>3</t>
    </r>
    <r>
      <rPr>
        <sz val="11"/>
        <color rgb="FF000000"/>
        <rFont val="Calibri"/>
        <family val="2"/>
      </rPr>
      <t> t</t>
    </r>
    <r>
      <rPr>
        <sz val="8"/>
        <color rgb="FF000000"/>
        <rFont val="Calibri"/>
        <family val="2"/>
      </rPr>
      <t>−1</t>
    </r>
    <r>
      <rPr>
        <sz val="11"/>
        <color rgb="FF000000"/>
        <rFont val="Calibri"/>
        <family val="2"/>
      </rPr>
      <t> fermentable hydrolysate</t>
    </r>
  </si>
  <si>
    <t>2.44</t>
  </si>
  <si>
    <t>0.00244</t>
  </si>
  <si>
    <t>1.74E-05</t>
  </si>
  <si>
    <r>
      <t>17 kg t</t>
    </r>
    <r>
      <rPr>
        <sz val="8"/>
        <color rgb="FF000000"/>
        <rFont val="Calibri"/>
        <family val="2"/>
      </rPr>
      <t>−1</t>
    </r>
    <r>
      <rPr>
        <sz val="11"/>
        <color rgb="FF000000"/>
        <rFont val="Calibri"/>
        <family val="2"/>
      </rPr>
      <t> fermentable hydrolysate</t>
    </r>
  </si>
  <si>
    <t>0.017</t>
  </si>
  <si>
    <t>0.121429</t>
  </si>
  <si>
    <r>
      <t>33 kg t</t>
    </r>
    <r>
      <rPr>
        <sz val="8"/>
        <color rgb="FF000000"/>
        <rFont val="Calibri"/>
        <family val="2"/>
      </rPr>
      <t>−1</t>
    </r>
    <r>
      <rPr>
        <sz val="11"/>
        <color rgb="FF000000"/>
        <rFont val="Calibri"/>
        <family val="2"/>
      </rPr>
      <t> fermentable hydrolysate</t>
    </r>
  </si>
  <si>
    <t>0.033</t>
  </si>
  <si>
    <t>0.235714</t>
  </si>
  <si>
    <r>
      <t>54 kg t</t>
    </r>
    <r>
      <rPr>
        <sz val="8"/>
        <color rgb="FF000000"/>
        <rFont val="Calibri"/>
        <family val="2"/>
      </rPr>
      <t>−1</t>
    </r>
    <r>
      <rPr>
        <sz val="11"/>
        <color rgb="FF000000"/>
        <rFont val="Calibri"/>
        <family val="2"/>
      </rPr>
      <t> fermentable hydrolysate</t>
    </r>
  </si>
  <si>
    <t>0.054</t>
  </si>
  <si>
    <t>0.385714</t>
  </si>
  <si>
    <t>Quicklime</t>
  </si>
  <si>
    <r>
      <t>21 kg t</t>
    </r>
    <r>
      <rPr>
        <sz val="8"/>
        <color rgb="FF000000"/>
        <rFont val="Calibri"/>
        <family val="2"/>
      </rPr>
      <t>−1</t>
    </r>
    <r>
      <rPr>
        <sz val="11"/>
        <color rgb="FF000000"/>
        <rFont val="Calibri"/>
        <family val="2"/>
      </rPr>
      <t> fermentable hydrolysate</t>
    </r>
  </si>
  <si>
    <t>0.021</t>
  </si>
  <si>
    <t>0.15</t>
  </si>
  <si>
    <t>Sulphur dioxide</t>
  </si>
  <si>
    <r>
      <t>0.3 kg t</t>
    </r>
    <r>
      <rPr>
        <sz val="8"/>
        <color rgb="FF000000"/>
        <rFont val="Calibri"/>
        <family val="2"/>
      </rPr>
      <t>−1</t>
    </r>
    <r>
      <rPr>
        <sz val="11"/>
        <color rgb="FF000000"/>
        <rFont val="Calibri"/>
        <family val="2"/>
      </rPr>
      <t> fermentable hydrolysate</t>
    </r>
  </si>
  <si>
    <t>0.3</t>
  </si>
  <si>
    <t>0.0003</t>
  </si>
  <si>
    <t>0.002143</t>
  </si>
  <si>
    <t>Sugar</t>
  </si>
  <si>
    <r>
      <t>40 kg t</t>
    </r>
    <r>
      <rPr>
        <sz val="8"/>
        <color rgb="FF000000"/>
        <rFont val="Calibri"/>
        <family val="2"/>
      </rPr>
      <t>−1</t>
    </r>
    <r>
      <rPr>
        <sz val="11"/>
        <color rgb="FF000000"/>
        <rFont val="Calibri"/>
        <family val="2"/>
      </rPr>
      <t> fermentable hydrolysate</t>
    </r>
  </si>
  <si>
    <t>0.04</t>
  </si>
  <si>
    <t>0.285714</t>
  </si>
  <si>
    <t>Heat (Steam)</t>
  </si>
  <si>
    <r>
      <t>1314 MJ t</t>
    </r>
    <r>
      <rPr>
        <sz val="8"/>
        <color rgb="FF000000"/>
        <rFont val="Calibri"/>
        <family val="2"/>
      </rPr>
      <t>−1</t>
    </r>
    <r>
      <rPr>
        <sz val="11"/>
        <color rgb="FF000000"/>
        <rFont val="Calibri"/>
        <family val="2"/>
      </rPr>
      <t> fermentable hydrolysate</t>
    </r>
  </si>
  <si>
    <t>1.314</t>
  </si>
  <si>
    <t>9.385714</t>
  </si>
  <si>
    <r>
      <t>119 kWh t</t>
    </r>
    <r>
      <rPr>
        <sz val="8"/>
        <color rgb="FF000000"/>
        <rFont val="Calibri"/>
        <family val="2"/>
      </rPr>
      <t>−1</t>
    </r>
    <r>
      <rPr>
        <sz val="11"/>
        <color rgb="FF000000"/>
        <rFont val="Calibri"/>
        <family val="2"/>
      </rPr>
      <t> fermentable hydrolysate</t>
    </r>
  </si>
  <si>
    <t>0.119</t>
  </si>
  <si>
    <t>3.06</t>
  </si>
  <si>
    <t>Fermentation (CSTR)</t>
  </si>
  <si>
    <t>Nutrients--&gt;see Section 2.1 and Table 2 in Lardon et al. (2009)</t>
  </si>
  <si>
    <r>
      <t>0.22 kg t</t>
    </r>
    <r>
      <rPr>
        <sz val="8"/>
        <color rgb="FF000000"/>
        <rFont val="Calibri"/>
        <family val="2"/>
      </rPr>
      <t>−1</t>
    </r>
    <r>
      <rPr>
        <sz val="11"/>
        <color rgb="FF000000"/>
        <rFont val="Calibri"/>
        <family val="2"/>
      </rPr>
      <t> yeast biomass</t>
    </r>
  </si>
  <si>
    <r>
      <t>Experimental data for </t>
    </r>
    <r>
      <rPr>
        <i/>
        <sz val="11"/>
        <color rgb="FF000000"/>
        <rFont val="Calibri"/>
        <family val="2"/>
      </rPr>
      <t>M. pulcherrima</t>
    </r>
    <r>
      <rPr>
        <sz val="11"/>
        <color rgb="FF000000"/>
        <rFont val="Calibri"/>
        <family val="2"/>
      </rPr>
      <t>, </t>
    </r>
    <r>
      <rPr>
        <sz val="11"/>
        <color rgb="FF0C7DBB"/>
        <rFont val="Calibri"/>
        <family val="2"/>
      </rPr>
      <t>Koutinas (2014)</t>
    </r>
    <r>
      <rPr>
        <sz val="11"/>
        <color rgb="FF000000"/>
        <rFont val="Calibri"/>
        <family val="2"/>
      </rPr>
      <t>, </t>
    </r>
    <r>
      <rPr>
        <sz val="11"/>
        <color rgb="FF0C7DBB"/>
        <rFont val="Calibri"/>
        <family val="2"/>
      </rPr>
      <t>Braunwald (2016)</t>
    </r>
  </si>
  <si>
    <t>0.22</t>
  </si>
  <si>
    <t>0.00022</t>
  </si>
  <si>
    <t>0.00055</t>
  </si>
  <si>
    <t>nutrient culture--&gt;</t>
  </si>
  <si>
    <t>Lardon, L., Hélias, A., Sialve, B., Steyer, J. P., &amp; Bernard, O. (2009). Life-cycle assessment of biodiesel production from microalgae.</t>
  </si>
  <si>
    <r>
      <t>3050 kWh t</t>
    </r>
    <r>
      <rPr>
        <sz val="8"/>
        <color rgb="FF000000"/>
        <rFont val="Calibri"/>
        <family val="2"/>
      </rPr>
      <t>−1</t>
    </r>
    <r>
      <rPr>
        <sz val="11"/>
        <color rgb="FF000000"/>
        <rFont val="Calibri"/>
        <family val="2"/>
      </rPr>
      <t> yeast biomass</t>
    </r>
  </si>
  <si>
    <t>3.05</t>
  </si>
  <si>
    <t>27.45</t>
  </si>
  <si>
    <t>Biomass productivity</t>
  </si>
  <si>
    <r>
      <t>1.3 g L</t>
    </r>
    <r>
      <rPr>
        <sz val="8"/>
        <color rgb="FF000000"/>
        <rFont val="Calibri"/>
        <family val="2"/>
      </rPr>
      <t>−1</t>
    </r>
    <r>
      <rPr>
        <sz val="11"/>
        <color rgb="FF000000"/>
        <rFont val="Calibri"/>
        <family val="2"/>
      </rPr>
      <t> h</t>
    </r>
    <r>
      <rPr>
        <sz val="8"/>
        <color rgb="FF000000"/>
        <rFont val="Calibri"/>
        <family val="2"/>
      </rPr>
      <t>−1</t>
    </r>
  </si>
  <si>
    <t>Lipid productivity</t>
  </si>
  <si>
    <r>
      <t>0.52 g L</t>
    </r>
    <r>
      <rPr>
        <sz val="8"/>
        <color rgb="FF000000"/>
        <rFont val="Calibri"/>
        <family val="2"/>
      </rPr>
      <t>−1</t>
    </r>
    <r>
      <rPr>
        <sz val="11"/>
        <color rgb="FF000000"/>
        <rFont val="Calibri"/>
        <family val="2"/>
      </rPr>
      <t> h</t>
    </r>
    <r>
      <rPr>
        <sz val="8"/>
        <color rgb="FF000000"/>
        <rFont val="Calibri"/>
        <family val="2"/>
      </rPr>
      <t>−1</t>
    </r>
  </si>
  <si>
    <t>"Nutrient and CO2 supply to produce 1 kg of algae are determined for both culture methods from the elementary composition proposed in Table 2 for both culture conditions."</t>
  </si>
  <si>
    <t>Fermentation (raceway pond)</t>
  </si>
  <si>
    <r>
      <t>Table 2. Composition and Culture Parameters of </t>
    </r>
    <r>
      <rPr>
        <i/>
        <sz val="11"/>
        <color rgb="FF000000"/>
        <rFont val="Calibri"/>
        <family val="2"/>
        <charset val="1"/>
      </rPr>
      <t>C. vulgaris</t>
    </r>
  </si>
  <si>
    <t>Nutrients</t>
  </si>
  <si>
    <r>
      <t>0.28 kg t</t>
    </r>
    <r>
      <rPr>
        <strike/>
        <sz val="8"/>
        <color rgb="FF000000"/>
        <rFont val="Calibri"/>
        <family val="2"/>
      </rPr>
      <t>−1</t>
    </r>
    <r>
      <rPr>
        <strike/>
        <sz val="11"/>
        <color rgb="FF000000"/>
        <rFont val="Calibri"/>
        <family val="2"/>
      </rPr>
      <t> yeast biomass</t>
    </r>
  </si>
  <si>
    <t>0.28</t>
  </si>
  <si>
    <t>0.00028</t>
  </si>
  <si>
    <t>0.0007</t>
  </si>
  <si>
    <t>parameter</t>
  </si>
  <si>
    <t>normal</t>
  </si>
  <si>
    <t>low N</t>
  </si>
  <si>
    <t>Amount (kg/kg nutrient culture)</t>
  </si>
  <si>
    <t>Amount (kg/kg lipid product)</t>
  </si>
  <si>
    <t>kg nutrent culture / kg lipid product</t>
  </si>
  <si>
    <r>
      <t>1860 kWh t</t>
    </r>
    <r>
      <rPr>
        <strike/>
        <sz val="8"/>
        <color rgb="FF000000"/>
        <rFont val="Calibri"/>
        <family val="2"/>
      </rPr>
      <t>−1</t>
    </r>
    <r>
      <rPr>
        <strike/>
        <sz val="11"/>
        <color rgb="FF000000"/>
        <rFont val="Calibri"/>
        <family val="2"/>
      </rPr>
      <t> yeast biomass</t>
    </r>
  </si>
  <si>
    <t>1.86</t>
  </si>
  <si>
    <t>16.74</t>
  </si>
  <si>
    <r>
      <t>protein C</t>
    </r>
    <r>
      <rPr>
        <sz val="10"/>
        <color rgb="FF000000"/>
        <rFont val="Roboto"/>
      </rPr>
      <t>4.43</t>
    </r>
    <r>
      <rPr>
        <sz val="13"/>
        <color rgb="FF000000"/>
        <rFont val="Roboto"/>
      </rPr>
      <t>H</t>
    </r>
    <r>
      <rPr>
        <sz val="10"/>
        <color rgb="FF000000"/>
        <rFont val="Roboto"/>
      </rPr>
      <t>7</t>
    </r>
    <r>
      <rPr>
        <sz val="13"/>
        <color rgb="FF000000"/>
        <rFont val="Roboto"/>
      </rPr>
      <t>O</t>
    </r>
    <r>
      <rPr>
        <sz val="10"/>
        <color rgb="FF000000"/>
        <rFont val="Roboto"/>
      </rPr>
      <t>1.44</t>
    </r>
    <r>
      <rPr>
        <sz val="13"/>
        <color rgb="FF000000"/>
        <rFont val="Roboto"/>
      </rPr>
      <t>N</t>
    </r>
    <r>
      <rPr>
        <sz val="10"/>
        <color rgb="FF000000"/>
        <rFont val="Roboto"/>
      </rPr>
      <t>1.16</t>
    </r>
  </si>
  <si>
    <r>
      <t>protein (g·kg</t>
    </r>
    <r>
      <rPr>
        <sz val="10"/>
        <color rgb="FF000000"/>
        <rFont val="Calibri"/>
        <family val="2"/>
      </rPr>
      <t>−1</t>
    </r>
    <r>
      <rPr>
        <sz val="11"/>
        <color rgb="FF000000"/>
        <rFont val="Calibri"/>
        <family val="2"/>
      </rPr>
      <t>)</t>
    </r>
  </si>
  <si>
    <t>0.282</t>
  </si>
  <si>
    <t>0.000155</t>
  </si>
  <si>
    <r>
      <t>1.14 g L</t>
    </r>
    <r>
      <rPr>
        <strike/>
        <sz val="8"/>
        <color rgb="FF000000"/>
        <rFont val="Calibri"/>
        <family val="2"/>
      </rPr>
      <t>−1</t>
    </r>
    <r>
      <rPr>
        <strike/>
        <sz val="11"/>
        <color rgb="FF000000"/>
        <rFont val="Calibri"/>
        <family val="2"/>
      </rPr>
      <t> h</t>
    </r>
    <r>
      <rPr>
        <strike/>
        <sz val="8"/>
        <color rgb="FF000000"/>
        <rFont val="Calibri"/>
        <family val="2"/>
      </rPr>
      <t>−1</t>
    </r>
  </si>
  <si>
    <t>1.14</t>
  </si>
  <si>
    <r>
      <t>lipid C</t>
    </r>
    <r>
      <rPr>
        <sz val="10"/>
        <color rgb="FF000000"/>
        <rFont val="Roboto"/>
      </rPr>
      <t>40</t>
    </r>
    <r>
      <rPr>
        <sz val="13"/>
        <color rgb="FF000000"/>
        <rFont val="Roboto"/>
      </rPr>
      <t>H</t>
    </r>
    <r>
      <rPr>
        <sz val="10"/>
        <color rgb="FF000000"/>
        <rFont val="Roboto"/>
      </rPr>
      <t>74</t>
    </r>
    <r>
      <rPr>
        <sz val="13"/>
        <color rgb="FF000000"/>
        <rFont val="Roboto"/>
      </rPr>
      <t>0</t>
    </r>
    <r>
      <rPr>
        <sz val="10"/>
        <color rgb="FF000000"/>
        <rFont val="Roboto"/>
      </rPr>
      <t>5</t>
    </r>
  </si>
  <si>
    <r>
      <t>lipid (g·kg</t>
    </r>
    <r>
      <rPr>
        <sz val="10"/>
        <color rgb="FF000000"/>
        <rFont val="Calibri"/>
        <family val="2"/>
      </rPr>
      <t>−1</t>
    </r>
    <r>
      <rPr>
        <sz val="11"/>
        <color rgb="FF000000"/>
        <rFont val="Calibri"/>
        <family val="2"/>
      </rPr>
      <t>)</t>
    </r>
  </si>
  <si>
    <t>0.175</t>
  </si>
  <si>
    <t>9.63E-05</t>
  </si>
  <si>
    <r>
      <t>0.4 g L</t>
    </r>
    <r>
      <rPr>
        <strike/>
        <sz val="8"/>
        <color rgb="FF000000"/>
        <rFont val="Calibri"/>
        <family val="2"/>
      </rPr>
      <t>−1</t>
    </r>
    <r>
      <rPr>
        <strike/>
        <sz val="11"/>
        <color rgb="FF000000"/>
        <rFont val="Calibri"/>
        <family val="2"/>
      </rPr>
      <t> h</t>
    </r>
    <r>
      <rPr>
        <strike/>
        <sz val="8"/>
        <color rgb="FF000000"/>
        <rFont val="Calibri"/>
        <family val="2"/>
      </rPr>
      <t>−-1</t>
    </r>
  </si>
  <si>
    <t>0.4</t>
  </si>
  <si>
    <r>
      <t>carbohydrate C</t>
    </r>
    <r>
      <rPr>
        <sz val="10"/>
        <color rgb="FF000000"/>
        <rFont val="Roboto"/>
      </rPr>
      <t>6</t>
    </r>
    <r>
      <rPr>
        <sz val="13"/>
        <color rgb="FF000000"/>
        <rFont val="Roboto"/>
      </rPr>
      <t>H</t>
    </r>
    <r>
      <rPr>
        <sz val="10"/>
        <color rgb="FF000000"/>
        <rFont val="Roboto"/>
      </rPr>
      <t>12</t>
    </r>
    <r>
      <rPr>
        <sz val="13"/>
        <color rgb="FF000000"/>
        <rFont val="Roboto"/>
      </rPr>
      <t>O</t>
    </r>
    <r>
      <rPr>
        <sz val="10"/>
        <color rgb="FF000000"/>
        <rFont val="Roboto"/>
      </rPr>
      <t>6</t>
    </r>
  </si>
  <si>
    <r>
      <t>(Glucose) carbohydrates (g·kg</t>
    </r>
    <r>
      <rPr>
        <sz val="10"/>
        <color rgb="FF000000"/>
        <rFont val="Calibri"/>
        <family val="2"/>
      </rPr>
      <t>−1</t>
    </r>
    <r>
      <rPr>
        <sz val="11"/>
        <color rgb="FF000000"/>
        <rFont val="Calibri"/>
        <family val="2"/>
      </rPr>
      <t>)</t>
    </r>
  </si>
  <si>
    <t>0.495</t>
  </si>
  <si>
    <t>0.000272</t>
  </si>
  <si>
    <t>Lipid extraction and refining</t>
  </si>
  <si>
    <r>
      <t>lower heating value (MJ·kg</t>
    </r>
    <r>
      <rPr>
        <sz val="10"/>
        <color rgb="FF000000"/>
        <rFont val="Calibri"/>
        <family val="2"/>
      </rPr>
      <t>−1</t>
    </r>
    <r>
      <rPr>
        <sz val="11"/>
        <color rgb="FF000000"/>
        <rFont val="Calibri"/>
        <family val="2"/>
      </rPr>
      <t>)</t>
    </r>
  </si>
  <si>
    <t>17.5</t>
  </si>
  <si>
    <t>22.6</t>
  </si>
  <si>
    <t>0.009625</t>
  </si>
  <si>
    <r>
      <t>66 kg t</t>
    </r>
    <r>
      <rPr>
        <sz val="8"/>
        <color rgb="FF000000"/>
        <rFont val="Calibri"/>
        <family val="2"/>
      </rPr>
      <t>−1</t>
    </r>
    <r>
      <rPr>
        <sz val="11"/>
        <color rgb="FF000000"/>
        <rFont val="Calibri"/>
        <family val="2"/>
      </rPr>
      <t> unrefined lipid</t>
    </r>
  </si>
  <si>
    <t>Davis et al. (2014)</t>
  </si>
  <si>
    <t>0.066</t>
  </si>
  <si>
    <r>
      <t>C (g·kg</t>
    </r>
    <r>
      <rPr>
        <sz val="10"/>
        <color rgb="FF000000"/>
        <rFont val="Calibri"/>
        <family val="2"/>
      </rPr>
      <t>−1</t>
    </r>
    <r>
      <rPr>
        <sz val="11"/>
        <color rgb="FF000000"/>
        <rFont val="Calibri"/>
        <family val="2"/>
      </rPr>
      <t>)</t>
    </r>
  </si>
  <si>
    <t>0.48</t>
  </si>
  <si>
    <t>0.000264</t>
  </si>
  <si>
    <r>
      <t>500 kWh t</t>
    </r>
    <r>
      <rPr>
        <sz val="8"/>
        <color rgb="FF000000"/>
        <rFont val="Calibri"/>
        <family val="2"/>
      </rPr>
      <t>−1</t>
    </r>
    <r>
      <rPr>
        <sz val="11"/>
        <color rgb="FF000000"/>
        <rFont val="Calibri"/>
        <family val="2"/>
      </rPr>
      <t> unrefined lipid</t>
    </r>
  </si>
  <si>
    <t>0.5</t>
  </si>
  <si>
    <t>1.8</t>
  </si>
  <si>
    <r>
      <t>N (g·kg</t>
    </r>
    <r>
      <rPr>
        <sz val="10"/>
        <color rgb="FF000000"/>
        <rFont val="Calibri"/>
        <family val="2"/>
      </rPr>
      <t>−1</t>
    </r>
    <r>
      <rPr>
        <sz val="11"/>
        <color rgb="FF000000"/>
        <rFont val="Calibri"/>
        <family val="2"/>
      </rPr>
      <t>)</t>
    </r>
  </si>
  <si>
    <t>10.9</t>
  </si>
  <si>
    <t>0.046</t>
  </si>
  <si>
    <t>2.53E-05</t>
  </si>
  <si>
    <t>"Nitrogen is brought by calcium nitrate, phosphorus is brought by single superphosphate, potassium is brought by potassium chloride, and magnesium is brough by magnesium phosphate."</t>
  </si>
  <si>
    <r>
      <t>740 kg t</t>
    </r>
    <r>
      <rPr>
        <sz val="8"/>
        <color rgb="FF000000"/>
        <rFont val="Calibri"/>
        <family val="2"/>
      </rPr>
      <t>−1</t>
    </r>
    <r>
      <rPr>
        <sz val="11"/>
        <color rgb="FF000000"/>
        <rFont val="Calibri"/>
        <family val="2"/>
      </rPr>
      <t> lipid</t>
    </r>
  </si>
  <si>
    <t>0.74</t>
  </si>
  <si>
    <r>
      <t>P (g·kg</t>
    </r>
    <r>
      <rPr>
        <sz val="10"/>
        <color rgb="FF000000"/>
        <rFont val="Calibri"/>
        <family val="2"/>
      </rPr>
      <t>−1</t>
    </r>
    <r>
      <rPr>
        <sz val="11"/>
        <color rgb="FF000000"/>
        <rFont val="Calibri"/>
        <family val="2"/>
      </rPr>
      <t>)</t>
    </r>
  </si>
  <si>
    <t>9.9</t>
  </si>
  <si>
    <t>2.4</t>
  </si>
  <si>
    <t>0.0099</t>
  </si>
  <si>
    <t>5.45E-06</t>
  </si>
  <si>
    <r>
      <t>0.3 kg t</t>
    </r>
    <r>
      <rPr>
        <sz val="8"/>
        <color rgb="FF000000"/>
        <rFont val="Calibri"/>
        <family val="2"/>
      </rPr>
      <t>−1</t>
    </r>
    <r>
      <rPr>
        <sz val="11"/>
        <color rgb="FF000000"/>
        <rFont val="Calibri"/>
        <family val="2"/>
      </rPr>
      <t> lipid</t>
    </r>
  </si>
  <si>
    <r>
      <t>K (g·kg</t>
    </r>
    <r>
      <rPr>
        <sz val="10"/>
        <color rgb="FF000000"/>
        <rFont val="Calibri"/>
        <family val="2"/>
      </rPr>
      <t>−1</t>
    </r>
    <r>
      <rPr>
        <sz val="11"/>
        <color rgb="FF000000"/>
        <rFont val="Calibri"/>
        <family val="2"/>
      </rPr>
      <t>)</t>
    </r>
  </si>
  <si>
    <t>8.2</t>
  </si>
  <si>
    <t>0.0082</t>
  </si>
  <si>
    <t>4.51E-06</t>
  </si>
  <si>
    <r>
      <t>3 kg t</t>
    </r>
    <r>
      <rPr>
        <sz val="8"/>
        <color rgb="FF000000"/>
        <rFont val="Calibri"/>
        <family val="2"/>
      </rPr>
      <t>−1</t>
    </r>
    <r>
      <rPr>
        <sz val="11"/>
        <color rgb="FF000000"/>
        <rFont val="Calibri"/>
        <family val="2"/>
      </rPr>
      <t> lipid</t>
    </r>
  </si>
  <si>
    <r>
      <t>Mg (g·kg</t>
    </r>
    <r>
      <rPr>
        <sz val="10"/>
        <color rgb="FF000000"/>
        <rFont val="Calibri"/>
        <family val="2"/>
      </rPr>
      <t>−1</t>
    </r>
    <r>
      <rPr>
        <sz val="11"/>
        <color rgb="FF000000"/>
        <rFont val="Calibri"/>
        <family val="2"/>
      </rPr>
      <t>)</t>
    </r>
  </si>
  <si>
    <t>0.9</t>
  </si>
  <si>
    <t>0.0038</t>
  </si>
  <si>
    <t>2.09E-06</t>
  </si>
  <si>
    <t>Clay</t>
  </si>
  <si>
    <r>
      <t>5 kg t</t>
    </r>
    <r>
      <rPr>
        <sz val="8"/>
        <color rgb="FF000000"/>
        <rFont val="Calibri"/>
        <family val="2"/>
      </rPr>
      <t>−1</t>
    </r>
    <r>
      <rPr>
        <sz val="11"/>
        <color rgb="FF000000"/>
        <rFont val="Calibri"/>
        <family val="2"/>
      </rPr>
      <t> lipid</t>
    </r>
  </si>
  <si>
    <t>0.005</t>
  </si>
  <si>
    <r>
      <t>S (g·kg</t>
    </r>
    <r>
      <rPr>
        <sz val="10"/>
        <color rgb="FF000000"/>
        <rFont val="Calibri"/>
        <family val="2"/>
      </rPr>
      <t>−1</t>
    </r>
    <r>
      <rPr>
        <sz val="11"/>
        <color rgb="FF000000"/>
        <rFont val="Calibri"/>
        <family val="2"/>
      </rPr>
      <t>)</t>
    </r>
  </si>
  <si>
    <t>0.0022</t>
  </si>
  <si>
    <t>1.21E-06</t>
  </si>
  <si>
    <t>Heat (steam)</t>
  </si>
  <si>
    <r>
      <t>350 MJ t</t>
    </r>
    <r>
      <rPr>
        <sz val="8"/>
        <color rgb="FF000000"/>
        <rFont val="Calibri"/>
        <family val="2"/>
      </rPr>
      <t>−1</t>
    </r>
    <r>
      <rPr>
        <sz val="11"/>
        <color rgb="FF000000"/>
        <rFont val="Calibri"/>
        <family val="2"/>
      </rPr>
      <t> lipid</t>
    </r>
  </si>
  <si>
    <r>
      <t>CO</t>
    </r>
    <r>
      <rPr>
        <sz val="10"/>
        <color rgb="FF000000"/>
        <rFont val="Calibri"/>
        <family val="2"/>
      </rPr>
      <t>2</t>
    </r>
    <r>
      <rPr>
        <sz val="11"/>
        <color rgb="FF000000"/>
        <rFont val="Calibri"/>
        <family val="2"/>
      </rPr>
      <t> (kg·kg</t>
    </r>
    <r>
      <rPr>
        <sz val="10"/>
        <color rgb="FF000000"/>
        <rFont val="Calibri"/>
        <family val="2"/>
      </rPr>
      <t>−1</t>
    </r>
    <r>
      <rPr>
        <sz val="11"/>
        <color rgb="FF000000"/>
        <rFont val="Calibri"/>
        <family val="2"/>
      </rPr>
      <t>)</t>
    </r>
  </si>
  <si>
    <t>2.0</t>
  </si>
  <si>
    <t>0.00099</t>
  </si>
  <si>
    <t>Electricity (fractionation)</t>
  </si>
  <si>
    <r>
      <t>13 kWh t</t>
    </r>
    <r>
      <rPr>
        <sz val="8"/>
        <color rgb="FF000000"/>
        <rFont val="Calibri"/>
        <family val="2"/>
      </rPr>
      <t>−1</t>
    </r>
    <r>
      <rPr>
        <sz val="11"/>
        <color rgb="FF000000"/>
        <rFont val="Calibri"/>
        <family val="2"/>
      </rPr>
      <t> lipid</t>
    </r>
  </si>
  <si>
    <t>0.013</t>
  </si>
  <si>
    <t>0.0468</t>
  </si>
  <si>
    <r>
      <t>growth rate (day</t>
    </r>
    <r>
      <rPr>
        <sz val="10"/>
        <color rgb="FF000000"/>
        <rFont val="Calibri"/>
        <family val="2"/>
      </rPr>
      <t>−1</t>
    </r>
    <r>
      <rPr>
        <sz val="11"/>
        <color rgb="FF000000"/>
        <rFont val="Calibri"/>
        <family val="2"/>
      </rPr>
      <t>)</t>
    </r>
  </si>
  <si>
    <t>0.99</t>
  </si>
  <si>
    <t>0.77</t>
  </si>
  <si>
    <t>Water (fractionation)</t>
  </si>
  <si>
    <r>
      <t>100 kg t</t>
    </r>
    <r>
      <rPr>
        <sz val="8"/>
        <color rgb="FF000000"/>
        <rFont val="Calibri"/>
        <family val="2"/>
      </rPr>
      <t>−1</t>
    </r>
    <r>
      <rPr>
        <sz val="11"/>
        <color rgb="FF000000"/>
        <rFont val="Calibri"/>
        <family val="2"/>
      </rPr>
      <t> lipid</t>
    </r>
  </si>
  <si>
    <t>0.1</t>
  </si>
  <si>
    <r>
      <t>productivity (g·m</t>
    </r>
    <r>
      <rPr>
        <sz val="10"/>
        <color rgb="FF000000"/>
        <rFont val="Calibri"/>
        <family val="2"/>
      </rPr>
      <t>−2</t>
    </r>
    <r>
      <rPr>
        <sz val="11"/>
        <color rgb="FF000000"/>
        <rFont val="Calibri"/>
        <family val="2"/>
      </rPr>
      <t>·day</t>
    </r>
    <r>
      <rPr>
        <sz val="10"/>
        <color rgb="FF000000"/>
        <rFont val="Calibri"/>
        <family val="2"/>
      </rPr>
      <t>−1</t>
    </r>
    <r>
      <rPr>
        <sz val="11"/>
        <color rgb="FF000000"/>
        <rFont val="Calibri"/>
        <family val="2"/>
      </rPr>
      <t>)</t>
    </r>
  </si>
  <si>
    <t>24.75</t>
  </si>
  <si>
    <t>19.25</t>
  </si>
  <si>
    <t>Other possibly useful references</t>
  </si>
  <si>
    <r>
      <t>Bajželj, B., Laguzzi, F., &amp; Röös, E. (2021). The role of fats in the transition to sustainable diets. </t>
    </r>
    <r>
      <rPr>
        <i/>
        <sz val="10"/>
        <color rgb="FF222222"/>
        <rFont val="Arial"/>
        <family val="2"/>
        <charset val="1"/>
      </rPr>
      <t>The Lancet Planetary Health</t>
    </r>
    <r>
      <rPr>
        <sz val="10"/>
        <color rgb="FF222222"/>
        <rFont val="Arial"/>
        <family val="2"/>
        <charset val="1"/>
      </rPr>
      <t>, </t>
    </r>
    <r>
      <rPr>
        <i/>
        <sz val="10"/>
        <color rgb="FF222222"/>
        <rFont val="Arial"/>
        <family val="2"/>
        <charset val="1"/>
      </rPr>
      <t>5</t>
    </r>
    <r>
      <rPr>
        <sz val="10"/>
        <color rgb="FF222222"/>
        <rFont val="Arial"/>
        <family val="2"/>
        <charset val="1"/>
      </rPr>
      <t>(9), e644-e653.</t>
    </r>
  </si>
  <si>
    <r>
      <t>Parsons, S., Chuck, C. J., &amp; McManus, M. C. (2018). Microbial lipids: Progress in life cycle assessment (LCA) and future outlook of heterotrophic algae and yeast-derived oils. </t>
    </r>
    <r>
      <rPr>
        <i/>
        <sz val="10"/>
        <color rgb="FF222222"/>
        <rFont val="Arial"/>
        <family val="2"/>
        <charset val="1"/>
      </rPr>
      <t>Journal of Cleaner Production</t>
    </r>
    <r>
      <rPr>
        <sz val="10"/>
        <color rgb="FF222222"/>
        <rFont val="Arial"/>
        <family val="2"/>
        <charset val="1"/>
      </rPr>
      <t>, </t>
    </r>
    <r>
      <rPr>
        <i/>
        <sz val="10"/>
        <color rgb="FF222222"/>
        <rFont val="Arial"/>
        <family val="2"/>
        <charset val="1"/>
      </rPr>
      <t>172</t>
    </r>
    <r>
      <rPr>
        <sz val="10"/>
        <color rgb="FF222222"/>
        <rFont val="Arial"/>
        <family val="2"/>
        <charset val="1"/>
      </rPr>
      <t>, 661-672.</t>
    </r>
  </si>
  <si>
    <r>
      <t>Bharathiraja, B., Sridharan, S., Sowmya, V., Yuvaraj, D., &amp; Praveenkumar, R. (2017). Microbial oil–a plausible alternate resource for food and fuel application. </t>
    </r>
    <r>
      <rPr>
        <i/>
        <sz val="10"/>
        <color rgb="FF222222"/>
        <rFont val="Arial"/>
        <family val="2"/>
        <charset val="1"/>
      </rPr>
      <t>Bioresource technology</t>
    </r>
    <r>
      <rPr>
        <sz val="10"/>
        <color rgb="FF222222"/>
        <rFont val="Arial"/>
        <family val="2"/>
        <charset val="1"/>
      </rPr>
      <t>, </t>
    </r>
    <r>
      <rPr>
        <i/>
        <sz val="10"/>
        <color rgb="FF222222"/>
        <rFont val="Arial"/>
        <family val="2"/>
        <charset val="1"/>
      </rPr>
      <t>233</t>
    </r>
    <r>
      <rPr>
        <sz val="10"/>
        <color rgb="FF222222"/>
        <rFont val="Arial"/>
        <family val="2"/>
        <charset val="1"/>
      </rPr>
      <t>, 423-432.</t>
    </r>
  </si>
  <si>
    <r>
      <t>Cheirsilp, B., &amp; Louhasakul, Y. (2013). Industrial wastes as a promising renewable source for production of microbial lipid and direct transesterification of the lipid into biodiesel. </t>
    </r>
    <r>
      <rPr>
        <i/>
        <sz val="10"/>
        <color rgb="FF222222"/>
        <rFont val="Arial"/>
        <family val="2"/>
        <charset val="1"/>
      </rPr>
      <t>Bioresource technology</t>
    </r>
    <r>
      <rPr>
        <sz val="10"/>
        <color rgb="FF222222"/>
        <rFont val="Arial"/>
        <family val="2"/>
        <charset val="1"/>
      </rPr>
      <t>, </t>
    </r>
    <r>
      <rPr>
        <i/>
        <sz val="10"/>
        <color rgb="FF222222"/>
        <rFont val="Arial"/>
        <family val="2"/>
        <charset val="1"/>
      </rPr>
      <t>142</t>
    </r>
    <r>
      <rPr>
        <sz val="10"/>
        <color rgb="FF222222"/>
        <rFont val="Arial"/>
        <family val="2"/>
        <charset val="1"/>
      </rPr>
      <t>, 329-337.</t>
    </r>
  </si>
  <si>
    <r>
      <t>Thevenieau, F., &amp; Nicaud, J. M. (2013). Microorganisms as sources of oils. </t>
    </r>
    <r>
      <rPr>
        <i/>
        <sz val="10"/>
        <color rgb="FF222222"/>
        <rFont val="Arial"/>
        <family val="2"/>
        <charset val="1"/>
      </rPr>
      <t>Ocl</t>
    </r>
    <r>
      <rPr>
        <sz val="10"/>
        <color rgb="FF222222"/>
        <rFont val="Arial"/>
        <family val="2"/>
        <charset val="1"/>
      </rPr>
      <t>, </t>
    </r>
    <r>
      <rPr>
        <i/>
        <sz val="10"/>
        <color rgb="FF222222"/>
        <rFont val="Arial"/>
        <family val="2"/>
        <charset val="1"/>
      </rPr>
      <t>20</t>
    </r>
    <r>
      <rPr>
        <sz val="10"/>
        <color rgb="FF222222"/>
        <rFont val="Arial"/>
        <family val="2"/>
        <charset val="1"/>
      </rPr>
      <t>(6), D603.</t>
    </r>
  </si>
  <si>
    <t>LCA (but for biofuel not food)</t>
  </si>
  <si>
    <r>
      <t>Davis, R., Aden, A., &amp; Pienkos, P. T. (2011). Techno-economic analysis of autotrophic microalgae for fuel production. </t>
    </r>
    <r>
      <rPr>
        <i/>
        <sz val="10"/>
        <color rgb="FF222222"/>
        <rFont val="Arial"/>
        <family val="2"/>
        <charset val="1"/>
      </rPr>
      <t>Applied Energy</t>
    </r>
    <r>
      <rPr>
        <sz val="10"/>
        <color rgb="FF222222"/>
        <rFont val="Arial"/>
        <family val="2"/>
        <charset val="1"/>
      </rPr>
      <t>, </t>
    </r>
    <r>
      <rPr>
        <i/>
        <sz val="10"/>
        <color rgb="FF222222"/>
        <rFont val="Arial"/>
        <family val="2"/>
        <charset val="1"/>
      </rPr>
      <t>88</t>
    </r>
    <r>
      <rPr>
        <sz val="10"/>
        <color rgb="FF222222"/>
        <rFont val="Arial"/>
        <family val="2"/>
        <charset val="1"/>
      </rPr>
      <t>(10), 3524-3531.</t>
    </r>
  </si>
  <si>
    <r>
      <t>Benemann, J., Woertz, I., &amp; Lundquist, T. (2012). Life cycle assessment for microalgae oil production. </t>
    </r>
    <r>
      <rPr>
        <i/>
        <sz val="10"/>
        <color rgb="FF222222"/>
        <rFont val="Arial"/>
        <family val="2"/>
        <charset val="1"/>
      </rPr>
      <t>Disruptive Science and Technology</t>
    </r>
    <r>
      <rPr>
        <sz val="10"/>
        <color rgb="FF222222"/>
        <rFont val="Arial"/>
        <family val="2"/>
        <charset val="1"/>
      </rPr>
      <t>, </t>
    </r>
    <r>
      <rPr>
        <i/>
        <sz val="10"/>
        <color rgb="FF222222"/>
        <rFont val="Arial"/>
        <family val="2"/>
        <charset val="1"/>
      </rPr>
      <t>1</t>
    </r>
    <r>
      <rPr>
        <sz val="10"/>
        <color rgb="FF222222"/>
        <rFont val="Arial"/>
        <family val="2"/>
        <charset val="1"/>
      </rPr>
      <t>(2), 68-78.</t>
    </r>
  </si>
  <si>
    <r>
      <t>Connelly, E. B., Colosi, L. M., Clarens, A. F., &amp; Lambert, J. H. (2015). Life cycle assessment of biofuels from algae hydrothermal liquefaction: the upstream and downstream factors affecting regulatory compliance. </t>
    </r>
    <r>
      <rPr>
        <i/>
        <sz val="10"/>
        <color rgb="FF222222"/>
        <rFont val="Arial"/>
        <family val="2"/>
        <charset val="1"/>
      </rPr>
      <t>Energy &amp; Fuels</t>
    </r>
    <r>
      <rPr>
        <sz val="10"/>
        <color rgb="FF222222"/>
        <rFont val="Arial"/>
        <family val="2"/>
        <charset val="1"/>
      </rPr>
      <t>, </t>
    </r>
    <r>
      <rPr>
        <i/>
        <sz val="10"/>
        <color rgb="FF222222"/>
        <rFont val="Arial"/>
        <family val="2"/>
        <charset val="1"/>
      </rPr>
      <t>29</t>
    </r>
    <r>
      <rPr>
        <sz val="10"/>
        <color rgb="FF222222"/>
        <rFont val="Arial"/>
        <family val="2"/>
        <charset val="1"/>
      </rPr>
      <t>(3), 1653-1661.</t>
    </r>
  </si>
  <si>
    <r>
      <t>Sitepu, I. R., Garay, L. A., Sestric, R., Levin, D., Block, D. E., German, J. B., &amp; Boundy-Mills, K. L. (2014). Oleaginous yeasts for biodiesel: current and future trends in biology and production. </t>
    </r>
    <r>
      <rPr>
        <i/>
        <sz val="10"/>
        <color rgb="FF222222"/>
        <rFont val="Arial"/>
        <family val="2"/>
        <charset val="1"/>
      </rPr>
      <t>Biotechnology advances</t>
    </r>
    <r>
      <rPr>
        <sz val="10"/>
        <color rgb="FF222222"/>
        <rFont val="Arial"/>
        <family val="2"/>
        <charset val="1"/>
      </rPr>
      <t>, </t>
    </r>
    <r>
      <rPr>
        <i/>
        <sz val="10"/>
        <color rgb="FF222222"/>
        <rFont val="Arial"/>
        <family val="2"/>
        <charset val="1"/>
      </rPr>
      <t>32</t>
    </r>
    <r>
      <rPr>
        <sz val="10"/>
        <color rgb="FF222222"/>
        <rFont val="Arial"/>
        <family val="2"/>
        <charset val="1"/>
      </rPr>
      <t>(7), 1336-1360.</t>
    </r>
  </si>
  <si>
    <t>Microbial Protein</t>
  </si>
  <si>
    <t>Solein (Solar Foods Oy - Finland)</t>
  </si>
  <si>
    <t>Finnish average energy mix (FAEM)</t>
  </si>
  <si>
    <t>Cupriavidus necator</t>
  </si>
  <si>
    <t>??</t>
  </si>
  <si>
    <t>Tap water (kg)</t>
  </si>
  <si>
    <t>Low Pressure steam (kg)b:</t>
  </si>
  <si>
    <t>Drying</t>
  </si>
  <si>
    <t>NH3</t>
  </si>
  <si>
    <t>0,11 kg of Nutrient solution per kg MP --&gt; ingredients list in Table S1 below</t>
  </si>
  <si>
    <t>Cleaning in place</t>
  </si>
  <si>
    <t>KH2PO4</t>
  </si>
  <si>
    <t>Na2HPO4 * 2H2 O</t>
  </si>
  <si>
    <t>MgSO4 * 7 H2O</t>
  </si>
  <si>
    <t>CaSO4</t>
  </si>
  <si>
    <t>"Methanotrophic bacteria obtain energy and carbon from methane, whereas hydrogen-oxidizing bacteria (HOB) utilize hydrogen and carbon dioxide; therefore, crops are not needed as a source of carbon."</t>
  </si>
  <si>
    <t>MnSO4</t>
  </si>
  <si>
    <t>NaVO3 * H2O</t>
  </si>
  <si>
    <t>FeSO4</t>
  </si>
  <si>
    <t>ZnSO4 * 7 H2O</t>
  </si>
  <si>
    <t>H3BO3</t>
  </si>
  <si>
    <t>CoSO4</t>
  </si>
  <si>
    <t>CuSO4</t>
  </si>
  <si>
    <t>NiSO2</t>
  </si>
  <si>
    <t>Na2MoO2  * 2 H2O</t>
  </si>
  <si>
    <t>CO2 (kg)b</t>
  </si>
  <si>
    <t>Ammonia water 25 wt-% (NH3) (kg)</t>
  </si>
  <si>
    <t>LP steam (kg)</t>
  </si>
  <si>
    <t>Sodium hydroxide (NaOH) (kg)</t>
  </si>
  <si>
    <t>Nitric acid (HNO3) (kg)</t>
  </si>
  <si>
    <t>Water (kg)</t>
  </si>
  <si>
    <t>Järviö, N., Maljanen, N. L., Kobayashi, Y., Ryynänen, T., &amp; Tuomisto, H. L. (2021). An attributional life cycle assessment of microbial protein production: a case study on using hydrogen-oxidizing bacteria. Science of the Total Environment, 776, 145764.</t>
  </si>
  <si>
    <t>https://www.sciencedirect.com/science/article/pii/S0048969721008317#s0010</t>
  </si>
  <si>
    <t>RAC (see bwlow)</t>
  </si>
  <si>
    <t>The production occurs in a continuous stirred-tank bioreactor where the bacteria grow continuously in steady-state conditions. Hydrogen, oxygen, and CO2 gases are the main inputs into the fermentation. </t>
  </si>
  <si>
    <t>Water-based liquid mineral medium is supplied continuously to the cultivation through filter sterilization. The medium contains ammonium as a nitrogen source and inorganic salts containing sulfur, phosphorus, magnesium, sodium, potassium, iron, and calcium. Manganese, zinc, vanadium, boron, molybdenum, cobalt, nickel, and copper are present in minor amounts. Phosphoric acid (H3PO4) and sodium hydroxide (NaOH) are used to control pH. </t>
  </si>
  <si>
    <t>(See inventory data in SI below)</t>
  </si>
  <si>
    <t>Energy Requirements</t>
  </si>
  <si>
    <t>Renewable - total</t>
  </si>
  <si>
    <t>Non-renewable - total</t>
  </si>
  <si>
    <t>CED - total</t>
  </si>
  <si>
    <t>scenario</t>
  </si>
  <si>
    <t>count</t>
  </si>
  <si>
    <t>FAEM</t>
  </si>
  <si>
    <t>Finnish Average Electricty Mix</t>
  </si>
  <si>
    <t>mean</t>
  </si>
  <si>
    <t>std</t>
  </si>
  <si>
    <t>min</t>
  </si>
  <si>
    <t>25%</t>
  </si>
  <si>
    <t>50%</t>
  </si>
  <si>
    <t>75%</t>
  </si>
  <si>
    <t>max</t>
  </si>
  <si>
    <t>FHE</t>
  </si>
  <si>
    <t>Finnish Hydropower Energy</t>
  </si>
  <si>
    <t>Supplementary Information Table of Contents</t>
  </si>
  <si>
    <t>ReCiPe results FAEM &amp; FHE</t>
  </si>
  <si>
    <t>ReCiPe</t>
  </si>
  <si>
    <t>Results of all scenarios</t>
  </si>
  <si>
    <t>Results various energy options</t>
  </si>
  <si>
    <t>The results for the different eletricity mixes used for Finland</t>
  </si>
  <si>
    <t>FAEM_MC_95</t>
  </si>
  <si>
    <t>Monte carlo results for the BAU scenario with 95% confidence</t>
  </si>
  <si>
    <t>FAEM_MC_90</t>
  </si>
  <si>
    <t>Monte carlo results for the BAU scenario with 90% confidence</t>
  </si>
  <si>
    <t>FHE_MC_95</t>
  </si>
  <si>
    <t>Monte carlo results for the RE scenario with 95% confidence</t>
  </si>
  <si>
    <t>FHE_MC_90</t>
  </si>
  <si>
    <t>Monte carlo results for the RE scenario with 90% confidence</t>
  </si>
  <si>
    <t>Protein  comparison results</t>
  </si>
  <si>
    <t>Comparison</t>
  </si>
  <si>
    <t>Calculations of the LCA comparison of MP with other protein sources</t>
  </si>
  <si>
    <t>Wastewater treatment</t>
  </si>
  <si>
    <t>Data</t>
  </si>
  <si>
    <t>Data required to calculate the environmental impact of wastewater treatment option</t>
  </si>
  <si>
    <t>LCI UF + RO recycling system</t>
  </si>
  <si>
    <t>Life cycle inventory of wastewater treatment options</t>
  </si>
  <si>
    <t>LCI WWTP</t>
  </si>
  <si>
    <t>Calculation for the wastewater treatment options for the supernatant</t>
  </si>
  <si>
    <t>LCI WWTP for CIP</t>
  </si>
  <si>
    <t>Calculation for the wastewater treatment options for cleaning in place (CIP)</t>
  </si>
  <si>
    <t>Sensitivity_analysis</t>
  </si>
  <si>
    <t>Results of the different sensitivity test</t>
  </si>
  <si>
    <t>Cumulative energy demand results</t>
  </si>
  <si>
    <t>CED</t>
  </si>
  <si>
    <t>Results of the CED analysis</t>
  </si>
  <si>
    <t>Contribution analysis %</t>
  </si>
  <si>
    <t>Numbers of the contribution analysis in percentages</t>
  </si>
  <si>
    <t>Contribution_totals</t>
  </si>
  <si>
    <t>Total numbers of the contribution analysis</t>
  </si>
  <si>
    <t>Uncert. rang. &amp; Simapro model</t>
  </si>
  <si>
    <t>The model for the hourly outputs of 160 * FU in Simapro plus all uncertainty ranges calculated with the Pedigree method.</t>
  </si>
  <si>
    <t>Inputs for the production of microbial protein based on a hourly output of 160 kg of MP product at factory gate with 5% moisture content</t>
  </si>
  <si>
    <t>Microbial protein - HELSINKI</t>
  </si>
  <si>
    <t>Food\Other</t>
  </si>
  <si>
    <t>including 5% moisture (160 kg dry weight)</t>
  </si>
  <si>
    <t>land</t>
  </si>
  <si>
    <t>Undefined</t>
  </si>
  <si>
    <t>Based on 1580 m2</t>
  </si>
  <si>
    <t>Transformation, from grassland, natural, for livestock grazing</t>
  </si>
  <si>
    <t>Uncertainty type</t>
  </si>
  <si>
    <t>Uncertainty range</t>
  </si>
  <si>
    <t>Carbon dioxide, liquid {RER}| market for | Cut-off, U</t>
  </si>
  <si>
    <t>296,3*CO2_suppl</t>
  </si>
  <si>
    <t>(4,4,1,1,1,na)</t>
  </si>
  <si>
    <t>Tap water {HELSINKI}| market for | Cut-off, U</t>
  </si>
  <si>
    <t>(3792*Sc1+1228,8*Sc3)+(383*Steam_elec)</t>
  </si>
  <si>
    <t>(1,1,1,1,1,na)2 parts:</t>
  </si>
  <si>
    <t>part 1: Choose scenario water (Sc1 = no recycling, Sc3 = 80% recycling).</t>
  </si>
  <si>
    <t>Second one is only for if steam is produced onsite (See Neste report for details, both bioreactor block (173 kg/h) and media preparation and chemical block (210)</t>
  </si>
  <si>
    <t>(1,4,1,1,4,na)24.04 kg pure ammonia per 160 kg of DW biomass</t>
  </si>
  <si>
    <t>Tap water {Europe without Switzerland}| market for | Cut-off, U</t>
  </si>
  <si>
    <t>(1,4,1,1,4,na)24.04 kg pure ammonia per 160 kg of DW biomass. Ammonia water needed with 24.04 kg being 25% and 75% water. Tap water from EU source.</t>
  </si>
  <si>
    <t>Transport, freight, lorry 16-32 metric ton, euro4 {RER}| market for transport, freight, lorry 16-32 metric ton, EURO4 | Cut-off, U</t>
  </si>
  <si>
    <t>72,12/1000*400</t>
  </si>
  <si>
    <t>tkm</t>
  </si>
  <si>
    <t xml:space="preserve">(3,4,1,2,1,na)For the transportation of the water part of ammonia water for production of ammonia water, 400 km (one way) </t>
  </si>
  <si>
    <t>Magnesium sulfate {GLO}| market for | Cut-off, U</t>
  </si>
  <si>
    <t>Lognormal</t>
  </si>
  <si>
    <t>(1,4,1,1,1,na)</t>
  </si>
  <si>
    <t>Iron sulfate {RER}| production | Cut-off, U</t>
  </si>
  <si>
    <t>1,009/1000*100</t>
  </si>
  <si>
    <t>(3,1,1,2,1,na)Transport for iron sulfate (100 km)</t>
  </si>
  <si>
    <t>Transport, freight, aircraft, unspecified {GLO}| market for transport, freight, aircraft, unspecified | Cut-off, U</t>
  </si>
  <si>
    <t>1,009/1000*2250</t>
  </si>
  <si>
    <t>Transport of iron sulfate (1500 km)</t>
  </si>
  <si>
    <t>Sodium phosphate {RER}| production | Cut-off, U</t>
  </si>
  <si>
    <t>(1,4,1,1,4,na)</t>
  </si>
  <si>
    <t>5,94/1000*400</t>
  </si>
  <si>
    <t>Transport for Sodium phosphate (400 km)</t>
  </si>
  <si>
    <t>5,94/1000*1500</t>
  </si>
  <si>
    <t>Transport for Sodium phosphate (1500km)</t>
  </si>
  <si>
    <t>Potassium replacement | market for | Cut-off, U</t>
  </si>
  <si>
    <t>Gypsum, mineral {RER}| market for gypsum, mineral | Cut-off, U</t>
  </si>
  <si>
    <t>Sodium hydroxide, without water, in 50% solution state {GLO}| market for | Cut-off, U</t>
  </si>
  <si>
    <t>Boric oxide {GLO}| market for | Cut-off, U</t>
  </si>
  <si>
    <t>Cobalt {GLO}| market for | Cut-off, U</t>
  </si>
  <si>
    <t>Zinc monosulfate {RER}| market for zinc monosulfate | Cut-off, U</t>
  </si>
  <si>
    <t>Sodium {GLO}| market for | Cut-off, U</t>
  </si>
  <si>
    <t>Nickel sulfate {GLO}| market for | Cut-off, U</t>
  </si>
  <si>
    <t>Copper sulfate {GLO}| market for | Cut-off, U</t>
  </si>
  <si>
    <t>SF - Reclaimed water (Sc1)</t>
  </si>
  <si>
    <t>Sc1</t>
  </si>
  <si>
    <t>p</t>
  </si>
  <si>
    <t>SF - Reclaimed water (Sc3)</t>
  </si>
  <si>
    <t>Sc3</t>
  </si>
  <si>
    <t>Cleaning of facilities MP | Cleaning | Cut-off, U</t>
  </si>
  <si>
    <t>Based on the assumption of using 200 000 liters pe cleaning session and 4 sessions per year.</t>
  </si>
  <si>
    <t>831*steam_elec</t>
  </si>
  <si>
    <t>Heat, from steam, in chemical industry {RER}| market for heat, from steam, in chemical industry | Cut-off, U</t>
  </si>
  <si>
    <t>(1025,06+2224,1)*Steam_suppl</t>
  </si>
  <si>
    <t>see SI, 2.6764 MJ/kg</t>
  </si>
  <si>
    <t>(2966,257+(55*CO2_elec)+(284,74*Steam_elec)+9+21+(617,8*Steam_elec))*Finnish_mix_based</t>
  </si>
  <si>
    <t>Electricity, 100% HYDRO, medium voltage {FI}| market for | Cut-off, U</t>
  </si>
  <si>
    <t>(2966,257+(55*CO2_elec)+(284,74*Steam_elec)+9+21+(617,8*Steam_elec))*Hydro_based</t>
  </si>
  <si>
    <t>(1,1,1,2,1,na)</t>
  </si>
  <si>
    <t>Electricity, 100% WIND, medium voltage {FI}| market for | Cut-off, U</t>
  </si>
  <si>
    <t>(2966,257+(55*CO2_elec)+(284,74*Steam_elec)+9+21+(617,8*Steam_elec))*Wind_based</t>
  </si>
  <si>
    <t>(1,4,1,2,1,na)</t>
  </si>
  <si>
    <t>Electricity, low voltage {HELSINKI}| electricity production, photovoltaic, 3kWp slanted-roof installation, single-Si, panel, mounted | Cut-off, U</t>
  </si>
  <si>
    <t>(2966,257+(55*CO2_elec)+(284,74*Steam_elec)+9+21+(617,8*Steam_elec))*Solar_based</t>
  </si>
  <si>
    <t>Electricity, 100% NUCLEAR, medium voltage {FI}| market for | Cut-off, U</t>
  </si>
  <si>
    <t>(2966,257+(55*CO2_elec)+(284,74*Steam_elec)+9+21+(617,8*Steam_elec))*Nuclear_based</t>
  </si>
  <si>
    <t>233+1,29</t>
  </si>
  <si>
    <t>Hydrogen</t>
  </si>
  <si>
    <t>Carbon dioxide</t>
  </si>
  <si>
    <t>Nutrient solution (kg)--&gt; see ingredients list in Table S1 below</t>
  </si>
  <si>
    <t>0.11</t>
  </si>
  <si>
    <t>kg/kg</t>
  </si>
  <si>
    <t>Nutrient Solution</t>
  </si>
  <si>
    <t>Inventory data</t>
  </si>
  <si>
    <r>
      <t>Table S1</t>
    </r>
    <r>
      <rPr>
        <i/>
        <sz val="11"/>
        <color theme="2"/>
        <rFont val="Calibri"/>
        <family val="2"/>
        <charset val="1"/>
      </rPr>
      <t xml:space="preserve"> </t>
    </r>
    <r>
      <rPr>
        <sz val="11"/>
        <color theme="2"/>
        <rFont val="Calibri"/>
        <family val="2"/>
        <charset val="1"/>
      </rPr>
      <t>provides the full list of ingredients per hour of production. The hourly output was 160 kg of microbial protein (MP) at the factory gate with a 5% moisture content.</t>
    </r>
  </si>
  <si>
    <t>Table 9: Inventory data for the production of 1 kg dried biomass MP with 5% moisture content and 65% protein content.</t>
  </si>
  <si>
    <t>Table S1 : List of ingredients per FU</t>
  </si>
  <si>
    <t>Process</t>
  </si>
  <si>
    <t>Input amount</t>
  </si>
  <si>
    <t>Output</t>
  </si>
  <si>
    <t>Output amount</t>
  </si>
  <si>
    <t>Minerals</t>
  </si>
  <si>
    <t>kg/160 kg</t>
  </si>
  <si>
    <t>kg/kg prod</t>
  </si>
  <si>
    <t>All</t>
  </si>
  <si>
    <r>
      <t>Land occupation, industrial area for facilities (m</t>
    </r>
    <r>
      <rPr>
        <vertAlign val="superscript"/>
        <sz val="11"/>
        <color theme="2"/>
        <rFont val="Calibri"/>
        <family val="2"/>
        <scheme val="minor"/>
      </rPr>
      <t>2</t>
    </r>
    <r>
      <rPr>
        <sz val="11"/>
        <color theme="2"/>
        <rFont val="Calibri"/>
        <family val="2"/>
        <scheme val="minor"/>
      </rPr>
      <t>a)</t>
    </r>
  </si>
  <si>
    <r>
      <t>NH</t>
    </r>
    <r>
      <rPr>
        <vertAlign val="subscript"/>
        <sz val="11"/>
        <color theme="2"/>
        <rFont val="Calibri"/>
        <family val="2"/>
        <charset val="1"/>
      </rPr>
      <t>3</t>
    </r>
  </si>
  <si>
    <t>Land transformation, from grassland, natural, for livestock grazing</t>
  </si>
  <si>
    <r>
      <t>KH</t>
    </r>
    <r>
      <rPr>
        <vertAlign val="subscript"/>
        <sz val="11"/>
        <color theme="2"/>
        <rFont val="Calibri"/>
        <family val="2"/>
        <charset val="1"/>
      </rPr>
      <t>2</t>
    </r>
    <r>
      <rPr>
        <sz val="11"/>
        <color theme="2"/>
        <rFont val="Calibri"/>
        <family val="2"/>
        <charset val="1"/>
      </rPr>
      <t>PO</t>
    </r>
    <r>
      <rPr>
        <vertAlign val="subscript"/>
        <sz val="11"/>
        <color theme="2"/>
        <rFont val="Calibri"/>
        <family val="2"/>
        <charset val="1"/>
      </rPr>
      <t>4</t>
    </r>
  </si>
  <si>
    <t>Land transformation, to industrial area</t>
  </si>
  <si>
    <r>
      <t>Na</t>
    </r>
    <r>
      <rPr>
        <vertAlign val="subscript"/>
        <sz val="11"/>
        <color theme="2"/>
        <rFont val="Calibri"/>
        <family val="2"/>
        <charset val="1"/>
      </rPr>
      <t>2</t>
    </r>
    <r>
      <rPr>
        <sz val="11"/>
        <color theme="2"/>
        <rFont val="Calibri"/>
        <family val="2"/>
        <charset val="1"/>
      </rPr>
      <t>HPO</t>
    </r>
    <r>
      <rPr>
        <vertAlign val="subscript"/>
        <sz val="11"/>
        <color theme="2"/>
        <rFont val="Calibri"/>
        <family val="2"/>
        <charset val="1"/>
      </rPr>
      <t>4</t>
    </r>
    <r>
      <rPr>
        <sz val="11"/>
        <color theme="2"/>
        <rFont val="Calibri"/>
        <family val="2"/>
        <charset val="1"/>
      </rPr>
      <t xml:space="preserve"> * 2H</t>
    </r>
    <r>
      <rPr>
        <vertAlign val="subscript"/>
        <sz val="11"/>
        <color theme="2"/>
        <rFont val="Calibri"/>
        <family val="2"/>
        <charset val="1"/>
      </rPr>
      <t xml:space="preserve">2 </t>
    </r>
    <r>
      <rPr>
        <sz val="11"/>
        <color theme="2"/>
        <rFont val="Calibri"/>
        <family val="2"/>
        <charset val="1"/>
      </rPr>
      <t>O</t>
    </r>
  </si>
  <si>
    <r>
      <t>CIP (full cleaning cycle)</t>
    </r>
    <r>
      <rPr>
        <vertAlign val="superscript"/>
        <sz val="11"/>
        <color theme="2"/>
        <rFont val="Calibri"/>
        <family val="2"/>
        <scheme val="minor"/>
      </rPr>
      <t>a</t>
    </r>
  </si>
  <si>
    <r>
      <t>MgSO</t>
    </r>
    <r>
      <rPr>
        <vertAlign val="subscript"/>
        <sz val="11"/>
        <color theme="2"/>
        <rFont val="Calibri"/>
        <family val="2"/>
        <charset val="1"/>
      </rPr>
      <t>4</t>
    </r>
    <r>
      <rPr>
        <sz val="11"/>
        <color theme="2"/>
        <rFont val="Calibri"/>
        <family val="2"/>
        <charset val="1"/>
      </rPr>
      <t xml:space="preserve"> * 7 H</t>
    </r>
    <r>
      <rPr>
        <vertAlign val="subscript"/>
        <sz val="11"/>
        <color theme="2"/>
        <rFont val="Calibri"/>
        <family val="2"/>
        <charset val="1"/>
      </rPr>
      <t>2</t>
    </r>
    <r>
      <rPr>
        <sz val="11"/>
        <color theme="2"/>
        <rFont val="Calibri"/>
        <family val="2"/>
        <charset val="1"/>
      </rPr>
      <t>O</t>
    </r>
  </si>
  <si>
    <r>
      <t>CaSO</t>
    </r>
    <r>
      <rPr>
        <vertAlign val="subscript"/>
        <sz val="11"/>
        <color theme="2"/>
        <rFont val="Calibri"/>
        <family val="2"/>
        <charset val="1"/>
      </rPr>
      <t>4</t>
    </r>
  </si>
  <si>
    <r>
      <t>MnSO</t>
    </r>
    <r>
      <rPr>
        <vertAlign val="subscript"/>
        <sz val="11"/>
        <color theme="2"/>
        <rFont val="Calibri"/>
        <family val="2"/>
        <charset val="1"/>
      </rPr>
      <t>4</t>
    </r>
  </si>
  <si>
    <r>
      <t>LP steam (kg)</t>
    </r>
    <r>
      <rPr>
        <vertAlign val="superscript"/>
        <sz val="11"/>
        <color theme="2"/>
        <rFont val="Calibri"/>
        <family val="2"/>
        <scheme val="minor"/>
      </rPr>
      <t>b</t>
    </r>
    <r>
      <rPr>
        <sz val="11"/>
        <color theme="2"/>
        <rFont val="Calibri"/>
        <family val="2"/>
        <scheme val="minor"/>
      </rPr>
      <t>:</t>
    </r>
  </si>
  <si>
    <r>
      <t>NaVO</t>
    </r>
    <r>
      <rPr>
        <vertAlign val="subscript"/>
        <sz val="11"/>
        <color theme="2"/>
        <rFont val="Calibri"/>
        <family val="2"/>
        <charset val="1"/>
      </rPr>
      <t>3</t>
    </r>
    <r>
      <rPr>
        <sz val="11"/>
        <color theme="2"/>
        <rFont val="Calibri"/>
        <family val="2"/>
        <charset val="1"/>
      </rPr>
      <t xml:space="preserve"> * H</t>
    </r>
    <r>
      <rPr>
        <vertAlign val="subscript"/>
        <sz val="11"/>
        <color theme="2"/>
        <rFont val="Calibri"/>
        <family val="2"/>
        <charset val="1"/>
      </rPr>
      <t>2</t>
    </r>
    <r>
      <rPr>
        <sz val="11"/>
        <color theme="2"/>
        <rFont val="Calibri"/>
        <family val="2"/>
        <charset val="1"/>
      </rPr>
      <t>O</t>
    </r>
  </si>
  <si>
    <t>Bioreactor and sterilization</t>
  </si>
  <si>
    <r>
      <t>FeSO</t>
    </r>
    <r>
      <rPr>
        <vertAlign val="subscript"/>
        <sz val="11"/>
        <color theme="2"/>
        <rFont val="Calibri"/>
        <family val="2"/>
        <charset val="1"/>
      </rPr>
      <t>4</t>
    </r>
  </si>
  <si>
    <t>Media preparation and chemicals block</t>
  </si>
  <si>
    <r>
      <t>ZnSO</t>
    </r>
    <r>
      <rPr>
        <vertAlign val="subscript"/>
        <sz val="11"/>
        <color theme="2"/>
        <rFont val="Calibri"/>
        <family val="2"/>
        <charset val="1"/>
      </rPr>
      <t>4</t>
    </r>
    <r>
      <rPr>
        <sz val="11"/>
        <color theme="2"/>
        <rFont val="Calibri"/>
        <family val="2"/>
        <charset val="1"/>
      </rPr>
      <t xml:space="preserve"> * 7 H</t>
    </r>
    <r>
      <rPr>
        <vertAlign val="subscript"/>
        <sz val="11"/>
        <color theme="2"/>
        <rFont val="Calibri"/>
        <family val="2"/>
        <charset val="1"/>
      </rPr>
      <t>2</t>
    </r>
    <r>
      <rPr>
        <sz val="11"/>
        <color theme="2"/>
        <rFont val="Calibri"/>
        <family val="2"/>
        <charset val="1"/>
      </rPr>
      <t>O</t>
    </r>
  </si>
  <si>
    <t>Electricity, medium voltage (kWh):</t>
  </si>
  <si>
    <r>
      <t>H</t>
    </r>
    <r>
      <rPr>
        <vertAlign val="subscript"/>
        <sz val="11"/>
        <color theme="2"/>
        <rFont val="Calibri"/>
        <family val="2"/>
        <charset val="1"/>
      </rPr>
      <t>3</t>
    </r>
    <r>
      <rPr>
        <sz val="11"/>
        <color theme="2"/>
        <rFont val="Calibri"/>
        <family val="2"/>
        <charset val="1"/>
      </rPr>
      <t>BO</t>
    </r>
    <r>
      <rPr>
        <vertAlign val="subscript"/>
        <sz val="11"/>
        <color theme="2"/>
        <rFont val="Calibri"/>
        <family val="2"/>
        <charset val="1"/>
      </rPr>
      <t>3</t>
    </r>
  </si>
  <si>
    <r>
      <t>CoSO</t>
    </r>
    <r>
      <rPr>
        <vertAlign val="subscript"/>
        <sz val="11"/>
        <color theme="2"/>
        <rFont val="Calibri"/>
        <family val="2"/>
        <charset val="1"/>
      </rPr>
      <t>4</t>
    </r>
  </si>
  <si>
    <r>
      <t>CuSO</t>
    </r>
    <r>
      <rPr>
        <vertAlign val="subscript"/>
        <sz val="11"/>
        <color theme="2"/>
        <rFont val="Calibri"/>
        <family val="2"/>
        <charset val="1"/>
      </rPr>
      <t>4</t>
    </r>
  </si>
  <si>
    <t>Electrolyzer block</t>
  </si>
  <si>
    <r>
      <t>NiSO</t>
    </r>
    <r>
      <rPr>
        <vertAlign val="subscript"/>
        <sz val="11"/>
        <color theme="2"/>
        <rFont val="Calibri"/>
        <family val="2"/>
        <charset val="1"/>
      </rPr>
      <t>2</t>
    </r>
  </si>
  <si>
    <t>Nutrient solution (kg)</t>
  </si>
  <si>
    <r>
      <t>Na</t>
    </r>
    <r>
      <rPr>
        <vertAlign val="subscript"/>
        <sz val="11"/>
        <color theme="2"/>
        <rFont val="Calibri"/>
        <family val="2"/>
        <charset val="1"/>
      </rPr>
      <t>2</t>
    </r>
    <r>
      <rPr>
        <sz val="11"/>
        <color theme="2"/>
        <rFont val="Calibri"/>
        <family val="2"/>
        <charset val="1"/>
      </rPr>
      <t>MoO</t>
    </r>
    <r>
      <rPr>
        <vertAlign val="subscript"/>
        <sz val="11"/>
        <color theme="2"/>
        <rFont val="Calibri"/>
        <family val="2"/>
        <charset val="1"/>
      </rPr>
      <t xml:space="preserve">2 </t>
    </r>
    <r>
      <rPr>
        <sz val="11"/>
        <color theme="2"/>
        <rFont val="Calibri"/>
        <family val="2"/>
        <charset val="1"/>
      </rPr>
      <t xml:space="preserve"> * 2 H2O</t>
    </r>
  </si>
  <si>
    <r>
      <t>CO</t>
    </r>
    <r>
      <rPr>
        <vertAlign val="subscript"/>
        <sz val="11"/>
        <color theme="2"/>
        <rFont val="Calibri"/>
        <family val="2"/>
        <scheme val="minor"/>
      </rPr>
      <t>2</t>
    </r>
    <r>
      <rPr>
        <sz val="11"/>
        <color theme="2"/>
        <rFont val="Calibri"/>
        <family val="2"/>
        <scheme val="minor"/>
      </rPr>
      <t xml:space="preserve"> (kg)</t>
    </r>
    <r>
      <rPr>
        <vertAlign val="superscript"/>
        <sz val="11"/>
        <color theme="2"/>
        <rFont val="Calibri"/>
        <family val="2"/>
        <scheme val="minor"/>
      </rPr>
      <t>b</t>
    </r>
  </si>
  <si>
    <r>
      <t>Ammonia water 25 wt-% (NH</t>
    </r>
    <r>
      <rPr>
        <vertAlign val="subscript"/>
        <sz val="11"/>
        <color theme="2"/>
        <rFont val="Calibri"/>
        <family val="2"/>
        <scheme val="minor"/>
      </rPr>
      <t>3</t>
    </r>
    <r>
      <rPr>
        <sz val="11"/>
        <color theme="2"/>
        <rFont val="Calibri"/>
        <family val="2"/>
        <scheme val="minor"/>
      </rPr>
      <t>) (kg)</t>
    </r>
  </si>
  <si>
    <r>
      <t>Transportation, lorry (tkm)</t>
    </r>
    <r>
      <rPr>
        <vertAlign val="superscript"/>
        <sz val="11"/>
        <color theme="2"/>
        <rFont val="Calibri"/>
        <family val="2"/>
        <scheme val="minor"/>
      </rPr>
      <t>c</t>
    </r>
  </si>
  <si>
    <r>
      <t>Transportation, aircraft (tkm)</t>
    </r>
    <r>
      <rPr>
        <vertAlign val="superscript"/>
        <sz val="11"/>
        <color theme="2"/>
        <rFont val="Calibri"/>
        <family val="2"/>
        <scheme val="minor"/>
      </rPr>
      <t>c</t>
    </r>
  </si>
  <si>
    <r>
      <t>1.1</t>
    </r>
    <r>
      <rPr>
        <sz val="7"/>
        <color theme="2"/>
        <rFont val="Times New Roman"/>
        <family val="1"/>
      </rPr>
      <t xml:space="preserve"> </t>
    </r>
    <r>
      <rPr>
        <sz val="13"/>
        <color theme="2"/>
        <rFont val="Calibri Light"/>
        <family val="2"/>
        <charset val="1"/>
      </rPr>
      <t>Low-pressure steam</t>
    </r>
  </si>
  <si>
    <t>Broth (kg)</t>
  </si>
  <si>
    <t>Table S3: Low-pressure steam consumption per 160 kg dried biomass product.</t>
  </si>
  <si>
    <r>
      <t>O</t>
    </r>
    <r>
      <rPr>
        <vertAlign val="subscript"/>
        <sz val="11"/>
        <color theme="2"/>
        <rFont val="Calibri"/>
        <family val="2"/>
        <scheme val="minor"/>
      </rPr>
      <t xml:space="preserve">2 </t>
    </r>
    <r>
      <rPr>
        <sz val="11"/>
        <color theme="2"/>
        <rFont val="Calibri"/>
        <family val="2"/>
        <scheme val="minor"/>
      </rPr>
      <t>(kg)</t>
    </r>
  </si>
  <si>
    <t>KJ</t>
  </si>
  <si>
    <t>Reference</t>
  </si>
  <si>
    <t>MJ/kg</t>
  </si>
  <si>
    <r>
      <t>CO</t>
    </r>
    <r>
      <rPr>
        <vertAlign val="subscript"/>
        <sz val="11"/>
        <color theme="2"/>
        <rFont val="Calibri"/>
        <family val="2"/>
        <scheme val="minor"/>
      </rPr>
      <t xml:space="preserve">2 </t>
    </r>
    <r>
      <rPr>
        <sz val="11"/>
        <color theme="2"/>
        <rFont val="Calibri"/>
        <family val="2"/>
        <scheme val="minor"/>
      </rPr>
      <t xml:space="preserve"> (kg)</t>
    </r>
  </si>
  <si>
    <t>Sterilizer units</t>
  </si>
  <si>
    <t>156.12</t>
  </si>
  <si>
    <t>Solar foods</t>
  </si>
  <si>
    <r>
      <t>H</t>
    </r>
    <r>
      <rPr>
        <vertAlign val="subscript"/>
        <sz val="11"/>
        <color theme="2"/>
        <rFont val="Calibri"/>
        <family val="2"/>
        <scheme val="minor"/>
      </rPr>
      <t xml:space="preserve">2 </t>
    </r>
  </si>
  <si>
    <t>Pasteurization</t>
  </si>
  <si>
    <t>463017.2</t>
  </si>
  <si>
    <t>128.62</t>
  </si>
  <si>
    <t>2224088.4</t>
  </si>
  <si>
    <t>617.80</t>
  </si>
  <si>
    <t>3 251 826</t>
  </si>
  <si>
    <t>903.28</t>
  </si>
  <si>
    <t>Electricity (kWh)</t>
  </si>
  <si>
    <t>Low pressure steam heating value is 610 kWh per ton LP steam</t>
  </si>
  <si>
    <r>
      <t>Supernatant (kg)</t>
    </r>
    <r>
      <rPr>
        <vertAlign val="superscript"/>
        <sz val="11"/>
        <color theme="2"/>
        <rFont val="Calibri"/>
        <family val="2"/>
        <scheme val="minor"/>
      </rPr>
      <t>d</t>
    </r>
  </si>
  <si>
    <t>Concentrated broth (kg)</t>
  </si>
  <si>
    <t>4. 52</t>
  </si>
  <si>
    <r>
      <t>Nitrogen (g)</t>
    </r>
    <r>
      <rPr>
        <vertAlign val="superscript"/>
        <sz val="11"/>
        <color theme="2"/>
        <rFont val="Calibri"/>
        <family val="2"/>
        <scheme val="minor"/>
      </rPr>
      <t>c</t>
    </r>
  </si>
  <si>
    <r>
      <t>Table S4: Inventory data of CO</t>
    </r>
    <r>
      <rPr>
        <i/>
        <vertAlign val="subscript"/>
        <sz val="9"/>
        <color theme="2"/>
        <rFont val="Calibri"/>
        <family val="2"/>
        <charset val="1"/>
      </rPr>
      <t>2</t>
    </r>
    <r>
      <rPr>
        <i/>
        <sz val="9"/>
        <color theme="2"/>
        <rFont val="Calibri"/>
        <family val="2"/>
        <charset val="1"/>
      </rPr>
      <t xml:space="preserve"> production on site for the production of 160kg of MP (E. Aalbers, personal communication, July 3</t>
    </r>
    <r>
      <rPr>
        <i/>
        <vertAlign val="superscript"/>
        <sz val="9"/>
        <color theme="2"/>
        <rFont val="Calibri"/>
        <family val="2"/>
        <charset val="1"/>
      </rPr>
      <t>rd</t>
    </r>
    <r>
      <rPr>
        <i/>
        <sz val="9"/>
        <color theme="2"/>
        <rFont val="Calibri"/>
        <family val="2"/>
        <charset val="1"/>
      </rPr>
      <t>, 2019).</t>
    </r>
  </si>
  <si>
    <r>
      <t>Phosphorus (g)</t>
    </r>
    <r>
      <rPr>
        <vertAlign val="superscript"/>
        <sz val="11"/>
        <color theme="2"/>
        <rFont val="Calibri"/>
        <family val="2"/>
        <scheme val="minor"/>
      </rPr>
      <t>c</t>
    </r>
  </si>
  <si>
    <r>
      <t>BOD (g)</t>
    </r>
    <r>
      <rPr>
        <vertAlign val="superscript"/>
        <sz val="11"/>
        <color theme="2"/>
        <rFont val="Calibri"/>
        <family val="2"/>
        <scheme val="minor"/>
      </rPr>
      <t>c</t>
    </r>
  </si>
  <si>
    <r>
      <t>CO</t>
    </r>
    <r>
      <rPr>
        <b/>
        <vertAlign val="subscript"/>
        <sz val="11"/>
        <color theme="2"/>
        <rFont val="Calibri"/>
        <family val="2"/>
        <charset val="1"/>
      </rPr>
      <t xml:space="preserve">2 </t>
    </r>
    <r>
      <rPr>
        <b/>
        <sz val="11"/>
        <color theme="2"/>
        <rFont val="Calibri"/>
        <family val="2"/>
        <charset val="1"/>
      </rPr>
      <t>recovery</t>
    </r>
  </si>
  <si>
    <r>
      <t>CO</t>
    </r>
    <r>
      <rPr>
        <vertAlign val="subscript"/>
        <sz val="11"/>
        <color theme="2"/>
        <rFont val="Calibri"/>
        <family val="2"/>
        <charset val="1"/>
      </rPr>
      <t>2</t>
    </r>
    <r>
      <rPr>
        <sz val="11"/>
        <color theme="2"/>
        <rFont val="Calibri"/>
        <family val="2"/>
        <charset val="1"/>
      </rPr>
      <t xml:space="preserve"> (kg)</t>
    </r>
  </si>
  <si>
    <t>281.6</t>
  </si>
  <si>
    <r>
      <t>1</t>
    </r>
    <r>
      <rPr>
        <sz val="11"/>
        <color theme="2"/>
        <rFont val="Calibri"/>
        <family val="2"/>
        <charset val="1"/>
      </rPr>
      <t xml:space="preserve"> E. Aalbers, personal communication, July 3</t>
    </r>
    <r>
      <rPr>
        <vertAlign val="superscript"/>
        <sz val="11"/>
        <color theme="2"/>
        <rFont val="Calibri"/>
        <family val="2"/>
        <charset val="1"/>
      </rPr>
      <t>rd</t>
    </r>
    <r>
      <rPr>
        <sz val="11"/>
        <color theme="2"/>
        <rFont val="Calibri"/>
        <family val="2"/>
        <charset val="1"/>
      </rPr>
      <t>, 2019;</t>
    </r>
  </si>
  <si>
    <t>Dry biomass product (kg)</t>
  </si>
  <si>
    <r>
      <t xml:space="preserve"> </t>
    </r>
    <r>
      <rPr>
        <i/>
        <sz val="9"/>
        <color theme="2"/>
        <rFont val="Calibri"/>
        <family val="2"/>
        <charset val="1"/>
      </rPr>
      <t>Table S5: Inventory data for 1 CIP session (Eide et al. 2003)</t>
    </r>
  </si>
  <si>
    <r>
      <t>Cleaning in place</t>
    </r>
    <r>
      <rPr>
        <sz val="11"/>
        <color theme="2"/>
        <rFont val="Calibri"/>
        <family val="2"/>
        <scheme val="minor"/>
      </rPr>
      <t>(Eide et al. 2003)</t>
    </r>
  </si>
  <si>
    <t>Sodium hydroxide detergent (kg 50% NaOH)</t>
  </si>
  <si>
    <r>
      <t>Nitric acid (HNO</t>
    </r>
    <r>
      <rPr>
        <vertAlign val="subscript"/>
        <sz val="11"/>
        <color theme="2"/>
        <rFont val="Calibri"/>
        <family val="2"/>
        <scheme val="minor"/>
      </rPr>
      <t>3</t>
    </r>
    <r>
      <rPr>
        <sz val="11"/>
        <color theme="2"/>
        <rFont val="Calibri"/>
        <family val="2"/>
        <scheme val="minor"/>
      </rPr>
      <t>) (kg)</t>
    </r>
  </si>
  <si>
    <r>
      <t>Nitric acid detergent (kg 53% HNO</t>
    </r>
    <r>
      <rPr>
        <vertAlign val="subscript"/>
        <sz val="11"/>
        <color theme="2"/>
        <rFont val="Calibri"/>
        <family val="2"/>
        <charset val="1"/>
      </rPr>
      <t>3</t>
    </r>
    <r>
      <rPr>
        <sz val="11"/>
        <color theme="2"/>
        <rFont val="Calibri"/>
        <family val="2"/>
        <charset val="1"/>
      </rPr>
      <t>)</t>
    </r>
  </si>
  <si>
    <t>CIP (full cleaning cycle)</t>
  </si>
  <si>
    <t>Nitrogen (g)</t>
  </si>
  <si>
    <t>Phosphorus (g)</t>
  </si>
  <si>
    <r>
      <t>COD (g)</t>
    </r>
    <r>
      <rPr>
        <vertAlign val="superscript"/>
        <sz val="11"/>
        <color theme="2"/>
        <rFont val="Calibri"/>
        <family val="2"/>
        <scheme val="minor"/>
      </rPr>
      <t>c</t>
    </r>
  </si>
  <si>
    <t>BOD (g)</t>
  </si>
  <si>
    <r>
      <t xml:space="preserve">a </t>
    </r>
    <r>
      <rPr>
        <sz val="11"/>
        <color theme="2"/>
        <rFont val="Calibri"/>
        <family val="2"/>
        <scheme val="minor"/>
      </rPr>
      <t>Life cycle inventory (LCI) data was found for a CIP in dairies(Eide et al. 2003) and scaled to match the cleaning requirements of the production of MP based on water consumption reported by Solar Foods Oy. See SI1, section 3 for inputs and outputs for cleaning.</t>
    </r>
  </si>
  <si>
    <t>COD (g)</t>
  </si>
  <si>
    <t>1 064 400</t>
  </si>
  <si>
    <r>
      <t xml:space="preserve">b </t>
    </r>
    <r>
      <rPr>
        <sz val="11"/>
        <color theme="2"/>
        <rFont val="Calibri"/>
        <family val="2"/>
        <scheme val="minor"/>
      </rPr>
      <t>See SI1, section 2 for details on the inputs when produced on-site using renewable energy in the FHE scenario.</t>
    </r>
  </si>
  <si>
    <r>
      <t>c</t>
    </r>
    <r>
      <rPr>
        <sz val="11"/>
        <color theme="2"/>
        <rFont val="Calibri"/>
        <family val="2"/>
        <scheme val="minor"/>
      </rPr>
      <t xml:space="preserve"> See SI1 for additional information on calculations.</t>
    </r>
  </si>
  <si>
    <r>
      <t>d</t>
    </r>
    <r>
      <rPr>
        <sz val="11"/>
        <color theme="2"/>
        <rFont val="Calibri"/>
        <family val="2"/>
        <scheme val="minor"/>
      </rPr>
      <t xml:space="preserve"> Wastewater treatment, chemical reduction/oxidation process, municipal wastewater at wastewater treatment plant RER (ELCD database)</t>
    </r>
  </si>
  <si>
    <r>
      <t xml:space="preserve">e </t>
    </r>
    <r>
      <rPr>
        <sz val="11"/>
        <color theme="2"/>
        <rFont val="Calibri"/>
        <family val="2"/>
        <scheme val="minor"/>
      </rPr>
      <t>Calculated based on an assumed 50 year operation time.</t>
    </r>
  </si>
  <si>
    <t>Other possible sources</t>
  </si>
  <si>
    <t>Khoshnevisan, B., Tabatabaei, M., Tsapekos, P., Rafiee, S., Aghbashlo, M., Lindeneg, S., &amp; Angelidaki, I. (2020). Environmental life cycle assessment of different biorefinery platforms valorizing municipal solid waste to bioenergy, microbial protein, lactic and succinic acid. Renewable and Sustainable Energy Reviews, 117, 109493.</t>
  </si>
  <si>
    <t>Spiller, M., Muys, M., Papini, G., Sakarika, M., Buyle, M., &amp; Vlaeminck, S. E. (2020). Environmental impact of microbial protein from potato wastewater as feed ingredient: Comparative consequential life cycle assessment of three production systems and soybean meal. Water research, 171, 115406.</t>
  </si>
  <si>
    <t>Sillman, J., Uusitalo, V., Ruuskanen, V., Ojala, L., Kahiluoto, H., Soukka, R., &amp; Ahola, J. (2020). A life cycle environmental sustainability analysis of microbial protein production via power-to-food approaches. The International Journal of Life Cycle Assessment, 25, 2190-2203.</t>
  </si>
  <si>
    <r>
      <rPr>
        <b/>
        <sz val="15"/>
        <color rgb="FF44546A"/>
        <rFont val="Calibri"/>
        <family val="2"/>
        <scheme val="minor"/>
      </rPr>
      <t>Insect (</t>
    </r>
    <r>
      <rPr>
        <b/>
        <i/>
        <sz val="15"/>
        <color rgb="FF44546A"/>
        <rFont val="Calibri"/>
        <family val="2"/>
        <scheme val="minor"/>
      </rPr>
      <t>H. illucens</t>
    </r>
    <r>
      <rPr>
        <b/>
        <sz val="15"/>
        <color rgb="FF44546A"/>
        <rFont val="Calibri"/>
        <family val="2"/>
        <scheme val="minor"/>
      </rPr>
      <t>)</t>
    </r>
  </si>
  <si>
    <t>Hermetia illucens*</t>
  </si>
  <si>
    <t>Smetana et al. (2016)</t>
  </si>
  <si>
    <t>*H. illucens, high moisture intermediate, meat substitute**</t>
  </si>
  <si>
    <t>Rye meal</t>
  </si>
  <si>
    <t>Tap Water - Feeding/Harvesting/Processing</t>
  </si>
  <si>
    <t>Wheat bran</t>
  </si>
  <si>
    <t>Tap Water - High moisture intermediate production</t>
  </si>
  <si>
    <t>Soybean meal</t>
  </si>
  <si>
    <t>All inputs accounted for in total (no minor inputs)</t>
  </si>
  <si>
    <t>1.36–15.1</t>
  </si>
  <si>
    <t>**kg insect meal baseline (1)/kg insect meat substitute</t>
  </si>
  <si>
    <t>Smetana, S., Palanisamy, M., Mathys, A., &amp; Heinz, V. (2016). Sustainability of insect use for feed and food: Life Cycle Assessment perspective. Journal of cleaner production, 137, 741-751.</t>
  </si>
  <si>
    <t>Table 1. Life cycle inventory of main insect production and processing stages used in the study.</t>
  </si>
  <si>
    <t>Table 2. Comparison of impact results for midpoint categories with literature sources (recalculated for FU 1 kg of insect protein meal).</t>
  </si>
  <si>
    <t>Scenario/product</t>
  </si>
  <si>
    <t>Resources used per FU (1 kg of a product) + 0.9 kg fat</t>
  </si>
  <si>
    <t>LCA studies</t>
  </si>
  <si>
    <t>Midpoint impact categories</t>
  </si>
  <si>
    <t>Main raw material inputs</t>
  </si>
  <si>
    <t>Electricity, MJ</t>
  </si>
  <si>
    <t>Heat, MJ</t>
  </si>
  <si>
    <t>Tap water, kg</t>
  </si>
  <si>
    <t>GWP, kg CO2 eq.</t>
  </si>
  <si>
    <t>Energy use, MJ</t>
  </si>
  <si>
    <t>Land use, m2 arable</t>
  </si>
  <si>
    <t>(1) Baseline/PP</t>
  </si>
  <si>
    <t>20.66 kg ryemeal</t>
  </si>
  <si>
    <t>0.76 kg wheat bran</t>
  </si>
  <si>
    <t>HLA (van Zanten et al., 2015)</t>
  </si>
  <si>
    <t>(2) Chicken manure/PP</t>
  </si>
  <si>
    <t>79.8 kg chicken manure</t>
  </si>
  <si>
    <t>39.9 kg for biowaste treatment</t>
  </si>
  <si>
    <t>HLB (Roffeis et al., 2015)</t>
  </si>
  <si>
    <t>159.85–288.15</t>
  </si>
  <si>
    <t>2.79–5.32</t>
  </si>
  <si>
    <t>(3) Cattle manure/PP</t>
  </si>
  <si>
    <t>79.8 kg cattle manure</t>
  </si>
  <si>
    <t>BSFC (Komakech et al., 2015)</t>
  </si>
  <si>
    <t>(4) Beet pulp/PP</t>
  </si>
  <si>
    <t>109.9 kg beet pulp*</t>
  </si>
  <si>
    <t>BSFD (Muys et al., 2014)</t>
  </si>
  <si>
    <t>13.4–64.06</t>
  </si>
  <si>
    <t>0.01–0.04</t>
  </si>
  <si>
    <t>(5) DDGS/PP</t>
  </si>
  <si>
    <t>25.46 kg DDGS</t>
  </si>
  <si>
    <t>MWE (Oonincx and de Boer, 2012)</t>
  </si>
  <si>
    <t>(6) Municipal waste/PP</t>
  </si>
  <si>
    <t>40.28 kg municipal organic waste *</t>
  </si>
  <si>
    <t>18.05 kg for biowaste treatment</t>
  </si>
  <si>
    <t>MWF (Smetana et al., 2015)</t>
  </si>
  <si>
    <t>7.1–7.55</t>
  </si>
  <si>
    <t>80.0–101.0</t>
  </si>
  <si>
    <t>3.75–3.8</t>
  </si>
  <si>
    <t>(7) Generic feed/PP</t>
  </si>
  <si>
    <t>0.35 kg soybean meal; 0.31 kg maize; 0.17 kg sweet sorghum seeds</t>
  </si>
  <si>
    <t>0.17 kg barley grain, DDGS, rape meal, molasses, etc.</t>
  </si>
  <si>
    <t>BSFG (Salomone et al., 2016)</t>
  </si>
  <si>
    <t>(8) Fishmeal/PP</t>
  </si>
  <si>
    <t>4,66 kg fish byproducts mix to produce</t>
  </si>
  <si>
    <t>BSF modelG this study</t>
  </si>
  <si>
    <t>21.2–99.6</t>
  </si>
  <si>
    <t>0.032–7.03</t>
  </si>
  <si>
    <t>(9) Chicken feed/PP</t>
  </si>
  <si>
    <t>0.58 kg maize meal, 0.34 kg soybean meal</t>
  </si>
  <si>
    <t>0.05 kg soybean oil, 0.03 kg minerals and vitamins</t>
  </si>
  <si>
    <r>
      <t>Note: HL – larvae of </t>
    </r>
    <r>
      <rPr>
        <i/>
        <sz val="10"/>
        <color theme="1"/>
        <rFont val="Calibri"/>
        <family val="2"/>
        <scheme val="minor"/>
      </rPr>
      <t>Musca domestica</t>
    </r>
    <r>
      <rPr>
        <sz val="10"/>
        <color theme="1"/>
        <rFont val="Calibri"/>
        <family val="2"/>
        <scheme val="minor"/>
      </rPr>
      <t>; BSF – larvae of </t>
    </r>
    <r>
      <rPr>
        <i/>
        <sz val="10"/>
        <color theme="1"/>
        <rFont val="Calibri"/>
        <family val="2"/>
        <scheme val="minor"/>
      </rPr>
      <t>Hermetia illucens</t>
    </r>
    <r>
      <rPr>
        <sz val="10"/>
        <color theme="1"/>
        <rFont val="Calibri"/>
        <family val="2"/>
        <scheme val="minor"/>
      </rPr>
      <t>; MW – larvae of </t>
    </r>
    <r>
      <rPr>
        <i/>
        <sz val="10"/>
        <color theme="1"/>
        <rFont val="Calibri"/>
        <family val="2"/>
        <scheme val="minor"/>
      </rPr>
      <t>Tenebrio molitor</t>
    </r>
    <r>
      <rPr>
        <sz val="10"/>
        <color theme="1"/>
        <rFont val="Calibri"/>
        <family val="2"/>
        <scheme val="minor"/>
      </rPr>
      <t>; </t>
    </r>
    <r>
      <rPr>
        <sz val="10"/>
        <color rgb="FF2E2E2E"/>
        <rFont val="Calibri"/>
        <family val="2"/>
        <scheme val="minor"/>
      </rPr>
      <t>GWP</t>
    </r>
    <r>
      <rPr>
        <sz val="10"/>
        <color theme="1"/>
        <rFont val="Calibri"/>
        <family val="2"/>
        <scheme val="minor"/>
      </rPr>
      <t> – global warming potential; Diets: A – </t>
    </r>
    <r>
      <rPr>
        <sz val="10"/>
        <color rgb="FF2E2E2E"/>
        <rFont val="Calibri"/>
        <family val="2"/>
        <scheme val="minor"/>
      </rPr>
      <t>poultry manure</t>
    </r>
    <r>
      <rPr>
        <sz val="10"/>
        <color theme="1"/>
        <rFont val="Calibri"/>
        <family val="2"/>
        <scheme val="minor"/>
      </rPr>
      <t> and house waste; B – pig manure; C – waste; D – brewery wastes; E – mixed diet; F – mixed diet; G – food wastes; H – variety of diets; Impact assessment methods: A – separate indicators; B – ReCiPe; C – CML (</t>
    </r>
    <r>
      <rPr>
        <sz val="10"/>
        <color rgb="FF0C7DBB"/>
        <rFont val="Calibri"/>
        <family val="2"/>
        <scheme val="minor"/>
      </rPr>
      <t>Guinée et al., 2002</t>
    </r>
    <r>
      <rPr>
        <sz val="10"/>
        <color theme="1"/>
        <rFont val="Calibri"/>
        <family val="2"/>
        <scheme val="minor"/>
      </rPr>
      <t>) and Solomon (</t>
    </r>
    <r>
      <rPr>
        <sz val="10"/>
        <color rgb="FF0C7DBB"/>
        <rFont val="Calibri"/>
        <family val="2"/>
        <scheme val="minor"/>
      </rPr>
      <t>Solomon, 2007</t>
    </r>
    <r>
      <rPr>
        <sz val="10"/>
        <color theme="1"/>
        <rFont val="Calibri"/>
        <family val="2"/>
        <scheme val="minor"/>
      </rPr>
      <t>); D – ReCiPe; E – separate indicators; F – ReCiPe and IMPACT 2002+; G – CML; H – ReCiPe and IMPACT 2002+.</t>
    </r>
  </si>
  <si>
    <t>(10) Whey protein/PP</t>
  </si>
  <si>
    <t>70 kg whey</t>
  </si>
  <si>
    <t>(11) HMI soya/MS</t>
  </si>
  <si>
    <t>0.4 kg soybean meal</t>
  </si>
  <si>
    <t>(12) HMI insect/MS</t>
  </si>
  <si>
    <t>0.2 kg insect meal (1), 0.2 kg soybean meal</t>
  </si>
  <si>
    <t>(13) Chicken meat/M</t>
  </si>
  <si>
    <t>1 kg of chicken meat from a slaughterhouse</t>
  </si>
  <si>
    <t>Note: PP – protein powder; MS – meat substitutes; M – meat; DDGS - distiller's dried grains with solubles; HMI – high moisture intermediate; * – moisture content 60%.</t>
  </si>
  <si>
    <t>Smetana, S., Schmitt, E., &amp; Mathys, A. (2019). Sustainable use of Hermetia illucens insect biomass for feed and food: Attributional and consequential life cycle assessment. Resources, Conservation and Recycling, 144, 285-296.</t>
  </si>
  <si>
    <t>Table 1A. Impact results for midpoint categories (A-LCA, IMPACT 2002+, FU 1 kg of product)</t>
  </si>
  <si>
    <t>IF</t>
  </si>
  <si>
    <t>HF</t>
  </si>
  <si>
    <t>HP</t>
  </si>
  <si>
    <t>HP_ST</t>
  </si>
  <si>
    <t>HP_MT</t>
  </si>
  <si>
    <t>HP_LT</t>
  </si>
  <si>
    <t>HM</t>
  </si>
  <si>
    <t>HM_ST</t>
  </si>
  <si>
    <t>HM_MT</t>
  </si>
  <si>
    <t>HM_LT</t>
  </si>
  <si>
    <t>Carcinogens</t>
  </si>
  <si>
    <t>kg C2H3Cl eq.</t>
  </si>
  <si>
    <t>Non-carcinogens</t>
  </si>
  <si>
    <t>Respiratory inorganics</t>
  </si>
  <si>
    <t>g PM2.5 eq.</t>
  </si>
  <si>
    <t>Bq C-14 eq.</t>
  </si>
  <si>
    <t>Ozone layer depletion</t>
  </si>
  <si>
    <t>mg CFC-11 eq.</t>
  </si>
  <si>
    <t>Respiratory organics</t>
  </si>
  <si>
    <t>g C2H4 eq.</t>
  </si>
  <si>
    <t>Aquatic ecotoxicity</t>
  </si>
  <si>
    <t>ton TEG water</t>
  </si>
  <si>
    <t>ton TEG soil</t>
  </si>
  <si>
    <t>Terrestrial acid./nitri.</t>
  </si>
  <si>
    <t>kg SO2 eq.</t>
  </si>
  <si>
    <t>Land occupation</t>
  </si>
  <si>
    <t>m2org.arable</t>
  </si>
  <si>
    <t>Aquatic acidification</t>
  </si>
  <si>
    <t>Aquatic eutrophication</t>
  </si>
  <si>
    <t>g PO4 P-lim</t>
  </si>
  <si>
    <t>kg CO2 eq.</t>
  </si>
  <si>
    <t>Non-renewable energy</t>
  </si>
  <si>
    <t>MJ primary</t>
  </si>
  <si>
    <t>Mineral extraction</t>
  </si>
  <si>
    <t>MJ surplus</t>
  </si>
  <si>
    <t>Water use*</t>
  </si>
  <si>
    <t>L deprived</t>
  </si>
  <si>
    <r>
      <t>Note: IF – insect fertilizer (dried and pelletized); HF - </t>
    </r>
    <r>
      <rPr>
        <i/>
        <sz val="8"/>
        <color rgb="FF2E2E2E"/>
        <rFont val="Calibri"/>
        <family val="2"/>
      </rPr>
      <t>H. illucens</t>
    </r>
    <r>
      <rPr>
        <sz val="8"/>
        <color rgb="FF2E2E2E"/>
        <rFont val="Calibri"/>
        <family val="2"/>
      </rPr>
      <t> fat; HP – </t>
    </r>
    <r>
      <rPr>
        <i/>
        <sz val="8"/>
        <color rgb="FF2E2E2E"/>
        <rFont val="Calibri"/>
        <family val="2"/>
      </rPr>
      <t>H. illucens</t>
    </r>
    <r>
      <rPr>
        <sz val="8"/>
        <color rgb="FF2E2E2E"/>
        <rFont val="Calibri"/>
        <family val="2"/>
      </rPr>
      <t> puree (fresh insect production); HP_ST – HP scenario involving 25% feed transfer and energy use improvements; HP_MT – HP scenario involving 25% feed transfer and energy use improvements, with complete reliance on non-utilized side-streams; HP_LT – HP scenario involving 25% feed transfer and energy use improvements, with complete reliance on non-utilized side-streams and alternative energy sources; HM – </t>
    </r>
    <r>
      <rPr>
        <i/>
        <sz val="8"/>
        <color rgb="FF2E2E2E"/>
        <rFont val="Calibri"/>
        <family val="2"/>
      </rPr>
      <t>H. illucens</t>
    </r>
    <r>
      <rPr>
        <sz val="8"/>
        <color rgb="FF2E2E2E"/>
        <rFont val="Calibri"/>
        <family val="2"/>
      </rPr>
      <t> meal (defatted protein concentrate); HM_ST – HM scenario involving 25% feed transfer and energy use improvements; HM_MT – HM scenario involving 25% feed transfer and energy use improvements, with complete reliance on non-utilized side-streams; HM_LT – HM scenario involving 25% feed transfer and energy use improvements, with complete reliance on non-utilized side-streams and alternative energy sources;* – category calculated with IMPACT World + Midpoint V0.04.</t>
    </r>
  </si>
  <si>
    <t>Table 5A. Life cycle inventory for the main resources required for the production and processing of Hermetia illucens used in the study</t>
  </si>
  <si>
    <t>Production stages</t>
  </si>
  <si>
    <t>Type of resources used</t>
  </si>
  <si>
    <t>Amount/Unit</t>
  </si>
  <si>
    <t>Amount in LCI (units per other units)</t>
  </si>
  <si>
    <t>Amount (unit/1 kg dry meal product)</t>
  </si>
  <si>
    <t>kWh--&gt;MJ OR m3--&gt;L</t>
  </si>
  <si>
    <t>Feed transportation</t>
  </si>
  <si>
    <t>Truck 3.5-7.5 ton: 2.418 tkm / 1 kg of fresh larvae (average)</t>
  </si>
  <si>
    <t>feed/kg meal</t>
  </si>
  <si>
    <t>Feed handling:</t>
  </si>
  <si>
    <t>0.0025 kW h / 1 kg of feed (storing)</t>
  </si>
  <si>
    <t>eggs (rearing)/kg meal</t>
  </si>
  <si>
    <t>fresh larvae (rearing)/kg meal</t>
  </si>
  <si>
    <t>Mixing</t>
  </si>
  <si>
    <t>0.0175 kW h / 1 kg of feed (mixing)</t>
  </si>
  <si>
    <t>Storing</t>
  </si>
  <si>
    <t>0.005 kW h / 1 kg of feed (transporting)</t>
  </si>
  <si>
    <t>Table 4A. List of background datasets used for Life Cycle modelling</t>
  </si>
  <si>
    <t>Drinking water</t>
  </si>
  <si>
    <t>0.005 l / 1 kg of feed</t>
  </si>
  <si>
    <t>Transporting (within company)</t>
  </si>
  <si>
    <t>0.67 l / 1 kg of feed (cleaning)</t>
  </si>
  <si>
    <t>Product name</t>
  </si>
  <si>
    <t>Geography</t>
  </si>
  <si>
    <t>ISIC class</t>
  </si>
  <si>
    <t>Activity uuid</t>
  </si>
  <si>
    <t>Insect nursery</t>
  </si>
  <si>
    <t>1524.6 kW h / 1 kg of eggs</t>
  </si>
  <si>
    <t>Ecoinvent 3.1</t>
  </si>
  <si>
    <t>37.27 m3 / 1 kg eggs</t>
  </si>
  <si>
    <t>transport, freight, lorry 3.5-7.5 metric ton, EURO4</t>
  </si>
  <si>
    <t>GLO</t>
  </si>
  <si>
    <t>Freight transport by road</t>
  </si>
  <si>
    <t>metric ton*km</t>
  </si>
  <si>
    <t>23c166a1-05ea-4e53-ab11-ab2e5fe59c90</t>
  </si>
  <si>
    <t>Egg production</t>
  </si>
  <si>
    <t>50 m3 / 1 kg of eggs (cleaning)</t>
  </si>
  <si>
    <t>Europe without Switzerland</t>
  </si>
  <si>
    <t>Water collection, treatment and supply</t>
  </si>
  <si>
    <t>440a13d4-2419-4f0f-b763-788b0cb1656d</t>
  </si>
  <si>
    <t>Insect rearing and breeding</t>
  </si>
  <si>
    <t>0.02 kW h / 1 kg fresh larvae (feeding)</t>
  </si>
  <si>
    <t>Electric power generation, transmission and distribution</t>
  </si>
  <si>
    <t>5502a6e1-70a2-4897-b7cf-ac999c17bb10</t>
  </si>
  <si>
    <t>wastewater, average</t>
  </si>
  <si>
    <t>Sewerage</t>
  </si>
  <si>
    <t>6a2fa2b9-9af2-4cf6-a597-67049dc5731e</t>
  </si>
  <si>
    <t>Feeding</t>
  </si>
  <si>
    <t>nitric acid, without water, in 50% solution state</t>
  </si>
  <si>
    <t>Manufacture of fertilizers and nitrogen compounds</t>
  </si>
  <si>
    <t>bd6d3c3d-c7aa-4cb7-9d2a-1121105ddfd0</t>
  </si>
  <si>
    <t>Manufacture of basic chemicals</t>
  </si>
  <si>
    <t>9767691f-fa5f-43cf-aa23-9f16ddad31ac</t>
  </si>
  <si>
    <t>Climate system</t>
  </si>
  <si>
    <t>0.43 kW h / 1 kg fresh larvae (climate system)</t>
  </si>
  <si>
    <t>heat, central or small-scale, natural gas</t>
  </si>
  <si>
    <t>Steam and air conditioning supply</t>
  </si>
  <si>
    <t>e6746287-2217-4b58-96d0-96643fa1a0af</t>
  </si>
  <si>
    <t>0.012 kW h / 1 kg fresh larvae (transporting)</t>
  </si>
  <si>
    <t>Transporting</t>
  </si>
  <si>
    <t>0.1 kW h / 1 kg fresh larvae (utilities)</t>
  </si>
  <si>
    <t>soap</t>
  </si>
  <si>
    <t>Manufacture of soap and detergents, cleaning and polishing preparations, pe</t>
  </si>
  <si>
    <t>3dd42551-745c-4f40-a97b-7adf58e4cd3f</t>
  </si>
  <si>
    <t>0.06 m3 / 1 kg fresh larvae</t>
  </si>
  <si>
    <t>zeolite, slurry, without water, in 50% solution state</t>
  </si>
  <si>
    <t>5d1d5d56-2746-4cdb-82c9-8bc15038607a</t>
  </si>
  <si>
    <t>Utilities</t>
  </si>
  <si>
    <t>16.14 l / 1 kg of fresh larvae (cleaning)</t>
  </si>
  <si>
    <t>Distiller's Dried Grains with Solubles</t>
  </si>
  <si>
    <t>Manufacture of prepared animal feeds</t>
  </si>
  <si>
    <t>1e0d8fa7-86f6-4a09-91bd-c5c00f6ecdb4</t>
  </si>
  <si>
    <t>Processing</t>
  </si>
  <si>
    <t>0.007 kW h / 1 kg fresh larvae (insect separation)</t>
  </si>
  <si>
    <t>Agri-footprint</t>
  </si>
  <si>
    <t>Wheat middlings &amp; feed, from dry milling, at plant, Economic</t>
  </si>
  <si>
    <t>Insect separation</t>
  </si>
  <si>
    <t>Wheat starch slurry, from wet milling, at plant, Economic</t>
  </si>
  <si>
    <t>By-products separation</t>
  </si>
  <si>
    <t>Grinding</t>
  </si>
  <si>
    <t>Pelletizing</t>
  </si>
  <si>
    <t>0.005 kW h / 1 kg fresh larvae (product separation)</t>
  </si>
  <si>
    <t>0.009 kW h / 1 kg fresh larvae (grinding)</t>
  </si>
  <si>
    <t>Extraction</t>
  </si>
  <si>
    <t>0.024 kW h / 1 kg fresh larvae (pelletizing)</t>
  </si>
  <si>
    <t>0.139 kW h / 1 kg fresh larvae (extraction)</t>
  </si>
  <si>
    <t>0.08 kW h / 1 kg fresh larvae (utilities)</t>
  </si>
  <si>
    <t>10.76 l / 1 kg of fresh larvae (cleaning)</t>
  </si>
  <si>
    <t>0.04 m3 / 1 kg fresh larvae (drying)</t>
  </si>
  <si>
    <t>Product management</t>
  </si>
  <si>
    <t>0.076 kW h / 1 kg of product (storage)</t>
  </si>
  <si>
    <t>Storage</t>
  </si>
  <si>
    <t>0.005 kW h / 1 kg of product (transportation)</t>
  </si>
  <si>
    <t>Transportation (within company)</t>
  </si>
  <si>
    <t>0.034 kW h / 1 kg of product (utilities)</t>
  </si>
  <si>
    <t>2.62 l / 1 kg of product (cleaning)</t>
  </si>
  <si>
    <t>0.02 m3 / 1 kg of product (average)</t>
  </si>
  <si>
    <t>Administrative areas support</t>
  </si>
  <si>
    <t>0.13 kW h / 1 kg fresh larvae</t>
  </si>
  <si>
    <t>1.82 l / 1 kg fresh larvae</t>
  </si>
  <si>
    <t>0.00422 m3 / 1 kg fresh larvae</t>
  </si>
  <si>
    <t>Halloran, A., Roos, N., Eilenberg, J., Cerutti, A., &amp; Bruun, S. (2016). Life cycle assessment of edible insects for food protein: a review. Agronomy for Sustainable Development, 36, 1-13.</t>
  </si>
  <si>
    <t>Table 1 A list of all papers from journals that present applications of life cycle assessment (LCA) in insects for food and feed production systems up to July 2016</t>
  </si>
  <si>
    <t>From: Life cycle assessment of edible insects for food protein: a review</t>
  </si>
  <si>
    <t>Insect species and order</t>
  </si>
  <si>
    <t>Goal</t>
  </si>
  <si>
    <t>Functional unit(s)</t>
  </si>
  <si>
    <t>Foreground data source</t>
  </si>
  <si>
    <t>Assessment method</t>
  </si>
  <si>
    <r>
      <t>Tenebrio molitor</t>
    </r>
    <r>
      <rPr>
        <sz val="10"/>
        <color theme="1"/>
        <rFont val="Calibri"/>
        <family val="2"/>
        <scheme val="minor"/>
      </rPr>
      <t> and </t>
    </r>
    <r>
      <rPr>
        <i/>
        <sz val="10"/>
        <color theme="1"/>
        <rFont val="Calibri"/>
        <family val="2"/>
        <scheme val="minor"/>
      </rPr>
      <t>Zophobas morio</t>
    </r>
    <r>
      <rPr>
        <sz val="10"/>
        <color theme="1"/>
        <rFont val="Calibri"/>
        <family val="2"/>
        <scheme val="minor"/>
      </rPr>
      <t> (Coleoptera)</t>
    </r>
  </si>
  <si>
    <t>Mass based (kg of fresh product and kg of edible protein)</t>
  </si>
  <si>
    <t>Commercial insect producer</t>
  </si>
  <si>
    <t>Ecoinvent 1.1; IPCC 2007 (GWP); characterization factors from the literature</t>
  </si>
  <si>
    <t>(Oonincx and de Boer 2012)</t>
  </si>
  <si>
    <r>
      <t>Musca domestica</t>
    </r>
    <r>
      <rPr>
        <sz val="10"/>
        <color theme="1"/>
        <rFont val="Calibri"/>
        <family val="2"/>
        <scheme val="minor"/>
      </rPr>
      <t> (Diptera)</t>
    </r>
  </si>
  <si>
    <t>Mass based (ton of larvae meal on dry matter basis)</t>
  </si>
  <si>
    <t>Experimental studies</t>
  </si>
  <si>
    <t>Characterization factors from the literature; IPCC 2006 (GHG); Ecoinvent 2.0</t>
  </si>
  <si>
    <t>(van Zanten et al. 2015)</t>
  </si>
  <si>
    <t>Slovakia, Spain</t>
  </si>
  <si>
    <t>3, 4</t>
  </si>
  <si>
    <t>Mass based (kg of manure dry matter)</t>
  </si>
  <si>
    <t>Experimental trials</t>
  </si>
  <si>
    <t>(Roffeis et al. 2015)</t>
  </si>
  <si>
    <t>Mass based (kg of product ready for consumptionafter assembly,processing, delivering, and frying by consumer); calorific energy content; digestible bulk protein</t>
  </si>
  <si>
    <t>Literature</t>
  </si>
  <si>
    <t>ReCiPe V1.08; IMPACT 2002+</t>
  </si>
  <si>
    <t>(Smetana et al. 2015)</t>
  </si>
  <si>
    <r>
      <t>Hermetia illucens</t>
    </r>
    <r>
      <rPr>
        <sz val="10"/>
        <color theme="1"/>
        <rFont val="Calibri"/>
        <family val="2"/>
        <scheme val="minor"/>
      </rPr>
      <t> (Diptera)</t>
    </r>
  </si>
  <si>
    <t>Mass based (ton of food waste treated through larvae biodigestion, kg of protein and kg of lipids)</t>
  </si>
  <si>
    <t>Pilot plant</t>
  </si>
  <si>
    <t>CML 2 baseline 2000; IPCC 2007 (GWP)</t>
  </si>
  <si>
    <t>(Salomone et al. 2016)</t>
  </si>
  <si>
    <t>Mass based (kg of dried defatted insect powder and kg of ready-for-consumption fresh product at processing gate)</t>
  </si>
  <si>
    <t>Industrial-scale insect producer, production trials</t>
  </si>
  <si>
    <t>IMPACT 2002+; Eco-indicator 99; CML; IPCC 2007; ReCiPe V1.08</t>
  </si>
  <si>
    <t>(Smetana et al. 2016)</t>
  </si>
  <si>
    <r>
      <t>Country category considers the area in which the insect production takes place. Goals: </t>
    </r>
    <r>
      <rPr>
        <i/>
        <sz val="10"/>
        <color rgb="FF333333"/>
        <rFont val="Calibri"/>
        <family val="2"/>
        <scheme val="minor"/>
      </rPr>
      <t>1</t>
    </r>
    <r>
      <rPr>
        <sz val="10"/>
        <color rgb="FF333333"/>
        <rFont val="Calibri"/>
        <family val="2"/>
        <scheme val="minor"/>
      </rPr>
      <t> to compare the environmental impact of producing a given insect species with conventional sources of animal protein, </t>
    </r>
    <r>
      <rPr>
        <i/>
        <sz val="10"/>
        <color rgb="FF333333"/>
        <rFont val="Calibri"/>
        <family val="2"/>
        <scheme val="minor"/>
      </rPr>
      <t>2</t>
    </r>
    <r>
      <rPr>
        <sz val="10"/>
        <color rgb="FF333333"/>
        <rFont val="Calibri"/>
        <family val="2"/>
        <scheme val="minor"/>
      </rPr>
      <t> to assess the environmental impact of conventional livestock production when fed insects reared on waste products, </t>
    </r>
    <r>
      <rPr>
        <i/>
        <sz val="10"/>
        <color rgb="FF333333"/>
        <rFont val="Calibri"/>
        <family val="2"/>
        <scheme val="minor"/>
      </rPr>
      <t>3</t>
    </r>
    <r>
      <rPr>
        <sz val="10"/>
        <color rgb="FF333333"/>
        <rFont val="Calibri"/>
        <family val="2"/>
        <scheme val="minor"/>
      </rPr>
      <t> to estimate the sustainability and utility of insect-rearing techniques, </t>
    </r>
    <r>
      <rPr>
        <i/>
        <sz val="10"/>
        <color rgb="FF333333"/>
        <rFont val="Calibri"/>
        <family val="2"/>
        <scheme val="minor"/>
      </rPr>
      <t>4</t>
    </r>
    <r>
      <rPr>
        <sz val="10"/>
        <color rgb="FF333333"/>
        <rFont val="Calibri"/>
        <family val="2"/>
        <scheme val="minor"/>
      </rPr>
      <t> to assess substrate suitability, </t>
    </r>
    <r>
      <rPr>
        <i/>
        <sz val="10"/>
        <color rgb="FF333333"/>
        <rFont val="Calibri"/>
        <family val="2"/>
        <scheme val="minor"/>
      </rPr>
      <t>5</t>
    </r>
    <r>
      <rPr>
        <sz val="10"/>
        <color rgb="FF333333"/>
        <rFont val="Calibri"/>
        <family val="2"/>
        <scheme val="minor"/>
      </rPr>
      <t> to compare different meat substitutes with chicken, </t>
    </r>
    <r>
      <rPr>
        <i/>
        <sz val="10"/>
        <color rgb="FF333333"/>
        <rFont val="Calibri"/>
        <family val="2"/>
        <scheme val="minor"/>
      </rPr>
      <t>6</t>
    </r>
    <r>
      <rPr>
        <sz val="10"/>
        <color rgb="FF333333"/>
        <rFont val="Calibri"/>
        <family val="2"/>
        <scheme val="minor"/>
      </rPr>
      <t> to assess the environmental impacts of insect-based feed products fed with different waste products, and </t>
    </r>
    <r>
      <rPr>
        <i/>
        <sz val="10"/>
        <color rgb="FF333333"/>
        <rFont val="Calibri"/>
        <family val="2"/>
        <scheme val="minor"/>
      </rPr>
      <t>7</t>
    </r>
    <r>
      <rPr>
        <sz val="10"/>
        <color rgb="FF333333"/>
        <rFont val="Calibri"/>
        <family val="2"/>
        <scheme val="minor"/>
      </rPr>
      <t> to assess the environmental impacts of insect production for both food and feed on an industrial scale. As seen in the table above, each study addressed just one or two of these goals</t>
    </r>
  </si>
  <si>
    <t>H.H.E. van Zanten, H. Mollenhorst, D.G.A.B. Oonincx, P. Bikker, B.G. Meerburg, I.J.M. De Boer. From environmental nuisance to environmental opportunity: housefly larvae convert waste to livestock feed. J. Clean. Prod., 102 (2015), pp. 362-369, 10.1016/j.jclepro.2015.04.106</t>
  </si>
  <si>
    <t>Table 1. Input data and related global warming potential (GWP), energy use (EU) and land use (LU) data with references for the direct environmental impact of producing 1 ton dry matter larvae meal.</t>
  </si>
  <si>
    <t>Table 4. Global warming potential (GWP), energy use (EU) and land use (LU) of the production of 1 ton of larvae meal dry matter.</t>
  </si>
  <si>
    <t>Ingredients</t>
  </si>
  <si>
    <t>Amount(/ton DM)</t>
  </si>
  <si>
    <t>GWP (g CO2-eq)</t>
  </si>
  <si>
    <t>EU (MJ)</t>
  </si>
  <si>
    <t>LU (m2)</t>
  </si>
  <si>
    <t>References</t>
  </si>
  <si>
    <t>GWP (kg CO2-eq)</t>
  </si>
  <si>
    <t>Feed flies</t>
  </si>
  <si>
    <t>Vellinga et al., 2013</t>
  </si>
  <si>
    <t>Substrate eggs</t>
  </si>
  <si>
    <t> Egg substrate</t>
  </si>
  <si>
    <t>Food waste</t>
  </si>
  <si>
    <r>
      <t>Coenen et al., 2013</t>
    </r>
    <r>
      <rPr>
        <sz val="10"/>
        <color theme="1"/>
        <rFont val="Calibri"/>
        <family val="2"/>
        <scheme val="minor"/>
      </rPr>
      <t>, </t>
    </r>
    <r>
      <rPr>
        <sz val="10"/>
        <color rgb="FF0C7DBB"/>
        <rFont val="Calibri"/>
        <family val="2"/>
        <scheme val="minor"/>
      </rPr>
      <t>IPCC, 2006</t>
    </r>
  </si>
  <si>
    <t> Feed flies</t>
  </si>
  <si>
    <t>Manure</t>
  </si>
  <si>
    <r>
      <t>EcoinventCentre, 2007</t>
    </r>
    <r>
      <rPr>
        <sz val="10"/>
        <color theme="1"/>
        <rFont val="Calibri"/>
        <family val="2"/>
        <scheme val="minor"/>
      </rPr>
      <t>, </t>
    </r>
    <r>
      <rPr>
        <sz val="10"/>
        <color rgb="FF0C7DBB"/>
        <rFont val="Calibri"/>
        <family val="2"/>
        <scheme val="minor"/>
      </rPr>
      <t>IPCC, 2006</t>
    </r>
  </si>
  <si>
    <t> Water</t>
  </si>
  <si>
    <t>Premix</t>
  </si>
  <si>
    <r>
      <t>EcoinventCentre, 2007</t>
    </r>
    <r>
      <rPr>
        <sz val="10"/>
        <color theme="1"/>
        <rFont val="Calibri"/>
        <family val="2"/>
        <scheme val="minor"/>
      </rPr>
      <t>, </t>
    </r>
    <r>
      <rPr>
        <sz val="10"/>
        <color rgb="FF0C7DBB"/>
        <rFont val="Calibri"/>
        <family val="2"/>
        <scheme val="minor"/>
      </rPr>
      <t>IPCC, 2006</t>
    </r>
    <r>
      <rPr>
        <sz val="10"/>
        <color theme="1"/>
        <rFont val="Calibri"/>
        <family val="2"/>
        <scheme val="minor"/>
      </rPr>
      <t>, </t>
    </r>
    <r>
      <rPr>
        <sz val="10"/>
        <color rgb="FF0C7DBB"/>
        <rFont val="Calibri"/>
        <family val="2"/>
        <scheme val="minor"/>
      </rPr>
      <t>Mosnier et al., 2011</t>
    </r>
  </si>
  <si>
    <t>EcoinventCentre, 2007</t>
  </si>
  <si>
    <t>Larvae production</t>
  </si>
  <si>
    <t> Feed larvae</t>
  </si>
  <si>
    <t>Electricity use</t>
  </si>
  <si>
    <t>Table 2. Input data anaerobic digestion per ton of organic matter on dry matter basis.</t>
  </si>
  <si>
    <t> Egg production</t>
  </si>
  <si>
    <t>Type</t>
  </si>
  <si>
    <t>DM</t>
  </si>
  <si>
    <t>Biogas (nm3/ton)</t>
  </si>
  <si>
    <t>CH4 in biogas (%)</t>
  </si>
  <si>
    <t>Energy (GJ/ton DM)</t>
  </si>
  <si>
    <t>N (%)</t>
  </si>
  <si>
    <t>P (%)</t>
  </si>
  <si>
    <t>K (%)</t>
  </si>
  <si>
    <t> Larvae production</t>
  </si>
  <si>
    <t>Larvae manure: food waste</t>
  </si>
  <si>
    <t> Processing larvae</t>
  </si>
  <si>
    <t>Larvae manure: laying hen manure</t>
  </si>
  <si>
    <t> Lightening building</t>
  </si>
  <si>
    <t> Working places</t>
  </si>
  <si>
    <t>Table 3. Global warming potential (GWP), energy use (EU) and land use (LU) data with references for the indirect environmental impact of producing 1 ton dry matter larvae meal.</t>
  </si>
  <si>
    <t>Gas for heating</t>
  </si>
  <si>
    <t>Unit (/ton DM)</t>
  </si>
  <si>
    <t>kg DM</t>
  </si>
  <si>
    <t>Total larvae meal (per ton)</t>
  </si>
  <si>
    <t>(is it a US ton or a metric tonne?)</t>
  </si>
  <si>
    <t>Soybean meal incl LUC</t>
  </si>
  <si>
    <t>De Vries et al., 2012b</t>
  </si>
  <si>
    <t>Fishmeal</t>
  </si>
  <si>
    <t>Total larvae meal (per kg)</t>
  </si>
  <si>
    <t>x per kg = x / 907.185 for US ton</t>
  </si>
  <si>
    <t>P2O5</t>
  </si>
  <si>
    <t>K2O</t>
  </si>
  <si>
    <t>Lorry EURO 4 16–32 ton</t>
  </si>
  <si>
    <t>Tkm</t>
  </si>
  <si>
    <r>
      <t>Electricity, MJ</t>
    </r>
    <r>
      <rPr>
        <b/>
        <sz val="6"/>
        <color rgb="FF333333"/>
        <rFont val="Segoe UI"/>
        <family val="2"/>
      </rPr>
      <t>d,g</t>
    </r>
  </si>
  <si>
    <r>
      <t>Tap water, kg</t>
    </r>
    <r>
      <rPr>
        <b/>
        <sz val="6"/>
        <color rgb="FF333333"/>
        <rFont val="Segoe UI"/>
        <family val="2"/>
      </rPr>
      <t>d</t>
    </r>
  </si>
  <si>
    <r>
      <t>Transport, kgkm</t>
    </r>
    <r>
      <rPr>
        <b/>
        <sz val="6"/>
        <color rgb="FF333333"/>
        <rFont val="Segoe UI"/>
        <family val="2"/>
      </rPr>
      <t>d,h</t>
    </r>
  </si>
  <si>
    <r>
      <t>Other</t>
    </r>
    <r>
      <rPr>
        <b/>
        <sz val="6"/>
        <color rgb="FF333333"/>
        <rFont val="Segoe UI"/>
        <family val="2"/>
      </rPr>
      <t>p</t>
    </r>
  </si>
  <si>
    <r>
      <t>1 kg chicken</t>
    </r>
    <r>
      <rPr>
        <sz val="6"/>
        <color rgb="FF333333"/>
        <rFont val="Segoe UI"/>
        <family val="2"/>
      </rPr>
      <t>a</t>
    </r>
  </si>
  <si>
    <r>
      <t>(2) Dairy based</t>
    </r>
    <r>
      <rPr>
        <sz val="6"/>
        <color rgb="FF333333"/>
        <rFont val="Segoe UI"/>
        <family val="2"/>
      </rPr>
      <t>k</t>
    </r>
  </si>
  <si>
    <r>
      <t>6 kg skimmed milk</t>
    </r>
    <r>
      <rPr>
        <sz val="6"/>
        <color rgb="FF333333"/>
        <rFont val="Segoe UI"/>
        <family val="2"/>
      </rPr>
      <t>b</t>
    </r>
  </si>
  <si>
    <r>
      <t>0.84 kg oat hull fiber</t>
    </r>
    <r>
      <rPr>
        <sz val="6"/>
        <color rgb="FF333333"/>
        <rFont val="Segoe UI"/>
        <family val="2"/>
      </rPr>
      <t>c</t>
    </r>
  </si>
  <si>
    <r>
      <t>(3) Lab grown</t>
    </r>
    <r>
      <rPr>
        <sz val="6"/>
        <color rgb="FF333333"/>
        <rFont val="Segoe UI"/>
        <family val="2"/>
      </rPr>
      <t>l</t>
    </r>
  </si>
  <si>
    <r>
      <t>1 kg urea</t>
    </r>
    <r>
      <rPr>
        <sz val="6"/>
        <color rgb="FF333333"/>
        <rFont val="Segoe UI"/>
        <family val="2"/>
      </rPr>
      <t>d</t>
    </r>
  </si>
  <si>
    <r>
      <t>(4) Insect based</t>
    </r>
    <r>
      <rPr>
        <sz val="6"/>
        <color rgb="FF333333"/>
        <rFont val="Segoe UI"/>
        <family val="2"/>
      </rPr>
      <t>m</t>
    </r>
  </si>
  <si>
    <r>
      <t>0.8 kg carrots</t>
    </r>
    <r>
      <rPr>
        <sz val="6"/>
        <color rgb="FF333333"/>
        <rFont val="Segoe UI"/>
        <family val="2"/>
      </rPr>
      <t>d</t>
    </r>
  </si>
  <si>
    <r>
      <t>10.762</t>
    </r>
    <r>
      <rPr>
        <sz val="6"/>
        <color rgb="FF333333"/>
        <rFont val="Segoe UI"/>
        <family val="2"/>
      </rPr>
      <t>f</t>
    </r>
  </si>
  <si>
    <r>
      <t>1.34</t>
    </r>
    <r>
      <rPr>
        <sz val="6"/>
        <color rgb="FF333333"/>
        <rFont val="Segoe UI"/>
        <family val="2"/>
      </rPr>
      <t>f</t>
    </r>
  </si>
  <si>
    <r>
      <t>0.57 kg grain mix (rye, wheat, barley)</t>
    </r>
    <r>
      <rPr>
        <sz val="6"/>
        <color rgb="FF333333"/>
        <rFont val="Segoe UI"/>
        <family val="2"/>
      </rPr>
      <t>d</t>
    </r>
  </si>
  <si>
    <r>
      <t>0.048 kg oat hull fiber</t>
    </r>
    <r>
      <rPr>
        <sz val="6"/>
        <color rgb="FF333333"/>
        <rFont val="Segoe UI"/>
        <family val="2"/>
      </rPr>
      <t>c</t>
    </r>
  </si>
  <si>
    <r>
      <t>(5) Gluten based</t>
    </r>
    <r>
      <rPr>
        <sz val="6"/>
        <color rgb="FF333333"/>
        <rFont val="Segoe UI"/>
        <family val="2"/>
      </rPr>
      <t>e</t>
    </r>
  </si>
  <si>
    <r>
      <t>1.622 kg wheat grain</t>
    </r>
    <r>
      <rPr>
        <sz val="6"/>
        <color rgb="FF333333"/>
        <rFont val="Segoe UI"/>
        <family val="2"/>
      </rPr>
      <t>d</t>
    </r>
  </si>
  <si>
    <r>
      <t>0.15 kg oat hull fiber</t>
    </r>
    <r>
      <rPr>
        <sz val="6"/>
        <color rgb="FF333333"/>
        <rFont val="Segoe UI"/>
        <family val="2"/>
      </rPr>
      <t>c</t>
    </r>
  </si>
  <si>
    <r>
      <t>(6) Soy meal based</t>
    </r>
    <r>
      <rPr>
        <sz val="6"/>
        <color rgb="FF333333"/>
        <rFont val="Segoe UI"/>
        <family val="2"/>
      </rPr>
      <t>n</t>
    </r>
  </si>
  <si>
    <r>
      <t>0.27 kg soy meal</t>
    </r>
    <r>
      <rPr>
        <sz val="6"/>
        <color rgb="FF333333"/>
        <rFont val="Segoe UI"/>
        <family val="2"/>
      </rPr>
      <t>d</t>
    </r>
  </si>
  <si>
    <r>
      <t>10.002</t>
    </r>
    <r>
      <rPr>
        <sz val="6"/>
        <color rgb="FF333333"/>
        <rFont val="Segoe UI"/>
        <family val="2"/>
      </rPr>
      <t>f</t>
    </r>
  </si>
  <si>
    <r>
      <t>0.73</t>
    </r>
    <r>
      <rPr>
        <sz val="6"/>
        <color rgb="FF333333"/>
        <rFont val="Segoe UI"/>
        <family val="2"/>
      </rPr>
      <t>f</t>
    </r>
  </si>
  <si>
    <r>
      <t>(7) Mycoprotein based</t>
    </r>
    <r>
      <rPr>
        <sz val="6"/>
        <color rgb="FF333333"/>
        <rFont val="Segoe UI"/>
        <family val="2"/>
      </rPr>
      <t>o</t>
    </r>
  </si>
  <si>
    <r>
      <t>3 kg molasses from sugar beet</t>
    </r>
    <r>
      <rPr>
        <sz val="6"/>
        <color rgb="FF333333"/>
        <rFont val="Segoe UI"/>
        <family val="2"/>
      </rPr>
      <t>d</t>
    </r>
  </si>
  <si>
    <r>
      <t>0.069 kg nitrogen fertilizer</t>
    </r>
    <r>
      <rPr>
        <sz val="6"/>
        <color rgb="FF333333"/>
        <rFont val="Segoe UI"/>
        <family val="2"/>
      </rPr>
      <t>d</t>
    </r>
  </si>
  <si>
    <r>
      <t>a</t>
    </r>
    <r>
      <rPr>
        <sz val="9"/>
        <color rgb="FF333333"/>
        <rFont val="Calibri"/>
        <family val="2"/>
        <scheme val="minor"/>
      </rPr>
      <t>From a supermarket (LCA Food DK), based on live chicken for slaughterhouse (Ecoinvent 3 database)</t>
    </r>
  </si>
  <si>
    <r>
      <t>b</t>
    </r>
    <r>
      <rPr>
        <sz val="9"/>
        <color rgb="FF333333"/>
        <rFont val="Calibri"/>
        <family val="2"/>
        <scheme val="minor"/>
      </rPr>
      <t>From dairy (LCA Food DK), water, electricity, and heat inputs are changed (Ecoinvent 3 database)</t>
    </r>
  </si>
  <si>
    <r>
      <t>c</t>
    </r>
    <r>
      <rPr>
        <sz val="9"/>
        <color rgb="FF333333"/>
        <rFont val="Calibri"/>
        <family val="2"/>
        <scheme val="minor"/>
      </rPr>
      <t>By-product of oat cereals production, includes 2.3 m</t>
    </r>
    <r>
      <rPr>
        <sz val="7"/>
        <color rgb="FF333333"/>
        <rFont val="Calibri"/>
        <family val="2"/>
        <scheme val="minor"/>
      </rPr>
      <t>2</t>
    </r>
    <r>
      <rPr>
        <sz val="9"/>
        <color rgb="FF333333"/>
        <rFont val="Calibri"/>
        <family val="2"/>
        <scheme val="minor"/>
      </rPr>
      <t> of arable land occupation, use of 0.023 kg of nitrogen, 0.0048 kg of phosphate, and 0.0143 kg of potassium fertilizers, and 0.95 MJ of energy for 1 kg production (LCA Food DK, and Ecoinvent 3 database)</t>
    </r>
  </si>
  <si>
    <r>
      <t>d</t>
    </r>
    <r>
      <rPr>
        <sz val="9"/>
        <color rgb="FF333333"/>
        <rFont val="Calibri"/>
        <family val="2"/>
        <scheme val="minor"/>
      </rPr>
      <t>Based on a product from Ecoinvent 3 database</t>
    </r>
  </si>
  <si>
    <r>
      <t>e</t>
    </r>
    <r>
      <rPr>
        <sz val="9"/>
        <color rgb="FF333333"/>
        <rFont val="Calibri"/>
        <family val="2"/>
        <scheme val="minor"/>
      </rPr>
      <t>van Zeist et al. (</t>
    </r>
    <r>
      <rPr>
        <sz val="9"/>
        <color rgb="FF004B83"/>
        <rFont val="Calibri"/>
        <family val="2"/>
        <scheme val="minor"/>
      </rPr>
      <t>2012</t>
    </r>
    <r>
      <rPr>
        <sz val="9"/>
        <color rgb="FF333333"/>
        <rFont val="Calibri"/>
        <family val="2"/>
        <scheme val="minor"/>
      </rPr>
      <t>) and Deng et al. (</t>
    </r>
    <r>
      <rPr>
        <sz val="9"/>
        <color rgb="FF004B83"/>
        <rFont val="Calibri"/>
        <family val="2"/>
        <scheme val="minor"/>
      </rPr>
      <t>2013</t>
    </r>
    <r>
      <rPr>
        <sz val="9"/>
        <color rgb="FF333333"/>
        <rFont val="Calibri"/>
        <family val="2"/>
        <scheme val="minor"/>
      </rPr>
      <t>)</t>
    </r>
  </si>
  <si>
    <r>
      <t>f</t>
    </r>
    <r>
      <rPr>
        <sz val="9"/>
        <color rgb="FF333333"/>
        <rFont val="Calibri"/>
        <family val="2"/>
        <scheme val="minor"/>
      </rPr>
      <t>Data from DIL e.V. are included</t>
    </r>
  </si>
  <si>
    <r>
      <t>i</t>
    </r>
    <r>
      <rPr>
        <sz val="9"/>
        <color rgb="FF333333"/>
        <rFont val="Calibri"/>
        <family val="2"/>
        <scheme val="minor"/>
      </rPr>
      <t>Assumed, 20 g of oil needed to fry 0.5 kg of product</t>
    </r>
  </si>
  <si>
    <r>
      <t>k</t>
    </r>
    <r>
      <rPr>
        <sz val="9"/>
        <color rgb="FF333333"/>
        <rFont val="Calibri"/>
        <family val="2"/>
        <scheme val="minor"/>
      </rPr>
      <t>Berlin (</t>
    </r>
    <r>
      <rPr>
        <sz val="9"/>
        <color rgb="FF004B83"/>
        <rFont val="Calibri"/>
        <family val="2"/>
        <scheme val="minor"/>
      </rPr>
      <t>2002</t>
    </r>
    <r>
      <rPr>
        <sz val="9"/>
        <color rgb="FF333333"/>
        <rFont val="Calibri"/>
        <family val="2"/>
        <scheme val="minor"/>
      </rPr>
      <t>), Blonk et al. (</t>
    </r>
    <r>
      <rPr>
        <sz val="9"/>
        <color rgb="FF004B83"/>
        <rFont val="Calibri"/>
        <family val="2"/>
        <scheme val="minor"/>
      </rPr>
      <t>2008</t>
    </r>
    <r>
      <rPr>
        <sz val="9"/>
        <color rgb="FF333333"/>
        <rFont val="Calibri"/>
        <family val="2"/>
        <scheme val="minor"/>
      </rPr>
      <t>), and Head et al. (</t>
    </r>
    <r>
      <rPr>
        <sz val="9"/>
        <color rgb="FF004B83"/>
        <rFont val="Calibri"/>
        <family val="2"/>
        <scheme val="minor"/>
      </rPr>
      <t>2011</t>
    </r>
    <r>
      <rPr>
        <sz val="9"/>
        <color rgb="FF333333"/>
        <rFont val="Calibri"/>
        <family val="2"/>
        <scheme val="minor"/>
      </rPr>
      <t>)</t>
    </r>
  </si>
  <si>
    <r>
      <t>l</t>
    </r>
    <r>
      <rPr>
        <sz val="9"/>
        <color rgb="FF333333"/>
        <rFont val="Calibri"/>
        <family val="2"/>
        <scheme val="minor"/>
      </rPr>
      <t>Tuomisto and De Mattos (</t>
    </r>
    <r>
      <rPr>
        <sz val="9"/>
        <color rgb="FF004B83"/>
        <rFont val="Calibri"/>
        <family val="2"/>
        <scheme val="minor"/>
      </rPr>
      <t>2010</t>
    </r>
    <r>
      <rPr>
        <sz val="9"/>
        <color rgb="FF333333"/>
        <rFont val="Calibri"/>
        <family val="2"/>
        <scheme val="minor"/>
      </rPr>
      <t>) and Tuomisto and Roy (</t>
    </r>
    <r>
      <rPr>
        <sz val="9"/>
        <color rgb="FF004B83"/>
        <rFont val="Calibri"/>
        <family val="2"/>
        <scheme val="minor"/>
      </rPr>
      <t>2012</t>
    </r>
    <r>
      <rPr>
        <sz val="9"/>
        <color rgb="FF333333"/>
        <rFont val="Calibri"/>
        <family val="2"/>
        <scheme val="minor"/>
      </rPr>
      <t>)</t>
    </r>
  </si>
  <si>
    <r>
      <t>m</t>
    </r>
    <r>
      <rPr>
        <sz val="9"/>
        <color rgb="FF333333"/>
        <rFont val="Calibri"/>
        <family val="2"/>
        <scheme val="minor"/>
      </rPr>
      <t>Oonincx and de Boer (</t>
    </r>
    <r>
      <rPr>
        <sz val="9"/>
        <color rgb="FF004B83"/>
        <rFont val="Calibri"/>
        <family val="2"/>
        <scheme val="minor"/>
      </rPr>
      <t>2012</t>
    </r>
    <r>
      <rPr>
        <sz val="9"/>
        <color rgb="FF333333"/>
        <rFont val="Calibri"/>
        <family val="2"/>
        <scheme val="minor"/>
      </rPr>
      <t>) and Van Huis et al. (</t>
    </r>
    <r>
      <rPr>
        <sz val="9"/>
        <color rgb="FF004B83"/>
        <rFont val="Calibri"/>
        <family val="2"/>
        <scheme val="minor"/>
      </rPr>
      <t>2013</t>
    </r>
    <r>
      <rPr>
        <sz val="9"/>
        <color rgb="FF333333"/>
        <rFont val="Calibri"/>
        <family val="2"/>
        <scheme val="minor"/>
      </rPr>
      <t>)</t>
    </r>
  </si>
  <si>
    <r>
      <t>n</t>
    </r>
    <r>
      <rPr>
        <sz val="9"/>
        <color rgb="FF333333"/>
        <rFont val="Calibri"/>
        <family val="2"/>
        <scheme val="minor"/>
      </rPr>
      <t>Berk (</t>
    </r>
    <r>
      <rPr>
        <sz val="9"/>
        <color rgb="FF004B83"/>
        <rFont val="Calibri"/>
        <family val="2"/>
        <scheme val="minor"/>
      </rPr>
      <t>1992</t>
    </r>
    <r>
      <rPr>
        <sz val="9"/>
        <color rgb="FF333333"/>
        <rFont val="Calibri"/>
        <family val="2"/>
        <scheme val="minor"/>
      </rPr>
      <t>) and Dalgaard et al. (</t>
    </r>
    <r>
      <rPr>
        <sz val="9"/>
        <color rgb="FF004B83"/>
        <rFont val="Calibri"/>
        <family val="2"/>
        <scheme val="minor"/>
      </rPr>
      <t>2008</t>
    </r>
    <r>
      <rPr>
        <sz val="9"/>
        <color rgb="FF333333"/>
        <rFont val="Calibri"/>
        <family val="2"/>
        <scheme val="minor"/>
      </rPr>
      <t>)</t>
    </r>
  </si>
  <si>
    <r>
      <t>o</t>
    </r>
    <r>
      <rPr>
        <sz val="9"/>
        <color rgb="FF333333"/>
        <rFont val="Calibri"/>
        <family val="2"/>
        <scheme val="minor"/>
      </rPr>
      <t>Raats (</t>
    </r>
    <r>
      <rPr>
        <sz val="9"/>
        <color rgb="FF004B83"/>
        <rFont val="Calibri"/>
        <family val="2"/>
        <scheme val="minor"/>
      </rPr>
      <t>2007</t>
    </r>
    <r>
      <rPr>
        <sz val="9"/>
        <color rgb="FF333333"/>
        <rFont val="Calibri"/>
        <family val="2"/>
        <scheme val="minor"/>
      </rPr>
      <t>) and Finnigan et al. (</t>
    </r>
    <r>
      <rPr>
        <sz val="9"/>
        <color rgb="FF004B83"/>
        <rFont val="Calibri"/>
        <family val="2"/>
        <scheme val="minor"/>
      </rPr>
      <t>2010</t>
    </r>
    <r>
      <rPr>
        <sz val="9"/>
        <color rgb="FF333333"/>
        <rFont val="Calibri"/>
        <family val="2"/>
        <scheme val="minor"/>
      </rPr>
      <t>)</t>
    </r>
  </si>
  <si>
    <t>Fat (CellAg)</t>
  </si>
  <si>
    <t>Cell-cultured fat, produced by insect embryo*</t>
  </si>
  <si>
    <t>Letcher et al. (2022)</t>
  </si>
  <si>
    <r>
      <rPr>
        <sz val="11"/>
        <color rgb="FF444444"/>
        <rFont val="Calibri"/>
        <family val="2"/>
      </rPr>
      <t>*</t>
    </r>
    <r>
      <rPr>
        <i/>
        <sz val="11"/>
        <color rgb="FF444444"/>
        <rFont val="Calibri"/>
        <family val="2"/>
      </rPr>
      <t>Manduca sexta</t>
    </r>
    <r>
      <rPr>
        <sz val="11"/>
        <color rgb="FF444444"/>
        <rFont val="Calibri"/>
        <family val="2"/>
      </rPr>
      <t xml:space="preserve"> (tobacco hornworm)</t>
    </r>
  </si>
  <si>
    <t>GWP</t>
  </si>
  <si>
    <t>?? (published total GWP 'minus' energy and RAC impacts?)</t>
  </si>
  <si>
    <t>Letcher, S. M., Rubio, N. R., Ashizawa, R. N., Saad, M. K., Rittenberg, M. L., McCreary, A., ... &amp; Kaplan, D. L. (2022). In vitro insect fat cultivation for cellular agriculture applications. ACS Biomaterials Science &amp; Engineering, 8(9), 3785-3796.</t>
  </si>
  <si>
    <t>Steps</t>
  </si>
  <si>
    <t>Cell Isolation and Culture</t>
  </si>
  <si>
    <t>Proliferation Assay</t>
  </si>
  <si>
    <t>Cryopreservation</t>
  </si>
  <si>
    <t>Lipid Accumulation</t>
  </si>
  <si>
    <t>Lipid Extraction</t>
  </si>
  <si>
    <t>Lipidomics</t>
  </si>
  <si>
    <t>Neutral Lipid Assay</t>
  </si>
  <si>
    <t>Mycelia Decellularization and Scaffold Preparation</t>
  </si>
  <si>
    <t>Sterilization Screen</t>
  </si>
  <si>
    <t>bovine, porcine, chicken, other livestock, and seafood species</t>
  </si>
  <si>
    <r>
      <t>Sugii, S., Wong, C. Y. Q., Lwin, A. K. O., &amp; Chew, L. J. M. (2022). Reassessment of adipocyte technology for cellular agriculture of alternative fat. </t>
    </r>
    <r>
      <rPr>
        <i/>
        <sz val="10"/>
        <color rgb="FF222222"/>
        <rFont val="Arial"/>
        <family val="2"/>
        <charset val="1"/>
      </rPr>
      <t>Comprehensive Reviews in Food Science and Food Safety</t>
    </r>
    <r>
      <rPr>
        <sz val="10"/>
        <color rgb="FF222222"/>
        <rFont val="Arial"/>
        <family val="2"/>
        <charset val="1"/>
      </rPr>
      <t>, </t>
    </r>
    <r>
      <rPr>
        <i/>
        <sz val="10"/>
        <color rgb="FF222222"/>
        <rFont val="Arial"/>
        <family val="2"/>
        <charset val="1"/>
      </rPr>
      <t>21</t>
    </r>
    <r>
      <rPr>
        <sz val="10"/>
        <color rgb="FF222222"/>
        <rFont val="Arial"/>
        <family val="2"/>
        <charset val="1"/>
      </rPr>
      <t>(5), 4146-4163.</t>
    </r>
  </si>
  <si>
    <t>bovine, porcine, chicken, other livestock and seafood species</t>
  </si>
  <si>
    <r>
      <t>Sugii, S., Wong, C. Y. Q., Lwin, A. K. O., &amp; Chew, L. J. M. (2022). Alternative fat: redefining adipocytes for biomanufacturing cultivated meat. </t>
    </r>
    <r>
      <rPr>
        <i/>
        <sz val="10"/>
        <color rgb="FF222222"/>
        <rFont val="Arial"/>
        <family val="2"/>
        <charset val="1"/>
      </rPr>
      <t>Trends in Biotechnology</t>
    </r>
    <r>
      <rPr>
        <sz val="10"/>
        <color rgb="FF222222"/>
        <rFont val="Arial"/>
        <family val="2"/>
        <charset val="1"/>
      </rPr>
      <t>.</t>
    </r>
  </si>
  <si>
    <t>insect</t>
  </si>
  <si>
    <r>
      <t>Letcher, S. M., Rubio, N. R., Ashizawa, R. N., Saad, M. K., Rittenberg, M. L., McCreary, A., ... &amp; Kaplan, D. L. (2022). In vitro insect fat cultivation for cellular agriculture applications. </t>
    </r>
    <r>
      <rPr>
        <i/>
        <sz val="10"/>
        <color rgb="FF222222"/>
        <rFont val="Arial"/>
        <family val="2"/>
        <charset val="1"/>
      </rPr>
      <t>ACS Biomaterials Science &amp; Engineering</t>
    </r>
    <r>
      <rPr>
        <sz val="10"/>
        <color rgb="FF222222"/>
        <rFont val="Arial"/>
        <family val="2"/>
        <charset val="1"/>
      </rPr>
      <t>, </t>
    </r>
    <r>
      <rPr>
        <i/>
        <sz val="10"/>
        <color rgb="FF222222"/>
        <rFont val="Arial"/>
        <family val="2"/>
        <charset val="1"/>
      </rPr>
      <t>8</t>
    </r>
    <r>
      <rPr>
        <sz val="10"/>
        <color rgb="FF222222"/>
        <rFont val="Arial"/>
        <family val="2"/>
        <charset val="1"/>
      </rPr>
      <t>(9), 3785-3796.</t>
    </r>
  </si>
  <si>
    <t>Can we extrapolate these from inventory/background ReCiPe data?</t>
  </si>
  <si>
    <t>Can we get these values from eutrophication (e.g., P eq or N eq) levels?</t>
  </si>
  <si>
    <t>Possible further data sources</t>
  </si>
  <si>
    <t>Crop code</t>
  </si>
  <si>
    <t>Animal welfare index per kg of bonefree meat</t>
  </si>
  <si>
    <t>Rest of World</t>
  </si>
  <si>
    <t>RoW</t>
  </si>
  <si>
    <t>NA</t>
  </si>
  <si>
    <t>GWP, kg CO2e/kg
LU, m2a*10/kg
WU, m3/kg
estimates from Fig 1</t>
  </si>
  <si>
    <r>
      <t>Smetana, S., Aganovic, K., Irmscher, S., &amp; Heinz, V. (2018). Agri-food waste streams utilization for development of more sustainable food substitutes. </t>
    </r>
    <r>
      <rPr>
        <i/>
        <sz val="10"/>
        <color rgb="FF222222"/>
        <rFont val="Arial"/>
        <family val="2"/>
        <charset val="1"/>
      </rPr>
      <t>Designing sustainable technologies, products and policies: From science to innovation</t>
    </r>
    <r>
      <rPr>
        <sz val="10"/>
        <color rgb="FF222222"/>
        <rFont val="Arial"/>
        <family val="2"/>
        <charset val="1"/>
      </rPr>
      <t>, 145-155.</t>
    </r>
  </si>
  <si>
    <t>Full ReCiPe Endpoint (H) calculations from Smetana, S., Mathys, A., Knoch, A. et al. Meat alternatives: life cycle assessment of most known meat substitutes. Int J Life Cycle Assess 20, 1254–1267 (2015). https://doi.org/10.1007/s11367-015-0931-6
Halloran, A., Roos, N., Eilenberg, J., Cerutti, A., &amp; Bruun, S. (2016). Life cycle assessment of edible insects for food protein: a review. Agronomy for Sustainable Development, 36, 1-13.
Salomone, R., Saija, G., Mondello, G., Giannetto, A., Fasulo, S., &amp; Savastano, D. (2017). Environmental impact of food waste bioconversion by insects: Application of Life Cycle Assessment to process using Hermetia illucens. Journal of Cleaner Production, 140, 890-905.</t>
  </si>
  <si>
    <t>Finnish Average Energy Mix, to factory gate
GWP, kg CO2e/kg
LU, m2a crop e/kg
Water Scarcity, m3/kg</t>
  </si>
  <si>
    <r>
      <t>Järviö, N., Maljanen, N. L., Kobayashi, Y., Ryynänen, T., &amp; Tuomisto, H. L. (2021). An attributional life cycle assessment of microbial protein production: a case study on using hydrogen-oxidizing bacteria. </t>
    </r>
    <r>
      <rPr>
        <i/>
        <sz val="10"/>
        <color rgb="FF222222"/>
        <rFont val="Arial"/>
        <family val="2"/>
        <charset val="1"/>
      </rPr>
      <t>Science of the Total Environment</t>
    </r>
    <r>
      <rPr>
        <sz val="10"/>
        <color rgb="FF222222"/>
        <rFont val="Arial"/>
        <family val="2"/>
        <charset val="1"/>
      </rPr>
      <t>, </t>
    </r>
    <r>
      <rPr>
        <i/>
        <sz val="10"/>
        <color rgb="FF222222"/>
        <rFont val="Arial"/>
        <family val="2"/>
        <charset val="1"/>
      </rPr>
      <t>776</t>
    </r>
    <r>
      <rPr>
        <sz val="10"/>
        <color rgb="FF222222"/>
        <rFont val="Arial"/>
        <family val="2"/>
        <charset val="1"/>
      </rPr>
      <t>, 145764.</t>
    </r>
  </si>
  <si>
    <t>Freshwater (Pe/kg) and Marine (n/kg) Eutroph also in Järviö, N., Maljanen, N. L., Kobayashi, Y., Ryynänen, T., &amp; Tuomisto, H. L. (2021). An attributional life cycle assessment of microbial protein production: a case study on using hydrogen-oxidizing bacteria. Science of the Total Environment, 776, 145764.</t>
  </si>
  <si>
    <t>Insect meal (H. illucens)</t>
  </si>
  <si>
    <t>GWP, kg CO2e/kg
LU, m2/kg
WU, m3/kg - estimates from Smetana (2015) Fig 1</t>
  </si>
  <si>
    <t>Full ReCiPe Endpoint (H) calculations from Smetana, S., Mathys, A., Knoch, A. et al. Meat alternatives: life cycle assessment of most known meat substitutes. Int J Life Cycle Assess 20, 1254–1267 (2015). https://doi.org/10.1007/s11367-015-0931-6</t>
  </si>
  <si>
    <t>United Kingdom</t>
  </si>
  <si>
    <t>Cultured meat baseline (CMB)
GWP kg CO2e/kg
LU, m2a crop e/kg
WU, m3/kg</t>
  </si>
  <si>
    <r>
      <t>Tuomisto, H. L., Allan, S. J., &amp; Ellis, M. J. (2022). Prospective life cycle assessment of a bioprocess design for cultured meat production in hollow fiber bioreactors. </t>
    </r>
    <r>
      <rPr>
        <i/>
        <sz val="10"/>
        <color rgb="FF222222"/>
        <rFont val="Arial"/>
        <family val="2"/>
      </rPr>
      <t>Science of the Total Environment</t>
    </r>
    <r>
      <rPr>
        <sz val="10"/>
        <color rgb="FF222222"/>
        <rFont val="Arial"/>
        <family val="2"/>
      </rPr>
      <t>, </t>
    </r>
    <r>
      <rPr>
        <i/>
        <sz val="10"/>
        <color rgb="FF222222"/>
        <rFont val="Arial"/>
        <family val="2"/>
      </rPr>
      <t>851</t>
    </r>
    <r>
      <rPr>
        <sz val="10"/>
        <color rgb="FF222222"/>
        <rFont val="Arial"/>
        <family val="2"/>
      </rPr>
      <t>, 158051.</t>
    </r>
  </si>
  <si>
    <t>ReCiPe Midpoint 2016 (H) full results also from Tuomisto, H. L., Allan, S. J., &amp; Ellis, M. J. (2022). Prospective life cycle assessment of a bioprocess design for cultured meat production in hollow fiber bioreactors. Science of the Total Environment, 851, 158051.</t>
  </si>
  <si>
    <t>Cultured milk</t>
  </si>
  <si>
    <t>Cultured Milk (Jarvio, 3% Tr_OVA protein, amino acids from dairy milk, 97% oat drink)
ReCiPe Midpoint 2016 (H)
Finnish Average Energy Mix, to consumer
GWP, kg CO2e/kg
LU, m2a crop e/kg
Scarcity-weighted water, m3/kg</t>
  </si>
  <si>
    <t>Mazac, R., Meinilä, J., Korkalo, L., Järviö, N., Jalava, M., &amp; Tuomisto, H. L. (2022). Incorporation of novel foods in European diets can reduce global warming potential, water use and land use by over 80%. Nature food, 3(4), 286-293.</t>
  </si>
  <si>
    <t>results for 1 kg casein produced in India from Bhandari, P., Mason, S., &amp; Olander, L. (2021). Life cycle assessment and carbon offset potential for cultured milk protein.</t>
  </si>
  <si>
    <t>Kelp (S. latissima)</t>
  </si>
  <si>
    <t>Europe</t>
  </si>
  <si>
    <t>EU</t>
  </si>
  <si>
    <t>Sea belt (Saccharina latissima), Agriblayse 3.1
ReCiPe Midpoint 2016 (H)
European Average Energy Mix, to consumer
GWP, kg CO2e/kg
LU, m2a crop e/kg
Scarcity-weighted water, m3/kg</t>
  </si>
  <si>
    <t>ReCiPe Midpoint 2016 (H) full results also from Mazac, R., Meinilä, J., Korkalo, L., Järviö, N., Jalava, M., &amp; Tuomisto, H. L. (2022). Incorporation of novel foods in European diets can reduce global warming potential, water use and land use by over 80%. Nature food, 3(4), 286-293.</t>
  </si>
  <si>
    <t>Microalgae (C. vulgaris)</t>
  </si>
  <si>
    <t>NF-08</t>
  </si>
  <si>
    <t>Cultured Ovalbumin (T. reesei)</t>
  </si>
  <si>
    <t>Trichoderma reesei - cultured fungus
ReCiPe Midpoint 2016 (H)
European Average Energy Mix, to consumer
GWP, kg CO2e/kg
LU, m2a crop e/kg
Scarcity-weighted water, m3/kg</t>
  </si>
  <si>
    <t>ReCiPe Midpoint 2016 (H) full results also from Järviö, N., Parviainen, T., Maljanen, N. L., Kobayashi, Y., Kujanpää, L., Ercili-Cura, D., ... &amp; Tuomisto, H. L. (2021). Ovalbumin production using Trichoderma reesei culture and low-carbon energy could mitigate the environmental impacts of chicken-egg-derived ovalbumin. Nature food, 2(12), 1005-1013.</t>
  </si>
  <si>
    <t>Energy (MJ/kg)</t>
  </si>
  <si>
    <t>Input (kg/kg prod)</t>
  </si>
  <si>
    <t>Impact</t>
  </si>
  <si>
    <t>Heating</t>
  </si>
  <si>
    <t xml:space="preserve">Electricity </t>
  </si>
  <si>
    <t>Kg Co2</t>
  </si>
  <si>
    <t>kg CH4</t>
  </si>
  <si>
    <t>kg N2O</t>
  </si>
  <si>
    <t>Fats (Fermentation)</t>
  </si>
  <si>
    <t>DO NOT USE THIS ONE!</t>
  </si>
  <si>
    <t>Fat, single-cell oil, produced by yeast cells on microalgal sugars*</t>
  </si>
  <si>
    <t>Parsons et al. (2019)</t>
  </si>
  <si>
    <t>*S. latissima/L. digitata (macroalgae) + M. pulcherrima (yeast)</t>
  </si>
  <si>
    <t>Sugar (seems to come from the seaweed, so maybe this is an 'input' already accounted for in the cultivation step?)</t>
  </si>
  <si>
    <t>Electricity - Fermentation (CSTR)</t>
  </si>
  <si>
    <t>Water - Cultivation, nursery</t>
  </si>
  <si>
    <r>
      <rPr>
        <sz val="11"/>
        <color theme="1"/>
        <rFont val="Calibri"/>
        <family val="2"/>
        <scheme val="minor"/>
      </rPr>
      <t>protein C</t>
    </r>
    <r>
      <rPr>
        <sz val="10"/>
        <color theme="1"/>
        <rFont val="Calibri"/>
        <family val="2"/>
        <scheme val="minor"/>
      </rPr>
      <t>4.43</t>
    </r>
    <r>
      <rPr>
        <sz val="11"/>
        <color theme="1"/>
        <rFont val="Calibri"/>
        <family val="2"/>
        <scheme val="minor"/>
      </rPr>
      <t>H</t>
    </r>
    <r>
      <rPr>
        <sz val="10"/>
        <color theme="1"/>
        <rFont val="Calibri"/>
        <family val="2"/>
        <scheme val="minor"/>
      </rPr>
      <t>7</t>
    </r>
    <r>
      <rPr>
        <sz val="11"/>
        <color theme="1"/>
        <rFont val="Calibri"/>
        <family val="2"/>
        <scheme val="minor"/>
      </rPr>
      <t>O</t>
    </r>
    <r>
      <rPr>
        <sz val="10"/>
        <color theme="1"/>
        <rFont val="Calibri"/>
        <family val="2"/>
        <scheme val="minor"/>
      </rPr>
      <t>1.44</t>
    </r>
    <r>
      <rPr>
        <sz val="11"/>
        <color theme="1"/>
        <rFont val="Calibri"/>
        <family val="2"/>
        <scheme val="minor"/>
      </rPr>
      <t>N</t>
    </r>
    <r>
      <rPr>
        <sz val="10"/>
        <color theme="1"/>
        <rFont val="Calibri"/>
        <family val="2"/>
        <scheme val="minor"/>
      </rPr>
      <t>1.16 - Nutrient culture</t>
    </r>
  </si>
  <si>
    <r>
      <rPr>
        <sz val="11"/>
        <color theme="1"/>
        <rFont val="Calibri"/>
        <family val="2"/>
        <scheme val="minor"/>
      </rPr>
      <t>lipid C</t>
    </r>
    <r>
      <rPr>
        <sz val="10"/>
        <color theme="1"/>
        <rFont val="Calibri"/>
        <family val="2"/>
        <scheme val="minor"/>
      </rPr>
      <t>40</t>
    </r>
    <r>
      <rPr>
        <sz val="11"/>
        <color theme="1"/>
        <rFont val="Calibri"/>
        <family val="2"/>
        <scheme val="minor"/>
      </rPr>
      <t>H</t>
    </r>
    <r>
      <rPr>
        <sz val="10"/>
        <color theme="1"/>
        <rFont val="Calibri"/>
        <family val="2"/>
        <scheme val="minor"/>
      </rPr>
      <t>74</t>
    </r>
    <r>
      <rPr>
        <sz val="11"/>
        <color theme="1"/>
        <rFont val="Calibri"/>
        <family val="2"/>
        <scheme val="minor"/>
      </rPr>
      <t>0</t>
    </r>
    <r>
      <rPr>
        <sz val="10"/>
        <color theme="1"/>
        <rFont val="Calibri"/>
        <family val="2"/>
        <scheme val="minor"/>
      </rPr>
      <t>5 - Nutrient culture</t>
    </r>
  </si>
  <si>
    <r>
      <rPr>
        <sz val="11"/>
        <color theme="1"/>
        <rFont val="Calibri"/>
        <family val="2"/>
        <scheme val="minor"/>
      </rPr>
      <t>carbohydrate C</t>
    </r>
    <r>
      <rPr>
        <sz val="10"/>
        <color theme="1"/>
        <rFont val="Calibri"/>
        <family val="2"/>
        <scheme val="minor"/>
      </rPr>
      <t>6</t>
    </r>
    <r>
      <rPr>
        <sz val="11"/>
        <color theme="1"/>
        <rFont val="Calibri"/>
        <family val="2"/>
        <scheme val="minor"/>
      </rPr>
      <t>H</t>
    </r>
    <r>
      <rPr>
        <sz val="10"/>
        <color theme="1"/>
        <rFont val="Calibri"/>
        <family val="2"/>
        <scheme val="minor"/>
      </rPr>
      <t>12</t>
    </r>
    <r>
      <rPr>
        <sz val="11"/>
        <color theme="1"/>
        <rFont val="Calibri"/>
        <family val="2"/>
        <scheme val="minor"/>
      </rPr>
      <t>O</t>
    </r>
    <r>
      <rPr>
        <sz val="10"/>
        <color theme="1"/>
        <rFont val="Calibri"/>
        <family val="2"/>
        <scheme val="minor"/>
      </rPr>
      <t>6 - Nutrient culture</t>
    </r>
  </si>
  <si>
    <t>C  - Nutrient culture</t>
  </si>
  <si>
    <t>N  - Nutrient culture</t>
  </si>
  <si>
    <t>P - Nutrient culture</t>
  </si>
  <si>
    <t>K - Nutrient culture</t>
  </si>
  <si>
    <t>Mg - Nutrient culture</t>
  </si>
  <si>
    <t>S - Nutrient culture</t>
  </si>
  <si>
    <r>
      <rPr>
        <sz val="11"/>
        <color theme="1"/>
        <rFont val="Calibri"/>
        <family val="2"/>
        <scheme val="minor"/>
      </rPr>
      <t>CO</t>
    </r>
    <r>
      <rPr>
        <sz val="10"/>
        <color theme="1"/>
        <rFont val="Calibri"/>
        <family val="2"/>
        <scheme val="minor"/>
      </rPr>
      <t>2 - Nutrient culture</t>
    </r>
  </si>
  <si>
    <t>Water - Lipid extraction and refining</t>
  </si>
  <si>
    <t>Water (fractionation) Lipid extraction and refining</t>
  </si>
  <si>
    <r>
      <t>0.08 t</t>
    </r>
    <r>
      <rPr>
        <sz val="8"/>
        <color rgb="FFFFC000"/>
        <rFont val="Calibri"/>
        <family val="2"/>
        <scheme val="minor"/>
      </rPr>
      <t>−1</t>
    </r>
    <r>
      <rPr>
        <sz val="11"/>
        <color rgb="FFFFC000"/>
        <rFont val="Calibri"/>
        <family val="2"/>
        <scheme val="minor"/>
      </rPr>
      <t> dry seaweed</t>
    </r>
  </si>
  <si>
    <r>
      <t>0.03 t</t>
    </r>
    <r>
      <rPr>
        <sz val="8"/>
        <color rgb="FFFFC000"/>
        <rFont val="Calibri"/>
        <family val="2"/>
        <scheme val="minor"/>
      </rPr>
      <t>−1</t>
    </r>
    <r>
      <rPr>
        <sz val="11"/>
        <color rgb="FFFFC000"/>
        <rFont val="Calibri"/>
        <family val="2"/>
        <scheme val="minor"/>
      </rPr>
      <t> dry seaweed</t>
    </r>
  </si>
  <si>
    <r>
      <t>0.003 t</t>
    </r>
    <r>
      <rPr>
        <sz val="8"/>
        <color rgb="FFFFC000"/>
        <rFont val="Calibri"/>
        <family val="2"/>
        <scheme val="minor"/>
      </rPr>
      <t>−1</t>
    </r>
    <r>
      <rPr>
        <sz val="11"/>
        <color rgb="FFFFC000"/>
        <rFont val="Calibri"/>
        <family val="2"/>
        <scheme val="minor"/>
      </rPr>
      <t> dry seaweed</t>
    </r>
  </si>
  <si>
    <r>
      <t>0.02 t</t>
    </r>
    <r>
      <rPr>
        <sz val="8"/>
        <color rgb="FFFFC000"/>
        <rFont val="Calibri"/>
        <family val="2"/>
        <scheme val="minor"/>
      </rPr>
      <t>−1</t>
    </r>
    <r>
      <rPr>
        <sz val="11"/>
        <color rgb="FFFFC000"/>
        <rFont val="Calibri"/>
        <family val="2"/>
        <scheme val="minor"/>
      </rPr>
      <t> dry seaweed</t>
    </r>
  </si>
  <si>
    <r>
      <t>342 kWh t</t>
    </r>
    <r>
      <rPr>
        <sz val="8"/>
        <color theme="1"/>
        <rFont val="Calibri"/>
        <family val="2"/>
        <scheme val="minor"/>
      </rPr>
      <t>−1</t>
    </r>
    <r>
      <rPr>
        <sz val="11"/>
        <color theme="1"/>
        <rFont val="Calibri"/>
        <family val="2"/>
        <scheme val="minor"/>
      </rPr>
      <t> dry seaweed</t>
    </r>
  </si>
  <si>
    <r>
      <t>4600 L t</t>
    </r>
    <r>
      <rPr>
        <sz val="8"/>
        <color theme="1"/>
        <rFont val="Calibri"/>
        <family val="2"/>
        <scheme val="minor"/>
      </rPr>
      <t>−1</t>
    </r>
    <r>
      <rPr>
        <sz val="11"/>
        <color theme="1"/>
        <rFont val="Calibri"/>
        <family val="2"/>
        <scheme val="minor"/>
      </rPr>
      <t> dry seaweed</t>
    </r>
  </si>
  <si>
    <r>
      <t>30 L t</t>
    </r>
    <r>
      <rPr>
        <sz val="8"/>
        <color theme="1"/>
        <rFont val="Calibri"/>
        <family val="2"/>
        <scheme val="minor"/>
      </rPr>
      <t>−1</t>
    </r>
    <r>
      <rPr>
        <sz val="11"/>
        <color theme="1"/>
        <rFont val="Calibri"/>
        <family val="2"/>
        <scheme val="minor"/>
      </rPr>
      <t> dry seaweed</t>
    </r>
  </si>
  <si>
    <r>
      <t>Alvarado-Morales et al. (2013)</t>
    </r>
    <r>
      <rPr>
        <sz val="11"/>
        <color theme="1"/>
        <rFont val="Calibri"/>
        <family val="2"/>
        <scheme val="minor"/>
      </rPr>
      <t>, </t>
    </r>
    <r>
      <rPr>
        <sz val="11"/>
        <color rgb="FF0C7DBB"/>
        <rFont val="Calibri"/>
        <family val="2"/>
        <scheme val="minor"/>
      </rPr>
      <t>Edwards and Watson (2011)</t>
    </r>
  </si>
  <si>
    <r>
      <t>9.83 kWh t</t>
    </r>
    <r>
      <rPr>
        <sz val="8"/>
        <color theme="1"/>
        <rFont val="Calibri"/>
        <family val="2"/>
        <scheme val="minor"/>
      </rPr>
      <t>−1</t>
    </r>
    <r>
      <rPr>
        <sz val="11"/>
        <color theme="1"/>
        <rFont val="Calibri"/>
        <family val="2"/>
        <scheme val="minor"/>
      </rPr>
      <t> milled dry seaweed</t>
    </r>
  </si>
  <si>
    <r>
      <t>2.44 m</t>
    </r>
    <r>
      <rPr>
        <sz val="8"/>
        <color theme="1"/>
        <rFont val="Calibri"/>
        <family val="2"/>
        <scheme val="minor"/>
      </rPr>
      <t>3</t>
    </r>
    <r>
      <rPr>
        <sz val="11"/>
        <color theme="1"/>
        <rFont val="Calibri"/>
        <family val="2"/>
        <scheme val="minor"/>
      </rPr>
      <t> t</t>
    </r>
    <r>
      <rPr>
        <sz val="8"/>
        <color theme="1"/>
        <rFont val="Calibri"/>
        <family val="2"/>
        <scheme val="minor"/>
      </rPr>
      <t>−1</t>
    </r>
    <r>
      <rPr>
        <sz val="11"/>
        <color theme="1"/>
        <rFont val="Calibri"/>
        <family val="2"/>
        <scheme val="minor"/>
      </rPr>
      <t> fermentable hydrolysate</t>
    </r>
  </si>
  <si>
    <r>
      <t>17 kg t</t>
    </r>
    <r>
      <rPr>
        <sz val="8"/>
        <color theme="1"/>
        <rFont val="Calibri"/>
        <family val="2"/>
        <scheme val="minor"/>
      </rPr>
      <t>−1</t>
    </r>
    <r>
      <rPr>
        <sz val="11"/>
        <color theme="1"/>
        <rFont val="Calibri"/>
        <family val="2"/>
        <scheme val="minor"/>
      </rPr>
      <t> fermentable hydrolysate</t>
    </r>
  </si>
  <si>
    <r>
      <t>33 kg t</t>
    </r>
    <r>
      <rPr>
        <sz val="8"/>
        <color theme="1"/>
        <rFont val="Calibri"/>
        <family val="2"/>
        <scheme val="minor"/>
      </rPr>
      <t>−1</t>
    </r>
    <r>
      <rPr>
        <sz val="11"/>
        <color theme="1"/>
        <rFont val="Calibri"/>
        <family val="2"/>
        <scheme val="minor"/>
      </rPr>
      <t> fermentable hydrolysate</t>
    </r>
  </si>
  <si>
    <r>
      <t>54 kg t</t>
    </r>
    <r>
      <rPr>
        <sz val="8"/>
        <color theme="1"/>
        <rFont val="Calibri"/>
        <family val="2"/>
        <scheme val="minor"/>
      </rPr>
      <t>−1</t>
    </r>
    <r>
      <rPr>
        <sz val="11"/>
        <color theme="1"/>
        <rFont val="Calibri"/>
        <family val="2"/>
        <scheme val="minor"/>
      </rPr>
      <t> fermentable hydrolysate</t>
    </r>
  </si>
  <si>
    <r>
      <t>21 kg t</t>
    </r>
    <r>
      <rPr>
        <sz val="8"/>
        <color theme="1"/>
        <rFont val="Calibri"/>
        <family val="2"/>
        <scheme val="minor"/>
      </rPr>
      <t>−1</t>
    </r>
    <r>
      <rPr>
        <sz val="11"/>
        <color theme="1"/>
        <rFont val="Calibri"/>
        <family val="2"/>
        <scheme val="minor"/>
      </rPr>
      <t> fermentable hydrolysate</t>
    </r>
  </si>
  <si>
    <r>
      <t>0.3 kg t</t>
    </r>
    <r>
      <rPr>
        <sz val="8"/>
        <color theme="1"/>
        <rFont val="Calibri"/>
        <family val="2"/>
        <scheme val="minor"/>
      </rPr>
      <t>−1</t>
    </r>
    <r>
      <rPr>
        <sz val="11"/>
        <color theme="1"/>
        <rFont val="Calibri"/>
        <family val="2"/>
        <scheme val="minor"/>
      </rPr>
      <t> fermentable hydrolysate</t>
    </r>
  </si>
  <si>
    <r>
      <t>40 kg t</t>
    </r>
    <r>
      <rPr>
        <sz val="8"/>
        <color theme="1"/>
        <rFont val="Calibri"/>
        <family val="2"/>
        <scheme val="minor"/>
      </rPr>
      <t>−1</t>
    </r>
    <r>
      <rPr>
        <sz val="11"/>
        <color theme="1"/>
        <rFont val="Calibri"/>
        <family val="2"/>
        <scheme val="minor"/>
      </rPr>
      <t> fermentable hydrolysate</t>
    </r>
  </si>
  <si>
    <r>
      <t>1314 MJ t</t>
    </r>
    <r>
      <rPr>
        <sz val="8"/>
        <color theme="1"/>
        <rFont val="Calibri"/>
        <family val="2"/>
        <scheme val="minor"/>
      </rPr>
      <t>−1</t>
    </r>
    <r>
      <rPr>
        <sz val="11"/>
        <color theme="1"/>
        <rFont val="Calibri"/>
        <family val="2"/>
        <scheme val="minor"/>
      </rPr>
      <t> fermentable hydrolysate</t>
    </r>
  </si>
  <si>
    <r>
      <t>119 kWh t</t>
    </r>
    <r>
      <rPr>
        <sz val="8"/>
        <color theme="1"/>
        <rFont val="Calibri"/>
        <family val="2"/>
        <scheme val="minor"/>
      </rPr>
      <t>−1</t>
    </r>
    <r>
      <rPr>
        <sz val="11"/>
        <color theme="1"/>
        <rFont val="Calibri"/>
        <family val="2"/>
        <scheme val="minor"/>
      </rPr>
      <t> fermentable hydrolysate</t>
    </r>
  </si>
  <si>
    <r>
      <t>0.22 kg t</t>
    </r>
    <r>
      <rPr>
        <sz val="8"/>
        <color theme="1"/>
        <rFont val="Calibri"/>
        <family val="2"/>
        <scheme val="minor"/>
      </rPr>
      <t>−1</t>
    </r>
    <r>
      <rPr>
        <sz val="11"/>
        <color theme="1"/>
        <rFont val="Calibri"/>
        <family val="2"/>
        <scheme val="minor"/>
      </rPr>
      <t> yeast biomass</t>
    </r>
  </si>
  <si>
    <r>
      <t>Experimental data for </t>
    </r>
    <r>
      <rPr>
        <i/>
        <sz val="11"/>
        <color theme="1"/>
        <rFont val="Calibri"/>
        <family val="2"/>
        <scheme val="minor"/>
      </rPr>
      <t>M. pulcherrima</t>
    </r>
    <r>
      <rPr>
        <sz val="11"/>
        <color theme="1"/>
        <rFont val="Calibri"/>
        <family val="2"/>
        <scheme val="minor"/>
      </rPr>
      <t>, </t>
    </r>
    <r>
      <rPr>
        <sz val="11"/>
        <color rgb="FF0C7DBB"/>
        <rFont val="Calibri"/>
        <family val="2"/>
        <scheme val="minor"/>
      </rPr>
      <t>Koutinas (2014)</t>
    </r>
    <r>
      <rPr>
        <sz val="11"/>
        <color theme="1"/>
        <rFont val="Calibri"/>
        <family val="2"/>
        <scheme val="minor"/>
      </rPr>
      <t>, </t>
    </r>
    <r>
      <rPr>
        <sz val="11"/>
        <color rgb="FF0C7DBB"/>
        <rFont val="Calibri"/>
        <family val="2"/>
        <scheme val="minor"/>
      </rPr>
      <t>Braunwald (2016)</t>
    </r>
  </si>
  <si>
    <r>
      <t>3050 kWh t</t>
    </r>
    <r>
      <rPr>
        <sz val="8"/>
        <color theme="1"/>
        <rFont val="Calibri"/>
        <family val="2"/>
        <scheme val="minor"/>
      </rPr>
      <t>−1</t>
    </r>
    <r>
      <rPr>
        <sz val="11"/>
        <color theme="1"/>
        <rFont val="Calibri"/>
        <family val="2"/>
        <scheme val="minor"/>
      </rPr>
      <t> yeast biomass</t>
    </r>
  </si>
  <si>
    <r>
      <t>1.3 g L</t>
    </r>
    <r>
      <rPr>
        <sz val="8"/>
        <color theme="1"/>
        <rFont val="Calibri"/>
        <family val="2"/>
        <scheme val="minor"/>
      </rPr>
      <t>−1</t>
    </r>
    <r>
      <rPr>
        <sz val="11"/>
        <color theme="1"/>
        <rFont val="Calibri"/>
        <family val="2"/>
        <scheme val="minor"/>
      </rPr>
      <t> h</t>
    </r>
    <r>
      <rPr>
        <sz val="8"/>
        <color theme="1"/>
        <rFont val="Calibri"/>
        <family val="2"/>
        <scheme val="minor"/>
      </rPr>
      <t>−1</t>
    </r>
  </si>
  <si>
    <r>
      <t>0.52 g L</t>
    </r>
    <r>
      <rPr>
        <sz val="8"/>
        <color theme="1"/>
        <rFont val="Calibri"/>
        <family val="2"/>
        <scheme val="minor"/>
      </rPr>
      <t>−1</t>
    </r>
    <r>
      <rPr>
        <sz val="11"/>
        <color theme="1"/>
        <rFont val="Calibri"/>
        <family val="2"/>
        <scheme val="minor"/>
      </rPr>
      <t> h</t>
    </r>
    <r>
      <rPr>
        <sz val="8"/>
        <color theme="1"/>
        <rFont val="Calibri"/>
        <family val="2"/>
        <scheme val="minor"/>
      </rPr>
      <t>−1</t>
    </r>
  </si>
  <si>
    <r>
      <t>Table 2. Composition and Culture Parameters of </t>
    </r>
    <r>
      <rPr>
        <i/>
        <sz val="11"/>
        <color theme="1"/>
        <rFont val="Calibri"/>
        <family val="2"/>
        <charset val="1"/>
        <scheme val="minor"/>
      </rPr>
      <t>C. vulgaris</t>
    </r>
  </si>
  <si>
    <r>
      <t>0.28 kg t</t>
    </r>
    <r>
      <rPr>
        <strike/>
        <sz val="8"/>
        <color theme="1"/>
        <rFont val="Calibri"/>
        <family val="2"/>
        <scheme val="minor"/>
      </rPr>
      <t>−1</t>
    </r>
    <r>
      <rPr>
        <strike/>
        <sz val="11"/>
        <color theme="1"/>
        <rFont val="Calibri"/>
        <family val="2"/>
        <scheme val="minor"/>
      </rPr>
      <t> yeast biomass</t>
    </r>
  </si>
  <si>
    <r>
      <t>1860 kWh t</t>
    </r>
    <r>
      <rPr>
        <strike/>
        <sz val="8"/>
        <color theme="1"/>
        <rFont val="Calibri"/>
        <family val="2"/>
        <scheme val="minor"/>
      </rPr>
      <t>−1</t>
    </r>
    <r>
      <rPr>
        <strike/>
        <sz val="11"/>
        <color theme="1"/>
        <rFont val="Calibri"/>
        <family val="2"/>
        <scheme val="minor"/>
      </rPr>
      <t> yeast biomass</t>
    </r>
  </si>
  <si>
    <r>
      <t>protein (g·kg</t>
    </r>
    <r>
      <rPr>
        <sz val="10"/>
        <color theme="1"/>
        <rFont val="Calibri"/>
        <family val="2"/>
        <scheme val="minor"/>
      </rPr>
      <t>−1</t>
    </r>
    <r>
      <rPr>
        <sz val="11"/>
        <color theme="1"/>
        <rFont val="Calibri"/>
        <family val="2"/>
        <scheme val="minor"/>
      </rPr>
      <t>)</t>
    </r>
  </si>
  <si>
    <r>
      <t>1.14 g L</t>
    </r>
    <r>
      <rPr>
        <strike/>
        <sz val="8"/>
        <color theme="1"/>
        <rFont val="Calibri"/>
        <family val="2"/>
        <scheme val="minor"/>
      </rPr>
      <t>−1</t>
    </r>
    <r>
      <rPr>
        <strike/>
        <sz val="11"/>
        <color theme="1"/>
        <rFont val="Calibri"/>
        <family val="2"/>
        <scheme val="minor"/>
      </rPr>
      <t> h</t>
    </r>
    <r>
      <rPr>
        <strike/>
        <sz val="8"/>
        <color theme="1"/>
        <rFont val="Calibri"/>
        <family val="2"/>
        <scheme val="minor"/>
      </rPr>
      <t>−1</t>
    </r>
  </si>
  <si>
    <r>
      <t>lipid (g·kg</t>
    </r>
    <r>
      <rPr>
        <sz val="10"/>
        <color theme="1"/>
        <rFont val="Calibri"/>
        <family val="2"/>
        <scheme val="minor"/>
      </rPr>
      <t>−1</t>
    </r>
    <r>
      <rPr>
        <sz val="11"/>
        <color theme="1"/>
        <rFont val="Calibri"/>
        <family val="2"/>
        <scheme val="minor"/>
      </rPr>
      <t>)</t>
    </r>
  </si>
  <si>
    <r>
      <t>0.4 g L</t>
    </r>
    <r>
      <rPr>
        <strike/>
        <sz val="8"/>
        <color theme="1"/>
        <rFont val="Calibri"/>
        <family val="2"/>
        <scheme val="minor"/>
      </rPr>
      <t>−1</t>
    </r>
    <r>
      <rPr>
        <strike/>
        <sz val="11"/>
        <color theme="1"/>
        <rFont val="Calibri"/>
        <family val="2"/>
        <scheme val="minor"/>
      </rPr>
      <t> h</t>
    </r>
    <r>
      <rPr>
        <strike/>
        <sz val="8"/>
        <color theme="1"/>
        <rFont val="Calibri"/>
        <family val="2"/>
        <scheme val="minor"/>
      </rPr>
      <t>−-1</t>
    </r>
  </si>
  <si>
    <r>
      <rPr>
        <sz val="11"/>
        <color rgb="FF000000"/>
        <rFont val="Calibri"/>
        <family val="2"/>
        <scheme val="minor"/>
      </rPr>
      <t>(Glucose) carbohydrates (g·kg</t>
    </r>
    <r>
      <rPr>
        <sz val="10"/>
        <color rgb="FF000000"/>
        <rFont val="Calibri"/>
        <family val="2"/>
        <scheme val="minor"/>
      </rPr>
      <t>−1</t>
    </r>
    <r>
      <rPr>
        <sz val="11"/>
        <color rgb="FF000000"/>
        <rFont val="Calibri"/>
        <family val="2"/>
        <scheme val="minor"/>
      </rPr>
      <t>)</t>
    </r>
  </si>
  <si>
    <r>
      <t>lower heating value (MJ·kg</t>
    </r>
    <r>
      <rPr>
        <sz val="10"/>
        <color theme="1"/>
        <rFont val="Calibri"/>
        <family val="2"/>
        <scheme val="minor"/>
      </rPr>
      <t>−1</t>
    </r>
    <r>
      <rPr>
        <sz val="11"/>
        <color theme="1"/>
        <rFont val="Calibri"/>
        <family val="2"/>
        <scheme val="minor"/>
      </rPr>
      <t>)</t>
    </r>
  </si>
  <si>
    <r>
      <t>66 kg t</t>
    </r>
    <r>
      <rPr>
        <sz val="8"/>
        <color theme="1"/>
        <rFont val="Calibri"/>
        <family val="2"/>
        <scheme val="minor"/>
      </rPr>
      <t>−1</t>
    </r>
    <r>
      <rPr>
        <sz val="11"/>
        <color theme="1"/>
        <rFont val="Calibri"/>
        <family val="2"/>
        <scheme val="minor"/>
      </rPr>
      <t> unrefined lipid</t>
    </r>
  </si>
  <si>
    <r>
      <t>C (g·kg</t>
    </r>
    <r>
      <rPr>
        <sz val="10"/>
        <color theme="1"/>
        <rFont val="Calibri"/>
        <family val="2"/>
        <scheme val="minor"/>
      </rPr>
      <t>−1</t>
    </r>
    <r>
      <rPr>
        <sz val="11"/>
        <color theme="1"/>
        <rFont val="Calibri"/>
        <family val="2"/>
        <scheme val="minor"/>
      </rPr>
      <t>)</t>
    </r>
  </si>
  <si>
    <r>
      <t>500 kWh t</t>
    </r>
    <r>
      <rPr>
        <sz val="8"/>
        <color theme="1"/>
        <rFont val="Calibri"/>
        <family val="2"/>
        <scheme val="minor"/>
      </rPr>
      <t>−1</t>
    </r>
    <r>
      <rPr>
        <sz val="11"/>
        <color theme="1"/>
        <rFont val="Calibri"/>
        <family val="2"/>
        <scheme val="minor"/>
      </rPr>
      <t> unrefined lipid</t>
    </r>
  </si>
  <si>
    <r>
      <t>N (g·kg</t>
    </r>
    <r>
      <rPr>
        <sz val="10"/>
        <color theme="1"/>
        <rFont val="Calibri"/>
        <family val="2"/>
        <scheme val="minor"/>
      </rPr>
      <t>−1</t>
    </r>
    <r>
      <rPr>
        <sz val="11"/>
        <color theme="1"/>
        <rFont val="Calibri"/>
        <family val="2"/>
        <scheme val="minor"/>
      </rPr>
      <t>)</t>
    </r>
  </si>
  <si>
    <r>
      <t>740 kg t</t>
    </r>
    <r>
      <rPr>
        <sz val="8"/>
        <color theme="1"/>
        <rFont val="Calibri"/>
        <family val="2"/>
        <scheme val="minor"/>
      </rPr>
      <t>−1</t>
    </r>
    <r>
      <rPr>
        <sz val="11"/>
        <color theme="1"/>
        <rFont val="Calibri"/>
        <family val="2"/>
        <scheme val="minor"/>
      </rPr>
      <t> lipid</t>
    </r>
  </si>
  <si>
    <r>
      <t>P (g·kg</t>
    </r>
    <r>
      <rPr>
        <sz val="10"/>
        <color theme="1"/>
        <rFont val="Calibri"/>
        <family val="2"/>
        <scheme val="minor"/>
      </rPr>
      <t>−1</t>
    </r>
    <r>
      <rPr>
        <sz val="11"/>
        <color theme="1"/>
        <rFont val="Calibri"/>
        <family val="2"/>
        <scheme val="minor"/>
      </rPr>
      <t>)</t>
    </r>
  </si>
  <si>
    <r>
      <t>0.3 kg t</t>
    </r>
    <r>
      <rPr>
        <sz val="8"/>
        <color theme="1"/>
        <rFont val="Calibri"/>
        <family val="2"/>
        <scheme val="minor"/>
      </rPr>
      <t>−1</t>
    </r>
    <r>
      <rPr>
        <sz val="11"/>
        <color theme="1"/>
        <rFont val="Calibri"/>
        <family val="2"/>
        <scheme val="minor"/>
      </rPr>
      <t> lipid</t>
    </r>
  </si>
  <si>
    <r>
      <t>K (g·kg</t>
    </r>
    <r>
      <rPr>
        <sz val="10"/>
        <color theme="1"/>
        <rFont val="Calibri"/>
        <family val="2"/>
        <scheme val="minor"/>
      </rPr>
      <t>−1</t>
    </r>
    <r>
      <rPr>
        <sz val="11"/>
        <color theme="1"/>
        <rFont val="Calibri"/>
        <family val="2"/>
        <scheme val="minor"/>
      </rPr>
      <t>)</t>
    </r>
  </si>
  <si>
    <r>
      <t>3 kg t</t>
    </r>
    <r>
      <rPr>
        <sz val="8"/>
        <color theme="1"/>
        <rFont val="Calibri"/>
        <family val="2"/>
        <scheme val="minor"/>
      </rPr>
      <t>−1</t>
    </r>
    <r>
      <rPr>
        <sz val="11"/>
        <color theme="1"/>
        <rFont val="Calibri"/>
        <family val="2"/>
        <scheme val="minor"/>
      </rPr>
      <t> lipid</t>
    </r>
  </si>
  <si>
    <r>
      <t>Mg (g·kg</t>
    </r>
    <r>
      <rPr>
        <sz val="10"/>
        <color theme="1"/>
        <rFont val="Calibri"/>
        <family val="2"/>
        <scheme val="minor"/>
      </rPr>
      <t>−1</t>
    </r>
    <r>
      <rPr>
        <sz val="11"/>
        <color theme="1"/>
        <rFont val="Calibri"/>
        <family val="2"/>
        <scheme val="minor"/>
      </rPr>
      <t>)</t>
    </r>
  </si>
  <si>
    <r>
      <t>5 kg t</t>
    </r>
    <r>
      <rPr>
        <sz val="8"/>
        <color theme="1"/>
        <rFont val="Calibri"/>
        <family val="2"/>
        <scheme val="minor"/>
      </rPr>
      <t>−1</t>
    </r>
    <r>
      <rPr>
        <sz val="11"/>
        <color theme="1"/>
        <rFont val="Calibri"/>
        <family val="2"/>
        <scheme val="minor"/>
      </rPr>
      <t> lipid</t>
    </r>
  </si>
  <si>
    <r>
      <t>S (g·kg</t>
    </r>
    <r>
      <rPr>
        <sz val="10"/>
        <color theme="1"/>
        <rFont val="Calibri"/>
        <family val="2"/>
        <scheme val="minor"/>
      </rPr>
      <t>−1</t>
    </r>
    <r>
      <rPr>
        <sz val="11"/>
        <color theme="1"/>
        <rFont val="Calibri"/>
        <family val="2"/>
        <scheme val="minor"/>
      </rPr>
      <t>)</t>
    </r>
  </si>
  <si>
    <r>
      <t>350 MJ t</t>
    </r>
    <r>
      <rPr>
        <sz val="8"/>
        <color theme="1"/>
        <rFont val="Calibri"/>
        <family val="2"/>
        <scheme val="minor"/>
      </rPr>
      <t>−1</t>
    </r>
    <r>
      <rPr>
        <sz val="11"/>
        <color theme="1"/>
        <rFont val="Calibri"/>
        <family val="2"/>
        <scheme val="minor"/>
      </rPr>
      <t> lipid</t>
    </r>
  </si>
  <si>
    <r>
      <t>CO</t>
    </r>
    <r>
      <rPr>
        <sz val="10"/>
        <color theme="1"/>
        <rFont val="Calibri"/>
        <family val="2"/>
        <scheme val="minor"/>
      </rPr>
      <t>2</t>
    </r>
    <r>
      <rPr>
        <sz val="11"/>
        <color theme="1"/>
        <rFont val="Calibri"/>
        <family val="2"/>
        <scheme val="minor"/>
      </rPr>
      <t> (kg·kg</t>
    </r>
    <r>
      <rPr>
        <sz val="10"/>
        <color theme="1"/>
        <rFont val="Calibri"/>
        <family val="2"/>
        <scheme val="minor"/>
      </rPr>
      <t>−1</t>
    </r>
    <r>
      <rPr>
        <sz val="11"/>
        <color theme="1"/>
        <rFont val="Calibri"/>
        <family val="2"/>
        <scheme val="minor"/>
      </rPr>
      <t>)</t>
    </r>
  </si>
  <si>
    <r>
      <t>13 kWh t</t>
    </r>
    <r>
      <rPr>
        <sz val="8"/>
        <color theme="1"/>
        <rFont val="Calibri"/>
        <family val="2"/>
        <scheme val="minor"/>
      </rPr>
      <t>−1</t>
    </r>
    <r>
      <rPr>
        <sz val="11"/>
        <color theme="1"/>
        <rFont val="Calibri"/>
        <family val="2"/>
        <scheme val="minor"/>
      </rPr>
      <t> lipid</t>
    </r>
  </si>
  <si>
    <r>
      <t>growth rate (day</t>
    </r>
    <r>
      <rPr>
        <sz val="10"/>
        <color theme="1"/>
        <rFont val="Calibri"/>
        <family val="2"/>
        <scheme val="minor"/>
      </rPr>
      <t>−1</t>
    </r>
    <r>
      <rPr>
        <sz val="11"/>
        <color theme="1"/>
        <rFont val="Calibri"/>
        <family val="2"/>
        <scheme val="minor"/>
      </rPr>
      <t>)</t>
    </r>
  </si>
  <si>
    <r>
      <t>100 kg t</t>
    </r>
    <r>
      <rPr>
        <sz val="8"/>
        <color theme="1"/>
        <rFont val="Calibri"/>
        <family val="2"/>
        <scheme val="minor"/>
      </rPr>
      <t>−1</t>
    </r>
    <r>
      <rPr>
        <sz val="11"/>
        <color theme="1"/>
        <rFont val="Calibri"/>
        <family val="2"/>
        <scheme val="minor"/>
      </rPr>
      <t> lipid</t>
    </r>
  </si>
  <si>
    <r>
      <t>productivity (g·m</t>
    </r>
    <r>
      <rPr>
        <sz val="10"/>
        <color theme="1"/>
        <rFont val="Calibri"/>
        <family val="2"/>
        <scheme val="minor"/>
      </rPr>
      <t>−2</t>
    </r>
    <r>
      <rPr>
        <sz val="11"/>
        <color theme="1"/>
        <rFont val="Calibri"/>
        <family val="2"/>
        <scheme val="minor"/>
      </rPr>
      <t>·day</t>
    </r>
    <r>
      <rPr>
        <sz val="10"/>
        <color theme="1"/>
        <rFont val="Calibri"/>
        <family val="2"/>
        <scheme val="minor"/>
      </rPr>
      <t>−1</t>
    </r>
    <r>
      <rPr>
        <sz val="11"/>
        <color theme="1"/>
        <rFont val="Calibri"/>
        <family val="2"/>
        <scheme val="minor"/>
      </rPr>
      <t>)</t>
    </r>
  </si>
  <si>
    <t>Sea belt (Saccharina latissima), Agriblayse 3.1</t>
  </si>
  <si>
    <t>ReCiPe Midpoint 2016 (H)/AWARE</t>
  </si>
  <si>
    <t>European Average Energy Mix, to consumer</t>
  </si>
  <si>
    <t>Simulation result (ReCiPe Midpoint (H) 2016)</t>
  </si>
  <si>
    <t>Simulation result (AWARE)</t>
  </si>
  <si>
    <t>Product system:</t>
  </si>
  <si>
    <t>134.Sea belt (Saccharina latissima), dried or dehydrated, processed in FR | Ambient (long) | LDPE | No preparation | at consumer</t>
  </si>
  <si>
    <t>Reference process:</t>
  </si>
  <si>
    <t>Sea belt (Saccharina latissima), dried or dehydrated, processed in FR | Ambient (long) | LDPE | No preparation | at consumer</t>
  </si>
  <si>
    <t>Reference process location:</t>
  </si>
  <si>
    <t>Product:</t>
  </si>
  <si>
    <t>Sea belt (Saccharina latissima), dried or dehydrated, processed in FR | Ambient (long) | LDPE | No preparation | at consumer/FR [Ciqual code: 20986]</t>
  </si>
  <si>
    <t>Amount:</t>
  </si>
  <si>
    <t>100.0 g</t>
  </si>
  <si>
    <t>Impact method:</t>
  </si>
  <si>
    <t>ReCiPe 2016 Midpoint (H)</t>
  </si>
  <si>
    <t>AWARE</t>
  </si>
  <si>
    <t>Normalisation &amp; weighting set:</t>
  </si>
  <si>
    <t>Allocation method:</t>
  </si>
  <si>
    <t>process defaults</t>
  </si>
  <si>
    <t>Cutoff:</t>
  </si>
  <si>
    <t>Inventory</t>
  </si>
  <si>
    <t>Flow UUID</t>
  </si>
  <si>
    <t>Sub-category</t>
  </si>
  <si>
    <t>Mean</t>
  </si>
  <si>
    <t>Standard deviation</t>
  </si>
  <si>
    <t>Minimum</t>
  </si>
  <si>
    <t>Maximum</t>
  </si>
  <si>
    <t>Median</t>
  </si>
  <si>
    <t>5% Percentile</t>
  </si>
  <si>
    <t>95% Percentile</t>
  </si>
  <si>
    <t>01c12fca-ad8b-4902-8b48-2d5afe3d3a0f</t>
  </si>
  <si>
    <t>Energy, gross calorific value, in biomass</t>
  </si>
  <si>
    <t>Resource</t>
  </si>
  <si>
    <t>biotic</t>
  </si>
  <si>
    <t>8842042d-7f07-45f8-bf43-fa83833d75de</t>
  </si>
  <si>
    <t>Energy, gross calorific value, in biomass, primary forest</t>
  </si>
  <si>
    <t>c5035ce2-5ee5-431f-a287-4b25da42be74</t>
  </si>
  <si>
    <t>Peat</t>
  </si>
  <si>
    <t>bac875f4-75fb-4dde-841a-b07d3a41bcd1</t>
  </si>
  <si>
    <t>Wood, hard, standing</t>
  </si>
  <si>
    <t>b073ec00-a5bf-4b64-bda0-ef366a3ac9bb</t>
  </si>
  <si>
    <t>Wood, soft, standing</t>
  </si>
  <si>
    <t>23e83c1f-07c9-4b5f-a898-0f4f09a6691f</t>
  </si>
  <si>
    <t>Wood, unspecified, standing/m3</t>
  </si>
  <si>
    <t>59779da3-47e4-3df4-bcb8-8e487eac09ef</t>
  </si>
  <si>
    <t>Argon</t>
  </si>
  <si>
    <t>in air</t>
  </si>
  <si>
    <t>8b46f615-69c9-4ca3-815e-a7bde116d202</t>
  </si>
  <si>
    <t>Argon-40</t>
  </si>
  <si>
    <t>cc6a1abb-b123-4ca6-8f16-38209df609be</t>
  </si>
  <si>
    <t>Carbon dioxide, in air</t>
  </si>
  <si>
    <t>57c71b25-4663-4fad-9167-7ce5be3e8268</t>
  </si>
  <si>
    <t>Energy, kinetic (in wind), converted</t>
  </si>
  <si>
    <t>a7ff17d4-d3fe-4a70-9f2e-392b34630772</t>
  </si>
  <si>
    <t>Energy, solar, converted</t>
  </si>
  <si>
    <t>4602b501-1c9b-4af7-bb1c-864c70c3e855</t>
  </si>
  <si>
    <t>Krypton</t>
  </si>
  <si>
    <t>e3f5fd63-7dcb-41f1-9b8a-a48a8d68bc65</t>
  </si>
  <si>
    <t>Nitrogen, atmospheric</t>
  </si>
  <si>
    <t>af01e564-f816-4906-bd4f-b7c932f926b9</t>
  </si>
  <si>
    <t>c52e8414-f232-4c6a-bff2-5726189789ee</t>
  </si>
  <si>
    <t>Xenon</t>
  </si>
  <si>
    <t>a45cd247-3532-4e27-bddc-b519fdb5e08f</t>
  </si>
  <si>
    <t>Aluminium</t>
  </si>
  <si>
    <t>in ground</t>
  </si>
  <si>
    <t>6df9ea09-115a-4678-9f30-d92c877a46ec</t>
  </si>
  <si>
    <t>Anhydrite</t>
  </si>
  <si>
    <t>08a91e70-3ddc-11dd-97f9-0050c2490048</t>
  </si>
  <si>
    <t>Barite</t>
  </si>
  <si>
    <t>ac3a8914-35f0-4c34-a956-f26b3a053e4a</t>
  </si>
  <si>
    <t>Basalt</t>
  </si>
  <si>
    <t>eead2933-c2be-4a53-a0bd-bd33b67e4145</t>
  </si>
  <si>
    <t>Borax</t>
  </si>
  <si>
    <t>bf377e4f-3a95-4ce2-a9ba-66ee31f00f60</t>
  </si>
  <si>
    <t>Cadmium</t>
  </si>
  <si>
    <t>99ee393d-4bd1-4cc8-b0a0-d956865fb7bf</t>
  </si>
  <si>
    <t>Calcite</t>
  </si>
  <si>
    <t>8c2fe757-6866-4ed2-9f89-81012ad774a0</t>
  </si>
  <si>
    <t>Carbon, organic, in soil or biomass stock</t>
  </si>
  <si>
    <t>4057f8b4-f20a-59c9-9bb7-fdeaf5ad106d</t>
  </si>
  <si>
    <t>Cerium</t>
  </si>
  <si>
    <t>e189e2d4-3d3f-4ada-b302-91611784311f</t>
  </si>
  <si>
    <t>Chromium</t>
  </si>
  <si>
    <t>c5f5aeb8-7558-4a0c-9594-27621b9cfbc5</t>
  </si>
  <si>
    <t>Chrysotile</t>
  </si>
  <si>
    <t>15545dca-018d-4f7f-aa1f-796b707180af</t>
  </si>
  <si>
    <t>Cinnabar</t>
  </si>
  <si>
    <t>93806a54-46f5-409c-99c5-4144a1e73b5d</t>
  </si>
  <si>
    <t>Clay, bentonite</t>
  </si>
  <si>
    <t>f7519ca9-5ffc-41c3-a33e-806da82cfc0e</t>
  </si>
  <si>
    <t>Clay, unspecified</t>
  </si>
  <si>
    <t>024c9722-1e88-412b-8c4b-10c532be8dca</t>
  </si>
  <si>
    <t>Coal, brown</t>
  </si>
  <si>
    <t>382d9536-3f44-3681-9daf-0d4c73134146</t>
  </si>
  <si>
    <t>Coal, hard</t>
  </si>
  <si>
    <t>d0779a5e-6969-4144-954e-ceb81fb83f15</t>
  </si>
  <si>
    <t>Cobalt</t>
  </si>
  <si>
    <t>02e8658e-3c88-404c-865d-4d4934661ea6</t>
  </si>
  <si>
    <t>Cobalt, Co 5.0E-2%, in mixed ore</t>
  </si>
  <si>
    <t>ec72c523-9e1a-466a-98c3-e4098e90fd27</t>
  </si>
  <si>
    <t>Colemanite</t>
  </si>
  <si>
    <t>1aee4aa7-32e0-48e7-a6b5-73d8acf672d3</t>
  </si>
  <si>
    <t>Copper, 0.52% in sulfide, Cu 0.27% and Mo 8.2E-3% in crude ore</t>
  </si>
  <si>
    <t>1b35070a-eb57-4f0f-a27f-5ba181ff0d4d</t>
  </si>
  <si>
    <t>Copper, 0.59% in sulfide, Cu 0.22% and Mo 8.2E-3% in crude ore</t>
  </si>
  <si>
    <t>19988f5b-a9a6-48f3-9e8e-150b66a1bf12</t>
  </si>
  <si>
    <t>Copper, 0.97% in sulfide, Cu 0.36% and Mo 4.1E-2% in crude ore</t>
  </si>
  <si>
    <t>79df5650-160a-4ab7-a14f-cc8162877f4a</t>
  </si>
  <si>
    <t>Copper, 0.99% in sulfide, Cu 0.36% and Mo 8.2E-3% in crude ore</t>
  </si>
  <si>
    <t>ed5ace5c-a203-4816-b33b-9fe0c5f0f519</t>
  </si>
  <si>
    <t>Copper, 1.13% in sulfide, Cu 0.76% and Ni 0.76% in crude ore</t>
  </si>
  <si>
    <t>31998285-fb5c-411d-b853-ce78be2a0b49</t>
  </si>
  <si>
    <t>Copper, 1.18% in sulfide, Cu 0.39% and Mo 8.2E-3% in crude ore</t>
  </si>
  <si>
    <t>c8f18160-6937-4bb9-ad0c-dffa942ca41e</t>
  </si>
  <si>
    <t>Copper, 1.42% in sulfide, Cu 0.81% and Mo 8.2E-3% in crude ore</t>
  </si>
  <si>
    <t>b569dc97-52fe-4e39-9627-183b1002c287</t>
  </si>
  <si>
    <t>Copper, 2.19% in sulfide, Cu 1.83% and Mo 8.2E-3% in crude ore</t>
  </si>
  <si>
    <t>704399e3-cf6b-483d-84f5-466e91a9d17c</t>
  </si>
  <si>
    <t>Copper, Cu 0.2%, in mixed ore</t>
  </si>
  <si>
    <t>5afa470c-ab8c-4ec3-8a18-5c0bed973571</t>
  </si>
  <si>
    <t>Copper, Cu 0.38%, Au 9.7E-4%, Ag 9.7E-4%, Zn 0.63%, Pb 0.014%, in ore</t>
  </si>
  <si>
    <t>dca6a0a7-b5b1-3786-bc10-a2aaddcece9b</t>
  </si>
  <si>
    <t>Copper, Cu 3.2E+0%, Pt 2.5E-4%, Pd 7.3E-4%, Rh 2.0E-5%, Ni 2.3E+0% in ore</t>
  </si>
  <si>
    <t>4a89f19c-ac7d-3ca8-ad96-72c4c5f779bf</t>
  </si>
  <si>
    <t>Copper, Cu 5.2E-2%, Pt 4.8E-4%, Pd 2.0E-4%, Rh 2.4E-5%, Ni 3.7E-2% in ore</t>
  </si>
  <si>
    <t>4f684798-3870-45a1-b5f2-aa3444c0b8d6</t>
  </si>
  <si>
    <t>Copper, Cu 6.8E-1%, in mixed ore</t>
  </si>
  <si>
    <t>9877ce00-65f8-4c0c-9fcf-92aa53a2c9c0</t>
  </si>
  <si>
    <t>Diatomite</t>
  </si>
  <si>
    <t>c7aee986-b7d8-4ad9-ad45-1ac0d68e6b78</t>
  </si>
  <si>
    <t>Dolomite</t>
  </si>
  <si>
    <t>8bc09c04-2190-4ee2-9ee2-ae988ccd4e0c</t>
  </si>
  <si>
    <t>Energy, geothermal, converted</t>
  </si>
  <si>
    <t>3d73ec21-de4d-5b68-b504-4ef59e15bd0e</t>
  </si>
  <si>
    <t>Europium</t>
  </si>
  <si>
    <t>26296ec9-ff93-41e6-bbbf-6175af04284d</t>
  </si>
  <si>
    <t>Feldspar</t>
  </si>
  <si>
    <t>3048af84-1d72-5e3f-a739-b2d7fa7d4773</t>
  </si>
  <si>
    <t>Fluorine</t>
  </si>
  <si>
    <t>355785ee-56e0-455b-aaa6-bee43c82b49c</t>
  </si>
  <si>
    <t>Fluorine, 4.5% in apatite, 3% in crude ore</t>
  </si>
  <si>
    <t>0fa4f51e-b0dc-5d11-84d3-b32f0f3c88d5</t>
  </si>
  <si>
    <t>Fluorspar</t>
  </si>
  <si>
    <t>f55e2203-ef91-50bf-8f5a-119bb210522c</t>
  </si>
  <si>
    <t>Gadolinium</t>
  </si>
  <si>
    <t>0878c1c6-4c1d-4f90-a2de-a9383855d5c6</t>
  </si>
  <si>
    <t>Gallium</t>
  </si>
  <si>
    <t>43b2649e-26f8-400d-bc0a-a0667e850915</t>
  </si>
  <si>
    <t>Gangue, bauxite</t>
  </si>
  <si>
    <t>3ed5f377-344f-423a-b5ec-9a9a1162b944</t>
  </si>
  <si>
    <t>Gas, mine, off-gas, process, coal mining/m3</t>
  </si>
  <si>
    <t>7c337428-fb1b-45c7-bbb2-2ee4d29e17ba</t>
  </si>
  <si>
    <t>Gas, natural/m3</t>
  </si>
  <si>
    <t>d080e6a4-42c6-484e-b5d7-d74693aec7d9</t>
  </si>
  <si>
    <t>Gold</t>
  </si>
  <si>
    <t>60b67dea-a332-4d8d-968b-df8f3df6088a</t>
  </si>
  <si>
    <t>Gold, Au 1.0E-7%, in mixed ore</t>
  </si>
  <si>
    <t>ff741136-d6ee-444a-a15b-3b308e376db8</t>
  </si>
  <si>
    <t>Gold, Au 1.1E-4%, Ag 4.2E-3%, in ore</t>
  </si>
  <si>
    <t>7cd1d217-70a7-4452-abc4-3b1100763d6d</t>
  </si>
  <si>
    <t>Gold, Au 1.3E-4%, Ag 4.6E-5%, in ore</t>
  </si>
  <si>
    <t>16ddda12-daf4-460c-83fb-c361bdbbc9e9</t>
  </si>
  <si>
    <t>Gold, Au 1.8E-4%, in mixed ore</t>
  </si>
  <si>
    <t>2d65a3f7-2a10-4a10-ac9e-a0cc7cd57979</t>
  </si>
  <si>
    <t>Gold, Au 2.1E-4%, Ag 2.1E-4%, in ore</t>
  </si>
  <si>
    <t>95268685-7bea-4883-a412-119d7e88372c</t>
  </si>
  <si>
    <t>Gold, Au 4.3E-4%, in ore</t>
  </si>
  <si>
    <t>8c888d2b-d608-4dac-bad5-1c2a17050838</t>
  </si>
  <si>
    <t>Gold, Au 4.9E-5%, in ore</t>
  </si>
  <si>
    <t>d6c7644f-0d7c-4bb3-b8bb-686ebede951e</t>
  </si>
  <si>
    <t>Gold, Au 5.4E-4%, Ag 1.5E-5%, in ore</t>
  </si>
  <si>
    <t>3eece329-cf79-4167-93c2-b8d7d7eb5058</t>
  </si>
  <si>
    <t>Gold, Au 6.7E-4%, in ore</t>
  </si>
  <si>
    <t>4f5aad55-54d2-4628-a509-b28ef1929bb4</t>
  </si>
  <si>
    <t>Gold, Au 6.8E-4%, Ag 1.5E-4%, in ore</t>
  </si>
  <si>
    <t>d28f9d42-5df5-41c3-be59-fdfa7ff57112</t>
  </si>
  <si>
    <t>Gold, Au 7.1E-4%, in ore</t>
  </si>
  <si>
    <t>cf3d3dbc-0e4b-402d-92a1-8ea6b4869ed5</t>
  </si>
  <si>
    <t>Gold, Au 9.7E-4%, Ag 9.7E-4%, Zn 0.63%, Cu 0.38%, Pb 0.014%, in ore</t>
  </si>
  <si>
    <t>c7d38707-3b22-4fb1-b001-0c8cad496a60</t>
  </si>
  <si>
    <t>Gold, Au 9.7E-5%, Ag 7.6E-5%, in ore</t>
  </si>
  <si>
    <t>a4375a18-172c-4f82-90b7-bca972f75548</t>
  </si>
  <si>
    <t>Granite</t>
  </si>
  <si>
    <t>238f8ea9-98df-41dc-ab93-ea5b549a0b96</t>
  </si>
  <si>
    <t>Gravel</t>
  </si>
  <si>
    <t>11a2a7b1-ab2f-47b8-9e29-6f33d5207fa6</t>
  </si>
  <si>
    <t>Gypsum</t>
  </si>
  <si>
    <t>7aaf1a4e-f72f-5dc6-b999-de4e99948eb8</t>
  </si>
  <si>
    <t>Indium</t>
  </si>
  <si>
    <t>8ce3ff02-7a1e-48e3-881e-3248b944f28a</t>
  </si>
  <si>
    <t>Iron</t>
  </si>
  <si>
    <t>81ff5c0b-c44f-534e-a55e-8fc017e33dd2</t>
  </si>
  <si>
    <t>Kaolinite</t>
  </si>
  <si>
    <t>f3380341-7f76-5423-9704-c25ccf777a39</t>
  </si>
  <si>
    <t>Kieserite</t>
  </si>
  <si>
    <t>176598c1-699c-5dd8-8c33-d269ff7f5edd</t>
  </si>
  <si>
    <t>Lanthanum</t>
  </si>
  <si>
    <t>fbcb9c7a-eea7-4694-ba6c-568e01d28883</t>
  </si>
  <si>
    <t>Lead</t>
  </si>
  <si>
    <t>2d9f9c6b-8dca-4641-8ff9-53cb8beabd13</t>
  </si>
  <si>
    <t>Lead, Pb 0.014%, Au 9.7E-4%, Ag 9.7E-4%, Zn 0.63%, Cu 0.38%, in ore</t>
  </si>
  <si>
    <t>4df0eac4-44bb-46b6-b588-e3513a1ead2f</t>
  </si>
  <si>
    <t>Lead, Pb 3.6E-1%, in mixed ore</t>
  </si>
  <si>
    <t>7d2c1cdd-a64a-5936-a577-5b82db0c0d1b</t>
  </si>
  <si>
    <t>Lithium</t>
  </si>
  <si>
    <t>a4bab069-74a9-5b4c-8d6e-5ca984cd9ecd</t>
  </si>
  <si>
    <t>Magnesite</t>
  </si>
  <si>
    <t>c2586875-bb56-4b1e-84c5-5ff255a1108b</t>
  </si>
  <si>
    <t>Manganese</t>
  </si>
  <si>
    <t>5666353e-2db2-41d3-8414-404709151422</t>
  </si>
  <si>
    <t>Metamorphous rock, graphite containing</t>
  </si>
  <si>
    <t>fe0acd60-3ddc-11dd-a2be-0050c2490048</t>
  </si>
  <si>
    <t>Molybdenum</t>
  </si>
  <si>
    <t>06874cbb-2daf-4981-a55e-2c38be5b7277</t>
  </si>
  <si>
    <t>Molybdenum, 0.010% in sulfide, Mo 8.2E-3% and Cu 1.83% in crude ore</t>
  </si>
  <si>
    <t>5514ccd2-469f-4074-9905-529154e7f742</t>
  </si>
  <si>
    <t>Molybdenum, 0.014% in sulfide, Mo 8.2E-3% and Cu 0.81% in crude ore</t>
  </si>
  <si>
    <t>ac8571b8-b00b-479d-93cf-b9374feaee05</t>
  </si>
  <si>
    <t>Molybdenum, 0.016% in sulfide, Mo 8.2E-3% and Cu 0.27% in crude ore</t>
  </si>
  <si>
    <t>a76cf135-2be1-4e53-9423-9211acd100f1</t>
  </si>
  <si>
    <t>Molybdenum, 0.022% in sulfide, Mo 8.2E-3% and Cu 0.22% in crude ore</t>
  </si>
  <si>
    <t>30fed59d-d722-482f-be4f-f3d93bdd2527</t>
  </si>
  <si>
    <t>Molybdenum, 0.022% in sulfide, Mo 8.2E-3% and Cu 0.36% in crude ore</t>
  </si>
  <si>
    <t>719def62-0941-4264-bc54-97093d847d7a</t>
  </si>
  <si>
    <t>Molybdenum, 0.025% in sulfide, Mo 8.2E-3% and Cu 0.39% in crude ore</t>
  </si>
  <si>
    <t>db0c855c-e9ef-58d9-97cc-960e646fc882</t>
  </si>
  <si>
    <t>Neodymium</t>
  </si>
  <si>
    <t>86c6e6cd-c2f5-4977-bad6-ce9cd48cf721</t>
  </si>
  <si>
    <t>Nickel, 1.13% in sulfide, Ni 0.76% and Cu 0.76% in crude ore</t>
  </si>
  <si>
    <t>e47e4e5f-6528-413d-a8fb-1cd1875fbd73</t>
  </si>
  <si>
    <t>Nickel, 1.98% in silicates, 1.04% in crude ore</t>
  </si>
  <si>
    <t>0d7f8b87-12f4-4e83-a5a2-854e2f2b47de</t>
  </si>
  <si>
    <t>Nickel, Ni 2.3E+0%, Pt 2.5E-4%, Pd 7.3E-4%, Rh 2.0E-5%, Cu 3.2E+0% in ore</t>
  </si>
  <si>
    <t>f09c3144-a268-4bed-8ca2-63005b6ef75f</t>
  </si>
  <si>
    <t>Nickel, Ni 2.5E+0%, in mixed ore</t>
  </si>
  <si>
    <t>17f04213-ecb8-3561-aac6-0fdb3295777a</t>
  </si>
  <si>
    <t>Nickel, Ni 3.7E-2%, Pt 4.8E-4%, Pd 2.0E-4%, Rh 2.4E-5%, Cu 5.2E-2% in ore</t>
  </si>
  <si>
    <t>88d06db9-59a1-4719-9174-afeb1fa4026a</t>
  </si>
  <si>
    <t>Oil, crude</t>
  </si>
  <si>
    <t>d7cadc9a-f42c-4711-a8e2-0b626c0a4c7a</t>
  </si>
  <si>
    <t>Olivine</t>
  </si>
  <si>
    <t>669ab0eb-c020-4b98-bfe4-e0989013121a</t>
  </si>
  <si>
    <t>Palladium, Pd 1.6E-6%, in mixed ore</t>
  </si>
  <si>
    <t>b4157c65-4181-3279-8c4b-30a58ca47b10</t>
  </si>
  <si>
    <t>Palladium, Pd 2.0E-4%, Pt 4.8E-4%, Rh 2.4E-5%, Ni 3.7E-2%, Cu 5.2E-2% in ore</t>
  </si>
  <si>
    <t>fe1524b9-afe4-380d-99a8-822964917db0</t>
  </si>
  <si>
    <t>Palladium, Pd 7.3E-4%, Pt 2.5E-4%, Rh 2.0E-5%, Ni 2.3E+0%, Cu 3.2E+0% in ore</t>
  </si>
  <si>
    <t>09a68c14-01f6-4dee-ba29-8b7f400b72b5</t>
  </si>
  <si>
    <t>Perlite</t>
  </si>
  <si>
    <t>483ae3c5-4eb0-46e4-b811-a72ad391716b</t>
  </si>
  <si>
    <t>9a7380d1-6e23-48ad-b35a-14bd1ecb3133</t>
  </si>
  <si>
    <t>Phosphorus, 18% in apatite, 4% in crude ore</t>
  </si>
  <si>
    <t>a55ba777-c1ec-338a-9482-fc6e006a56de</t>
  </si>
  <si>
    <t>Platinum, Pt 2.5E-4%, Pd 7.3E-4%, Rh 2.0E-5%, Ni 2.3E+0%, Cu 3.2E+0% in ore</t>
  </si>
  <si>
    <t>68be4a67-89e0-4cfe-a089-fa8706de230e</t>
  </si>
  <si>
    <t>Platinum, Pt 4.7E-7%, in mixed ore</t>
  </si>
  <si>
    <t>6b47b4de-2322-358e-a3b8-57e2f26eafb3</t>
  </si>
  <si>
    <t>Platinum, Pt 4.8E-4%, Pd 2.0E-4%, Rh 2.4E-5%, Ni 3.7E-2%, Cu 5.2E-2% in ore</t>
  </si>
  <si>
    <t>041ff934-6556-11dd-ad8b-0800200c9a66</t>
  </si>
  <si>
    <t>Potassium chloride</t>
  </si>
  <si>
    <t>35da65ff-7287-571d-b859-13d398ac5182</t>
  </si>
  <si>
    <t>Praseodymium</t>
  </si>
  <si>
    <t>a2e6fb74-b047-5697-b5dd-e28cc68f29e6</t>
  </si>
  <si>
    <t>Rhenium</t>
  </si>
  <si>
    <t>ba2da2fe-3420-45d1-9d1b-58b9e99714eb</t>
  </si>
  <si>
    <t>Rhodium, Rh 1.6E-7%, in mixed ore</t>
  </si>
  <si>
    <t>8c90daf4-cbc1-309b-9f36-78377bfef810</t>
  </si>
  <si>
    <t>Rhodium, Rh 2.0E-5%, Pt 2.5E-4%, Pd 7.3E-4%, Ni 2.3E+0%, Cu 3.2E+0% in ore</t>
  </si>
  <si>
    <t>92b7ea9a-59d5-3486-a300-3028ea0e1538</t>
  </si>
  <si>
    <t>Rhodium, Rh 2.4E-5%, Pt 4.8E-4%, Pd 2.0E-4%, Ni 3.7E-2%, Cu 5.2E-2% in ore</t>
  </si>
  <si>
    <t>cf791833-26bc-5207-a9bd-6ddcd8ac7625</t>
  </si>
  <si>
    <t>Samarium</t>
  </si>
  <si>
    <t>19fafab5-f4a8-380e-9d9d-1b873e20cfee</t>
  </si>
  <si>
    <t>Sand</t>
  </si>
  <si>
    <t>9e9b6792-40e6-4d62-a3e0-ebebc0c65166</t>
  </si>
  <si>
    <t>Shale</t>
  </si>
  <si>
    <t>c15f6c4d-bf7a-4a7c-91c6-53aad6a630a8</t>
  </si>
  <si>
    <t>Silver, 0.007% in sulfide, Ag 0.004%, Pb, Zn, Cd, In</t>
  </si>
  <si>
    <t>14946240-b1ee-412c-b900-ed5728a4e684</t>
  </si>
  <si>
    <t>Silver, 3.2ppm in sulfide, Ag 1.2ppm, Cu and Te, in crude ore</t>
  </si>
  <si>
    <t>ed8c57b5-6012-4f21-8b70-92a85923786a</t>
  </si>
  <si>
    <t>Silver, Ag 1.5E-4%, Au 6.8E-4%, in ore</t>
  </si>
  <si>
    <t>adfff256-b19a-4083-9783-ffbc7a7cb437</t>
  </si>
  <si>
    <t>Silver, Ag 1.5E-5%, Au 5.4E-4%, in ore</t>
  </si>
  <si>
    <t>45ed0c16-0e34-45f1-8bf9-3b1ce8489e73</t>
  </si>
  <si>
    <t>Silver, Ag 1.8E-6%, in mixed ore</t>
  </si>
  <si>
    <t>d02343bd-b00d-4fb3-9bda-2e8183f3b012</t>
  </si>
  <si>
    <t>Silver, Ag 2.1E-4%, Au 2.1E-4%, in ore</t>
  </si>
  <si>
    <t>d76320f7-6761-4864-92a6-660fa3453ffa</t>
  </si>
  <si>
    <t>Silver, Ag 4.2E-3%, Au 1.1E-4%, in ore</t>
  </si>
  <si>
    <t>6f70e7c7-ef61-4489-b4f3-157e7e8541ef</t>
  </si>
  <si>
    <t>Silver, Ag 4.6E-5%, Au 1.3E-4%, in ore</t>
  </si>
  <si>
    <t>eaa3e9d4-68d6-4267-a7a5-48b141c3861e</t>
  </si>
  <si>
    <t>Silver, Ag 5.4E-3%, in mixed ore</t>
  </si>
  <si>
    <t>781dda0c-ffeb-4664-9667-7506ce6269b9</t>
  </si>
  <si>
    <t>Silver, Ag 7.6E-5%, Au 9.7E-5%, in ore</t>
  </si>
  <si>
    <t>cfaa80f4-8e19-4fd6-942a-eaea14812896</t>
  </si>
  <si>
    <t>Silver, Ag 9.7E-4%, Au 9.7E-4%, Zn 0.63%, Cu 0.38%, Pb 0.014%, in ore</t>
  </si>
  <si>
    <t>0b9159dd-305d-4add-802f-f7b780ed0289</t>
  </si>
  <si>
    <t>Sodium chloride</t>
  </si>
  <si>
    <t>a2a4f255-ad47-4cf8-b6a9-e10885d61407</t>
  </si>
  <si>
    <t>Sodium nitrate</t>
  </si>
  <si>
    <t>fc565b76-6962-336e-9fe3-86eb874c167b</t>
  </si>
  <si>
    <t>Sodium sulfate</t>
  </si>
  <si>
    <t>5324b57a-96f1-4dc3-9dc5-544881960f4f</t>
  </si>
  <si>
    <t>Spodumene</t>
  </si>
  <si>
    <t>3e0034cd-21d6-4582-9fbf-09c26edd05df</t>
  </si>
  <si>
    <t>Stibnite</t>
  </si>
  <si>
    <t>0f1b21d0-2780-4742-87f2-28fb21a44db5</t>
  </si>
  <si>
    <t>Strontium</t>
  </si>
  <si>
    <t>852281f6-db73-4250-84d3-86b569fce0c1</t>
  </si>
  <si>
    <t>Sulfur</t>
  </si>
  <si>
    <t>bc97531c-12d8-4113-bcb2-663a47d12d0f</t>
  </si>
  <si>
    <t>Talc</t>
  </si>
  <si>
    <t>775fdf03-b0bb-5c25-b14d-107231d5b2f0</t>
  </si>
  <si>
    <t>Tantalum</t>
  </si>
  <si>
    <t>7b6da1f2-e191-5a77-ae06-af96201f5803</t>
  </si>
  <si>
    <t>Tellurium</t>
  </si>
  <si>
    <t>53d5ef26-66d8-4536-afa2-2f6b114189ba</t>
  </si>
  <si>
    <t>Tin</t>
  </si>
  <si>
    <t>90a94ea5-bca4-483d-a591-2e886c0ff47f</t>
  </si>
  <si>
    <t>TiO2, 54% in ilmenite, 18% in crude ore</t>
  </si>
  <si>
    <t>78cd4852-e7b9-4301-adf7-51e730b0356a</t>
  </si>
  <si>
    <t>TiO2, 54% in ilmenite, 2.6% in crude ore</t>
  </si>
  <si>
    <t>ec0fa5ce-51b4-4792-a8e8-c4ee668eddc3</t>
  </si>
  <si>
    <t>TiO2, 95% in rutile, 0.40% in crude ore</t>
  </si>
  <si>
    <t>d0696f95-6cb3-453b-b849-c99ba9c90c28</t>
  </si>
  <si>
    <t>Ulexite</t>
  </si>
  <si>
    <t>2ba5e39b-adb6-4767-a51d-90c1cf32fe98</t>
  </si>
  <si>
    <t>Uranium</t>
  </si>
  <si>
    <t>f6df5030-8e06-4276-bfeb-219db8dab104</t>
  </si>
  <si>
    <t>Volume occupied, final repository for low-active radioactive waste</t>
  </si>
  <si>
    <t>adb4b590-7fb2-47b6-84e7-d4746a94c7b5</t>
  </si>
  <si>
    <t>Volume occupied, final repository for radioactive waste</t>
  </si>
  <si>
    <t>8bd1295e-4af1-4177-88a2-6f56ac8e4546</t>
  </si>
  <si>
    <t>Volume occupied, underground deposit</t>
  </si>
  <si>
    <t>3415f4a8-db36-3c69-b844-26281514fa51</t>
  </si>
  <si>
    <t>Water, unspecified natural origin, CN</t>
  </si>
  <si>
    <t>1895b993-e254-3f2f-8ce6-aa4a40291119</t>
  </si>
  <si>
    <t>Water, unspecified natural origin, DE</t>
  </si>
  <si>
    <t>7f989bca-1b2e-344d-9f21-67f2f91a477f</t>
  </si>
  <si>
    <t>Water, unspecified natural origin, GLO</t>
  </si>
  <si>
    <t>0c823270-5017-3c49-a47c-008f67c7bf77</t>
  </si>
  <si>
    <t>Water, unspecified natural origin, IN</t>
  </si>
  <si>
    <t>b379e1c1-5457-3613-8666-84ab8420f121</t>
  </si>
  <si>
    <t>Water, unspecified natural origin, RER</t>
  </si>
  <si>
    <t>d5fa3a85-2543-365f-b7c7-e61f046f255b</t>
  </si>
  <si>
    <t>Water, unspecified natural origin, RNA</t>
  </si>
  <si>
    <t>2ec98519-0441-3879-bc20-0483a724fab1</t>
  </si>
  <si>
    <t>Water, unspecified natural origin, RoW</t>
  </si>
  <si>
    <t>6ae83186-9402-3114-80e2-e28cb5395cf8</t>
  </si>
  <si>
    <t>Water, unspecified natural origin, US</t>
  </si>
  <si>
    <t>be73218b-18af-492e-96e6-addd309d1e32</t>
  </si>
  <si>
    <t>Zinc</t>
  </si>
  <si>
    <t>f8f1ba14-9934-4678-8a78-e2cf1fce7775</t>
  </si>
  <si>
    <t>Zinc, Zn 0.63%, Au 9.7E-4%, Ag 9.7E-4%, Cu 0.38%, Pb 0.014%, in ore</t>
  </si>
  <si>
    <t>c3b2ba62-b158-47b1-8e1e-e76156e5292a</t>
  </si>
  <si>
    <t>Zinc, Zn 3.1%, in mixed ore</t>
  </si>
  <si>
    <t>cd2932c5-a486-4bf1-99b8-815d8a7ce11a</t>
  </si>
  <si>
    <t>Zirconium</t>
  </si>
  <si>
    <t>426ec4c5-ef53-3a0d-b038-44c10bd01b8d</t>
  </si>
  <si>
    <t>Bromine</t>
  </si>
  <si>
    <t>in water</t>
  </si>
  <si>
    <t>d16c8806-7701-4fbb-b68d-9b2d5d083d7a</t>
  </si>
  <si>
    <t>Carnallite</t>
  </si>
  <si>
    <t>c0dd7ccd-9e7a-42b3-b899-dfd18c2150ca</t>
  </si>
  <si>
    <t>Energy, potential (in hydropower reservoir), converted</t>
  </si>
  <si>
    <t>d22719d0-8afd-45d3-b9eb-222112f84cc7</t>
  </si>
  <si>
    <t>Fish, pelagic, in ocean</t>
  </si>
  <si>
    <t>36a3d172-7373-507f-85bd-12b8ba31a6d4</t>
  </si>
  <si>
    <t>Iodine</t>
  </si>
  <si>
    <t>9a9d71c7-79f7-42d0-af47-282d22a7cf07</t>
  </si>
  <si>
    <t>Volume occupied, reservoir</t>
  </si>
  <si>
    <t>m3*a</t>
  </si>
  <si>
    <t>b297cf0c-23c3-34a8-9cdf-586650be58fd</t>
  </si>
  <si>
    <t>Water, cooling, unspecified natural origin, AT</t>
  </si>
  <si>
    <t>6ddcf13b-64d6-33e3-97eb-a14040dddfca</t>
  </si>
  <si>
    <t>Water, cooling, unspecified natural origin, AU</t>
  </si>
  <si>
    <t>c5294e60-47a2-3ba3-bd8d-12cec538bb7a</t>
  </si>
  <si>
    <t>Water, cooling, unspecified natural origin, BA</t>
  </si>
  <si>
    <t>572445fe-ff91-3f7e-8846-a3fddd87ea52</t>
  </si>
  <si>
    <t>Water, cooling, unspecified natural origin, BE</t>
  </si>
  <si>
    <t>23f4e3e3-c30b-3d45-b888-5263a9484861</t>
  </si>
  <si>
    <t>Water, cooling, unspecified natural origin, BG</t>
  </si>
  <si>
    <t>c7024325-1fdf-3d70-b078-a34cc49c6db6</t>
  </si>
  <si>
    <t>Water, cooling, unspecified natural origin, BR</t>
  </si>
  <si>
    <t>31b9c5a7-2359-3349-be6f-086fe117cd37</t>
  </si>
  <si>
    <t>Water, cooling, unspecified natural origin, CA</t>
  </si>
  <si>
    <t>f1ca67fc-fd5c-3179-aeb9-c689f7a8a2af</t>
  </si>
  <si>
    <t>Water, cooling, unspecified natural origin, CH</t>
  </si>
  <si>
    <t>5a19056b-6d15-3a0c-bd00-d184e991d3ab</t>
  </si>
  <si>
    <t>Water, cooling, unspecified natural origin, CL</t>
  </si>
  <si>
    <t>121b0f77-c14f-393e-8b68-30b46e1a426c</t>
  </si>
  <si>
    <t>Water, cooling, unspecified natural origin, CN</t>
  </si>
  <si>
    <t>bed49bbe-9b5e-319c-98a9-636897b4d847</t>
  </si>
  <si>
    <t>Water, cooling, unspecified natural origin, CY</t>
  </si>
  <si>
    <t>abc1487f-7ac2-3aed-b04d-105a47d73e16</t>
  </si>
  <si>
    <t>Water, cooling, unspecified natural origin, CZ</t>
  </si>
  <si>
    <t>e273a57d-19bd-3a0e-abc7-d6e32bc320dd</t>
  </si>
  <si>
    <t>Water, cooling, unspecified natural origin, DE</t>
  </si>
  <si>
    <t>5e37f4c5-3ad2-377e-87b7-46e80144b3c2</t>
  </si>
  <si>
    <t>Water, cooling, unspecified natural origin, DK</t>
  </si>
  <si>
    <t>7d1db7e7-5b13-3dba-a17c-b1f73dbbc624</t>
  </si>
  <si>
    <t>Water, cooling, unspecified natural origin, EE</t>
  </si>
  <si>
    <t>468ced72-ed96-3ffe-bd81-584d0605aa21</t>
  </si>
  <si>
    <t>Water, cooling, unspecified natural origin, ES</t>
  </si>
  <si>
    <t>2d88cf1e-7aa4-3409-bd12-5da97c133385</t>
  </si>
  <si>
    <t>Water, cooling, unspecified natural origin, Europe without Switzerland</t>
  </si>
  <si>
    <t>154568ac-8185-38bc-9de3-1aab78e98a8c</t>
  </si>
  <si>
    <t>Water, cooling, unspecified natural origin, FI</t>
  </si>
  <si>
    <t>b9f02930-d0e3-3144-92bf-1babde3b17d8</t>
  </si>
  <si>
    <t>Water, cooling, unspecified natural origin, FR</t>
  </si>
  <si>
    <t>d84c58f8-bc2a-3fed-badd-2a35ec5e4c6a</t>
  </si>
  <si>
    <t>Water, cooling, unspecified natural origin, GB</t>
  </si>
  <si>
    <t>c1fa29d5-fc6e-3e50-995d-fcfbc7c8cdc8</t>
  </si>
  <si>
    <t>Water, cooling, unspecified natural origin, GLO</t>
  </si>
  <si>
    <t>07ca6082-954c-3128-9b62-6fc5852b5e5a</t>
  </si>
  <si>
    <t>Water, cooling, unspecified natural origin, GR</t>
  </si>
  <si>
    <t>ce9fd979-2f96-3b4f-b09a-94df06fb3feb</t>
  </si>
  <si>
    <t>Water, cooling, unspecified natural origin, HR</t>
  </si>
  <si>
    <t>48ae8335-d233-311c-b5ee-fc554c018671</t>
  </si>
  <si>
    <t>Water, cooling, unspecified natural origin, HU</t>
  </si>
  <si>
    <t>af7e81d8-b8de-3da1-869f-2bd789a1fbb4</t>
  </si>
  <si>
    <t>Water, cooling, unspecified natural origin, IAI Area, Africa</t>
  </si>
  <si>
    <t>74dde7b1-21bb-39b8-8bc4-e939cd76ba5b</t>
  </si>
  <si>
    <t>Water, cooling, unspecified natural origin, IAI Area, Asia, without China and GCC</t>
  </si>
  <si>
    <t>1541a5e8-fca4-3ca6-a0d2-bc660e26f115</t>
  </si>
  <si>
    <t>Water, cooling, unspecified natural origin, IAI Area, EU27 &amp; EFTA</t>
  </si>
  <si>
    <t>8fa44d38-7e3a-3eaa-b7ec-d6fff922cd0c</t>
  </si>
  <si>
    <t>Water, cooling, unspecified natural origin, IAI Area, Gulf Cooperation Council</t>
  </si>
  <si>
    <t>a7732c1a-8c29-346b-b573-40d3531a9502</t>
  </si>
  <si>
    <t>Water, cooling, unspecified natural origin, IAI Area, Russia &amp; RER w/o EU27 &amp; EFTA</t>
  </si>
  <si>
    <t>1f2c3d7f-0c19-36b2-9bc8-c90c8a3583b3</t>
  </si>
  <si>
    <t>Water, cooling, unspecified natural origin, IAI Area, South America</t>
  </si>
  <si>
    <t>65e587ee-924c-351b-a6ea-f46547c660ca</t>
  </si>
  <si>
    <t>Water, cooling, unspecified natural origin, ID</t>
  </si>
  <si>
    <t>60e8cda5-9b44-367b-a106-b9380025d82a</t>
  </si>
  <si>
    <t>Water, cooling, unspecified natural origin, IE</t>
  </si>
  <si>
    <t>b77bffdd-d035-368c-a735-a37ca4640331</t>
  </si>
  <si>
    <t>Water, cooling, unspecified natural origin, IN</t>
  </si>
  <si>
    <t>d40062f6-9cad-3324-84dd-d8f194a5005d</t>
  </si>
  <si>
    <t>Water, cooling, unspecified natural origin, IR</t>
  </si>
  <si>
    <t>26f7d898-0309-3656-a528-9b2b1f364b6a</t>
  </si>
  <si>
    <t>Water, cooling, unspecified natural origin, IS</t>
  </si>
  <si>
    <t>c266520e-f671-3990-99dd-057fa51ebfe6</t>
  </si>
  <si>
    <t>Water, cooling, unspecified natural origin, IT</t>
  </si>
  <si>
    <t>f7baa589-bb9c-36c2-8ac2-4e23874315b5</t>
  </si>
  <si>
    <t>Water, cooling, unspecified natural origin, JP</t>
  </si>
  <si>
    <t>7b492692-f5e0-393c-9e58-0374b38ae9c5</t>
  </si>
  <si>
    <t>Water, cooling, unspecified natural origin, KR</t>
  </si>
  <si>
    <t>acb0f10c-b5d4-3b9d-a7a5-d4b33df94ff5</t>
  </si>
  <si>
    <t>Water, cooling, unspecified natural origin, LT</t>
  </si>
  <si>
    <t>5511e6ea-d68e-39ad-a83d-2f11e9348ea3</t>
  </si>
  <si>
    <t>Water, cooling, unspecified natural origin, LU</t>
  </si>
  <si>
    <t>5640177c-e3f4-332a-a175-f66dff65b101</t>
  </si>
  <si>
    <t>Water, cooling, unspecified natural origin, LV</t>
  </si>
  <si>
    <t>99955f8f-0222-3094-af2c-47eeec843957</t>
  </si>
  <si>
    <t>Water, cooling, unspecified natural origin, MA</t>
  </si>
  <si>
    <t>eba958f5-ffe1-3f4b-8f2c-8bc7b5a9b275</t>
  </si>
  <si>
    <t>Water, cooling, unspecified natural origin, MK</t>
  </si>
  <si>
    <t>567c72b9-ae0b-3651-95e2-245b1c6c3c6b</t>
  </si>
  <si>
    <t>Water, cooling, unspecified natural origin, MT</t>
  </si>
  <si>
    <t>37fc5b02-751d-3353-b4d4-6fac8ee07b69</t>
  </si>
  <si>
    <t>Water, cooling, unspecified natural origin, MX</t>
  </si>
  <si>
    <t>d78b41a7-b3f3-328f-9e55-0a9836c86c6e</t>
  </si>
  <si>
    <t>Water, cooling, unspecified natural origin, MY</t>
  </si>
  <si>
    <t>ad1dac87-cd0a-350c-8848-4f1fc289cb3a</t>
  </si>
  <si>
    <t>Water, cooling, unspecified natural origin, NL</t>
  </si>
  <si>
    <t>4089d90f-81cf-37fa-a004-ebbad26d04b3</t>
  </si>
  <si>
    <t>Water, cooling, unspecified natural origin, NO</t>
  </si>
  <si>
    <t>cb3f9330-a37b-3656-a82c-fe23fff46e41</t>
  </si>
  <si>
    <t>Water, cooling, unspecified natural origin, NP</t>
  </si>
  <si>
    <t>7a3caaff-7cc2-33e9-aea9-40dcd23d3926</t>
  </si>
  <si>
    <t>Water, cooling, unspecified natural origin, OCE</t>
  </si>
  <si>
    <t>a3f36ce8-73ad-38a8-9073-16558ed96158</t>
  </si>
  <si>
    <t>Water, cooling, unspecified natural origin, PE</t>
  </si>
  <si>
    <t>f4ed16d1-aacb-344f-ab16-aeb44de80128</t>
  </si>
  <si>
    <t>Water, cooling, unspecified natural origin, PH</t>
  </si>
  <si>
    <t>9c369e6e-909b-3828-80eb-97cb53c9fb13</t>
  </si>
  <si>
    <t>Water, cooling, unspecified natural origin, PL</t>
  </si>
  <si>
    <t>882c52b9-814b-3acf-9940-c3c39cc271b7</t>
  </si>
  <si>
    <t>Water, cooling, unspecified natural origin, PT</t>
  </si>
  <si>
    <t>e86c6358-1283-31b1-af5d-6bf05fc58ff8</t>
  </si>
  <si>
    <t>Water, cooling, unspecified natural origin, RER</t>
  </si>
  <si>
    <t>c17215a3-b80a-3372-810c-ccc92b97d3ef</t>
  </si>
  <si>
    <t>Water, cooling, unspecified natural origin, RNA</t>
  </si>
  <si>
    <t>64b8db56-7e67-32da-9f5f-7fbd2a66c03a</t>
  </si>
  <si>
    <t>Water, cooling, unspecified natural origin, RO</t>
  </si>
  <si>
    <t>030c4218-b12c-3638-9344-77dea0cf4557</t>
  </si>
  <si>
    <t>Water, cooling, unspecified natural origin, RoW</t>
  </si>
  <si>
    <t>c39ddc68-60d8-32e9-a0ce-05125d213c0d</t>
  </si>
  <si>
    <t>Water, cooling, unspecified natural origin, RS</t>
  </si>
  <si>
    <t>57196c65-5805-32ae-888e-bde1d00dd671</t>
  </si>
  <si>
    <t>Water, cooling, unspecified natural origin, RU</t>
  </si>
  <si>
    <t>4b724d3a-2a1f-3176-a05b-b06c12d0c7e4</t>
  </si>
  <si>
    <t>Water, cooling, unspecified natural origin, SA</t>
  </si>
  <si>
    <t>8c7323c6-2d9c-3874-91f3-69d87ed3754f</t>
  </si>
  <si>
    <t>Water, cooling, unspecified natural origin, SE</t>
  </si>
  <si>
    <t>5d8406dc-0091-38c0-b3ab-3a50bfd7e399</t>
  </si>
  <si>
    <t>Water, cooling, unspecified natural origin, SI</t>
  </si>
  <si>
    <t>b8d4fe11-af72-3603-adae-44d0524e0857</t>
  </si>
  <si>
    <t>Water, cooling, unspecified natural origin, SK</t>
  </si>
  <si>
    <t>26d923eb-b44e-3615-b6e0-d72e8c7639f0</t>
  </si>
  <si>
    <t>Water, cooling, unspecified natural origin, TH</t>
  </si>
  <si>
    <t>b84a7e1e-2ed1-3f04-80d0-d7f5ed16245b</t>
  </si>
  <si>
    <t>Water, cooling, unspecified natural origin, TR</t>
  </si>
  <si>
    <t>7e1170d4-99d0-3812-8b94-0c6cd519b58b</t>
  </si>
  <si>
    <t>Water, cooling, unspecified natural origin, TW</t>
  </si>
  <si>
    <t>8db6a887-3429-371c-8b04-a0f39b44ca7c</t>
  </si>
  <si>
    <t>Water, cooling, unspecified natural origin, TZ</t>
  </si>
  <si>
    <t>5e73790c-b694-35c4-a642-71bb74188377</t>
  </si>
  <si>
    <t>Water, cooling, unspecified natural origin, UA</t>
  </si>
  <si>
    <t>16528d81-d4bb-3fe4-9e44-f46f6fb1f4d2</t>
  </si>
  <si>
    <t>Water, cooling, unspecified natural origin, US</t>
  </si>
  <si>
    <t>2ba4d6f7-45c2-32af-b377-35ca261dca67</t>
  </si>
  <si>
    <t>Water, cooling, unspecified natural origin, WEU</t>
  </si>
  <si>
    <t>b1989cfb-9f7e-32fd-b93d-679cf5940c48</t>
  </si>
  <si>
    <t>Water, cooling, unspecified natural origin, ZA</t>
  </si>
  <si>
    <t>978faff4-5404-312d-ae94-345c5e69eb7b</t>
  </si>
  <si>
    <t>Water, lake, CA</t>
  </si>
  <si>
    <t>9e579785-f8ab-399a-b99e-4d212fe0b72a</t>
  </si>
  <si>
    <t>Water, lake, CH</t>
  </si>
  <si>
    <t>84bfc229-0279-3203-b773-65f263df050c</t>
  </si>
  <si>
    <t>Water, lake, CN</t>
  </si>
  <si>
    <t>cae41373-96d2-3904-bd6c-a9fbcadbcbfb</t>
  </si>
  <si>
    <t>Water, lake, DE</t>
  </si>
  <si>
    <t>1258cffe-c05c-3a88-ab75-47c1b4651aa5</t>
  </si>
  <si>
    <t>Water, lake, Europe without Switzerland</t>
  </si>
  <si>
    <t>e14683f7-cfb9-35e6-9efb-8d5976201653</t>
  </si>
  <si>
    <t>Water, lake, GLO</t>
  </si>
  <si>
    <t>169587c8-2222-3417-bcd2-7c59d34f654d</t>
  </si>
  <si>
    <t>Water, lake, RER</t>
  </si>
  <si>
    <t>7f95ea24-c1c2-39f3-86d9-35b142486478</t>
  </si>
  <si>
    <t>Water, lake, RNA</t>
  </si>
  <si>
    <t>fbef0128-359d-3b76-b3c3-b19b3c7ee54e</t>
  </si>
  <si>
    <t>Water, lake, RoW</t>
  </si>
  <si>
    <t>705b71f2-88ff-3bec-b395-64e4ce96cbab</t>
  </si>
  <si>
    <t>Water, lake, US</t>
  </si>
  <si>
    <t>1f325ce4-397d-3874-b049-93919918f364</t>
  </si>
  <si>
    <t>Water, river, AU</t>
  </si>
  <si>
    <t>8bd5b9fd-3484-322e-8124-1a440c1560e7</t>
  </si>
  <si>
    <t>Water, river, BR</t>
  </si>
  <si>
    <t>7533f119-af27-385e-8dbb-cc9ac63e1d8d</t>
  </si>
  <si>
    <t>Water, river, CA</t>
  </si>
  <si>
    <t>32d682ee-7d91-3449-8454-7367d83d5e73</t>
  </si>
  <si>
    <t>Water, river, CH</t>
  </si>
  <si>
    <t>a4c9c845-737c-3304-a2de-9c3e09f320cf</t>
  </si>
  <si>
    <t>Water, river, CN</t>
  </si>
  <si>
    <t>1cf259d4-df72-3813-90cc-bb2f38607289</t>
  </si>
  <si>
    <t>Water, river, DE</t>
  </si>
  <si>
    <t>4c8e911d-b728-3fe8-b801-f97e6c351b84</t>
  </si>
  <si>
    <t>Water, river, ES</t>
  </si>
  <si>
    <t>0f8c4863-aa08-35fb-ab41-4087b8c93c06</t>
  </si>
  <si>
    <t>Water, river, Europe without Switzerland</t>
  </si>
  <si>
    <t>d14d5338-a541-30a7-9cac-d24a2503f3e2</t>
  </si>
  <si>
    <t>Water, river, FR</t>
  </si>
  <si>
    <t>4b5e7596-706d-36c8-8afe-70cc57636248</t>
  </si>
  <si>
    <t>Water, river, GLO</t>
  </si>
  <si>
    <t>125c9c19-14bf-390e-9661-3e4f2a9ff9be</t>
  </si>
  <si>
    <t>Water, river, IN</t>
  </si>
  <si>
    <t>9c75a9dc-0699-325c-8aaf-951ba17259b4</t>
  </si>
  <si>
    <t>Water, river, KR</t>
  </si>
  <si>
    <t>04929d34-2c50-30f8-be63-e375c58c99f8</t>
  </si>
  <si>
    <t>Water, river, MY</t>
  </si>
  <si>
    <t>d843d0d8-4756-35d0-87fe-479af5df44fd</t>
  </si>
  <si>
    <t>Water, river, NL</t>
  </si>
  <si>
    <t>e1c3ff41-8ee1-30a3-b2d9-9142db0ca5cf</t>
  </si>
  <si>
    <t>Water, river, PE</t>
  </si>
  <si>
    <t>fd71b63c-5d25-3cb2-8411-dcea59395ee7</t>
  </si>
  <si>
    <t>Water, river, PH</t>
  </si>
  <si>
    <t>05db5ba2-865b-34c0-b7a8-4273eafa34cf</t>
  </si>
  <si>
    <t>Water, river, RAS</t>
  </si>
  <si>
    <t>97e0b4de-c073-3058-9255-ca02259635a9</t>
  </si>
  <si>
    <t>Water, river, RER</t>
  </si>
  <si>
    <t>329c5528-d64a-3362-98a4-092b61aa3595</t>
  </si>
  <si>
    <t>Water, river, RLA</t>
  </si>
  <si>
    <t>61248fba-09ff-32db-a21a-b716fcb8e434</t>
  </si>
  <si>
    <t>Water, river, RNA</t>
  </si>
  <si>
    <t>2d70c17c-471d-3258-874a-05588b6d59dc</t>
  </si>
  <si>
    <t>Water, river, RO</t>
  </si>
  <si>
    <t>01b10267-3c15-3981-b7f1-4939f97fed29</t>
  </si>
  <si>
    <t>Water, river, RoW</t>
  </si>
  <si>
    <t>98316bdf-35b8-3f9e-a39f-decd6c5eef80</t>
  </si>
  <si>
    <t>Water, river, RU</t>
  </si>
  <si>
    <t>7d48702c-e3a0-363d-814f-c9c168ed38be</t>
  </si>
  <si>
    <t>Water, river, SE</t>
  </si>
  <si>
    <t>9a5ad913-c08c-3c14-a608-ab557a51791e</t>
  </si>
  <si>
    <t>Water, river, TN</t>
  </si>
  <si>
    <t>da72704b-517f-3423-87b8-f0e53ec83684</t>
  </si>
  <si>
    <t>Water, river, TZ</t>
  </si>
  <si>
    <t>14c4a6df-f880-3da9-afe6-b175361aadbd</t>
  </si>
  <si>
    <t>Water, river, US</t>
  </si>
  <si>
    <t>3dcfeac6-e45c-3fd1-a443-65160d41e2ef</t>
  </si>
  <si>
    <t>Water, river, WEU</t>
  </si>
  <si>
    <t>7a8675af-1b8c-3d8f-9160-e62d720f4ca9</t>
  </si>
  <si>
    <t>Water, river, ZA</t>
  </si>
  <si>
    <t>629ffbca-ca71-4e4b-a006-ca9bdd9cd1df</t>
  </si>
  <si>
    <t>Water, salt, ocean</t>
  </si>
  <si>
    <t>79238018-8ec1-4615-9469-2b0df95a43c3</t>
  </si>
  <si>
    <t>Water, salt, sole</t>
  </si>
  <si>
    <t>53d423d2-6313-3983-bd74-6dbf0efa793d</t>
  </si>
  <si>
    <t>Water, turbine use, unspecified natural origin, AT</t>
  </si>
  <si>
    <t>f87edd21-d830-3d32-aeee-e69320033ccd</t>
  </si>
  <si>
    <t>Water, turbine use, unspecified natural origin, AU</t>
  </si>
  <si>
    <t>df74eba0-aca1-3b76-982f-16bebb424870</t>
  </si>
  <si>
    <t>Water, turbine use, unspecified natural origin, BA</t>
  </si>
  <si>
    <t>64f910df-cc09-359b-aff3-e90a04c55cc4</t>
  </si>
  <si>
    <t>Water, turbine use, unspecified natural origin, BE</t>
  </si>
  <si>
    <t>0817641a-ddba-3916-9f67-85ac42fc9529</t>
  </si>
  <si>
    <t>Water, turbine use, unspecified natural origin, BG</t>
  </si>
  <si>
    <t>24422b32-3046-322c-b53b-ccad50a2f4f9</t>
  </si>
  <si>
    <t>Water, turbine use, unspecified natural origin, BR</t>
  </si>
  <si>
    <t>034f8a4d-d2c9-3242-bfc2-929e373b367c</t>
  </si>
  <si>
    <t>Water, turbine use, unspecified natural origin, CA</t>
  </si>
  <si>
    <t>d73cbb05-f4f8-3e7c-be7b-1226f429335b</t>
  </si>
  <si>
    <t>Water, turbine use, unspecified natural origin, CH</t>
  </si>
  <si>
    <t>7a9d85b4-c90c-3c20-bf15-7d1e6ef20c3a</t>
  </si>
  <si>
    <t>Water, turbine use, unspecified natural origin, CL</t>
  </si>
  <si>
    <t>e6bf7393-ca27-36b6-89d0-0c155afe959a</t>
  </si>
  <si>
    <t>Water, turbine use, unspecified natural origin, CN</t>
  </si>
  <si>
    <t>1494ba3b-1cbb-366d-b4af-a6038e6dd592</t>
  </si>
  <si>
    <t>Water, turbine use, unspecified natural origin, CZ</t>
  </si>
  <si>
    <t>41d2ebdf-efb6-372f-97bb-76f0ccf21e92</t>
  </si>
  <si>
    <t>Water, turbine use, unspecified natural origin, DE</t>
  </si>
  <si>
    <t>2141caeb-e469-376b-8f78-deb8dded9c7e</t>
  </si>
  <si>
    <t>Water, turbine use, unspecified natural origin, DK</t>
  </si>
  <si>
    <t>785704c8-3143-345d-ba10-b5a77c3a3a6a</t>
  </si>
  <si>
    <t>Water, turbine use, unspecified natural origin, EE</t>
  </si>
  <si>
    <t>84f07f02-ead8-37c6-a8f2-f96cc0ebb067</t>
  </si>
  <si>
    <t>Water, turbine use, unspecified natural origin, ES</t>
  </si>
  <si>
    <t>c6424dad-5233-328c-9752-b5a2378726be</t>
  </si>
  <si>
    <t>Water, turbine use, unspecified natural origin, FI</t>
  </si>
  <si>
    <t>61756661-69cf-31bf-ab1d-18f785e5e36b</t>
  </si>
  <si>
    <t>Water, turbine use, unspecified natural origin, FR</t>
  </si>
  <si>
    <t>8e338a98-3038-3aef-973b-a3b0b86c0244</t>
  </si>
  <si>
    <t>Water, turbine use, unspecified natural origin, GB</t>
  </si>
  <si>
    <t>e3b13ab0-d247-31fd-9440-d92316410377</t>
  </si>
  <si>
    <t>Water, turbine use, unspecified natural origin, GLO</t>
  </si>
  <si>
    <t>64efcbd6-4217-37a8-acb5-f78df61be29b</t>
  </si>
  <si>
    <t>Water, turbine use, unspecified natural origin, GR</t>
  </si>
  <si>
    <t>ca0d7b64-6044-3a7c-af04-ae23b94edb7b</t>
  </si>
  <si>
    <t>Water, turbine use, unspecified natural origin, HR</t>
  </si>
  <si>
    <t>4944a588-e3a9-3182-9231-ee8c975f617f</t>
  </si>
  <si>
    <t>Water, turbine use, unspecified natural origin, HU</t>
  </si>
  <si>
    <t>4a1ae352-5361-380b-9bad-a1680e9658fe</t>
  </si>
  <si>
    <t>Water, turbine use, unspecified natural origin, ID</t>
  </si>
  <si>
    <t>8ca8ac08-340a-3d73-9cda-d685c4987950</t>
  </si>
  <si>
    <t>Water, turbine use, unspecified natural origin, IE</t>
  </si>
  <si>
    <t>341e910f-3799-3a3c-82e9-0ef26c78fd07</t>
  </si>
  <si>
    <t>Water, turbine use, unspecified natural origin, IN</t>
  </si>
  <si>
    <t>aec504f6-5f16-3830-ab89-122a01e43efb</t>
  </si>
  <si>
    <t>Water, turbine use, unspecified natural origin, IR</t>
  </si>
  <si>
    <t>f4abe01f-4771-3fd1-be0e-664b7d13b58d</t>
  </si>
  <si>
    <t>Water, turbine use, unspecified natural origin, IS</t>
  </si>
  <si>
    <t>f1a90356-cac4-3eb4-8619-eabe3d45c696</t>
  </si>
  <si>
    <t>Water, turbine use, unspecified natural origin, IT</t>
  </si>
  <si>
    <t>a19c6dec-d1ef-3dfa-8e97-6871a9a5e669</t>
  </si>
  <si>
    <t>Water, turbine use, unspecified natural origin, JP</t>
  </si>
  <si>
    <t>5f6ecee0-a80d-3172-8c35-d3258079891b</t>
  </si>
  <si>
    <t>Water, turbine use, unspecified natural origin, KR</t>
  </si>
  <si>
    <t>aef08f60-92a7-33fb-a26a-886a7f495384</t>
  </si>
  <si>
    <t>Water, turbine use, unspecified natural origin, LT</t>
  </si>
  <si>
    <t>c32bea0d-1d42-36dd-aeac-9a7b16696eba</t>
  </si>
  <si>
    <t>Water, turbine use, unspecified natural origin, LU</t>
  </si>
  <si>
    <t>d7ae9bde-0bea-3b15-b934-f736b074768e</t>
  </si>
  <si>
    <t>Water, turbine use, unspecified natural origin, LV</t>
  </si>
  <si>
    <t>6f1e33ee-7fc0-3c9c-a9f9-408ad4a7b072</t>
  </si>
  <si>
    <t>Water, turbine use, unspecified natural origin, MK</t>
  </si>
  <si>
    <t>5261c4f4-4abf-3ac2-873a-183e9956e671</t>
  </si>
  <si>
    <t>Water, turbine use, unspecified natural origin, MX</t>
  </si>
  <si>
    <t>f1bc0318-5825-3ea8-b36a-53c0b602c412</t>
  </si>
  <si>
    <t>Water, turbine use, unspecified natural origin, MY</t>
  </si>
  <si>
    <t>3ac1aaff-7bd1-375e-bcd8-ec7625823843</t>
  </si>
  <si>
    <t>Water, turbine use, unspecified natural origin, NL</t>
  </si>
  <si>
    <t>94506e78-584b-3ad0-bd8a-8f7b2a2508e6</t>
  </si>
  <si>
    <t>Water, turbine use, unspecified natural origin, NO</t>
  </si>
  <si>
    <t>bc1f6a88-78a0-3815-9215-51eb4f561806</t>
  </si>
  <si>
    <t>Water, turbine use, unspecified natural origin, NP</t>
  </si>
  <si>
    <t>a65f41ac-79d1-373e-8212-e030d7a2290e</t>
  </si>
  <si>
    <t>Water, turbine use, unspecified natural origin, PE</t>
  </si>
  <si>
    <t>8f6a3319-0f5c-3c12-9b29-b7b1ae510368</t>
  </si>
  <si>
    <t>Water, turbine use, unspecified natural origin, PL</t>
  </si>
  <si>
    <t>2d2d23a0-4896-384b-896c-7852db85f132</t>
  </si>
  <si>
    <t>Water, turbine use, unspecified natural origin, PT</t>
  </si>
  <si>
    <t>471f0cd8-bd7b-3cea-ade9-8a3293cb7641</t>
  </si>
  <si>
    <t>Water, turbine use, unspecified natural origin, RER</t>
  </si>
  <si>
    <t>7a4ce745-2cc7-3746-a9c9-fa54e4b5818c</t>
  </si>
  <si>
    <t>Water, turbine use, unspecified natural origin, RNA</t>
  </si>
  <si>
    <t>474772b5-d4f6-3da7-a081-14c84cddf81d</t>
  </si>
  <si>
    <t>Water, turbine use, unspecified natural origin, RO</t>
  </si>
  <si>
    <t>9c1bd27e-13b6-35e5-8a86-661c1648f19a</t>
  </si>
  <si>
    <t>Water, turbine use, unspecified natural origin, RoW</t>
  </si>
  <si>
    <t>4858a358-5a21-3a3c-a0bb-8db58c91f6d1</t>
  </si>
  <si>
    <t>Water, turbine use, unspecified natural origin, RS</t>
  </si>
  <si>
    <t>b28303de-9da9-3c1b-bf30-49b5fad9e452</t>
  </si>
  <si>
    <t>Water, turbine use, unspecified natural origin, RU</t>
  </si>
  <si>
    <t>a7bbf899-f764-3025-91ee-43b59036b5d0</t>
  </si>
  <si>
    <t>Water, turbine use, unspecified natural origin, SE</t>
  </si>
  <si>
    <t>94ff3932-5a6d-389c-bb65-c3a348f9f1b2</t>
  </si>
  <si>
    <t>Water, turbine use, unspecified natural origin, SI</t>
  </si>
  <si>
    <t>e30bc01a-26c4-33dc-90b1-2976a9dd2785</t>
  </si>
  <si>
    <t>Water, turbine use, unspecified natural origin, SK</t>
  </si>
  <si>
    <t>a92767f6-04ba-3c3f-b7e8-3551f19346b6</t>
  </si>
  <si>
    <t>Water, turbine use, unspecified natural origin, TH</t>
  </si>
  <si>
    <t>2b04a22c-28fd-309d-acf9-d349d537efbe</t>
  </si>
  <si>
    <t>Water, turbine use, unspecified natural origin, TR</t>
  </si>
  <si>
    <t>12b740b7-b774-336e-817f-d26ade9fff26</t>
  </si>
  <si>
    <t>Water, turbine use, unspecified natural origin, TW</t>
  </si>
  <si>
    <t>d9c3f006-e25d-3beb-98c1-ed5cc01ce96c</t>
  </si>
  <si>
    <t>Water, turbine use, unspecified natural origin, TZ</t>
  </si>
  <si>
    <t>9ff8ff07-805b-3902-a5d3-a7373eb706e8</t>
  </si>
  <si>
    <t>Water, turbine use, unspecified natural origin, UA</t>
  </si>
  <si>
    <t>346f929f-e17c-33b2-9fb7-2549e2f6fe77</t>
  </si>
  <si>
    <t>Water, turbine use, unspecified natural origin, US</t>
  </si>
  <si>
    <t>7f952328-9a9b-3e3f-9412-2fbfc9bfb8d7</t>
  </si>
  <si>
    <t>Water, turbine use, unspecified natural origin, ZA</t>
  </si>
  <si>
    <t>f89ef148-c13f-36a1-ac83-e4c049a15e63</t>
  </si>
  <si>
    <t>Water, unspecified natural origin, AU</t>
  </si>
  <si>
    <t>c645d610-57c4-3c59-8db6-af117b18fed7</t>
  </si>
  <si>
    <t>Water, unspecified natural origin, CA</t>
  </si>
  <si>
    <t>d512585c-a3ff-3bd4-8854-3d23c14926c0</t>
  </si>
  <si>
    <t>Water, unspecified natural origin, CH</t>
  </si>
  <si>
    <t>b1ce6081-bd7a-3a6b-93ac-db263d62a141</t>
  </si>
  <si>
    <t>Water, unspecified natural origin, CL</t>
  </si>
  <si>
    <t>be16cf07-da08-3ff5-856d-0e1f2aa3e806</t>
  </si>
  <si>
    <t>af44fff2-0c47-3785-b610-c950776f117a</t>
  </si>
  <si>
    <t>3c372c16-ba28-3869-9f73-357e2f02ee1f</t>
  </si>
  <si>
    <t>Water, unspecified natural origin, Europe without Switzerland</t>
  </si>
  <si>
    <t>e02aa261-4006-3888-bc5c-3d2485e0d1af</t>
  </si>
  <si>
    <t>010256d0-4c63-3800-864c-e785b2763d6f</t>
  </si>
  <si>
    <t>Water, unspecified natural origin, IAI Area, Africa</t>
  </si>
  <si>
    <t>70fb4035-ce37-3da3-b642-6f10b3ca6db1</t>
  </si>
  <si>
    <t>Water, unspecified natural origin, IAI Area, Asia, without China and GCC</t>
  </si>
  <si>
    <t>8d22da6f-2b8d-3b43-bb2d-4ce2452bf8f5</t>
  </si>
  <si>
    <t>Water, unspecified natural origin, IAI Area, EU27 &amp; EFTA</t>
  </si>
  <si>
    <t>ea271b24-e236-3bac-b004-2e1a8cccf2e6</t>
  </si>
  <si>
    <t>Water, unspecified natural origin, IAI Area, Gulf Cooperation Council</t>
  </si>
  <si>
    <t>a0609370-92d6-3115-83fb-f8a60bb3e9da</t>
  </si>
  <si>
    <t>Water, unspecified natural origin, IAI Area, North America, without Quebec</t>
  </si>
  <si>
    <t>a9e6002d-bc86-3fbb-9133-462d301477a7</t>
  </si>
  <si>
    <t>Water, unspecified natural origin, IAI Area, Russia &amp; RER w/o EU27 &amp; EFTA</t>
  </si>
  <si>
    <t>3d6c7902-cb0c-355b-8fbd-03a60570da78</t>
  </si>
  <si>
    <t>Water, unspecified natural origin, IAI Area, South America</t>
  </si>
  <si>
    <t>fd891987-5b10-391f-9eae-3281af14d7fc</t>
  </si>
  <si>
    <t>Water, unspecified natural origin, OCE</t>
  </si>
  <si>
    <t>b9cc55ad-9c28-3399-b133-b53742cea4fa</t>
  </si>
  <si>
    <t>Water, unspecified natural origin, PG</t>
  </si>
  <si>
    <t>23dbcd60-0c72-3446-ab7d-425df026f4f3</t>
  </si>
  <si>
    <t>Water, unspecified natural origin, PH</t>
  </si>
  <si>
    <t>bf3121f6-fa85-3bf3-9c43-5e960d6faae0</t>
  </si>
  <si>
    <t>Water, unspecified natural origin, RAF</t>
  </si>
  <si>
    <t>10e7a3bc-9edc-322b-b3eb-0ca651428c2c</t>
  </si>
  <si>
    <t>415e7c44-0559-3453-8294-67966c767049</t>
  </si>
  <si>
    <t>Water, unspecified natural origin, RLA</t>
  </si>
  <si>
    <t>5981d08e-6fb5-38e2-b47e-83fe421ad27e</t>
  </si>
  <si>
    <t>Water, unspecified natural origin, RME</t>
  </si>
  <si>
    <t>a711e90f-e59e-3bdf-b3d3-dfe882f284dc</t>
  </si>
  <si>
    <t>a49a85ba-e97f-373e-82f8-d8807562f48e</t>
  </si>
  <si>
    <t>13aaabea-44e4-3313-a5ef-f659583457c8</t>
  </si>
  <si>
    <t>Water, unspecified natural origin, RU</t>
  </si>
  <si>
    <t>c1da8827-6e4a-3fbd-a3aa-756507cb6c2b</t>
  </si>
  <si>
    <t>Water, unspecified natural origin, TH</t>
  </si>
  <si>
    <t>45fa090d-ec34-3e43-b374-bf56e72ad973</t>
  </si>
  <si>
    <t>4384d391-1baa-30d7-86d2-85d56eeaaa7d</t>
  </si>
  <si>
    <t>Water, unspecified natural origin, WEU</t>
  </si>
  <si>
    <t>0ddd6caf-92a9-3e7c-9d36-c9cf98677cb9</t>
  </si>
  <si>
    <t>Water, unspecified natural origin, ZA</t>
  </si>
  <si>
    <t>580d9c07-991c-31d9-a009-f3af8eb12643</t>
  </si>
  <si>
    <t>Water, well, AT</t>
  </si>
  <si>
    <t>c1dfa09c-59c3-3d91-a5a8-079bd453994e</t>
  </si>
  <si>
    <t>Water, well, AU</t>
  </si>
  <si>
    <t>b5b09efc-4a65-3d7f-9aaa-f5c39201803a</t>
  </si>
  <si>
    <t>Water, well, BR</t>
  </si>
  <si>
    <t>265a5927-55cf-31a3-9545-c851b6c1c5c3</t>
  </si>
  <si>
    <t>Water, well, CA</t>
  </si>
  <si>
    <t>07b49ffa-03b4-3104-a2b6-984f7e6a89d7</t>
  </si>
  <si>
    <t>Water, well, CH</t>
  </si>
  <si>
    <t>c0ec2e25-fb9e-3e87-8138-7e049cb5ab18</t>
  </si>
  <si>
    <t>Water, well, CN</t>
  </si>
  <si>
    <t>ac9b8ed6-bd06-3b8f-94ea-fedddef944da</t>
  </si>
  <si>
    <t>Water, well, DE</t>
  </si>
  <si>
    <t>fb6c167d-5f77-3806-a77d-59159bb149f7</t>
  </si>
  <si>
    <t>Water, well, ES</t>
  </si>
  <si>
    <t>9572ea6d-fcb2-36e7-8dee-b99709484a75</t>
  </si>
  <si>
    <t>Water, well, Europe without Switzerland</t>
  </si>
  <si>
    <t>5c590f16-df59-3122-a074-a1b1816453c9</t>
  </si>
  <si>
    <t>Water, well, Europe, without Russia and Turkey</t>
  </si>
  <si>
    <t>b608d47a-42fc-3061-80fd-75c510aa20cc</t>
  </si>
  <si>
    <t>Water, well, FR</t>
  </si>
  <si>
    <t>84b4aad2-e075-3283-9e44-a1ef7b4ad3d1</t>
  </si>
  <si>
    <t>Water, well, GLO</t>
  </si>
  <si>
    <t>84c313f6-ac1c-3464-b18c-c5b3443d6ba8</t>
  </si>
  <si>
    <t>Water, well, ID</t>
  </si>
  <si>
    <t>23f722b8-cf51-3162-9ca1-d1d15c5c864f</t>
  </si>
  <si>
    <t>Water, well, IN</t>
  </si>
  <si>
    <t>8b200ed3-3642-39df-bce8-b005821fa7f0</t>
  </si>
  <si>
    <t>Water, well, IS</t>
  </si>
  <si>
    <t>f9b2eb7f-e275-3854-a414-46850f92f59b</t>
  </si>
  <si>
    <t>Water, well, IT</t>
  </si>
  <si>
    <t>d879e4c0-3eb3-32cc-b92e-542f296c45fb</t>
  </si>
  <si>
    <t>Water, well, JP</t>
  </si>
  <si>
    <t>94cc7441-734a-33bc-86a5-c79eca73049f</t>
  </si>
  <si>
    <t>Water, well, MA</t>
  </si>
  <si>
    <t>8a65bc90-a43c-3504-af23-688fd91f6ddc</t>
  </si>
  <si>
    <t>Water, well, MX</t>
  </si>
  <si>
    <t>d2d2e445-ca5a-375f-8329-22583b7b23d7</t>
  </si>
  <si>
    <t>Water, well, MY</t>
  </si>
  <si>
    <t>c4c835e1-754f-3791-a90a-f8df981f5d96</t>
  </si>
  <si>
    <t>Water, well, NORDEL</t>
  </si>
  <si>
    <t>e07e2358-4c4c-347e-94dc-4dd3320ca753</t>
  </si>
  <si>
    <t>Water, well, PE</t>
  </si>
  <si>
    <t>13f9f821-0e88-30d3-9b0f-540fcec71970</t>
  </si>
  <si>
    <t>Water, well, PG</t>
  </si>
  <si>
    <t>804abeab-7023-3d70-8139-712e0ee66dc6</t>
  </si>
  <si>
    <t>Water, well, PH</t>
  </si>
  <si>
    <t>27592f9b-90f3-37d8-a32f-4d914cc93be8</t>
  </si>
  <si>
    <t>Water, well, PL</t>
  </si>
  <si>
    <t>41d79477-c375-3a10-bf52-3a60b6f9c3f9</t>
  </si>
  <si>
    <t>Water, well, PT</t>
  </si>
  <si>
    <t>6c914058-b15a-396f-b942-1d65f97a1d16</t>
  </si>
  <si>
    <t>Water, well, RER</t>
  </si>
  <si>
    <t>8e088d37-4db1-30d9-a38c-d018c1f47e1b</t>
  </si>
  <si>
    <t>Water, well, RLA</t>
  </si>
  <si>
    <t>fafa6173-0df2-3fad-8968-8edd92503ba0</t>
  </si>
  <si>
    <t>Water, well, RNA</t>
  </si>
  <si>
    <t>aa98c2d6-a16e-3794-9be8-abd81acd225e</t>
  </si>
  <si>
    <t>Water, well, RoW</t>
  </si>
  <si>
    <t>fd602865-f4b1-33f2-a913-d9478dffffad</t>
  </si>
  <si>
    <t>Water, well, RU</t>
  </si>
  <si>
    <t>fc91da8e-e690-3b20-a600-9ca60c21ab4a</t>
  </si>
  <si>
    <t>Water, well, SE</t>
  </si>
  <si>
    <t>6fcac5c5-f53f-3f4d-9298-2bbefd8f9f8e</t>
  </si>
  <si>
    <t>Water, well, TH</t>
  </si>
  <si>
    <t>765e9c83-f531-313f-87ae-718e3dcb10cf</t>
  </si>
  <si>
    <t>Water, well, TN</t>
  </si>
  <si>
    <t>29371da5-fd0c-305f-a43c-9053f92f50a9</t>
  </si>
  <si>
    <t>Water, well, TR</t>
  </si>
  <si>
    <t>0d51bb7f-201d-3b1d-a344-676156a9d631</t>
  </si>
  <si>
    <t>Water, well, US</t>
  </si>
  <si>
    <t>026c68a4-bb9b-328c-bb6b-7539a774ef9f</t>
  </si>
  <si>
    <t>Water, well, WEU</t>
  </si>
  <si>
    <t>3fae33d2-ebb5-33e9-82c2-eed9281ec700</t>
  </si>
  <si>
    <t>Water, well, ZA</t>
  </si>
  <si>
    <t>c5aafa60-495c-461c-a1d4-b262a34c45b9</t>
  </si>
  <si>
    <t>Occupation, annual crop</t>
  </si>
  <si>
    <t>m2*a</t>
  </si>
  <si>
    <t>c4a82f46-381f-474c-a362-3363064b9c33</t>
  </si>
  <si>
    <t>Occupation, annual crop, irrigated</t>
  </si>
  <si>
    <t>9fd128fe-d8c5-476f-af42-2795d5f5d227</t>
  </si>
  <si>
    <t>Occupation, annual crop, irrigated, intensive</t>
  </si>
  <si>
    <t>a6889a22-e99e-42ea-85cd-4a68d7975dcd</t>
  </si>
  <si>
    <t>Occupation, annual crop, non-irrigated</t>
  </si>
  <si>
    <t>1b0a8570-eab4-46c2-9b67-c9b918e75676</t>
  </si>
  <si>
    <t>Occupation, annual crop, non-irrigated, extensive</t>
  </si>
  <si>
    <t>e063ee9c-9850-42b5-b01e-4cc9b5ad7152</t>
  </si>
  <si>
    <t>Occupation, annual crop, non-irrigated, intensive</t>
  </si>
  <si>
    <t>8c173ca1-5f74-4a6e-89e5-dd18e0f18d1a</t>
  </si>
  <si>
    <t>Occupation, arable land, unspecified use</t>
  </si>
  <si>
    <t>4b6b9b76-3199-4bd0-b11d-f8f2efbeac4e</t>
  </si>
  <si>
    <t>Occupation, construction site</t>
  </si>
  <si>
    <t>1eaa9ea4-40b8-414a-b198-5626400372e1</t>
  </si>
  <si>
    <t>Occupation, dump site</t>
  </si>
  <si>
    <t>70c4c6d8-ed81-4763-ae6d-39e54ef0b1fa</t>
  </si>
  <si>
    <t>Occupation, dump site, benthos</t>
  </si>
  <si>
    <t>2925111b-3464-4e34-9d02-b73c1c033e91</t>
  </si>
  <si>
    <t>Occupation, forest, extensive</t>
  </si>
  <si>
    <t>aca1714f-0040-4a65-a73a-0e38aa9f50f4</t>
  </si>
  <si>
    <t>Occupation, forest, intensive</t>
  </si>
  <si>
    <t>2b8a0f87-bd2a-4b10-8dd9-714487f59fc9</t>
  </si>
  <si>
    <t>Occupation, grassland, natural (non-use)</t>
  </si>
  <si>
    <t>9db06277-b6d9-4c48-8cfb-de342e928a50</t>
  </si>
  <si>
    <t>Occupation, industrial area, benthos</t>
  </si>
  <si>
    <t>fe9c3a98-a6d2-452d-a9a4-a13e64f1b95b</t>
  </si>
  <si>
    <t>Occupation, industrial area, built up</t>
  </si>
  <si>
    <t>e5824519-f945-4b2c-a81b-677290021b8a</t>
  </si>
  <si>
    <t>Occupation, inland waterbody, unspecified</t>
  </si>
  <si>
    <t>379ba5c9-5c3a-43d0-8e2d-605ad9c39e46</t>
  </si>
  <si>
    <t>Occupation, mineral extraction site</t>
  </si>
  <si>
    <t>19f84b2e-e6ff-4351-ba3a-8b650fc20d14</t>
  </si>
  <si>
    <t>Occupation, pasture, man made, extensive</t>
  </si>
  <si>
    <t>98b723d4-3362-4b38-8b1e-1bedacfd5e27</t>
  </si>
  <si>
    <t>Occupation, pasture, man made, intensive</t>
  </si>
  <si>
    <t>e9007a6f-7244-44d4-a561-91ae1b6c6cfc</t>
  </si>
  <si>
    <t>Occupation, permanent crop</t>
  </si>
  <si>
    <t>1896b498-8d13-4f58-8c17-21fe57740158</t>
  </si>
  <si>
    <t>Occupation, permanent crop, fruit</t>
  </si>
  <si>
    <t>3afbc2d8-1b51-4d43-87a7-e68291c1e999</t>
  </si>
  <si>
    <t>Occupation, permanent crop, fruit, intensive</t>
  </si>
  <si>
    <t>c199261c-8234-43c5-b906-5b67707e4395</t>
  </si>
  <si>
    <t>Occupation, shrub land, sclerophyllous</t>
  </si>
  <si>
    <t>062a6faf-b1a5-4a6a-aa02-47ae3ec566a8</t>
  </si>
  <si>
    <t>Occupation, traffic area, rail network</t>
  </si>
  <si>
    <t>956c5f83-65c8-4607-9749-147cfb9c8f70</t>
  </si>
  <si>
    <t>Occupation, traffic area, road embankment</t>
  </si>
  <si>
    <t>26efe47c-92a5-4dea-b4d0-eac13e418a58</t>
  </si>
  <si>
    <t>Occupation, traffic area, road network</t>
  </si>
  <si>
    <t>c7cb5880-4219-4051-9357-10fdd08c6f2b</t>
  </si>
  <si>
    <t>Occupation, unknown</t>
  </si>
  <si>
    <t>56ec994a-eb96-42e8-93eb-4970e30e6362</t>
  </si>
  <si>
    <t>Occupation, urban, discontinuously built</t>
  </si>
  <si>
    <t>70aa745b-8bc5-4433-b2f5-d1da652ba166</t>
  </si>
  <si>
    <t>Occupation, urban/industrial fallow (non-use)</t>
  </si>
  <si>
    <t>69dfa439-8e4e-4cae-bb0c-85a8aa8b9a73</t>
  </si>
  <si>
    <t>Occupation, water bodies, artificial</t>
  </si>
  <si>
    <t>f05cca02-ec18-4acc-9939-59658ff9a554</t>
  </si>
  <si>
    <t>Transformation, from annual crop</t>
  </si>
  <si>
    <t>4b420f19-0421-461e-a0b6-7efbf580089b</t>
  </si>
  <si>
    <t>Transformation, from annual crop, non-irrigated</t>
  </si>
  <si>
    <t>c7869c43-266c-429d-bfd5-6b578ed32ce8</t>
  </si>
  <si>
    <t>Transformation, from annual crop, non-irrigated, extensive</t>
  </si>
  <si>
    <t>ab3e851e-21c9-47cf-8e7d-5f96dfae3ba5</t>
  </si>
  <si>
    <t>Transformation, from annual crop, non-irrigated, intensive</t>
  </si>
  <si>
    <t>4da2ea28-8273-4901-9931-264169ec7731</t>
  </si>
  <si>
    <t>Transformation, from cropland fallow (non-use)</t>
  </si>
  <si>
    <t>c1513682-45ad-444e-afb5-27c660714e88</t>
  </si>
  <si>
    <t>Transformation, from dump site, inert material landfill</t>
  </si>
  <si>
    <t>7fdc928c-f347-45e7-82d7-046acdf878ae</t>
  </si>
  <si>
    <t>Transformation, from dump site, residual material landfill</t>
  </si>
  <si>
    <t>b79e26a0-88db-441f-b79b-508506e81b93</t>
  </si>
  <si>
    <t>Transformation, from dump site, sanitary landfill</t>
  </si>
  <si>
    <t>7d5b5802-3698-4be8-98f8-ab7c1a2e9328</t>
  </si>
  <si>
    <t>Transformation, from dump site, slag compartment</t>
  </si>
  <si>
    <t>e71f95a5-fd82-4128-9fd1-be3f0e85d0fc</t>
  </si>
  <si>
    <t>Transformation, from forest, extensive</t>
  </si>
  <si>
    <t>e717f3cc-ac70-4c9b-be56-1614239b917e</t>
  </si>
  <si>
    <t>Transformation, from forest, intensive</t>
  </si>
  <si>
    <t>9d136389-8670-45ae-ad1d-a06848a1fd1d</t>
  </si>
  <si>
    <t>Transformation, from forest, primary (non-use)</t>
  </si>
  <si>
    <t>9cc80820-fcf9-4ea9-8e67-0aa423eba6a4</t>
  </si>
  <si>
    <t>Transformation, from forest, secondary (non-use)</t>
  </si>
  <si>
    <t>0930b6b8-d9c6-4462-966f-ac7495b63bed</t>
  </si>
  <si>
    <t>Transformation, from forest, unspecified</t>
  </si>
  <si>
    <t>b905c2e0-a0db-4e66-80d2-8bdfc93c6218</t>
  </si>
  <si>
    <t>Transformation, from grassland, natural (non-use)</t>
  </si>
  <si>
    <t>c12ed8b5-8452-43ca-9986-a814e908e792</t>
  </si>
  <si>
    <t>2e002771-9f22-43e3-9990-f06f8235700b</t>
  </si>
  <si>
    <t>Transformation, from heterogeneous, agricultural</t>
  </si>
  <si>
    <t>bbcdd18c-4d16-4c28-b031-d988884030a7</t>
  </si>
  <si>
    <t>Transformation, from industrial area, benthos</t>
  </si>
  <si>
    <t>b6dcefd8-3848-4338-9c3e-fe6e91f20937</t>
  </si>
  <si>
    <t>Transformation, from industrial area, built up</t>
  </si>
  <si>
    <t>64d99cb5-3b4f-4195-b86f-c5f45b4dcd19</t>
  </si>
  <si>
    <t>Transformation, from mineral extraction site</t>
  </si>
  <si>
    <t>2c126bcc-bb63-4d63-bd72-f02a1e616809</t>
  </si>
  <si>
    <t>Transformation, from pasture, man made</t>
  </si>
  <si>
    <t>82f2476e-988b-4d7a-bde6-5da9337d1f65</t>
  </si>
  <si>
    <t>Transformation, from pasture, man made, extensive</t>
  </si>
  <si>
    <t>592bf69f-8551-4611-8942-4620be0adabe</t>
  </si>
  <si>
    <t>Transformation, from pasture, man made, intensive</t>
  </si>
  <si>
    <t>fcb77a5a-6882-4aeb-82a9-ba57688d2224</t>
  </si>
  <si>
    <t>Transformation, from permanent crop</t>
  </si>
  <si>
    <t>73cba245-5969-4076-8490-75a236073196</t>
  </si>
  <si>
    <t>Transformation, from permanent crop, fruit</t>
  </si>
  <si>
    <t>d585d599-05f1-47ff-8c41-790f51830b9b</t>
  </si>
  <si>
    <t>Transformation, from permanent crop, irrigated, intensive</t>
  </si>
  <si>
    <t>928ba839-d6e5-4d1e-b5fd-122998a9bbe2</t>
  </si>
  <si>
    <t>Transformation, from seabed, unspecified</t>
  </si>
  <si>
    <t>17a5a406-333f-4b9e-8852-c2de50bc9585</t>
  </si>
  <si>
    <t>Transformation, from shrub land, sclerophyllous</t>
  </si>
  <si>
    <t>46b8b2fd-eb2a-413d-bc39-e7dc18a420ef</t>
  </si>
  <si>
    <t>Transformation, from traffic area, rail/road embankment</t>
  </si>
  <si>
    <t>00907a61-b501-4f47-b688-1dc2b51d48c1</t>
  </si>
  <si>
    <t>Transformation, from traffic area, road network</t>
  </si>
  <si>
    <t>29630a65-f38c-48a5-9744-c0121f586640</t>
  </si>
  <si>
    <t>Transformation, from unknown</t>
  </si>
  <si>
    <t>1a1d0d4b-6b95-4815-ad06-2ec5fe333c43</t>
  </si>
  <si>
    <t>Transformation, from unspecified, natural (non-use)</t>
  </si>
  <si>
    <t>0782d8ff-80e5-47a7-a2ba-3ba40ab60b60</t>
  </si>
  <si>
    <t>Transformation, from wetland, inland (non-use)</t>
  </si>
  <si>
    <t>c3f83a91-4888-41a4-add9-fd01678a1e5f</t>
  </si>
  <si>
    <t>Transformation, to annual crop</t>
  </si>
  <si>
    <t>6d5106b1-0c5e-3b60-99fe-197578809228</t>
  </si>
  <si>
    <t>Transformation, to annual crop, fallow</t>
  </si>
  <si>
    <t>c3c3d385-57fa-4d47-a2c5-d838006e7985</t>
  </si>
  <si>
    <t>Transformation, to annual crop, irrigated, intensive</t>
  </si>
  <si>
    <t>e97b784a-ec09-4b1b-9f14-cc0ce9799c9e</t>
  </si>
  <si>
    <t>Transformation, to annual crop, non-irrigated</t>
  </si>
  <si>
    <t>91a067cc-543a-4d73-a0c0-feb1f8935756</t>
  </si>
  <si>
    <t>Transformation, to annual crop, non-irrigated, extensive</t>
  </si>
  <si>
    <t>2e52cbfa-94d7-432b-892f-431daa71a6ef</t>
  </si>
  <si>
    <t>Transformation, to annual crop, non-irrigated, intensive</t>
  </si>
  <si>
    <t>90a5a447-af6f-421a-8201-011f07ad1150</t>
  </si>
  <si>
    <t>Transformation, to dump site</t>
  </si>
  <si>
    <t>d10b390c-9d0c-4f59-b31d-3d0d70e77a35</t>
  </si>
  <si>
    <t>Transformation, to dump site, inert material landfill</t>
  </si>
  <si>
    <t>8f5c8cb3-dccd-45da-9f1f-d1c61cd789c3</t>
  </si>
  <si>
    <t>Transformation, to dump site, residual material landfill</t>
  </si>
  <si>
    <t>1a568858-efa8-4c2a-b46e-82b6e66b6072</t>
  </si>
  <si>
    <t>Transformation, to dump site, sanitary landfill</t>
  </si>
  <si>
    <t>d73b27a2-81bd-4264-baa5-ce4aca3545be</t>
  </si>
  <si>
    <t>Transformation, to dump site, slag compartment</t>
  </si>
  <si>
    <t>88e8456c-dc23-4bb4-aed5-a4186a2fbf77</t>
  </si>
  <si>
    <t>Transformation, to forest, extensive</t>
  </si>
  <si>
    <t>994d61de-fbb0-4187-a4d4-b11c3c2b9102</t>
  </si>
  <si>
    <t>Transformation, to forest, intensive</t>
  </si>
  <si>
    <t>ff6dccc1-5ebd-42c3-9fd9-3d73db7a3dd2</t>
  </si>
  <si>
    <t>Transformation, to forest, secondary (non-use)</t>
  </si>
  <si>
    <t>bba9f623-5919-4ef3-b98d-c94af1553179</t>
  </si>
  <si>
    <t>Transformation, to forest, unspecified</t>
  </si>
  <si>
    <t>fe17e7c1-9574-4880-b7e6-ec09c2e3ae5d</t>
  </si>
  <si>
    <t>Transformation, to grassland, natural (non-use)</t>
  </si>
  <si>
    <t>fdda4f8e-b620-4df6-92a9-101a251d2f42</t>
  </si>
  <si>
    <t>Transformation, to heterogeneous, agricultural</t>
  </si>
  <si>
    <t>c7d2cf2d-0d21-45f7-9769-b07f3e53b76a</t>
  </si>
  <si>
    <t>Transformation, to industrial area, benthos</t>
  </si>
  <si>
    <t>4624deff-2016-41d4-b2bf-3db8dab88779</t>
  </si>
  <si>
    <t>Transformation, to industrial area, built up</t>
  </si>
  <si>
    <t>14de323f-9e2d-4beb-b28e-6b93bae98da8</t>
  </si>
  <si>
    <t>Transformation, to inland waterbody, unspecified</t>
  </si>
  <si>
    <t>626915e9-2424-4059-8b6a-fae47161acdf</t>
  </si>
  <si>
    <t>Transformation, to mineral extraction site</t>
  </si>
  <si>
    <t>7a16b680-6d9a-4db3-a23e-0ec64aca5995</t>
  </si>
  <si>
    <t>Transformation, to pasture, man made</t>
  </si>
  <si>
    <t>7464da86-f239-4bef-a778-04d5818bb956</t>
  </si>
  <si>
    <t>Transformation, to pasture, man made, extensive</t>
  </si>
  <si>
    <t>ec242c43-095c-4b42-8907-e0f13573f0a4</t>
  </si>
  <si>
    <t>Transformation, to pasture, man made, intensive</t>
  </si>
  <si>
    <t>6e02ccfc-9eb5-4a51-be9a-870c1087c833</t>
  </si>
  <si>
    <t>Transformation, to permanent crop</t>
  </si>
  <si>
    <t>a487b7db-318a-46ff-8e52-2837fab777ad</t>
  </si>
  <si>
    <t>Transformation, to permanent crop, fruit</t>
  </si>
  <si>
    <t>93ac2969-a4e9-49b5-8b97-5cbc6b9b2601</t>
  </si>
  <si>
    <t>Transformation, to permanent crop, fruit, intensive</t>
  </si>
  <si>
    <t>3f8e24d7-3d44-4a47-870f-9e3e74decca4</t>
  </si>
  <si>
    <t>Transformation, to permanent crop, non-irrigated</t>
  </si>
  <si>
    <t>ebb16be1-8db3-42a2-8123-418787422cfe</t>
  </si>
  <si>
    <t>Transformation, to sea and ocean</t>
  </si>
  <si>
    <t>9b5b8c40-38fe-42fb-8130-56c15e485fd0</t>
  </si>
  <si>
    <t>Transformation, to seabed, drilling and mining</t>
  </si>
  <si>
    <t>9089d7ad-09b1-4174-a188-8844ebde2d5d</t>
  </si>
  <si>
    <t>Transformation, to shrub land, sclerophyllous</t>
  </si>
  <si>
    <t>0abf9db7-b5a2-4c18-8ec6-aca3a7fb5579</t>
  </si>
  <si>
    <t>Transformation, to traffic area, rail network</t>
  </si>
  <si>
    <t>04eb0695-e67b-46e5-9516-da6bde119822</t>
  </si>
  <si>
    <t>Transformation, to traffic area, road embankment</t>
  </si>
  <si>
    <t>a42347d2-09f1-405e-95dd-bf6ac03765d8</t>
  </si>
  <si>
    <t>Transformation, to traffic area, road network</t>
  </si>
  <si>
    <t>512a5356-8059-4772-a43f-42e3c4f3d299</t>
  </si>
  <si>
    <t>Transformation, to unknown</t>
  </si>
  <si>
    <t>55beee8d-d04e-4307-bb0e-4e113dc07ee7</t>
  </si>
  <si>
    <t>Transformation, to urban, discontinuously built</t>
  </si>
  <si>
    <t>990c759a-1773-383c-9069-c105d72090c3</t>
  </si>
  <si>
    <t>Transformation, to urban/industrial fallow</t>
  </si>
  <si>
    <t>84b65d8f-2edd-4ddd-8f68-ca28d1c681b0</t>
  </si>
  <si>
    <t>Transformation, to water bodies, artificial</t>
  </si>
  <si>
    <t>d36dd104-5214-4ca2-b1ab-c878987a42fe</t>
  </si>
  <si>
    <t>Transformation, to wetland, inland (non-use)</t>
  </si>
  <si>
    <t>Impact Assessment</t>
  </si>
  <si>
    <t>Impact category UUID</t>
  </si>
  <si>
    <t>Reference unit</t>
  </si>
  <si>
    <t>b4315ae1-5cb2-3f70-ad17-1a35a58823ef</t>
  </si>
  <si>
    <t>2e0e479e-6ea7-3221-88ea-41aa6530c5d2</t>
  </si>
  <si>
    <t>80e0b1a4-16b9-3aeb-9136-e544aca7a1e3</t>
  </si>
  <si>
    <t>d7bce000-07a4-37d7-9cb6-0d11062b6baa</t>
  </si>
  <si>
    <t>7f771819-2b75-30a4-b1d2-9a5846590d6d</t>
  </si>
  <si>
    <t>b39a745e-4f3d-35b0-9797-10ebc40b24ad</t>
  </si>
  <si>
    <t>2d8e76c1-c7a5-3289-9657-0256edbeea41</t>
  </si>
  <si>
    <t>e84559f5-8f11-36cb-b978-a41f0ef9780c</t>
  </si>
  <si>
    <t>09a73c78-b3ba-3369-81ba-cf1bb9f0f54d</t>
  </si>
  <si>
    <t>f7c097c5-71c7-322c-a610-5dee0a39fd6b</t>
  </si>
  <si>
    <t>d9ff50c2-00ab-3901-8970-569f9b7c8041</t>
  </si>
  <si>
    <t>5e7d91a6-531c-3132-98ba-41b48d6e96f3</t>
  </si>
  <si>
    <t>f9e7dd9d-f3a3-318e-b458-6452fbdcbd8f</t>
  </si>
  <si>
    <t>23d3e9af-9a16-31f1-a58d-81ecea82ac0a</t>
  </si>
  <si>
    <t>6d056b44-9f90-3821-95c5-8594b5a6819c</t>
  </si>
  <si>
    <t>e2b13de9-397c-3b6f-9dcf-4e206404db3b</t>
  </si>
  <si>
    <t>0d4ca54a-eeea-3564-93a5-03906d763cdb</t>
  </si>
  <si>
    <t>f93a8dda-aa59-3e8c-9344-1e0f6e4db224</t>
  </si>
  <si>
    <t>95d88b64-0767-321b-8f02-9e3e7c65a527</t>
  </si>
  <si>
    <t>Smetana, S., Sandmann, M., Rohn, S., Pleissner, D., &amp; Heinz, V. (2017). Autotrophic and heterotrophic microalgae and cyanobacteria cultivation for food and feed: life cycle assessment. Bioresource Technology, 245, 162-170.</t>
  </si>
  <si>
    <t>Table 1. Life cycle inventory of microalgae production and processing.</t>
  </si>
  <si>
    <t>Table 2. Environmental impact comparison of main protein sources used for food and feed (per 1 kg of protein meal or powder).</t>
  </si>
  <si>
    <t>Scenarios</t>
  </si>
  <si>
    <t>Cultivation, per FU1</t>
  </si>
  <si>
    <t>Initial processing, per FU1</t>
  </si>
  <si>
    <t>Whole dry microalgae processing, per FU2</t>
  </si>
  <si>
    <t>Fractionation processing, per FU2</t>
  </si>
  <si>
    <t>Empty Cell</t>
  </si>
  <si>
    <t>DM%</t>
  </si>
  <si>
    <t>Protein,% of DM</t>
  </si>
  <si>
    <t>OD, mg CFC11 eq.</t>
  </si>
  <si>
    <t>AC, g SO2 eq.</t>
  </si>
  <si>
    <t>EU, g N eq.</t>
  </si>
  <si>
    <t>ED, MJ</t>
  </si>
  <si>
    <t>FD, m3</t>
  </si>
  <si>
    <t>LU, m2a</t>
  </si>
  <si>
    <t>CORP</t>
  </si>
  <si>
    <t>0.34–0.72 1</t>
  </si>
  <si>
    <t>0.2–0.271</t>
  </si>
  <si>
    <t>−1.2 to 3.11</t>
  </si>
  <si>
    <t>−81 to 21 (g NO3 eq.)</t>
  </si>
  <si>
    <t>NG: 124.7 kWh; Electricity: 3.56 kWh; Water: 0.58 m3; Gas (CO2): 0.37 kg; Land: 0.1 m2; F: 0.04 kg N, 0.02 kg P</t>
  </si>
  <si>
    <t>Electricity: 0.26 kWh;</t>
  </si>
  <si>
    <t>FB: 7.1 kg;</t>
  </si>
  <si>
    <t>DPP: 1 kg;</t>
  </si>
  <si>
    <t>Rapeseed cake</t>
  </si>
  <si>
    <t>0.37–0.576</t>
  </si>
  <si>
    <t>0.004–0.056</t>
  </si>
  <si>
    <t>6.8–7.56</t>
  </si>
  <si>
    <t>8.9–9.16</t>
  </si>
  <si>
    <t>3.3–3.86</t>
  </si>
  <si>
    <t>0.001–0.036</t>
  </si>
  <si>
    <t>1.5–1.66</t>
  </si>
  <si>
    <t>Electrodes (Fe, Al): 0.002 kg</t>
  </si>
  <si>
    <t>Electricity: 14.25 kWh</t>
  </si>
  <si>
    <t>Electricity: 0.7 kWh</t>
  </si>
  <si>
    <t>Pea protein meal</t>
  </si>
  <si>
    <t>n/a</t>
  </si>
  <si>
    <t>4–108 (pulses)</t>
  </si>
  <si>
    <t>Wastewater: 0.09 m3; EW: 0.15 m3; CO2 emissions: 0.07 kg</t>
  </si>
  <si>
    <t>FB: 1 kg;</t>
  </si>
  <si>
    <t>PMP: 0.85 kg;</t>
  </si>
  <si>
    <t>Whey concentrate</t>
  </si>
  <si>
    <t>86–893</t>
  </si>
  <si>
    <t>603,7</t>
  </si>
  <si>
    <t>0.26–8.276</t>
  </si>
  <si>
    <t>RW: 0.55 m3;</t>
  </si>
  <si>
    <t>EW: 6.0 kg</t>
  </si>
  <si>
    <t>Oil: 0.15 kg</t>
  </si>
  <si>
    <t>0.8–7.4612.1228–438 (kg protein)</t>
  </si>
  <si>
    <t>0.01–0.069</t>
  </si>
  <si>
    <t>0.05–1.56</t>
  </si>
  <si>
    <t>Wastewater: 0.06 m3</t>
  </si>
  <si>
    <t>3.59–1019</t>
  </si>
  <si>
    <t>10.7–39.46</t>
  </si>
  <si>
    <t>0.003–0.0666</t>
  </si>
  <si>
    <t>Egg protein concentrate</t>
  </si>
  <si>
    <t>SORP</t>
  </si>
  <si>
    <t>60–725</t>
  </si>
  <si>
    <t>−164</t>
  </si>
  <si>
    <t>NG: 95.9 kWh; Electricity: 2.74 kWh; Water: 0.6 m3; Gas (CO2): 0.37 kg; Land: 0.08 m2; F: 0.04 kg N, 0.02 kg P</t>
  </si>
  <si>
    <t>Electricity: 0.34 kWh;</t>
  </si>
  <si>
    <t>FB: 7.2 kg;</t>
  </si>
  <si>
    <t>Chlorella HTF3</t>
  </si>
  <si>
    <t>Chlorella ORP3</t>
  </si>
  <si>
    <t>Chlorella TBR3</t>
  </si>
  <si>
    <t>Wastewater: 0.13 m3; EW: 0.12 m3; CO2 emissions: 0.07 kg</t>
  </si>
  <si>
    <t>PMP: 0.95 kg;</t>
  </si>
  <si>
    <t>Spirulina ORP3</t>
  </si>
  <si>
    <t>RW: 0.73 m3;</t>
  </si>
  <si>
    <t>EW: 6.1 kg</t>
  </si>
  <si>
    <t>Oil: 0.05 kg</t>
  </si>
  <si>
    <t>Spirulina TBR3</t>
  </si>
  <si>
    <t>Wastewater: 0.08 m3</t>
  </si>
  <si>
    <r>
      <t>Sources:</t>
    </r>
    <r>
      <rPr>
        <sz val="10"/>
        <color theme="1"/>
        <rFont val="Calibri"/>
        <family val="2"/>
      </rPr>
      <t> 1 – (</t>
    </r>
    <r>
      <rPr>
        <sz val="10"/>
        <color rgb="FF0C7DBB"/>
        <rFont val="Calibri"/>
        <family val="2"/>
      </rPr>
      <t>Dalgaard et al., 2008</t>
    </r>
    <r>
      <rPr>
        <sz val="10"/>
        <color theme="1"/>
        <rFont val="Calibri"/>
        <family val="2"/>
      </rPr>
      <t>); 2 – (</t>
    </r>
    <r>
      <rPr>
        <sz val="10"/>
        <color rgb="FF0C7DBB"/>
        <rFont val="Calibri"/>
        <family val="2"/>
      </rPr>
      <t>Kim et al., 2013</t>
    </r>
    <r>
      <rPr>
        <sz val="10"/>
        <color theme="1"/>
        <rFont val="Calibri"/>
        <family val="2"/>
      </rPr>
      <t>); 3 – own calculations, 4 – Danish LCA Food Database; 5 – (</t>
    </r>
    <r>
      <rPr>
        <sz val="10"/>
        <color rgb="FF0C7DBB"/>
        <rFont val="Calibri"/>
        <family val="2"/>
      </rPr>
      <t>Hall, 2011</t>
    </r>
    <r>
      <rPr>
        <sz val="10"/>
        <color theme="1"/>
        <rFont val="Calibri"/>
        <family val="2"/>
      </rPr>
      <t>); 6 – </t>
    </r>
    <r>
      <rPr>
        <sz val="10"/>
        <color rgb="FF2E2E2E"/>
        <rFont val="Calibri"/>
        <family val="2"/>
      </rPr>
      <t>ecoinvent</t>
    </r>
    <r>
      <rPr>
        <sz val="10"/>
        <color theme="1"/>
        <rFont val="Calibri"/>
        <family val="2"/>
      </rPr>
      <t> 3 and Agrifootprint databases; 7 – (</t>
    </r>
    <r>
      <rPr>
        <sz val="10"/>
        <color rgb="FF0C7DBB"/>
        <rFont val="Calibri"/>
        <family val="2"/>
      </rPr>
      <t>Smetana et al., 2016</t>
    </r>
    <r>
      <rPr>
        <sz val="10"/>
        <color theme="1"/>
        <rFont val="Calibri"/>
        <family val="2"/>
      </rPr>
      <t>); 8 – (</t>
    </r>
    <r>
      <rPr>
        <sz val="10"/>
        <color rgb="FF0C7DBB"/>
        <rFont val="Calibri"/>
        <family val="2"/>
      </rPr>
      <t>Nijdam et al., 2012</t>
    </r>
    <r>
      <rPr>
        <sz val="10"/>
        <color theme="1"/>
        <rFont val="Calibri"/>
        <family val="2"/>
      </rPr>
      <t>). Note: HTF – heterotrophic fermenter; ORP – open raceway pond; TBR – tubular </t>
    </r>
    <r>
      <rPr>
        <sz val="10"/>
        <color rgb="FF2E2E2E"/>
        <rFont val="Calibri"/>
        <family val="2"/>
      </rPr>
      <t>bioreactor</t>
    </r>
    <r>
      <rPr>
        <sz val="10"/>
        <color theme="1"/>
        <rFont val="Calibri"/>
        <family val="2"/>
      </rPr>
      <t>; DM – dry mass, </t>
    </r>
    <r>
      <rPr>
        <sz val="10"/>
        <color rgb="FF2E2E2E"/>
        <rFont val="Calibri"/>
        <family val="2"/>
      </rPr>
      <t>GWP</t>
    </r>
    <r>
      <rPr>
        <sz val="10"/>
        <color theme="1"/>
        <rFont val="Calibri"/>
        <family val="2"/>
      </rPr>
      <t> – global warming potential; OD – </t>
    </r>
    <r>
      <rPr>
        <sz val="10"/>
        <color rgb="FF2E2E2E"/>
        <rFont val="Calibri"/>
        <family val="2"/>
      </rPr>
      <t>ozone depletion</t>
    </r>
    <r>
      <rPr>
        <sz val="10"/>
        <color theme="1"/>
        <rFont val="Calibri"/>
        <family val="2"/>
      </rPr>
      <t>; AC – </t>
    </r>
    <r>
      <rPr>
        <sz val="10"/>
        <color rgb="FF2E2E2E"/>
        <rFont val="Calibri"/>
        <family val="2"/>
      </rPr>
      <t>acidification</t>
    </r>
    <r>
      <rPr>
        <sz val="10"/>
        <color theme="1"/>
        <rFont val="Calibri"/>
        <family val="2"/>
      </rPr>
      <t>; EU – </t>
    </r>
    <r>
      <rPr>
        <sz val="10"/>
        <color rgb="FF2E2E2E"/>
        <rFont val="Calibri"/>
        <family val="2"/>
      </rPr>
      <t>eutrophication</t>
    </r>
    <r>
      <rPr>
        <sz val="10"/>
        <color theme="1"/>
        <rFont val="Calibri"/>
        <family val="2"/>
      </rPr>
      <t>; ED – energy demand; FD – freshwater depletion; LU – land use.</t>
    </r>
  </si>
  <si>
    <t>CTBR</t>
  </si>
  <si>
    <t>NG: 0.19 kWh; Electricity: 9.1 kWh; Water: 0.34 m3; Gas (CO2): 0.6 kg; HP: 0.06 m3; CA: 0.06 m3; Land: 0.06 m2; F: 0.02 kg N, 0.01 kg P</t>
  </si>
  <si>
    <t>Electricity: 0.02 kWh;</t>
  </si>
  <si>
    <t>FB: 7.0 kg;</t>
  </si>
  <si>
    <t>Electricity: 13.5 kWh</t>
  </si>
  <si>
    <t>Wastewater: 0.42 m3; EW: 1.3 kg; CO2 emissions: 0.29 kg</t>
  </si>
  <si>
    <t>RW: 0.04 m3;</t>
  </si>
  <si>
    <t>Wastewater: 3.5 kg</t>
  </si>
  <si>
    <t>STBR</t>
  </si>
  <si>
    <t>NG: 0.15 kWh; Electricity: 7.6 kWh; Water: 0.3 m3;</t>
  </si>
  <si>
    <t>Electricity: 0.03 kWh;</t>
  </si>
  <si>
    <t>FB: 6.6 kg;</t>
  </si>
  <si>
    <t>Gas (CO2): 0.61 kg; HP: 0.05 m3; CA: 0.05 m3; Land: 0.05 m2; F: 0.02 kg N, 0.01 kg P</t>
  </si>
  <si>
    <t>Wastewater: 0.36 m3;</t>
  </si>
  <si>
    <t>EW: 0.8 kg;</t>
  </si>
  <si>
    <t>RW: 0.07 m3;</t>
  </si>
  <si>
    <t>EW: 5.5 kg</t>
  </si>
  <si>
    <t>CO2 emissions: 0.3 kg</t>
  </si>
  <si>
    <t>Wastewater: 6.3 kg</t>
  </si>
  <si>
    <t>CHTF</t>
  </si>
  <si>
    <t>NG: 0.002 kWh; Electricity: 0.17 kWh; Water: 0.01 m3; Gas (O2): 0.004 kg; Glucose: 0.34 kg; HP: 2.4 m3; Steam: 0.5 kg; Land: 0.001 m2;</t>
  </si>
  <si>
    <t>Electricity: 0.007 kWh;</t>
  </si>
  <si>
    <t>F: 0.002 kg N, 0.001 kg P</t>
  </si>
  <si>
    <t>Wastewater: 6.1 kg; EW: 0.5 kg; CO2 emissions: 0.13 kg</t>
  </si>
  <si>
    <t>Wastewater: 0.01 kg</t>
  </si>
  <si>
    <t>EW: 5.9 kg</t>
  </si>
  <si>
    <r>
      <t>Note</t>
    </r>
    <r>
      <rPr>
        <sz val="10"/>
        <color theme="1"/>
        <rFont val="Calibri"/>
        <family val="2"/>
        <scheme val="minor"/>
      </rPr>
      <t>: C – </t>
    </r>
    <r>
      <rPr>
        <i/>
        <sz val="10"/>
        <color theme="1"/>
        <rFont val="Calibri"/>
        <family val="2"/>
        <scheme val="minor"/>
      </rPr>
      <t>C. vulgaris</t>
    </r>
    <r>
      <rPr>
        <sz val="10"/>
        <color theme="1"/>
        <rFont val="Calibri"/>
        <family val="2"/>
        <scheme val="minor"/>
      </rPr>
      <t>; S – </t>
    </r>
    <r>
      <rPr>
        <i/>
        <sz val="10"/>
        <color theme="1"/>
        <rFont val="Calibri"/>
        <family val="2"/>
        <scheme val="minor"/>
      </rPr>
      <t>A. platensis</t>
    </r>
    <r>
      <rPr>
        <sz val="10"/>
        <color theme="1"/>
        <rFont val="Calibri"/>
        <family val="2"/>
        <scheme val="minor"/>
      </rPr>
      <t>; ORP – open raceway pond; TBR – tubular photobioreactor; HTF – heterotrophic fermenter; N – nitrogen; P – phosphorous; F – fertilizers; NG – natural gas; FB – fresh biomass; RW – recycled water; DPP – dry protein powder; </t>
    </r>
    <r>
      <rPr>
        <sz val="10"/>
        <color rgb="FF2E2E2E"/>
        <rFont val="Calibri"/>
        <family val="2"/>
        <scheme val="minor"/>
      </rPr>
      <t>EW</t>
    </r>
    <r>
      <rPr>
        <sz val="10"/>
        <color theme="1"/>
        <rFont val="Calibri"/>
        <family val="2"/>
        <scheme val="minor"/>
      </rPr>
      <t> - evaporated water; HP - hydrogen peroxide 3% solution; CA – </t>
    </r>
    <r>
      <rPr>
        <sz val="10"/>
        <color rgb="FF2E2E2E"/>
        <rFont val="Calibri"/>
        <family val="2"/>
        <scheme val="minor"/>
      </rPr>
      <t>Citric acid</t>
    </r>
    <r>
      <rPr>
        <sz val="10"/>
        <color theme="1"/>
        <rFont val="Calibri"/>
        <family val="2"/>
        <scheme val="minor"/>
      </rPr>
      <t> 0.5%; PMP – protein meal powder.</t>
    </r>
  </si>
  <si>
    <t>Thielemann, A. K., Smetana, S., &amp; Pleissner, D. (2021). Cultivation of the heterotrophic microalga Galdieria sulphuraria on food waste: A Life Cycle Assessment. Bioresource Technology, 340, 125637.</t>
  </si>
  <si>
    <t>Table 1. Life Cycle Inventory of the hydrolytic treatment of food waste. Values refer to functional unit 1 kg biomass powder with a protein content of 27% (w/w) and a residual moisture content of 4% (w/w).</t>
  </si>
  <si>
    <r>
      <t>Table 4. Life Cycle Inventory of flocculation and centrifugation of </t>
    </r>
    <r>
      <rPr>
        <b/>
        <i/>
        <sz val="10"/>
        <color rgb="FF2E2E2E"/>
        <rFont val="Calibri"/>
        <family val="2"/>
        <scheme val="minor"/>
      </rPr>
      <t>Galdieria sulphuraria</t>
    </r>
    <r>
      <rPr>
        <b/>
        <sz val="10"/>
        <color rgb="FF2E2E2E"/>
        <rFont val="Calibri"/>
        <family val="2"/>
        <scheme val="minor"/>
      </rPr>
      <t> biomass. Values refer to functional unit 1 kg biomass powder with a protein content of 27% (w/w) and a residual moisture content of 4% (w/w).</t>
    </r>
  </si>
  <si>
    <t>Calculation</t>
  </si>
  <si>
    <t>Ecoinvent-process</t>
  </si>
  <si>
    <t>E</t>
  </si>
  <si>
    <t>4.6 kWh</t>
  </si>
  <si>
    <t>(Pleissner and Smetana, 2020)</t>
  </si>
  <si>
    <t>53.6 t FW (ww) = 21,600 kWh, 11.42 kg FW (ww) = 34.6 kWh</t>
  </si>
  <si>
    <t>Market group for electricity, low voltage</t>
  </si>
  <si>
    <t>BM</t>
  </si>
  <si>
    <t>70 kg</t>
  </si>
  <si>
    <t>Resource flow</t>
  </si>
  <si>
    <t>FW</t>
  </si>
  <si>
    <t>3.57 kg (dw), 11.42 kg (ww)</t>
  </si>
  <si>
    <t>(Pleissner et al., 2013)</t>
  </si>
  <si>
    <t>31.9 g G = 100 g FW (dw), 1.14 kg G = 3.57 kg FW (dw), 100 g FW (dw) = 320 g FW (ww), 3.57 kg FW (dw) × 3.2 = 11.42 kg FW (ww)</t>
  </si>
  <si>
    <t>Neutral input (biological feedstock)</t>
  </si>
  <si>
    <t>0.049 kWh</t>
  </si>
  <si>
    <t>(Smetana et al., 2017)</t>
  </si>
  <si>
    <t>1 kg BM (85% ww) = 0.007 kWh, 7 kg BM (85% ww) = 0.049 kWh</t>
  </si>
  <si>
    <t>EZ</t>
  </si>
  <si>
    <t>0.11 kg</t>
  </si>
  <si>
    <r>
      <t>(</t>
    </r>
    <r>
      <rPr>
        <sz val="10"/>
        <color rgb="FF0C7DBB"/>
        <rFont val="Calibri"/>
        <family val="2"/>
        <scheme val="minor"/>
      </rPr>
      <t>Moon et al., 2009</t>
    </r>
    <r>
      <rPr>
        <sz val="10"/>
        <color theme="1"/>
        <rFont val="Calibri"/>
        <family val="2"/>
        <scheme val="minor"/>
      </rPr>
      <t>, </t>
    </r>
    <r>
      <rPr>
        <sz val="10"/>
        <color rgb="FF0C7DBB"/>
        <rFont val="Calibri"/>
        <family val="2"/>
        <scheme val="minor"/>
      </rPr>
      <t>Pleissner and Smetana, 2020</t>
    </r>
    <r>
      <rPr>
        <sz val="10"/>
        <color theme="1"/>
        <rFont val="Calibri"/>
        <family val="2"/>
        <scheme val="minor"/>
      </rPr>
      <t>)</t>
    </r>
  </si>
  <si>
    <t>Amylase: 2,000 U kg−1 FW, c = 400,000 U kg−1, 2,000 U kg−1 × 11.42 kg FW (ww) = 22,840 U, 22,840 U / 400,000 U kg−1 = 0.057 kg, 0.057 kg × 2 = 0.11 kg</t>
  </si>
  <si>
    <t>Market for enzyms</t>
  </si>
  <si>
    <t>EL</t>
  </si>
  <si>
    <t>0.001 kg</t>
  </si>
  <si>
    <t>Market for anode, for metal electrolysis</t>
  </si>
  <si>
    <t>HS</t>
  </si>
  <si>
    <t>11.53 kg</t>
  </si>
  <si>
    <t>11.42 kg FW (ww) + 0.11 kg EZ = 11.53 kg HS</t>
  </si>
  <si>
    <t>Market for cathode, for aluminium electrolysis</t>
  </si>
  <si>
    <t>E: electricity; FW: food waste; ww: wet waste; dw: dry waste; G: glucose; EZ: enzyme; c: concentration; U: units; HS: hydrolysates.</t>
  </si>
  <si>
    <t>AWW</t>
  </si>
  <si>
    <t>63 kg</t>
  </si>
  <si>
    <t>BM (85 % ww)</t>
  </si>
  <si>
    <t>7 kg</t>
  </si>
  <si>
    <t>Table 2. Life Cycle Inventory of the centrifugation and microfiltration of hydrolysate. Values refer to functional unit 1 kg biomass powder with a protein content of 27% (w/w) and a residual moisture content of 4% (w/w).</t>
  </si>
  <si>
    <t>BM: biomass; E: electricity; ww: wet weight; EL: electrodes; AWW: acidic wastewater; dw: dry weight.</t>
  </si>
  <si>
    <t>0.01 kWh</t>
  </si>
  <si>
    <t>53.6 t FW (ww) = 40 kWh, 11.53 kg HS (ww) = 0.01 kWh</t>
  </si>
  <si>
    <t>Table 5. Life Cycle Inventory of wastewater neutralization, protein treatment and lyophilization. Values refer to functional unit 1 kg biomass powder with a protein content of 27% (w/w) and a residual moisture content of 4% (w/w).</t>
  </si>
  <si>
    <t>WW</t>
  </si>
  <si>
    <t>7.85 kg</t>
  </si>
  <si>
    <t>11.42 kg FW (ww) – 3.57 kg (dw) = 7.85 kg</t>
  </si>
  <si>
    <t>RoW, market for wastewater unpolluted</t>
  </si>
  <si>
    <t>R</t>
  </si>
  <si>
    <t>2.43 kg</t>
  </si>
  <si>
    <t>3.57 kg FW (dw) – 1,14 kg GA = 2.43 kg</t>
  </si>
  <si>
    <t>Neutral elementary flow</t>
  </si>
  <si>
    <t>Wastewater neutralization</t>
  </si>
  <si>
    <t>GA</t>
  </si>
  <si>
    <t>1.14 kg</t>
  </si>
  <si>
    <r>
      <t>(</t>
    </r>
    <r>
      <rPr>
        <sz val="10"/>
        <color rgb="FF0C7DBB"/>
        <rFont val="Calibri"/>
        <family val="2"/>
        <scheme val="minor"/>
      </rPr>
      <t>Pleissner et al., 2013</t>
    </r>
    <r>
      <rPr>
        <sz val="10"/>
        <color theme="1"/>
        <rFont val="Calibri"/>
        <family val="2"/>
        <scheme val="minor"/>
      </rPr>
      <t>, </t>
    </r>
    <r>
      <rPr>
        <sz val="10"/>
        <color rgb="FF0C7DBB"/>
        <rFont val="Calibri"/>
        <family val="2"/>
        <scheme val="minor"/>
      </rPr>
      <t>Sloth et al., 2017</t>
    </r>
    <r>
      <rPr>
        <sz val="10"/>
        <color theme="1"/>
        <rFont val="Calibri"/>
        <family val="2"/>
        <scheme val="minor"/>
      </rPr>
      <t>)</t>
    </r>
  </si>
  <si>
    <t>0.88 g BM (dw) = 1 g G, 1 kg BM (dw) = 1.14 kg G, 100 g FW (dw) = 31,9 g G + 0.28 g N</t>
  </si>
  <si>
    <t>HS: hydrolysate; E: electricity; FW: food waste; ww: wet weight; WW: wastewater; dw: dry weight; RoW: rest of world; R: remaining solids; GA: glucose and amino acids; Yx/glc [g g−1]: yield of biomass on glucose; BM: biomass; G: glucose; N: nitrogen.</t>
  </si>
  <si>
    <t>NaOH</t>
  </si>
  <si>
    <t>0.057 kg</t>
  </si>
  <si>
    <t>Market for neutralization agent, sodium hydroxide equivalent</t>
  </si>
  <si>
    <t>AW</t>
  </si>
  <si>
    <t>Protein treatment</t>
  </si>
  <si>
    <r>
      <t>Table 3. Life Cycle Inventory of the </t>
    </r>
    <r>
      <rPr>
        <b/>
        <i/>
        <sz val="10"/>
        <color rgb="FF2E2E2E"/>
        <rFont val="Calibri"/>
        <family val="2"/>
        <scheme val="minor"/>
      </rPr>
      <t>Galdieria sulphuraria</t>
    </r>
    <r>
      <rPr>
        <b/>
        <sz val="10"/>
        <color rgb="FF2E2E2E"/>
        <rFont val="Calibri"/>
        <family val="2"/>
        <scheme val="minor"/>
      </rPr>
      <t> cultivation. Values refer to functional unit 1 kg biomass powder with a protein content of 27% (w/w) and a residual moisture content of 4% (w/w).</t>
    </r>
  </si>
  <si>
    <t>2.82 kWh</t>
  </si>
  <si>
    <t>53,6 t FW = 21.600 kWh, 7 kg BM = 2,82 kWh</t>
  </si>
  <si>
    <t>EZ (Viscoym L)</t>
  </si>
  <si>
    <t>0.035 kg</t>
  </si>
  <si>
    <r>
      <t>(</t>
    </r>
    <r>
      <rPr>
        <sz val="10"/>
        <color rgb="FF0C7DBB"/>
        <rFont val="Calibri"/>
        <family val="2"/>
        <scheme val="minor"/>
      </rPr>
      <t>Graziani et al., 2013</t>
    </r>
    <r>
      <rPr>
        <sz val="10"/>
        <color theme="1"/>
        <rFont val="Calibri"/>
        <family val="2"/>
        <scheme val="minor"/>
      </rPr>
      <t>, </t>
    </r>
    <r>
      <rPr>
        <sz val="10"/>
        <color rgb="FF0C7DBB"/>
        <rFont val="Calibri"/>
        <family val="2"/>
        <scheme val="minor"/>
      </rPr>
      <t>Moon et al., 2009</t>
    </r>
    <r>
      <rPr>
        <sz val="10"/>
        <color theme="1"/>
        <rFont val="Calibri"/>
        <family val="2"/>
        <scheme val="minor"/>
      </rPr>
      <t>)</t>
    </r>
  </si>
  <si>
    <t>2,000 U kg−1 FW c = 400,000 U kg−1, 2,000 U kg−1 × 7 kg BM = 14,000 U, 14,000 U / 400,000 u kg−1 = 0.035 kg</t>
  </si>
  <si>
    <t>W</t>
  </si>
  <si>
    <t>1 kg BM (85% ww) = 10 kg, 7 kg BM (85% ww) = 70 kg</t>
  </si>
  <si>
    <t>RER, market group for tap water</t>
  </si>
  <si>
    <t>O2</t>
  </si>
  <si>
    <t>0.01 kg</t>
  </si>
  <si>
    <t>1 kg BM (85% ww) = 0.004 kg, 7 kg BM (85% ww) = 0.028 kg</t>
  </si>
  <si>
    <t>RER, market for oxygen, liquid</t>
  </si>
  <si>
    <t>Lyophilization</t>
  </si>
  <si>
    <t>H2SO4</t>
  </si>
  <si>
    <t>0.032 kg</t>
  </si>
  <si>
    <t>0.25 mL H2SO4 L−1, V = 70 L, density: 1.84 g mL−1</t>
  </si>
  <si>
    <t>RER, market for sulphuric acid</t>
  </si>
  <si>
    <t>14.25 kWh</t>
  </si>
  <si>
    <t>H</t>
  </si>
  <si>
    <t>0.05 MJ</t>
  </si>
  <si>
    <t>1 kg BM (85% ww) = 0.002 kWh, 7 kg BM (85% ww) = 0.014 kWh</t>
  </si>
  <si>
    <t>RER, market group for heat, central or small scale, natural gas</t>
  </si>
  <si>
    <t>EW</t>
  </si>
  <si>
    <t>5.9 kg</t>
  </si>
  <si>
    <t>1.19 kWh</t>
  </si>
  <si>
    <t>1 kg BM (85% ww) = 0.17 kWh, 7 kg BM (85% ww) = 1.19 kWh</t>
  </si>
  <si>
    <t>BM (dw)</t>
  </si>
  <si>
    <t>1 kg</t>
  </si>
  <si>
    <t>0.88 kg</t>
  </si>
  <si>
    <r>
      <t>(</t>
    </r>
    <r>
      <rPr>
        <sz val="10"/>
        <color rgb="FF0C7DBB"/>
        <rFont val="Calibri"/>
        <family val="2"/>
        <scheme val="minor"/>
      </rPr>
      <t>Chang et al., 2014</t>
    </r>
    <r>
      <rPr>
        <sz val="10"/>
        <color theme="1"/>
        <rFont val="Calibri"/>
        <family val="2"/>
        <scheme val="minor"/>
      </rPr>
      <t>, </t>
    </r>
    <r>
      <rPr>
        <sz val="10"/>
        <color rgb="FF0C7DBB"/>
        <rFont val="Calibri"/>
        <family val="2"/>
        <scheme val="minor"/>
      </rPr>
      <t>Melis, 2009</t>
    </r>
    <r>
      <rPr>
        <sz val="10"/>
        <color theme="1"/>
        <rFont val="Calibri"/>
        <family val="2"/>
        <scheme val="minor"/>
      </rPr>
      <t>)</t>
    </r>
  </si>
  <si>
    <t>0.88 kg kg−1 BM</t>
  </si>
  <si>
    <t>Carbon dioxide, from soil or biomass</t>
  </si>
  <si>
    <t>AWW: acidic wastewater; E: electricity; EW; evaporated water; dw: dry weight; FW: food waste; EZ: enzyme; c: concentration; U: units; NaOH: sodium hydroxide; V: volume; BM: biomass; AW: wastewater; RoW: rest of world.</t>
  </si>
  <si>
    <t>GA: glucose and amino acids; W: water; BM: biomass; ww: wet weight; RER: rest of Europe; V: volume; A: alga; H: heat; E: electricity.</t>
  </si>
  <si>
    <t>Emissions of CO2e per kg of novel food</t>
  </si>
  <si>
    <t>Published MINOR ingredients</t>
  </si>
  <si>
    <t>Published TOTAL</t>
  </si>
  <si>
    <t>MAJOR INGREDIENTS (calculated)</t>
  </si>
  <si>
    <t>TOTAL (caculated)</t>
  </si>
  <si>
    <t>MAIN ENERGY DEMANDING PROCESSES</t>
  </si>
  <si>
    <t>INPUTS CROPS</t>
  </si>
  <si>
    <t>INPUTS ANIMAL</t>
  </si>
  <si>
    <t>Stables</t>
  </si>
  <si>
    <t>Slaughter</t>
  </si>
  <si>
    <t>Crops</t>
  </si>
  <si>
    <t>Minor ingredients (published)</t>
  </si>
  <si>
    <t>Total (published)</t>
  </si>
  <si>
    <t>Major ingredients (sum of Crop+Animal+Energy Inputs)</t>
  </si>
  <si>
    <t>Total (sum of Electricity ingredients + Crop+Animal+Energy inputs)</t>
  </si>
  <si>
    <t>Electricity processing</t>
  </si>
  <si>
    <t>Heat processing</t>
  </si>
  <si>
    <t>Electricity ingredients</t>
  </si>
  <si>
    <t>Agricultural inputs</t>
  </si>
  <si>
    <t xml:space="preserve">Categories </t>
  </si>
  <si>
    <t>kg CO2e/kg food item (amount to be fixed)</t>
  </si>
  <si>
    <t>kg CO2e/kg food</t>
  </si>
  <si>
    <t>Production of mineral fertilizer, kg CO2e per kg of food</t>
  </si>
  <si>
    <t>Production of inputs from agriculture, kg CO2e per kg of food</t>
  </si>
  <si>
    <t>Energy use for post-harvest proc</t>
  </si>
  <si>
    <t>Production of mineral fertilizer*</t>
  </si>
  <si>
    <t>Direct emissions**</t>
  </si>
  <si>
    <t>Indirect emissions***</t>
  </si>
  <si>
    <t>Enteric fermentation*</t>
  </si>
  <si>
    <t>NF-XX</t>
  </si>
  <si>
    <t>Emissions of CO2 per kg of novel food</t>
  </si>
  <si>
    <t>TOTAL</t>
  </si>
  <si>
    <t>Total (of Crop+An Inputs)</t>
  </si>
  <si>
    <t>kg CO2/kg food</t>
  </si>
  <si>
    <t>kg CO2/kg</t>
  </si>
  <si>
    <t>Production of mineral fertilizer, kg CO2 per kg of food</t>
  </si>
  <si>
    <t>Production of capital goods</t>
  </si>
  <si>
    <t>Emissions of CH4 per kg of novel food</t>
  </si>
  <si>
    <t>kg CH4/kg</t>
  </si>
  <si>
    <t>Production of inputs from agriculture</t>
  </si>
  <si>
    <t>kg N2O/kg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</si>
</sst>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E+00"/>
    <numFmt numFmtId="165" formatCode="0.0"/>
    <numFmt numFmtId="166" formatCode="0.0E+00"/>
    <numFmt numFmtId="167" formatCode="0.000"/>
    <numFmt numFmtId="168" formatCode="#,##0.000"/>
    <numFmt numFmtId="169" formatCode="#,##0.0"/>
    <numFmt numFmtId="170" formatCode="mm/dd/yyyy\ hh:mm"/>
    <numFmt numFmtId="171" formatCode="0.000000"/>
    <numFmt numFmtId="172" formatCode="0.0000"/>
    <numFmt numFmtId="173" formatCode="0.0000000"/>
    <numFmt numFmtId="174" formatCode="0.00000"/>
    <numFmt numFmtId="175" formatCode="0E+00"/>
    <numFmt numFmtId="176" formatCode="0.0000000000"/>
  </numFmts>
  <fonts count="165">
    <font>
      <sz val="11"/>
      <color theme="1"/>
      <name val="Calibri"/>
      <family val="2"/>
      <scheme val="minor"/>
    </font>
    <font>
      <b/>
      <sz val="11"/>
      <color theme="1"/>
      <name val="Calibri"/>
      <family val="2"/>
      <scheme val="minor"/>
    </font>
    <font>
      <sz val="16"/>
      <color theme="1"/>
      <name val="Calibri"/>
      <family val="2"/>
      <scheme val="minor"/>
    </font>
    <font>
      <sz val="11"/>
      <color rgb="FF000000"/>
      <name val="Calibri"/>
      <family val="2"/>
      <scheme val="minor"/>
    </font>
    <font>
      <sz val="11"/>
      <name val="Calibri"/>
      <family val="2"/>
      <scheme val="minor"/>
    </font>
    <font>
      <i/>
      <sz val="10"/>
      <color rgb="FF222222"/>
      <name val="Arial"/>
      <family val="2"/>
      <charset val="1"/>
    </font>
    <font>
      <sz val="10"/>
      <color rgb="FF222222"/>
      <name val="Arial"/>
      <family val="2"/>
      <charset val="1"/>
    </font>
    <font>
      <sz val="10"/>
      <color rgb="FF222222"/>
      <name val="Arial"/>
      <family val="2"/>
    </font>
    <font>
      <i/>
      <sz val="10"/>
      <color rgb="FF222222"/>
      <name val="Arial"/>
      <family val="2"/>
    </font>
    <font>
      <sz val="11"/>
      <color rgb="FFFF0000"/>
      <name val="Calibri"/>
      <family val="2"/>
      <scheme val="minor"/>
    </font>
    <font>
      <sz val="11"/>
      <color rgb="FF444444"/>
      <name val="Calibri"/>
      <family val="2"/>
      <charset val="1"/>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i/>
      <sz val="11"/>
      <color rgb="FF7F7F7F"/>
      <name val="Calibri"/>
      <family val="2"/>
      <scheme val="minor"/>
    </font>
    <font>
      <b/>
      <sz val="11"/>
      <color rgb="FF333333"/>
      <name val="Segoe UI"/>
      <family val="2"/>
    </font>
    <font>
      <b/>
      <sz val="6"/>
      <color rgb="FF333333"/>
      <name val="Segoe UI"/>
      <family val="2"/>
    </font>
    <font>
      <sz val="11"/>
      <color rgb="FF333333"/>
      <name val="Segoe UI"/>
      <family val="2"/>
    </font>
    <font>
      <sz val="6"/>
      <color rgb="FF333333"/>
      <name val="Segoe UI"/>
      <family val="2"/>
    </font>
    <font>
      <u/>
      <sz val="11"/>
      <color theme="10"/>
      <name val="Calibri"/>
      <family val="2"/>
      <scheme val="minor"/>
    </font>
    <font>
      <sz val="7"/>
      <color rgb="FF333333"/>
      <name val="Calibri"/>
      <family val="2"/>
      <scheme val="minor"/>
    </font>
    <font>
      <sz val="9"/>
      <color rgb="FF333333"/>
      <name val="Calibri"/>
      <family val="2"/>
      <scheme val="minor"/>
    </font>
    <font>
      <sz val="9"/>
      <color rgb="FF004B83"/>
      <name val="Calibri"/>
      <family val="2"/>
      <scheme val="minor"/>
    </font>
    <font>
      <b/>
      <sz val="11"/>
      <name val="Calibri"/>
      <family val="2"/>
    </font>
    <font>
      <sz val="11"/>
      <color theme="1"/>
      <name val="Calibri"/>
      <family val="2"/>
    </font>
    <font>
      <sz val="9"/>
      <color indexed="81"/>
      <name val="Tahoma"/>
      <family val="2"/>
    </font>
    <font>
      <b/>
      <sz val="9"/>
      <color indexed="81"/>
      <name val="Tahoma"/>
      <family val="2"/>
    </font>
    <font>
      <b/>
      <sz val="11"/>
      <color rgb="FF000000"/>
      <name val="Calibri"/>
      <family val="2"/>
      <scheme val="minor"/>
    </font>
    <font>
      <sz val="10"/>
      <color rgb="FF2E2E2E"/>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
      <sz val="10"/>
      <color rgb="FF0C7DBB"/>
      <name val="Calibri"/>
      <family val="2"/>
      <scheme val="minor"/>
    </font>
    <font>
      <i/>
      <sz val="10"/>
      <color theme="1"/>
      <name val="Calibri"/>
      <family val="2"/>
      <scheme val="minor"/>
    </font>
    <font>
      <sz val="10"/>
      <color rgb="FF333333"/>
      <name val="Calibri"/>
      <family val="2"/>
      <scheme val="minor"/>
    </font>
    <font>
      <i/>
      <sz val="10"/>
      <color rgb="FF333333"/>
      <name val="Calibri"/>
      <family val="2"/>
      <scheme val="minor"/>
    </font>
    <font>
      <sz val="11"/>
      <name val="Calibri"/>
      <family val="2"/>
    </font>
    <font>
      <b/>
      <sz val="11"/>
      <color rgb="FF000000"/>
      <name val="Calibri"/>
      <family val="2"/>
    </font>
    <font>
      <b/>
      <sz val="10"/>
      <color rgb="FF2E2E2E"/>
      <name val="Calibri"/>
      <family val="2"/>
      <scheme val="minor"/>
    </font>
    <font>
      <sz val="8"/>
      <color rgb="FF2E2E2E"/>
      <name val="Calibri"/>
      <family val="2"/>
    </font>
    <font>
      <i/>
      <sz val="8"/>
      <color rgb="FF2E2E2E"/>
      <name val="Calibri"/>
      <family val="2"/>
    </font>
    <font>
      <sz val="10"/>
      <color rgb="FF2E2E2E"/>
      <name val="Calibri"/>
      <family val="2"/>
    </font>
    <font>
      <sz val="10"/>
      <color theme="1"/>
      <name val="Calibri"/>
      <family val="2"/>
    </font>
    <font>
      <b/>
      <sz val="10"/>
      <color theme="1"/>
      <name val="Calibri"/>
      <family val="2"/>
    </font>
    <font>
      <i/>
      <sz val="10"/>
      <color theme="1"/>
      <name val="Calibri"/>
      <family val="2"/>
    </font>
    <font>
      <sz val="10"/>
      <color rgb="FF0C7DBB"/>
      <name val="Calibri"/>
      <family val="2"/>
    </font>
    <font>
      <b/>
      <sz val="10"/>
      <color rgb="FF2E2E2E"/>
      <name val="Calibri"/>
      <family val="2"/>
    </font>
    <font>
      <b/>
      <i/>
      <sz val="10"/>
      <color rgb="FF2E2E2E"/>
      <name val="Calibri"/>
      <family val="2"/>
      <scheme val="minor"/>
    </font>
    <font>
      <sz val="10"/>
      <color rgb="FF000000"/>
      <name val="Calibri"/>
      <family val="2"/>
      <scheme val="minor"/>
    </font>
    <font>
      <sz val="10"/>
      <color theme="4" tint="-0.249977111117893"/>
      <name val="Calibri"/>
      <family val="2"/>
      <scheme val="minor"/>
    </font>
    <font>
      <b/>
      <sz val="10"/>
      <color rgb="FF000000"/>
      <name val="Calibri"/>
      <family val="2"/>
      <scheme val="minor"/>
    </font>
    <font>
      <b/>
      <sz val="9"/>
      <color rgb="FF1D1C1D"/>
      <name val="Arial"/>
      <family val="2"/>
      <charset val="1"/>
    </font>
    <font>
      <sz val="9"/>
      <color rgb="FF1D1C1D"/>
      <name val="Arial"/>
      <family val="2"/>
      <charset val="1"/>
    </font>
    <font>
      <i/>
      <sz val="9"/>
      <color rgb="FF44546A"/>
      <name val="Calibri"/>
      <family val="2"/>
      <charset val="1"/>
    </font>
    <font>
      <b/>
      <sz val="9"/>
      <color rgb="FF1D1C1D"/>
      <name val="Arial"/>
      <family val="2"/>
    </font>
    <font>
      <sz val="9"/>
      <color rgb="FF1D1C1D"/>
      <name val="Arial"/>
      <family val="2"/>
    </font>
    <font>
      <strike/>
      <sz val="11"/>
      <color theme="1"/>
      <name val="Calibri"/>
      <family val="2"/>
      <scheme val="minor"/>
    </font>
    <font>
      <sz val="11"/>
      <color rgb="FF000000"/>
      <name val="Calibri"/>
      <family val="2"/>
    </font>
    <font>
      <b/>
      <sz val="11"/>
      <color rgb="FF44546A"/>
      <name val="Calibri"/>
      <family val="2"/>
    </font>
    <font>
      <i/>
      <sz val="11"/>
      <color theme="1"/>
      <name val="Calibri"/>
      <family val="2"/>
      <scheme val="minor"/>
    </font>
    <font>
      <sz val="11"/>
      <color theme="1"/>
      <name val="Calibri"/>
      <family val="2"/>
      <charset val="1"/>
    </font>
    <font>
      <i/>
      <sz val="11"/>
      <color rgb="FF000000"/>
      <name val="Calibri"/>
      <family val="2"/>
    </font>
    <font>
      <b/>
      <sz val="15"/>
      <color rgb="FF44546A"/>
      <name val="Calibri"/>
      <family val="2"/>
      <scheme val="minor"/>
    </font>
    <font>
      <b/>
      <i/>
      <sz val="15"/>
      <color rgb="FF44546A"/>
      <name val="Calibri"/>
      <family val="2"/>
      <scheme val="minor"/>
    </font>
    <font>
      <b/>
      <i/>
      <sz val="11"/>
      <color theme="1"/>
      <name val="Calibri"/>
      <family val="2"/>
      <scheme val="minor"/>
    </font>
    <font>
      <sz val="8"/>
      <color theme="1"/>
      <name val="Calibri"/>
      <family val="2"/>
      <scheme val="minor"/>
    </font>
    <font>
      <sz val="11"/>
      <color rgb="FF0C7DBB"/>
      <name val="Calibri"/>
      <family val="2"/>
      <scheme val="minor"/>
    </font>
    <font>
      <sz val="11"/>
      <color rgb="FFFF0000"/>
      <name val="Calibri"/>
      <family val="2"/>
    </font>
    <font>
      <sz val="11"/>
      <color rgb="FFFFC000"/>
      <name val="Calibri"/>
      <family val="2"/>
      <scheme val="minor"/>
    </font>
    <font>
      <sz val="8"/>
      <color rgb="FFFFC000"/>
      <name val="Calibri"/>
      <family val="2"/>
      <scheme val="minor"/>
    </font>
    <font>
      <i/>
      <sz val="11"/>
      <color theme="1"/>
      <name val="Calibri"/>
      <family val="2"/>
      <charset val="1"/>
      <scheme val="minor"/>
    </font>
    <font>
      <sz val="10"/>
      <color rgb="FF000000"/>
      <name val="Roboto"/>
    </font>
    <font>
      <sz val="13"/>
      <color rgb="FF000000"/>
      <name val="Roboto"/>
    </font>
    <font>
      <b/>
      <strike/>
      <sz val="11"/>
      <color theme="1"/>
      <name val="Calibri"/>
      <family val="2"/>
      <scheme val="minor"/>
    </font>
    <font>
      <strike/>
      <sz val="8"/>
      <color theme="1"/>
      <name val="Calibri"/>
      <family val="2"/>
      <scheme val="minor"/>
    </font>
    <font>
      <sz val="11"/>
      <color rgb="FF444444"/>
      <name val="Calibri"/>
      <family val="2"/>
    </font>
    <font>
      <i/>
      <sz val="11"/>
      <color rgb="FF444444"/>
      <name val="Calibri"/>
      <family val="2"/>
    </font>
    <font>
      <sz val="8"/>
      <color theme="0" tint="-0.499984740745262"/>
      <name val="Calibri"/>
      <family val="2"/>
      <scheme val="minor"/>
    </font>
    <font>
      <b/>
      <sz val="18"/>
      <color theme="1"/>
      <name val="Calibri"/>
      <family val="2"/>
      <scheme val="minor"/>
    </font>
    <font>
      <sz val="12"/>
      <color theme="1"/>
      <name val="Calibri"/>
      <family val="2"/>
      <scheme val="minor"/>
    </font>
    <font>
      <sz val="10"/>
      <color rgb="FFFF0000"/>
      <name val="Calibri"/>
      <family val="2"/>
      <scheme val="minor"/>
    </font>
    <font>
      <sz val="9"/>
      <name val="Calibri"/>
      <family val="2"/>
      <scheme val="minor"/>
    </font>
    <font>
      <b/>
      <sz val="9"/>
      <color theme="1"/>
      <name val="Calibri"/>
      <family val="2"/>
      <scheme val="minor"/>
    </font>
    <font>
      <sz val="10"/>
      <color rgb="FFFF0000"/>
      <name val="Trebuchet MS"/>
      <family val="2"/>
    </font>
    <font>
      <sz val="9"/>
      <color theme="1"/>
      <name val="Calibri"/>
      <family val="2"/>
      <scheme val="minor"/>
    </font>
    <font>
      <sz val="10"/>
      <color rgb="FF000000"/>
      <name val="Trebuchet MS"/>
      <family val="2"/>
    </font>
    <font>
      <sz val="8"/>
      <color rgb="FFFF0000"/>
      <name val="Open Sans"/>
      <family val="2"/>
    </font>
    <font>
      <u/>
      <sz val="11"/>
      <color rgb="FFFF0000"/>
      <name val="Calibri"/>
      <family val="2"/>
      <scheme val="minor"/>
    </font>
    <font>
      <sz val="8"/>
      <color rgb="FF4C4C4C"/>
      <name val="Arial"/>
      <family val="2"/>
    </font>
    <font>
      <b/>
      <sz val="11"/>
      <color theme="0"/>
      <name val="Calibri"/>
      <family val="2"/>
      <scheme val="minor"/>
    </font>
    <font>
      <sz val="11"/>
      <color theme="0"/>
      <name val="Calibri"/>
      <family val="2"/>
      <scheme val="minor"/>
    </font>
    <font>
      <sz val="14"/>
      <color theme="1"/>
      <name val="Calibri"/>
      <family val="2"/>
      <scheme val="minor"/>
    </font>
    <font>
      <sz val="11"/>
      <color theme="1" tint="0.499984740745262"/>
      <name val="Calibri"/>
      <family val="2"/>
      <scheme val="minor"/>
    </font>
    <font>
      <sz val="11"/>
      <color theme="0"/>
      <name val="Calibri"/>
      <family val="2"/>
      <scheme val="minor"/>
    </font>
    <font>
      <b/>
      <sz val="11"/>
      <color rgb="FFFA7D00"/>
      <name val="Calibri"/>
      <family val="2"/>
      <scheme val="minor"/>
    </font>
    <font>
      <sz val="11"/>
      <color theme="0" tint="-0.34998626667073579"/>
      <name val="Calibri"/>
      <family val="2"/>
      <scheme val="minor"/>
    </font>
    <font>
      <sz val="11"/>
      <color theme="8"/>
      <name val="Calibri"/>
      <family val="2"/>
      <scheme val="minor"/>
    </font>
    <font>
      <sz val="11"/>
      <color theme="2" tint="-9.9978637043366805E-2"/>
      <name val="Calibri"/>
      <family val="2"/>
      <scheme val="minor"/>
    </font>
    <font>
      <b/>
      <sz val="11"/>
      <color theme="2" tint="-9.9978637043366805E-2"/>
      <name val="Calibri"/>
      <family val="2"/>
      <scheme val="minor"/>
    </font>
    <font>
      <sz val="11"/>
      <color theme="2" tint="-9.9978637043366805E-2"/>
      <name val="Calibri"/>
      <family val="2"/>
    </font>
    <font>
      <b/>
      <sz val="15"/>
      <color rgb="FF44546A"/>
      <name val="Calibri"/>
      <family val="2"/>
    </font>
    <font>
      <b/>
      <sz val="11"/>
      <color rgb="FF00B050"/>
      <name val="Calibri"/>
      <family val="2"/>
    </font>
    <font>
      <sz val="10"/>
      <color rgb="FFFF0000"/>
      <name val="Roboto"/>
    </font>
    <font>
      <u/>
      <sz val="11"/>
      <color rgb="FF0563C1"/>
      <name val="Calibri"/>
      <family val="2"/>
    </font>
    <font>
      <sz val="11"/>
      <color rgb="FFFFC000"/>
      <name val="Calibri"/>
      <family val="2"/>
    </font>
    <font>
      <sz val="8"/>
      <color rgb="FFFFC000"/>
      <name val="Calibri"/>
      <family val="2"/>
    </font>
    <font>
      <sz val="8"/>
      <color rgb="FF000000"/>
      <name val="Calibri"/>
      <family val="2"/>
    </font>
    <font>
      <sz val="11"/>
      <color rgb="FF0C7DBB"/>
      <name val="Calibri"/>
      <family val="2"/>
    </font>
    <font>
      <b/>
      <sz val="13"/>
      <color rgb="FF44546A"/>
      <name val="Calibri"/>
      <family val="2"/>
    </font>
    <font>
      <b/>
      <strike/>
      <sz val="11"/>
      <color rgb="FF000000"/>
      <name val="Calibri"/>
      <family val="2"/>
    </font>
    <font>
      <i/>
      <sz val="11"/>
      <color rgb="FF000000"/>
      <name val="Calibri"/>
      <family val="2"/>
      <charset val="1"/>
    </font>
    <font>
      <strike/>
      <sz val="11"/>
      <color rgb="FF000000"/>
      <name val="Calibri"/>
      <family val="2"/>
    </font>
    <font>
      <strike/>
      <sz val="8"/>
      <color rgb="FF000000"/>
      <name val="Calibri"/>
      <family val="2"/>
    </font>
    <font>
      <sz val="10"/>
      <color rgb="FF000000"/>
      <name val="Calibri"/>
      <family val="2"/>
    </font>
    <font>
      <sz val="11"/>
      <color rgb="FFFF0000"/>
      <name val="Roboto"/>
    </font>
    <font>
      <b/>
      <sz val="11"/>
      <color rgb="FFFF0000"/>
      <name val="Roboto"/>
    </font>
    <font>
      <sz val="8"/>
      <name val="Calibri"/>
      <family val="2"/>
      <scheme val="minor"/>
    </font>
    <font>
      <sz val="11"/>
      <color rgb="FF000000"/>
      <name val="Calibri"/>
      <family val="2"/>
    </font>
    <font>
      <sz val="11"/>
      <name val="Calibri"/>
      <family val="2"/>
    </font>
    <font>
      <b/>
      <sz val="11"/>
      <color theme="2" tint="-9.9978637043366805E-2"/>
      <name val="Calibri"/>
      <family val="2"/>
    </font>
    <font>
      <sz val="11"/>
      <color rgb="FF000000"/>
      <name val="Calibri"/>
      <family val="2"/>
      <charset val="1"/>
    </font>
    <font>
      <b/>
      <sz val="13"/>
      <color theme="2"/>
      <name val="Calibri"/>
      <family val="2"/>
      <scheme val="minor"/>
    </font>
    <font>
      <sz val="11"/>
      <color theme="2"/>
      <name val="Calibri"/>
      <family val="2"/>
      <scheme val="minor"/>
    </font>
    <font>
      <sz val="11"/>
      <color theme="2"/>
      <name val="Calibri"/>
      <family val="2"/>
    </font>
    <font>
      <b/>
      <sz val="11"/>
      <color theme="2"/>
      <name val="Calibri"/>
      <family val="2"/>
      <scheme val="minor"/>
    </font>
    <font>
      <sz val="12"/>
      <color theme="2"/>
      <name val="ElsevierGulliver"/>
      <charset val="1"/>
    </font>
    <font>
      <b/>
      <i/>
      <sz val="12"/>
      <color theme="2"/>
      <name val="ElsevierGulliver"/>
      <charset val="1"/>
    </font>
    <font>
      <b/>
      <sz val="11"/>
      <color theme="2"/>
      <name val="Calibri"/>
      <family val="2"/>
    </font>
    <font>
      <sz val="11"/>
      <color theme="2"/>
      <name val="Times New Roman"/>
      <family val="1"/>
    </font>
    <font>
      <b/>
      <sz val="11"/>
      <color theme="2"/>
      <name val="Times New Roman"/>
      <family val="1"/>
    </font>
    <font>
      <u/>
      <sz val="11"/>
      <color theme="2"/>
      <name val="Calibri"/>
      <family val="2"/>
      <scheme val="minor"/>
    </font>
    <font>
      <i/>
      <sz val="11"/>
      <color theme="2"/>
      <name val="Calibri"/>
      <family val="2"/>
      <scheme val="minor"/>
    </font>
    <font>
      <sz val="11"/>
      <color theme="2"/>
      <name val="Calibri"/>
      <family val="2"/>
      <charset val="1"/>
    </font>
    <font>
      <b/>
      <sz val="26"/>
      <color theme="2"/>
      <name val="Calibri"/>
      <family val="2"/>
      <scheme val="minor"/>
    </font>
    <font>
      <i/>
      <sz val="16"/>
      <color theme="2"/>
      <name val="Calibri"/>
      <family val="2"/>
      <scheme val="minor"/>
    </font>
    <font>
      <b/>
      <sz val="14"/>
      <color theme="2"/>
      <name val="Calibri"/>
      <family val="2"/>
      <scheme val="minor"/>
    </font>
    <font>
      <b/>
      <sz val="15"/>
      <color theme="2"/>
      <name val="Calibri"/>
      <family val="2"/>
      <scheme val="minor"/>
    </font>
    <font>
      <sz val="16"/>
      <color theme="2"/>
      <name val="Calibri Light"/>
      <family val="2"/>
    </font>
    <font>
      <i/>
      <sz val="11"/>
      <color theme="2"/>
      <name val="Calibri"/>
      <family val="2"/>
      <charset val="1"/>
    </font>
    <font>
      <i/>
      <sz val="9"/>
      <color theme="2"/>
      <name val="Calibri"/>
      <family val="2"/>
      <scheme val="minor"/>
    </font>
    <font>
      <i/>
      <sz val="9"/>
      <color theme="2"/>
      <name val="Calibri"/>
      <family val="2"/>
      <charset val="1"/>
    </font>
    <font>
      <b/>
      <sz val="11"/>
      <color theme="2"/>
      <name val="Calibri"/>
      <family val="2"/>
      <charset val="1"/>
    </font>
    <font>
      <vertAlign val="superscript"/>
      <sz val="11"/>
      <color theme="2"/>
      <name val="Calibri"/>
      <family val="2"/>
      <scheme val="minor"/>
    </font>
    <font>
      <vertAlign val="subscript"/>
      <sz val="11"/>
      <color theme="2"/>
      <name val="Calibri"/>
      <family val="2"/>
      <charset val="1"/>
    </font>
    <font>
      <vertAlign val="subscript"/>
      <sz val="11"/>
      <color theme="2"/>
      <name val="Calibri"/>
      <family val="2"/>
      <scheme val="minor"/>
    </font>
    <font>
      <sz val="13"/>
      <color theme="2"/>
      <name val="Calibri Light"/>
      <family val="2"/>
      <charset val="1"/>
    </font>
    <font>
      <sz val="7"/>
      <color theme="2"/>
      <name val="Times New Roman"/>
      <family val="1"/>
    </font>
    <font>
      <i/>
      <vertAlign val="subscript"/>
      <sz val="9"/>
      <color theme="2"/>
      <name val="Calibri"/>
      <family val="2"/>
      <charset val="1"/>
    </font>
    <font>
      <i/>
      <vertAlign val="superscript"/>
      <sz val="9"/>
      <color theme="2"/>
      <name val="Calibri"/>
      <family val="2"/>
      <charset val="1"/>
    </font>
    <font>
      <b/>
      <vertAlign val="subscript"/>
      <sz val="11"/>
      <color theme="2"/>
      <name val="Calibri"/>
      <family val="2"/>
      <charset val="1"/>
    </font>
    <font>
      <vertAlign val="superscript"/>
      <sz val="11"/>
      <color theme="2"/>
      <name val="Calibri"/>
      <family val="2"/>
      <charset val="1"/>
    </font>
    <font>
      <b/>
      <i/>
      <sz val="9"/>
      <color theme="2"/>
      <name val="Calibri"/>
      <family val="2"/>
      <charset val="1"/>
    </font>
    <font>
      <sz val="8"/>
      <color theme="2"/>
      <name val="Arial"/>
      <family val="2"/>
    </font>
    <font>
      <b/>
      <sz val="11"/>
      <color theme="2"/>
      <name val="Segoe UI"/>
      <family val="2"/>
    </font>
    <font>
      <sz val="11"/>
      <color theme="2"/>
      <name val="ElsevierGulliver"/>
      <charset val="1"/>
    </font>
    <font>
      <b/>
      <sz val="6"/>
      <color theme="2"/>
      <name val="Segoe UI"/>
      <family val="2"/>
    </font>
    <font>
      <sz val="11"/>
      <color theme="2"/>
      <name val="Segoe UI"/>
      <family val="2"/>
    </font>
    <font>
      <sz val="6"/>
      <color theme="2"/>
      <name val="Segoe UI"/>
      <family val="2"/>
    </font>
    <font>
      <sz val="7"/>
      <color theme="2"/>
      <name val="Calibri"/>
      <family val="2"/>
      <scheme val="minor"/>
    </font>
    <font>
      <sz val="9"/>
      <color theme="2"/>
      <name val="Calibri"/>
      <family val="2"/>
      <scheme val="minor"/>
    </font>
    <font>
      <sz val="10"/>
      <color theme="2"/>
      <name val="Roboto"/>
    </font>
    <font>
      <sz val="11"/>
      <color theme="2"/>
      <name val="Calibri"/>
      <family val="2"/>
    </font>
    <font>
      <sz val="12"/>
      <color theme="2"/>
      <name val="Calibri"/>
      <family val="2"/>
    </font>
    <font>
      <sz val="10"/>
      <name val="Calibri"/>
      <family val="2"/>
      <scheme val="minor"/>
    </font>
  </fonts>
  <fills count="3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CFCFC"/>
        <bgColor indexed="64"/>
      </patternFill>
    </fill>
    <fill>
      <patternFill patternType="solid">
        <fgColor rgb="FFE6E6E6"/>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BFBFBF"/>
        <bgColor indexed="64"/>
      </patternFill>
    </fill>
    <fill>
      <patternFill patternType="solid">
        <fgColor rgb="FFE7E6E6"/>
        <bgColor indexed="64"/>
      </patternFill>
    </fill>
    <fill>
      <patternFill patternType="solid">
        <fgColor rgb="FFC9C9C9"/>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2F2F2"/>
        <bgColor indexed="64"/>
      </patternFill>
    </fill>
    <fill>
      <patternFill patternType="solid">
        <fgColor rgb="FFD9D9D9"/>
        <bgColor rgb="FF000000"/>
      </patternFill>
    </fill>
    <fill>
      <patternFill patternType="solid">
        <fgColor rgb="FFF7F7F7"/>
        <bgColor indexed="64"/>
      </patternFill>
    </fill>
    <fill>
      <patternFill patternType="solid">
        <fgColor theme="2"/>
        <bgColor indexed="64"/>
      </patternFill>
    </fill>
    <fill>
      <patternFill patternType="solid">
        <fgColor theme="9" tint="-0.249977111117893"/>
        <bgColor indexed="64"/>
      </patternFill>
    </fill>
    <fill>
      <patternFill patternType="solid">
        <fgColor theme="9"/>
      </patternFill>
    </fill>
    <fill>
      <patternFill patternType="solid">
        <fgColor rgb="FFF2F2F2"/>
      </patternFill>
    </fill>
    <fill>
      <patternFill patternType="solid">
        <fgColor rgb="FFF7F7F7"/>
        <bgColor rgb="FF000000"/>
      </patternFill>
    </fill>
    <fill>
      <patternFill patternType="solid">
        <fgColor theme="9" tint="-0.499984740745262"/>
        <bgColor indexed="64"/>
      </patternFill>
    </fill>
    <fill>
      <patternFill patternType="solid">
        <fgColor theme="9"/>
        <bgColor indexed="64"/>
      </patternFill>
    </fill>
  </fills>
  <borders count="8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rgb="FFA6A6A6"/>
      </left>
      <right style="medium">
        <color rgb="FFD5D5D5"/>
      </right>
      <top style="medium">
        <color rgb="FFA6A6A6"/>
      </top>
      <bottom style="medium">
        <color rgb="FFA6A6A6"/>
      </bottom>
      <diagonal/>
    </border>
    <border>
      <left style="medium">
        <color rgb="FFA6A6A6"/>
      </left>
      <right style="medium">
        <color rgb="FFD5D5D5"/>
      </right>
      <top style="medium">
        <color rgb="FFA6A6A6"/>
      </top>
      <bottom/>
      <diagonal/>
    </border>
    <border>
      <left style="medium">
        <color rgb="FFA6A6A6"/>
      </left>
      <right style="medium">
        <color rgb="FFD5D5D5"/>
      </right>
      <top/>
      <bottom style="medium">
        <color rgb="FFA6A6A6"/>
      </bottom>
      <diagonal/>
    </border>
    <border>
      <left style="medium">
        <color rgb="FFA6A6A6"/>
      </left>
      <right/>
      <top style="medium">
        <color rgb="FFD5D5D5"/>
      </top>
      <bottom style="medium">
        <color rgb="FFA6A6A6"/>
      </bottom>
      <diagonal/>
    </border>
    <border>
      <left/>
      <right/>
      <top style="medium">
        <color rgb="FFD5D5D5"/>
      </top>
      <bottom style="medium">
        <color rgb="FFA6A6A6"/>
      </bottom>
      <diagonal/>
    </border>
    <border>
      <left/>
      <right style="medium">
        <color rgb="FFD5D5D5"/>
      </right>
      <top style="medium">
        <color rgb="FFD5D5D5"/>
      </top>
      <bottom style="medium">
        <color rgb="FFA6A6A6"/>
      </bottom>
      <diagonal/>
    </border>
    <border>
      <left style="medium">
        <color rgb="FFD5D5D5"/>
      </left>
      <right style="medium">
        <color rgb="FFD5D5D5"/>
      </right>
      <top style="medium">
        <color rgb="FFA6A6A6"/>
      </top>
      <bottom style="medium">
        <color rgb="FFA6A6A6"/>
      </bottom>
      <diagonal/>
    </border>
    <border>
      <left style="medium">
        <color rgb="FFA6A6A6"/>
      </left>
      <right style="medium">
        <color rgb="FFD5D5D5"/>
      </right>
      <top/>
      <bottom style="medium">
        <color rgb="FFD5D5D5"/>
      </bottom>
      <diagonal/>
    </border>
    <border>
      <left style="medium">
        <color rgb="FFD5D5D5"/>
      </left>
      <right style="medium">
        <color rgb="FFA6A6A6"/>
      </right>
      <top style="medium">
        <color rgb="FFD5D5D5"/>
      </top>
      <bottom/>
      <diagonal/>
    </border>
    <border>
      <left style="medium">
        <color rgb="FFD5D5D5"/>
      </left>
      <right style="medium">
        <color rgb="FFA6A6A6"/>
      </right>
      <top/>
      <bottom style="medium">
        <color rgb="FFA6A6A6"/>
      </bottom>
      <diagonal/>
    </border>
    <border>
      <left style="medium">
        <color rgb="FFD5D5D5"/>
      </left>
      <right style="medium">
        <color rgb="FFA6A6A6"/>
      </right>
      <top style="medium">
        <color rgb="FFA6A6A6"/>
      </top>
      <bottom/>
      <diagonal/>
    </border>
    <border>
      <left style="medium">
        <color rgb="FFA6A6A6"/>
      </left>
      <right style="medium">
        <color rgb="FFA6A6A6"/>
      </right>
      <top style="medium">
        <color rgb="FFA6A6A6"/>
      </top>
      <bottom/>
      <diagonal/>
    </border>
    <border>
      <left style="medium">
        <color rgb="FFA6A6A6"/>
      </left>
      <right style="medium">
        <color rgb="FFA6A6A6"/>
      </right>
      <top/>
      <bottom style="medium">
        <color rgb="FFA6A6A6"/>
      </bottom>
      <diagonal/>
    </border>
    <border>
      <left style="medium">
        <color rgb="FFD5D5D5"/>
      </left>
      <right style="medium">
        <color rgb="FFA6A6A6"/>
      </right>
      <top/>
      <bottom style="medium">
        <color rgb="FFD5D5D5"/>
      </bottom>
      <diagonal/>
    </border>
    <border>
      <left style="medium">
        <color rgb="FFA6A6A6"/>
      </left>
      <right style="medium">
        <color rgb="FFA6A6A6"/>
      </right>
      <top/>
      <bottom style="medium">
        <color rgb="FFD5D5D5"/>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rgb="FFEBEBEB"/>
      </bottom>
      <diagonal/>
    </border>
    <border>
      <left/>
      <right/>
      <top style="medium">
        <color rgb="FFEBEBEB"/>
      </top>
      <bottom style="medium">
        <color rgb="FFEBEBEB"/>
      </bottom>
      <diagonal/>
    </border>
    <border>
      <left/>
      <right/>
      <top style="medium">
        <color rgb="FFEBEBEB"/>
      </top>
      <bottom/>
      <diagonal/>
    </border>
    <border>
      <left style="medium">
        <color rgb="FFD5D5D5"/>
      </left>
      <right style="medium">
        <color rgb="FFD5D5D5"/>
      </right>
      <top style="medium">
        <color rgb="FFD5D5D5"/>
      </top>
      <bottom style="medium">
        <color rgb="FFA6A6A6"/>
      </bottom>
      <diagonal/>
    </border>
    <border>
      <left style="medium">
        <color rgb="FFA6A6A6"/>
      </left>
      <right style="medium">
        <color rgb="FFD5D5D5"/>
      </right>
      <top style="medium">
        <color rgb="FFD5D5D5"/>
      </top>
      <bottom style="medium">
        <color rgb="FFA6A6A6"/>
      </bottom>
      <diagonal/>
    </border>
    <border>
      <left style="medium">
        <color rgb="FFD5D5D5"/>
      </left>
      <right style="medium">
        <color rgb="FFD5D5D5"/>
      </right>
      <top style="medium">
        <color rgb="FFA6A6A6"/>
      </top>
      <bottom style="medium">
        <color rgb="FFD5D5D5"/>
      </bottom>
      <diagonal/>
    </border>
    <border>
      <left style="medium">
        <color rgb="FFA6A6A6"/>
      </left>
      <right style="medium">
        <color rgb="FFD5D5D5"/>
      </right>
      <top style="medium">
        <color rgb="FFA6A6A6"/>
      </top>
      <bottom style="medium">
        <color rgb="FFD5D5D5"/>
      </bottom>
      <diagonal/>
    </border>
    <border>
      <left/>
      <right/>
      <top style="medium">
        <color rgb="FFD5D5D5"/>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9BC2E6"/>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EBEBEB"/>
      </top>
      <bottom style="thin">
        <color rgb="FFEBEBEB"/>
      </bottom>
      <diagonal/>
    </border>
    <border>
      <left/>
      <right/>
      <top/>
      <bottom style="thin">
        <color rgb="FFEBEBEB"/>
      </bottom>
      <diagonal/>
    </border>
    <border>
      <left/>
      <right/>
      <top style="thin">
        <color rgb="FFEBEBEB"/>
      </top>
      <bottom/>
      <diagonal/>
    </border>
    <border>
      <left/>
      <right/>
      <top style="thin">
        <color rgb="FFA7A9AC"/>
      </top>
      <bottom style="thin">
        <color rgb="FFA7A9AC"/>
      </bottom>
      <diagonal/>
    </border>
    <border>
      <left/>
      <right/>
      <top style="medium">
        <color theme="4" tint="0.39997558519241921"/>
      </top>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indexed="64"/>
      </left>
      <right style="double">
        <color indexed="64"/>
      </right>
      <top style="double">
        <color indexed="64"/>
      </top>
      <bottom style="double">
        <color indexed="64"/>
      </bottom>
      <diagonal/>
    </border>
    <border>
      <left/>
      <right/>
      <top/>
      <bottom style="thick">
        <color rgb="FF4472C4"/>
      </bottom>
      <diagonal/>
    </border>
    <border>
      <left/>
      <right/>
      <top/>
      <bottom style="thick">
        <color rgb="FFA2B8E1"/>
      </bottom>
      <diagonal/>
    </border>
    <border>
      <left/>
      <right/>
      <top/>
      <bottom style="thin">
        <color rgb="FFA7A9AC"/>
      </bottom>
      <diagonal/>
    </border>
    <border>
      <left/>
      <right/>
      <top/>
      <bottom style="medium">
        <color rgb="FF8EA9DB"/>
      </bottom>
      <diagonal/>
    </border>
    <border>
      <left style="thin">
        <color rgb="FF000000"/>
      </left>
      <right/>
      <top/>
      <bottom style="thin">
        <color rgb="FF000000"/>
      </bottom>
      <diagonal/>
    </border>
    <border>
      <left/>
      <right style="thin">
        <color rgb="FF000000"/>
      </right>
      <top/>
      <bottom style="thin">
        <color rgb="FF000000"/>
      </bottom>
      <diagonal/>
    </border>
  </borders>
  <cellStyleXfs count="10">
    <xf numFmtId="0" fontId="0" fillId="0" borderId="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5" fillId="0" borderId="0" applyNumberFormat="0" applyFill="0" applyBorder="0" applyAlignment="0" applyProtection="0"/>
    <xf numFmtId="0" fontId="20" fillId="0" borderId="0" applyNumberFormat="0" applyFill="0" applyBorder="0" applyAlignment="0" applyProtection="0"/>
    <xf numFmtId="0" fontId="25" fillId="0" borderId="0"/>
    <xf numFmtId="0" fontId="11" fillId="0" borderId="0"/>
    <xf numFmtId="0" fontId="94" fillId="32" borderId="0" applyNumberFormat="0" applyBorder="0" applyAlignment="0" applyProtection="0"/>
    <xf numFmtId="0" fontId="95" fillId="33" borderId="78" applyNumberFormat="0" applyAlignment="0" applyProtection="0"/>
  </cellStyleXfs>
  <cellXfs count="724">
    <xf numFmtId="0" fontId="0" fillId="0" borderId="0" xfId="0"/>
    <xf numFmtId="0" fontId="0" fillId="0" borderId="0" xfId="0" applyAlignment="1">
      <alignment horizontal="left" vertical="top"/>
    </xf>
    <xf numFmtId="0" fontId="2" fillId="0" borderId="0" xfId="0" applyFont="1"/>
    <xf numFmtId="0" fontId="1" fillId="0" borderId="0" xfId="0" applyFont="1"/>
    <xf numFmtId="1" fontId="0" fillId="0" borderId="0" xfId="0" applyNumberFormat="1"/>
    <xf numFmtId="0" fontId="0" fillId="0" borderId="0" xfId="0" applyAlignment="1">
      <alignment horizontal="left" wrapText="1"/>
    </xf>
    <xf numFmtId="165" fontId="0" fillId="0" borderId="0" xfId="0" applyNumberFormat="1"/>
    <xf numFmtId="49" fontId="1" fillId="2" borderId="0" xfId="0" applyNumberFormat="1" applyFont="1" applyFill="1"/>
    <xf numFmtId="0" fontId="4" fillId="2" borderId="0" xfId="0" applyFont="1" applyFill="1"/>
    <xf numFmtId="2" fontId="0" fillId="2" borderId="0" xfId="0" applyNumberFormat="1" applyFill="1" applyAlignment="1">
      <alignment horizontal="left" vertical="center"/>
    </xf>
    <xf numFmtId="1" fontId="1" fillId="2" borderId="0" xfId="0" applyNumberFormat="1" applyFont="1" applyFill="1" applyAlignment="1">
      <alignment vertical="center"/>
    </xf>
    <xf numFmtId="1" fontId="0" fillId="2" borderId="0" xfId="0" applyNumberFormat="1" applyFill="1" applyAlignment="1">
      <alignment horizontal="left" vertical="center"/>
    </xf>
    <xf numFmtId="2" fontId="1" fillId="2" borderId="0" xfId="0" applyNumberFormat="1" applyFont="1" applyFill="1" applyAlignment="1">
      <alignment horizontal="left" vertical="center"/>
    </xf>
    <xf numFmtId="11" fontId="1" fillId="2" borderId="0" xfId="0" applyNumberFormat="1" applyFont="1" applyFill="1" applyAlignment="1">
      <alignment horizontal="left" vertical="center"/>
    </xf>
    <xf numFmtId="166" fontId="1" fillId="2" borderId="0" xfId="0" applyNumberFormat="1" applyFont="1" applyFill="1"/>
    <xf numFmtId="49" fontId="0" fillId="3" borderId="0" xfId="0" applyNumberFormat="1" applyFill="1" applyAlignment="1">
      <alignment horizontal="left" vertical="top" wrapText="1"/>
    </xf>
    <xf numFmtId="0" fontId="4" fillId="3" borderId="0" xfId="0" applyFont="1" applyFill="1" applyAlignment="1">
      <alignment horizontal="left" vertical="top" wrapText="1"/>
    </xf>
    <xf numFmtId="2" fontId="0" fillId="3" borderId="0" xfId="0" applyNumberFormat="1" applyFill="1" applyAlignment="1">
      <alignment horizontal="left" vertical="top" wrapText="1"/>
    </xf>
    <xf numFmtId="1" fontId="0" fillId="3" borderId="0" xfId="0" applyNumberFormat="1" applyFill="1" applyAlignment="1">
      <alignment horizontal="left" vertical="top" wrapText="1"/>
    </xf>
    <xf numFmtId="1" fontId="4" fillId="3" borderId="0" xfId="0" applyNumberFormat="1" applyFont="1" applyFill="1" applyAlignment="1">
      <alignment horizontal="left" vertical="top" wrapText="1"/>
    </xf>
    <xf numFmtId="2" fontId="4" fillId="3" borderId="0" xfId="0" applyNumberFormat="1" applyFont="1" applyFill="1" applyAlignment="1">
      <alignment horizontal="left" vertical="top" wrapText="1"/>
    </xf>
    <xf numFmtId="164" fontId="0" fillId="3" borderId="0" xfId="0" applyNumberFormat="1" applyFill="1" applyAlignment="1">
      <alignment horizontal="left" vertical="top" wrapText="1"/>
    </xf>
    <xf numFmtId="11" fontId="0" fillId="3" borderId="0" xfId="0" applyNumberFormat="1" applyFill="1" applyAlignment="1">
      <alignment horizontal="left" vertical="top" wrapText="1"/>
    </xf>
    <xf numFmtId="166" fontId="0" fillId="3" borderId="0" xfId="0" applyNumberFormat="1" applyFill="1" applyAlignment="1">
      <alignment horizontal="center" vertical="center" wrapText="1"/>
    </xf>
    <xf numFmtId="166" fontId="0" fillId="3" borderId="0" xfId="0" applyNumberFormat="1" applyFill="1" applyAlignment="1">
      <alignment vertical="center" wrapText="1"/>
    </xf>
    <xf numFmtId="0" fontId="3" fillId="0" borderId="0" xfId="0" applyFont="1"/>
    <xf numFmtId="1" fontId="3" fillId="0" borderId="0" xfId="0" applyNumberFormat="1" applyFont="1"/>
    <xf numFmtId="1" fontId="0" fillId="0" borderId="0" xfId="0" applyNumberFormat="1" applyAlignment="1">
      <alignment horizontal="left" vertical="top"/>
    </xf>
    <xf numFmtId="0" fontId="0" fillId="0" borderId="0" xfId="0" applyAlignment="1">
      <alignment horizontal="right"/>
    </xf>
    <xf numFmtId="0" fontId="6" fillId="0" borderId="0" xfId="0" applyFont="1"/>
    <xf numFmtId="0" fontId="0" fillId="0" borderId="0" xfId="0" applyAlignment="1">
      <alignment wrapText="1"/>
    </xf>
    <xf numFmtId="0" fontId="7" fillId="0" borderId="0" xfId="0" applyFont="1"/>
    <xf numFmtId="0" fontId="10" fillId="0" borderId="0" xfId="0" applyFont="1"/>
    <xf numFmtId="0" fontId="12" fillId="0" borderId="1" xfId="1"/>
    <xf numFmtId="0" fontId="16" fillId="5" borderId="4" xfId="0" applyFont="1" applyFill="1" applyBorder="1" applyAlignment="1">
      <alignment horizontal="left" vertical="center" wrapText="1"/>
    </xf>
    <xf numFmtId="0" fontId="18" fillId="4" borderId="4" xfId="0" applyFont="1" applyFill="1" applyBorder="1" applyAlignment="1">
      <alignment horizontal="left" vertical="center" wrapText="1"/>
    </xf>
    <xf numFmtId="0" fontId="18" fillId="4" borderId="5" xfId="0" applyFont="1" applyFill="1" applyBorder="1" applyAlignment="1">
      <alignment horizontal="left" vertical="center" wrapText="1"/>
    </xf>
    <xf numFmtId="0" fontId="18" fillId="4" borderId="6" xfId="0" applyFont="1" applyFill="1" applyBorder="1" applyAlignment="1">
      <alignment horizontal="left" vertical="center" wrapText="1"/>
    </xf>
    <xf numFmtId="0" fontId="18" fillId="4" borderId="10" xfId="0" applyFont="1" applyFill="1" applyBorder="1" applyAlignment="1">
      <alignment horizontal="left" vertical="center" wrapText="1"/>
    </xf>
    <xf numFmtId="0" fontId="18" fillId="4" borderId="11" xfId="0" applyFont="1" applyFill="1" applyBorder="1" applyAlignment="1">
      <alignment horizontal="left" vertical="center" wrapText="1"/>
    </xf>
    <xf numFmtId="0" fontId="20" fillId="0" borderId="0" xfId="5" applyAlignment="1">
      <alignment vertical="center"/>
    </xf>
    <xf numFmtId="0" fontId="21" fillId="0" borderId="0" xfId="0" applyFont="1" applyAlignment="1">
      <alignment horizontal="left" vertical="center" indent="1"/>
    </xf>
    <xf numFmtId="0" fontId="20" fillId="0" borderId="0" xfId="5" applyAlignment="1">
      <alignment horizontal="left" vertical="center" indent="1"/>
    </xf>
    <xf numFmtId="0" fontId="13" fillId="0" borderId="2" xfId="2"/>
    <xf numFmtId="0" fontId="14" fillId="0" borderId="3" xfId="3"/>
    <xf numFmtId="11" fontId="0" fillId="0" borderId="0" xfId="0" applyNumberFormat="1"/>
    <xf numFmtId="3" fontId="0" fillId="0" borderId="0" xfId="0" applyNumberFormat="1"/>
    <xf numFmtId="0" fontId="29" fillId="0" borderId="0" xfId="0" applyFont="1" applyAlignment="1">
      <alignment vertical="center"/>
    </xf>
    <xf numFmtId="0" fontId="30" fillId="0" borderId="0" xfId="0" applyFont="1"/>
    <xf numFmtId="0" fontId="31" fillId="0" borderId="43" xfId="0" applyFont="1" applyBorder="1" applyAlignment="1">
      <alignment horizontal="center" vertical="center" wrapText="1"/>
    </xf>
    <xf numFmtId="0" fontId="30" fillId="0" borderId="0" xfId="0" applyFont="1" applyAlignment="1">
      <alignment vertical="center" wrapText="1"/>
    </xf>
    <xf numFmtId="0" fontId="32" fillId="0" borderId="0" xfId="5" applyFont="1" applyAlignment="1">
      <alignment vertical="center" wrapText="1"/>
    </xf>
    <xf numFmtId="3" fontId="30" fillId="0" borderId="0" xfId="0" applyNumberFormat="1" applyFont="1" applyAlignment="1">
      <alignment vertical="center" wrapText="1"/>
    </xf>
    <xf numFmtId="0" fontId="33" fillId="0" borderId="0" xfId="0" applyFont="1" applyAlignment="1">
      <alignment vertical="center" wrapText="1"/>
    </xf>
    <xf numFmtId="0" fontId="30" fillId="0" borderId="42" xfId="0" applyFont="1" applyBorder="1" applyAlignment="1">
      <alignment vertical="center" wrapText="1"/>
    </xf>
    <xf numFmtId="0" fontId="32" fillId="0" borderId="42" xfId="5" applyFont="1" applyBorder="1" applyAlignment="1">
      <alignment vertical="center" wrapText="1"/>
    </xf>
    <xf numFmtId="2" fontId="0" fillId="0" borderId="0" xfId="0" applyNumberFormat="1"/>
    <xf numFmtId="167" fontId="0" fillId="0" borderId="0" xfId="0" applyNumberFormat="1"/>
    <xf numFmtId="0" fontId="31" fillId="0" borderId="42" xfId="0" applyFont="1" applyBorder="1" applyAlignment="1">
      <alignment horizontal="center" vertical="center" wrapText="1"/>
    </xf>
    <xf numFmtId="0" fontId="32" fillId="0" borderId="0" xfId="5" applyFont="1" applyAlignment="1">
      <alignment vertical="center"/>
    </xf>
    <xf numFmtId="0" fontId="32" fillId="0" borderId="4" xfId="5" applyFont="1" applyBorder="1" applyAlignment="1">
      <alignment horizontal="left" vertical="center" wrapText="1"/>
    </xf>
    <xf numFmtId="0" fontId="32" fillId="0" borderId="48" xfId="5" applyFont="1" applyBorder="1" applyAlignment="1">
      <alignment horizontal="left" vertical="center" wrapText="1"/>
    </xf>
    <xf numFmtId="0" fontId="30" fillId="0" borderId="0" xfId="0" applyFont="1" applyAlignment="1">
      <alignment vertical="center"/>
    </xf>
    <xf numFmtId="0" fontId="31" fillId="5" borderId="45" xfId="0" applyFont="1" applyFill="1" applyBorder="1" applyAlignment="1">
      <alignment horizontal="left" vertical="center" wrapText="1"/>
    </xf>
    <xf numFmtId="0" fontId="31" fillId="5" borderId="46" xfId="0" applyFont="1" applyFill="1" applyBorder="1" applyAlignment="1">
      <alignment horizontal="left" vertical="center" wrapText="1"/>
    </xf>
    <xf numFmtId="0" fontId="34" fillId="0" borderId="10" xfId="0" applyFont="1" applyBorder="1" applyAlignment="1">
      <alignment horizontal="left" vertical="center" wrapText="1"/>
    </xf>
    <xf numFmtId="0" fontId="30" fillId="0" borderId="4" xfId="0" applyFont="1" applyBorder="1" applyAlignment="1">
      <alignment horizontal="left" vertical="center" wrapText="1"/>
    </xf>
    <xf numFmtId="0" fontId="30" fillId="0" borderId="4" xfId="0" applyFont="1" applyBorder="1" applyAlignment="1">
      <alignment vertical="center" wrapText="1"/>
    </xf>
    <xf numFmtId="0" fontId="34" fillId="0" borderId="47" xfId="0" applyFont="1" applyBorder="1" applyAlignment="1">
      <alignment horizontal="left" vertical="center" wrapText="1"/>
    </xf>
    <xf numFmtId="0" fontId="30" fillId="0" borderId="48" xfId="0" applyFont="1" applyBorder="1" applyAlignment="1">
      <alignment horizontal="left" vertical="center" wrapText="1"/>
    </xf>
    <xf numFmtId="0" fontId="30" fillId="0" borderId="48" xfId="0" applyFont="1" applyBorder="1" applyAlignment="1">
      <alignment vertical="center" wrapText="1"/>
    </xf>
    <xf numFmtId="0" fontId="4" fillId="0" borderId="0" xfId="0" applyFont="1"/>
    <xf numFmtId="2" fontId="37" fillId="0" borderId="0" xfId="0" applyNumberFormat="1" applyFont="1"/>
    <xf numFmtId="0" fontId="37" fillId="0" borderId="0" xfId="0" applyFont="1"/>
    <xf numFmtId="0" fontId="9" fillId="0" borderId="0" xfId="0" applyFont="1"/>
    <xf numFmtId="0" fontId="11" fillId="0" borderId="0" xfId="7"/>
    <xf numFmtId="0" fontId="24" fillId="0" borderId="0" xfId="0" applyFont="1"/>
    <xf numFmtId="170" fontId="0" fillId="0" borderId="0" xfId="0" applyNumberFormat="1"/>
    <xf numFmtId="0" fontId="24" fillId="20" borderId="0" xfId="0" applyFont="1" applyFill="1"/>
    <xf numFmtId="0" fontId="0" fillId="20" borderId="0" xfId="0" applyFill="1"/>
    <xf numFmtId="0" fontId="30" fillId="0" borderId="42" xfId="0" applyFont="1" applyBorder="1"/>
    <xf numFmtId="0" fontId="31" fillId="0" borderId="43" xfId="0" applyFont="1" applyBorder="1" applyAlignment="1">
      <alignment horizontal="left" vertical="center" wrapText="1"/>
    </xf>
    <xf numFmtId="0" fontId="31" fillId="0" borderId="0" xfId="0" applyFont="1" applyAlignment="1">
      <alignment horizontal="left" vertical="center" wrapText="1"/>
    </xf>
    <xf numFmtId="0" fontId="30" fillId="0" borderId="0" xfId="0" applyFont="1" applyAlignment="1">
      <alignment horizontal="left" vertical="center" wrapText="1"/>
    </xf>
    <xf numFmtId="0" fontId="31" fillId="0" borderId="42" xfId="0" applyFont="1" applyBorder="1" applyAlignment="1">
      <alignment horizontal="left" vertical="center" wrapText="1"/>
    </xf>
    <xf numFmtId="0" fontId="30" fillId="0" borderId="42" xfId="0" applyFont="1" applyBorder="1" applyAlignment="1">
      <alignment horizontal="left" vertical="center" wrapText="1"/>
    </xf>
    <xf numFmtId="0" fontId="31" fillId="0" borderId="43" xfId="0" applyFont="1" applyBorder="1" applyAlignment="1">
      <alignment horizontal="left" vertical="center"/>
    </xf>
    <xf numFmtId="0" fontId="31" fillId="0" borderId="0" xfId="0" applyFont="1" applyAlignment="1">
      <alignment horizontal="left" vertical="center"/>
    </xf>
    <xf numFmtId="0" fontId="30" fillId="0" borderId="0" xfId="0" applyFont="1" applyAlignment="1">
      <alignment horizontal="left" vertical="center"/>
    </xf>
    <xf numFmtId="0" fontId="30" fillId="0" borderId="42" xfId="0" applyFont="1" applyBorder="1" applyAlignment="1">
      <alignment horizontal="left" vertical="center"/>
    </xf>
    <xf numFmtId="0" fontId="39" fillId="0" borderId="0" xfId="0" applyFont="1" applyAlignment="1">
      <alignment vertical="center"/>
    </xf>
    <xf numFmtId="0" fontId="43" fillId="0" borderId="0" xfId="0" applyFont="1"/>
    <xf numFmtId="0" fontId="43" fillId="0" borderId="43" xfId="0" applyFont="1" applyBorder="1" applyAlignment="1">
      <alignment horizontal="left" vertical="center" wrapText="1"/>
    </xf>
    <xf numFmtId="0" fontId="44" fillId="0" borderId="43" xfId="0" applyFont="1" applyBorder="1" applyAlignment="1">
      <alignment horizontal="left" vertical="center" wrapText="1"/>
    </xf>
    <xf numFmtId="0" fontId="43" fillId="0" borderId="0" xfId="0" applyFont="1" applyAlignment="1">
      <alignment horizontal="left" vertical="center" wrapText="1"/>
    </xf>
    <xf numFmtId="0" fontId="43" fillId="0" borderId="42" xfId="0" applyFont="1" applyBorder="1" applyAlignment="1">
      <alignment horizontal="left" vertical="center" wrapText="1"/>
    </xf>
    <xf numFmtId="0" fontId="42" fillId="0" borderId="0" xfId="0" applyFont="1" applyAlignment="1">
      <alignment vertical="center"/>
    </xf>
    <xf numFmtId="0" fontId="47" fillId="0" borderId="0" xfId="0" applyFont="1" applyAlignment="1">
      <alignment vertical="center"/>
    </xf>
    <xf numFmtId="0" fontId="31" fillId="0" borderId="0" xfId="0" applyFont="1"/>
    <xf numFmtId="0" fontId="30" fillId="0" borderId="43" xfId="0" applyFont="1" applyBorder="1" applyAlignment="1">
      <alignment vertical="center" wrapText="1"/>
    </xf>
    <xf numFmtId="0" fontId="30" fillId="0" borderId="43" xfId="0" applyFont="1" applyBorder="1" applyAlignment="1">
      <alignment horizontal="left" vertical="center" wrapText="1"/>
    </xf>
    <xf numFmtId="0" fontId="0" fillId="0" borderId="44" xfId="0" applyBorder="1" applyAlignment="1">
      <alignment horizontal="left" wrapText="1"/>
    </xf>
    <xf numFmtId="0" fontId="29" fillId="0" borderId="44" xfId="0" applyFont="1" applyBorder="1" applyAlignment="1">
      <alignment horizontal="left" vertical="center"/>
    </xf>
    <xf numFmtId="0" fontId="29" fillId="0" borderId="0" xfId="0" applyFont="1" applyAlignment="1">
      <alignment horizontal="left" vertical="center"/>
    </xf>
    <xf numFmtId="0" fontId="49" fillId="0" borderId="54" xfId="0" applyFont="1" applyBorder="1" applyAlignment="1">
      <alignment horizontal="left" vertical="center" wrapText="1"/>
    </xf>
    <xf numFmtId="0" fontId="49" fillId="0" borderId="20" xfId="0" applyFont="1" applyBorder="1" applyAlignment="1">
      <alignment horizontal="center" vertical="center" wrapText="1"/>
    </xf>
    <xf numFmtId="0" fontId="49" fillId="0" borderId="55" xfId="0" applyFont="1" applyBorder="1" applyAlignment="1">
      <alignment horizontal="left" vertical="center" wrapText="1"/>
    </xf>
    <xf numFmtId="167" fontId="50" fillId="0" borderId="0" xfId="0" applyNumberFormat="1" applyFont="1" applyAlignment="1">
      <alignment horizontal="center"/>
    </xf>
    <xf numFmtId="166" fontId="50" fillId="0" borderId="0" xfId="0" applyNumberFormat="1" applyFont="1" applyAlignment="1">
      <alignment horizontal="center"/>
    </xf>
    <xf numFmtId="0" fontId="51" fillId="0" borderId="20" xfId="0" applyFont="1" applyBorder="1" applyAlignment="1">
      <alignment horizontal="center" vertical="center" wrapText="1"/>
    </xf>
    <xf numFmtId="0" fontId="31" fillId="0" borderId="20" xfId="0" applyFont="1" applyBorder="1" applyAlignment="1">
      <alignment horizontal="center" vertical="center" wrapText="1"/>
    </xf>
    <xf numFmtId="0" fontId="31" fillId="0" borderId="21" xfId="0" applyFont="1" applyBorder="1" applyAlignment="1">
      <alignment horizontal="center" vertical="center" wrapText="1"/>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52" fillId="27" borderId="56" xfId="0" applyFont="1" applyFill="1" applyBorder="1" applyAlignment="1">
      <alignment readingOrder="1"/>
    </xf>
    <xf numFmtId="0" fontId="53" fillId="0" borderId="56" xfId="0" applyFont="1" applyBorder="1" applyAlignment="1">
      <alignment readingOrder="1"/>
    </xf>
    <xf numFmtId="0" fontId="53" fillId="0" borderId="60" xfId="0" applyFont="1" applyBorder="1" applyAlignment="1">
      <alignment readingOrder="1"/>
    </xf>
    <xf numFmtId="0" fontId="53" fillId="0" borderId="61" xfId="0" applyFont="1" applyBorder="1" applyAlignment="1">
      <alignment readingOrder="1"/>
    </xf>
    <xf numFmtId="0" fontId="53" fillId="0" borderId="56" xfId="0" applyFont="1" applyBorder="1" applyAlignment="1">
      <alignment wrapText="1" readingOrder="1"/>
    </xf>
    <xf numFmtId="0" fontId="54" fillId="0" borderId="0" xfId="0" applyFont="1" applyAlignment="1">
      <alignment readingOrder="1"/>
    </xf>
    <xf numFmtId="0" fontId="52" fillId="27" borderId="56" xfId="0" applyFont="1" applyFill="1" applyBorder="1" applyAlignment="1">
      <alignment horizontal="right" readingOrder="1"/>
    </xf>
    <xf numFmtId="0" fontId="53" fillId="19" borderId="61" xfId="0" applyFont="1" applyFill="1" applyBorder="1" applyAlignment="1">
      <alignment horizontal="right" readingOrder="1"/>
    </xf>
    <xf numFmtId="0" fontId="53" fillId="27" borderId="56" xfId="0" applyFont="1" applyFill="1" applyBorder="1" applyAlignment="1">
      <alignment horizontal="right" readingOrder="1"/>
    </xf>
    <xf numFmtId="0" fontId="53" fillId="27" borderId="60" xfId="0" applyFont="1" applyFill="1" applyBorder="1" applyAlignment="1">
      <alignment horizontal="right" readingOrder="1"/>
    </xf>
    <xf numFmtId="0" fontId="0" fillId="27" borderId="61" xfId="0" applyFill="1" applyBorder="1" applyAlignment="1">
      <alignment horizontal="right"/>
    </xf>
    <xf numFmtId="0" fontId="52" fillId="27" borderId="56" xfId="0" applyFont="1" applyFill="1" applyBorder="1" applyAlignment="1">
      <alignment horizontal="center" readingOrder="1"/>
    </xf>
    <xf numFmtId="0" fontId="53" fillId="19" borderId="60" xfId="0" applyFont="1" applyFill="1" applyBorder="1" applyAlignment="1">
      <alignment horizontal="center" readingOrder="1"/>
    </xf>
    <xf numFmtId="0" fontId="53" fillId="0" borderId="56" xfId="0" applyFont="1" applyBorder="1" applyAlignment="1">
      <alignment horizontal="center" readingOrder="1"/>
    </xf>
    <xf numFmtId="0" fontId="53" fillId="0" borderId="60" xfId="0" applyFont="1" applyBorder="1" applyAlignment="1">
      <alignment horizontal="center" readingOrder="1"/>
    </xf>
    <xf numFmtId="0" fontId="0" fillId="0" borderId="61" xfId="0" applyBorder="1" applyAlignment="1">
      <alignment horizontal="center"/>
    </xf>
    <xf numFmtId="0" fontId="0" fillId="27" borderId="62" xfId="0" applyFill="1" applyBorder="1" applyAlignment="1">
      <alignment horizontal="right"/>
    </xf>
    <xf numFmtId="0" fontId="53" fillId="0" borderId="63" xfId="0" applyFont="1" applyBorder="1" applyAlignment="1">
      <alignment readingOrder="1"/>
    </xf>
    <xf numFmtId="0" fontId="53" fillId="19" borderId="61" xfId="0" applyFont="1" applyFill="1" applyBorder="1" applyAlignment="1">
      <alignment horizontal="right" wrapText="1" readingOrder="1"/>
    </xf>
    <xf numFmtId="0" fontId="0" fillId="18" borderId="61" xfId="0" applyFill="1" applyBorder="1" applyAlignment="1">
      <alignment horizontal="center"/>
    </xf>
    <xf numFmtId="0" fontId="53" fillId="18" borderId="63" xfId="0" applyFont="1" applyFill="1" applyBorder="1" applyAlignment="1">
      <alignment readingOrder="1"/>
    </xf>
    <xf numFmtId="0" fontId="20" fillId="0" borderId="0" xfId="5"/>
    <xf numFmtId="0" fontId="31" fillId="0" borderId="0" xfId="0" applyFont="1" applyAlignment="1">
      <alignment horizontal="center" vertical="center" wrapText="1"/>
    </xf>
    <xf numFmtId="0" fontId="50" fillId="0" borderId="0" xfId="0" applyFont="1" applyAlignment="1">
      <alignment horizontal="center" vertical="center"/>
    </xf>
    <xf numFmtId="0" fontId="12" fillId="0" borderId="1" xfId="1" applyFill="1"/>
    <xf numFmtId="0" fontId="57" fillId="0" borderId="0" xfId="0" applyFont="1"/>
    <xf numFmtId="0" fontId="58" fillId="0" borderId="0" xfId="0" applyFont="1"/>
    <xf numFmtId="0" fontId="38" fillId="0" borderId="0" xfId="0" applyFont="1"/>
    <xf numFmtId="0" fontId="58" fillId="0" borderId="23" xfId="0" applyFont="1" applyBorder="1"/>
    <xf numFmtId="0" fontId="1" fillId="0" borderId="0" xfId="0" applyFont="1" applyAlignment="1">
      <alignment wrapText="1"/>
    </xf>
    <xf numFmtId="0" fontId="58" fillId="0" borderId="0" xfId="0" applyFont="1" applyAlignment="1">
      <alignment wrapText="1"/>
    </xf>
    <xf numFmtId="0" fontId="60" fillId="0" borderId="0" xfId="0" applyFont="1"/>
    <xf numFmtId="0" fontId="13" fillId="0" borderId="2" xfId="2" applyFill="1"/>
    <xf numFmtId="0" fontId="62" fillId="0" borderId="0" xfId="0" applyFont="1"/>
    <xf numFmtId="0" fontId="1" fillId="0" borderId="67" xfId="0" applyFont="1" applyBorder="1"/>
    <xf numFmtId="0" fontId="0" fillId="0" borderId="68" xfId="0" applyBorder="1"/>
    <xf numFmtId="0" fontId="63" fillId="0" borderId="1" xfId="1" applyFont="1"/>
    <xf numFmtId="0" fontId="65" fillId="0" borderId="0" xfId="0" applyFont="1"/>
    <xf numFmtId="0" fontId="14" fillId="0" borderId="3" xfId="3" applyFill="1"/>
    <xf numFmtId="0" fontId="68" fillId="0" borderId="0" xfId="0" applyFont="1"/>
    <xf numFmtId="0" fontId="69" fillId="0" borderId="0" xfId="0" applyFont="1"/>
    <xf numFmtId="0" fontId="0" fillId="0" borderId="70" xfId="0" applyBorder="1"/>
    <xf numFmtId="0" fontId="0" fillId="0" borderId="0" xfId="0" applyAlignment="1">
      <alignment horizontal="center"/>
    </xf>
    <xf numFmtId="0" fontId="0" fillId="0" borderId="0" xfId="0" applyAlignment="1">
      <alignment vertical="top" wrapText="1"/>
    </xf>
    <xf numFmtId="0" fontId="73" fillId="0" borderId="0" xfId="0" applyFont="1"/>
    <xf numFmtId="0" fontId="74" fillId="0" borderId="0" xfId="0" applyFont="1"/>
    <xf numFmtId="0" fontId="1" fillId="0" borderId="0" xfId="0" applyFont="1" applyAlignment="1">
      <alignment horizontal="center" vertical="center"/>
    </xf>
    <xf numFmtId="0" fontId="76" fillId="0" borderId="0" xfId="0" applyFont="1"/>
    <xf numFmtId="0" fontId="0" fillId="0" borderId="71" xfId="0" applyBorder="1"/>
    <xf numFmtId="49" fontId="2" fillId="0" borderId="0" xfId="0" applyNumberFormat="1" applyFont="1" applyAlignment="1">
      <alignment horizontal="left" vertical="center"/>
    </xf>
    <xf numFmtId="171" fontId="0" fillId="0" borderId="0" xfId="0" applyNumberFormat="1" applyAlignment="1">
      <alignment horizontal="left" vertical="center"/>
    </xf>
    <xf numFmtId="1" fontId="78" fillId="0" borderId="0" xfId="0" applyNumberFormat="1" applyFont="1"/>
    <xf numFmtId="1" fontId="78" fillId="0" borderId="0" xfId="0" applyNumberFormat="1" applyFont="1" applyAlignment="1">
      <alignment horizontal="left" vertical="center"/>
    </xf>
    <xf numFmtId="49" fontId="1" fillId="22" borderId="54" xfId="0" applyNumberFormat="1" applyFont="1" applyFill="1" applyBorder="1"/>
    <xf numFmtId="0" fontId="4" fillId="22" borderId="20" xfId="0" applyFont="1" applyFill="1" applyBorder="1"/>
    <xf numFmtId="1" fontId="4" fillId="21" borderId="22" xfId="0" applyNumberFormat="1" applyFont="1" applyFill="1" applyBorder="1" applyAlignment="1">
      <alignment horizontal="left" vertical="top" wrapText="1"/>
    </xf>
    <xf numFmtId="1" fontId="9" fillId="0" borderId="0" xfId="0" applyNumberFormat="1" applyFont="1" applyAlignment="1">
      <alignment horizontal="left" vertical="center"/>
    </xf>
    <xf numFmtId="0" fontId="2" fillId="0" borderId="0" xfId="0" applyFont="1" applyAlignment="1">
      <alignment vertical="center"/>
    </xf>
    <xf numFmtId="0" fontId="79" fillId="0" borderId="0" xfId="0" applyFont="1" applyAlignment="1">
      <alignment vertical="center"/>
    </xf>
    <xf numFmtId="0" fontId="80" fillId="0" borderId="0" xfId="0" applyFont="1" applyAlignment="1">
      <alignment horizontal="left" vertical="center"/>
    </xf>
    <xf numFmtId="0" fontId="81" fillId="0" borderId="0" xfId="0" applyFont="1" applyAlignment="1">
      <alignment vertical="center"/>
    </xf>
    <xf numFmtId="0" fontId="49" fillId="0" borderId="21" xfId="0" applyFont="1" applyBorder="1" applyAlignment="1">
      <alignment horizontal="center" vertical="center"/>
    </xf>
    <xf numFmtId="173" fontId="0" fillId="0" borderId="0" xfId="0" applyNumberFormat="1"/>
    <xf numFmtId="0" fontId="49" fillId="0" borderId="22" xfId="0" applyFont="1" applyBorder="1" applyAlignment="1">
      <alignment horizontal="center" vertical="center"/>
    </xf>
    <xf numFmtId="167" fontId="49" fillId="0" borderId="0" xfId="0" applyNumberFormat="1" applyFont="1" applyAlignment="1">
      <alignment horizontal="center" vertical="center" wrapText="1"/>
    </xf>
    <xf numFmtId="166" fontId="49" fillId="0" borderId="0" xfId="0" applyNumberFormat="1" applyFont="1" applyAlignment="1">
      <alignment horizontal="center" vertical="center" wrapText="1"/>
    </xf>
    <xf numFmtId="166" fontId="30" fillId="0" borderId="0" xfId="0" applyNumberFormat="1" applyFont="1" applyAlignment="1">
      <alignment horizontal="center" vertical="center"/>
    </xf>
    <xf numFmtId="0" fontId="49" fillId="0" borderId="22" xfId="0" applyFont="1" applyBorder="1" applyAlignment="1">
      <alignment horizontal="right" vertical="center"/>
    </xf>
    <xf numFmtId="0" fontId="30" fillId="0" borderId="22" xfId="0" applyFont="1" applyBorder="1" applyAlignment="1">
      <alignment vertical="center"/>
    </xf>
    <xf numFmtId="0" fontId="82" fillId="0" borderId="0" xfId="0" applyFont="1" applyAlignment="1">
      <alignment vertical="center"/>
    </xf>
    <xf numFmtId="0" fontId="30" fillId="0" borderId="51" xfId="0" applyFont="1" applyBorder="1" applyAlignment="1">
      <alignment horizontal="left" vertical="center"/>
    </xf>
    <xf numFmtId="167" fontId="30" fillId="0" borderId="23" xfId="0" applyNumberFormat="1" applyFont="1" applyBorder="1" applyAlignment="1">
      <alignment horizontal="center" vertical="center"/>
    </xf>
    <xf numFmtId="166" fontId="30" fillId="0" borderId="23" xfId="0" applyNumberFormat="1" applyFont="1" applyBorder="1" applyAlignment="1">
      <alignment horizontal="center" vertical="center"/>
    </xf>
    <xf numFmtId="0" fontId="30" fillId="0" borderId="24" xfId="0" applyFont="1" applyBorder="1" applyAlignment="1">
      <alignment vertical="center"/>
    </xf>
    <xf numFmtId="0" fontId="80" fillId="0" borderId="0" xfId="0" applyFont="1" applyAlignment="1">
      <alignment vertical="center"/>
    </xf>
    <xf numFmtId="172" fontId="30" fillId="0" borderId="0" xfId="0" applyNumberFormat="1" applyFont="1" applyAlignment="1">
      <alignment vertical="center"/>
    </xf>
    <xf numFmtId="11" fontId="30" fillId="0" borderId="0" xfId="0" applyNumberFormat="1" applyFont="1" applyAlignment="1">
      <alignment vertical="center"/>
    </xf>
    <xf numFmtId="0" fontId="30" fillId="0" borderId="54" xfId="0" applyFont="1" applyBorder="1" applyAlignment="1">
      <alignment horizontal="left" vertical="center"/>
    </xf>
    <xf numFmtId="0" fontId="30" fillId="0" borderId="20" xfId="0" applyFont="1" applyBorder="1" applyAlignment="1">
      <alignment horizontal="center" vertical="center"/>
    </xf>
    <xf numFmtId="0" fontId="30" fillId="0" borderId="21" xfId="0" applyFont="1" applyBorder="1" applyAlignment="1">
      <alignment vertical="center"/>
    </xf>
    <xf numFmtId="0" fontId="83" fillId="0" borderId="0" xfId="0" applyFont="1" applyAlignment="1">
      <alignment horizontal="left" vertical="center"/>
    </xf>
    <xf numFmtId="0" fontId="84" fillId="0" borderId="0" xfId="0" applyFont="1" applyAlignment="1">
      <alignment horizontal="left" vertical="center" wrapText="1"/>
    </xf>
    <xf numFmtId="0" fontId="30" fillId="0" borderId="55" xfId="0" applyFont="1" applyBorder="1" applyAlignment="1">
      <alignment horizontal="left" vertical="center" wrapText="1"/>
    </xf>
    <xf numFmtId="2" fontId="30" fillId="0" borderId="0" xfId="0" applyNumberFormat="1" applyFont="1" applyAlignment="1">
      <alignment horizontal="center"/>
    </xf>
    <xf numFmtId="166" fontId="30" fillId="0" borderId="0" xfId="0" applyNumberFormat="1" applyFont="1" applyAlignment="1">
      <alignment horizontal="center"/>
    </xf>
    <xf numFmtId="0" fontId="50" fillId="0" borderId="22" xfId="0" applyFont="1" applyBorder="1" applyAlignment="1">
      <alignment horizontal="center" vertical="center"/>
    </xf>
    <xf numFmtId="0" fontId="85" fillId="0" borderId="0" xfId="0" applyFont="1" applyAlignment="1">
      <alignment horizontal="left" vertical="center"/>
    </xf>
    <xf numFmtId="11" fontId="86" fillId="0" borderId="0" xfId="0" applyNumberFormat="1" applyFont="1" applyAlignment="1">
      <alignment horizontal="left" vertical="center" wrapText="1"/>
    </xf>
    <xf numFmtId="0" fontId="30" fillId="0" borderId="51" xfId="0" applyFont="1" applyBorder="1" applyAlignment="1">
      <alignment horizontal="left" vertical="center" wrapText="1"/>
    </xf>
    <xf numFmtId="2" fontId="49" fillId="0" borderId="23" xfId="0" applyNumberFormat="1" applyFont="1" applyBorder="1" applyAlignment="1">
      <alignment horizontal="center" vertical="center" wrapText="1"/>
    </xf>
    <xf numFmtId="166" fontId="30" fillId="0" borderId="23" xfId="0" applyNumberFormat="1" applyFont="1" applyBorder="1" applyAlignment="1">
      <alignment horizontal="center"/>
    </xf>
    <xf numFmtId="0" fontId="85" fillId="0" borderId="0" xfId="0" applyFont="1" applyAlignment="1">
      <alignment vertical="center"/>
    </xf>
    <xf numFmtId="0" fontId="85" fillId="0" borderId="0" xfId="0" applyFont="1" applyAlignment="1">
      <alignment horizontal="left"/>
    </xf>
    <xf numFmtId="0" fontId="1" fillId="14" borderId="54" xfId="0" applyFont="1" applyFill="1" applyBorder="1"/>
    <xf numFmtId="0" fontId="0" fillId="14" borderId="20" xfId="0" applyFill="1" applyBorder="1"/>
    <xf numFmtId="0" fontId="0" fillId="14" borderId="21" xfId="0" applyFill="1" applyBorder="1"/>
    <xf numFmtId="166" fontId="1" fillId="14" borderId="20" xfId="0" applyNumberFormat="1" applyFont="1" applyFill="1" applyBorder="1" applyAlignment="1">
      <alignment horizontal="left" vertical="center"/>
    </xf>
    <xf numFmtId="166" fontId="1" fillId="14" borderId="54" xfId="0" applyNumberFormat="1" applyFont="1" applyFill="1" applyBorder="1" applyAlignment="1">
      <alignment horizontal="left" vertical="center"/>
    </xf>
    <xf numFmtId="166" fontId="0" fillId="14" borderId="20" xfId="0" applyNumberFormat="1" applyFill="1" applyBorder="1" applyAlignment="1">
      <alignment horizontal="center" vertical="center" wrapText="1"/>
    </xf>
    <xf numFmtId="166" fontId="0" fillId="14" borderId="20" xfId="0" applyNumberFormat="1" applyFill="1" applyBorder="1"/>
    <xf numFmtId="166" fontId="1" fillId="14" borderId="54" xfId="0" applyNumberFormat="1" applyFont="1" applyFill="1" applyBorder="1"/>
    <xf numFmtId="166" fontId="1" fillId="14" borderId="26" xfId="0" applyNumberFormat="1" applyFont="1" applyFill="1" applyBorder="1"/>
    <xf numFmtId="0" fontId="0" fillId="3" borderId="55" xfId="0" applyFill="1" applyBorder="1" applyAlignment="1">
      <alignment horizontal="left" vertical="center"/>
    </xf>
    <xf numFmtId="0" fontId="0" fillId="3" borderId="0" xfId="0" applyFill="1" applyAlignment="1">
      <alignment horizontal="left" vertical="center"/>
    </xf>
    <xf numFmtId="0" fontId="0" fillId="3" borderId="22" xfId="0" applyFill="1" applyBorder="1" applyAlignment="1">
      <alignment horizontal="left" vertical="top" wrapText="1"/>
    </xf>
    <xf numFmtId="0" fontId="1" fillId="3" borderId="0" xfId="0" applyFont="1" applyFill="1" applyAlignment="1">
      <alignment horizontal="left" vertical="center" wrapText="1"/>
    </xf>
    <xf numFmtId="166" fontId="0" fillId="3" borderId="55" xfId="0" applyNumberFormat="1" applyFill="1" applyBorder="1" applyAlignment="1">
      <alignment horizontal="center" vertical="center" wrapText="1"/>
    </xf>
    <xf numFmtId="166" fontId="0" fillId="3" borderId="65" xfId="0" applyNumberFormat="1" applyFill="1" applyBorder="1" applyAlignment="1">
      <alignment horizontal="center" vertical="center" wrapText="1"/>
    </xf>
    <xf numFmtId="0" fontId="80" fillId="0" borderId="54" xfId="0" applyFont="1" applyBorder="1" applyAlignment="1">
      <alignment horizontal="left" vertical="center"/>
    </xf>
    <xf numFmtId="0" fontId="80" fillId="0" borderId="51" xfId="0" applyFont="1" applyBorder="1" applyAlignment="1">
      <alignment horizontal="left" vertical="center"/>
    </xf>
    <xf numFmtId="0" fontId="3" fillId="29" borderId="70" xfId="0" applyFont="1" applyFill="1" applyBorder="1"/>
    <xf numFmtId="1" fontId="4" fillId="21" borderId="0" xfId="0" applyNumberFormat="1" applyFont="1" applyFill="1" applyAlignment="1">
      <alignment horizontal="left" vertical="top" wrapText="1"/>
    </xf>
    <xf numFmtId="2" fontId="1" fillId="22" borderId="21" xfId="0" applyNumberFormat="1" applyFont="1" applyFill="1" applyBorder="1" applyAlignment="1">
      <alignment horizontal="left" vertical="center"/>
    </xf>
    <xf numFmtId="1" fontId="4" fillId="21" borderId="55" xfId="0" applyNumberFormat="1" applyFont="1" applyFill="1" applyBorder="1" applyAlignment="1">
      <alignment horizontal="left" vertical="top" wrapText="1"/>
    </xf>
    <xf numFmtId="2" fontId="1" fillId="22" borderId="54" xfId="0" applyNumberFormat="1" applyFont="1" applyFill="1" applyBorder="1" applyAlignment="1">
      <alignment horizontal="left" vertical="center"/>
    </xf>
    <xf numFmtId="2" fontId="1" fillId="22" borderId="20" xfId="0" applyNumberFormat="1" applyFont="1" applyFill="1" applyBorder="1" applyAlignment="1">
      <alignment horizontal="left" vertical="center"/>
    </xf>
    <xf numFmtId="49" fontId="0" fillId="21" borderId="55" xfId="0" applyNumberFormat="1" applyFill="1" applyBorder="1" applyAlignment="1">
      <alignment horizontal="left" vertical="top" wrapText="1"/>
    </xf>
    <xf numFmtId="11" fontId="58" fillId="0" borderId="0" xfId="0" applyNumberFormat="1" applyFont="1"/>
    <xf numFmtId="0" fontId="0" fillId="21" borderId="0" xfId="0" applyFill="1" applyAlignment="1">
      <alignment vertical="top" wrapText="1"/>
    </xf>
    <xf numFmtId="0" fontId="4" fillId="21" borderId="0" xfId="0" applyFont="1" applyFill="1" applyAlignment="1">
      <alignment horizontal="left" vertical="top" wrapText="1"/>
    </xf>
    <xf numFmtId="0" fontId="87" fillId="0" borderId="0" xfId="0" applyFont="1"/>
    <xf numFmtId="0" fontId="88" fillId="0" borderId="0" xfId="5" applyFont="1"/>
    <xf numFmtId="0" fontId="58" fillId="0" borderId="0" xfId="0" applyFont="1" applyAlignment="1">
      <alignment horizontal="right"/>
    </xf>
    <xf numFmtId="0" fontId="89" fillId="0" borderId="0" xfId="0" applyFont="1"/>
    <xf numFmtId="0" fontId="92" fillId="0" borderId="0" xfId="0" applyFont="1"/>
    <xf numFmtId="166" fontId="90" fillId="31" borderId="0" xfId="0" applyNumberFormat="1" applyFont="1" applyFill="1"/>
    <xf numFmtId="49" fontId="1" fillId="2" borderId="0" xfId="0" applyNumberFormat="1" applyFont="1" applyFill="1" applyAlignment="1">
      <alignment horizontal="left"/>
    </xf>
    <xf numFmtId="0" fontId="0" fillId="2" borderId="0" xfId="0" applyFill="1"/>
    <xf numFmtId="0" fontId="0" fillId="2" borderId="0" xfId="0" applyFill="1" applyAlignment="1">
      <alignment horizontal="left" vertical="top"/>
    </xf>
    <xf numFmtId="166" fontId="1" fillId="2" borderId="0" xfId="0" applyNumberFormat="1" applyFont="1" applyFill="1" applyAlignment="1">
      <alignment horizontal="left" vertical="center"/>
    </xf>
    <xf numFmtId="166" fontId="0" fillId="2" borderId="0" xfId="0" applyNumberFormat="1" applyFill="1" applyAlignment="1">
      <alignment horizontal="center" vertical="center" wrapText="1"/>
    </xf>
    <xf numFmtId="166" fontId="0" fillId="2" borderId="0" xfId="0" applyNumberFormat="1" applyFill="1"/>
    <xf numFmtId="0" fontId="91" fillId="2" borderId="0" xfId="0" applyFont="1" applyFill="1"/>
    <xf numFmtId="0" fontId="93" fillId="2" borderId="0" xfId="0" applyFont="1" applyFill="1"/>
    <xf numFmtId="166" fontId="91" fillId="2" borderId="0" xfId="0" applyNumberFormat="1" applyFont="1" applyFill="1"/>
    <xf numFmtId="49" fontId="0" fillId="3" borderId="0" xfId="0" applyNumberForma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93" fillId="3" borderId="0" xfId="0" applyFont="1" applyFill="1" applyAlignment="1">
      <alignment horizontal="center" vertical="center" wrapText="1"/>
    </xf>
    <xf numFmtId="167" fontId="4" fillId="0" borderId="0" xfId="0" applyNumberFormat="1" applyFont="1"/>
    <xf numFmtId="0" fontId="93" fillId="0" borderId="0" xfId="0" applyFont="1"/>
    <xf numFmtId="166" fontId="0" fillId="0" borderId="0" xfId="0" applyNumberFormat="1"/>
    <xf numFmtId="11" fontId="93" fillId="0" borderId="0" xfId="0" applyNumberFormat="1" applyFont="1"/>
    <xf numFmtId="11" fontId="4" fillId="0" borderId="0" xfId="0" applyNumberFormat="1" applyFont="1" applyAlignment="1">
      <alignment horizontal="left" vertical="top"/>
    </xf>
    <xf numFmtId="166" fontId="4" fillId="0" borderId="0" xfId="0" applyNumberFormat="1" applyFont="1"/>
    <xf numFmtId="0" fontId="0" fillId="30" borderId="23" xfId="0" applyFill="1" applyBorder="1" applyAlignment="1">
      <alignment horizontal="left" vertical="top"/>
    </xf>
    <xf numFmtId="0" fontId="4" fillId="30" borderId="23" xfId="0" applyFont="1" applyFill="1" applyBorder="1"/>
    <xf numFmtId="2" fontId="4" fillId="30" borderId="72" xfId="0" applyNumberFormat="1" applyFont="1" applyFill="1" applyBorder="1"/>
    <xf numFmtId="167" fontId="4" fillId="30" borderId="23" xfId="0" applyNumberFormat="1" applyFont="1" applyFill="1" applyBorder="1"/>
    <xf numFmtId="0" fontId="58" fillId="21" borderId="0" xfId="0" applyFont="1" applyFill="1" applyAlignment="1">
      <alignment horizontal="left" vertical="top" wrapText="1"/>
    </xf>
    <xf numFmtId="2" fontId="1" fillId="22" borderId="73" xfId="0" applyNumberFormat="1" applyFont="1" applyFill="1" applyBorder="1" applyAlignment="1">
      <alignment horizontal="left" vertical="center"/>
    </xf>
    <xf numFmtId="2" fontId="1" fillId="22" borderId="74" xfId="0" applyNumberFormat="1" applyFont="1" applyFill="1" applyBorder="1" applyAlignment="1">
      <alignment horizontal="left" vertical="center"/>
    </xf>
    <xf numFmtId="2" fontId="1" fillId="22" borderId="75" xfId="0" applyNumberFormat="1" applyFont="1" applyFill="1" applyBorder="1" applyAlignment="1">
      <alignment horizontal="left" vertical="center"/>
    </xf>
    <xf numFmtId="0" fontId="0" fillId="21" borderId="76" xfId="0" applyFill="1" applyBorder="1" applyAlignment="1">
      <alignment vertical="top" wrapText="1"/>
    </xf>
    <xf numFmtId="0" fontId="61" fillId="21" borderId="0" xfId="0" applyFont="1" applyFill="1" applyAlignment="1">
      <alignment vertical="top" wrapText="1"/>
    </xf>
    <xf numFmtId="0" fontId="0" fillId="21" borderId="77" xfId="0" applyFill="1" applyBorder="1" applyAlignment="1">
      <alignment vertical="top" wrapText="1"/>
    </xf>
    <xf numFmtId="0" fontId="0" fillId="0" borderId="76" xfId="0" applyBorder="1"/>
    <xf numFmtId="0" fontId="94" fillId="32" borderId="0" xfId="8"/>
    <xf numFmtId="0" fontId="0" fillId="3" borderId="0" xfId="0" applyFill="1" applyAlignment="1">
      <alignment horizontal="left" vertical="center" wrapText="1"/>
    </xf>
    <xf numFmtId="0" fontId="94" fillId="32" borderId="0" xfId="8" applyAlignment="1">
      <alignment wrapText="1"/>
    </xf>
    <xf numFmtId="0" fontId="52" fillId="19" borderId="60" xfId="0" applyFont="1" applyFill="1" applyBorder="1" applyAlignment="1">
      <alignment horizontal="left" readingOrder="1"/>
    </xf>
    <xf numFmtId="0" fontId="1" fillId="18" borderId="62" xfId="0" applyFont="1" applyFill="1" applyBorder="1" applyAlignment="1">
      <alignment horizontal="left"/>
    </xf>
    <xf numFmtId="0" fontId="0" fillId="0" borderId="0" xfId="0" applyAlignment="1">
      <alignment horizontal="left" vertical="top" wrapText="1"/>
    </xf>
    <xf numFmtId="0" fontId="1" fillId="0" borderId="0" xfId="0" applyFont="1" applyAlignment="1">
      <alignment horizontal="left" vertical="top" wrapText="1"/>
    </xf>
    <xf numFmtId="172" fontId="0" fillId="0" borderId="0" xfId="0" applyNumberFormat="1"/>
    <xf numFmtId="175" fontId="4" fillId="0" borderId="0" xfId="0" applyNumberFormat="1" applyFont="1"/>
    <xf numFmtId="166" fontId="1" fillId="14" borderId="20" xfId="0" applyNumberFormat="1" applyFont="1" applyFill="1" applyBorder="1" applyAlignment="1">
      <alignment horizontal="left" vertical="center" wrapText="1"/>
    </xf>
    <xf numFmtId="2" fontId="0" fillId="0" borderId="80" xfId="0" applyNumberFormat="1" applyBorder="1"/>
    <xf numFmtId="2" fontId="10" fillId="0" borderId="80" xfId="0" applyNumberFormat="1" applyFont="1" applyBorder="1"/>
    <xf numFmtId="0" fontId="96" fillId="0" borderId="0" xfId="0" applyFont="1"/>
    <xf numFmtId="0" fontId="97" fillId="0" borderId="0" xfId="0" applyFont="1"/>
    <xf numFmtId="2" fontId="95" fillId="33" borderId="78" xfId="9" applyNumberFormat="1"/>
    <xf numFmtId="0" fontId="97" fillId="0" borderId="0" xfId="0" applyFont="1" applyAlignment="1">
      <alignment horizontal="right"/>
    </xf>
    <xf numFmtId="9" fontId="97" fillId="0" borderId="0" xfId="0" applyNumberFormat="1" applyFont="1"/>
    <xf numFmtId="2" fontId="95" fillId="33" borderId="79" xfId="9" applyNumberFormat="1" applyBorder="1"/>
    <xf numFmtId="0" fontId="98" fillId="0" borderId="0" xfId="0" applyFont="1"/>
    <xf numFmtId="0" fontId="99" fillId="0" borderId="0" xfId="0" applyFont="1"/>
    <xf numFmtId="0" fontId="100" fillId="0" borderId="0" xfId="0" applyFont="1"/>
    <xf numFmtId="0" fontId="0" fillId="0" borderId="73" xfId="0" applyBorder="1"/>
    <xf numFmtId="0" fontId="0" fillId="0" borderId="74" xfId="0" applyBorder="1"/>
    <xf numFmtId="0" fontId="0" fillId="0" borderId="73" xfId="0" applyBorder="1" applyAlignment="1">
      <alignment horizontal="left" vertical="top"/>
    </xf>
    <xf numFmtId="0" fontId="0" fillId="0" borderId="74" xfId="0" applyBorder="1" applyAlignment="1">
      <alignment horizontal="left" vertical="top"/>
    </xf>
    <xf numFmtId="0" fontId="0" fillId="0" borderId="76" xfId="0" applyBorder="1" applyAlignment="1">
      <alignment horizontal="left" vertical="top"/>
    </xf>
    <xf numFmtId="0" fontId="101" fillId="0" borderId="81" xfId="0" applyFont="1" applyBorder="1"/>
    <xf numFmtId="0" fontId="102" fillId="0" borderId="0" xfId="0" applyFont="1"/>
    <xf numFmtId="0" fontId="58" fillId="0" borderId="68" xfId="0" applyFont="1" applyBorder="1"/>
    <xf numFmtId="0" fontId="20" fillId="0" borderId="0" xfId="5" applyFill="1" applyBorder="1" applyAlignment="1"/>
    <xf numFmtId="0" fontId="104" fillId="0" borderId="0" xfId="0" applyFont="1"/>
    <xf numFmtId="0" fontId="58" fillId="0" borderId="0" xfId="0" quotePrefix="1" applyFont="1"/>
    <xf numFmtId="0" fontId="105" fillId="0" borderId="0" xfId="0" applyFont="1"/>
    <xf numFmtId="0" fontId="38" fillId="0" borderId="67" xfId="0" applyFont="1" applyBorder="1"/>
    <xf numFmtId="0" fontId="109" fillId="0" borderId="82" xfId="0" applyFont="1" applyBorder="1"/>
    <xf numFmtId="0" fontId="110" fillId="0" borderId="0" xfId="0" applyFont="1"/>
    <xf numFmtId="0" fontId="112" fillId="0" borderId="0" xfId="0" applyFont="1"/>
    <xf numFmtId="0" fontId="58" fillId="34" borderId="70" xfId="0" applyFont="1" applyFill="1" applyBorder="1"/>
    <xf numFmtId="0" fontId="58" fillId="0" borderId="83" xfId="0" applyFont="1" applyBorder="1"/>
    <xf numFmtId="0" fontId="112" fillId="0" borderId="0" xfId="0" quotePrefix="1" applyFont="1"/>
    <xf numFmtId="0" fontId="59" fillId="0" borderId="84" xfId="0" applyFont="1" applyBorder="1"/>
    <xf numFmtId="0" fontId="37" fillId="0" borderId="23" xfId="0" applyFont="1" applyBorder="1"/>
    <xf numFmtId="0" fontId="115" fillId="0" borderId="0" xfId="0" applyFont="1"/>
    <xf numFmtId="0" fontId="68" fillId="20" borderId="0" xfId="0" applyFont="1" applyFill="1"/>
    <xf numFmtId="0" fontId="97" fillId="0" borderId="0" xfId="0" applyFont="1" applyAlignment="1">
      <alignment horizontal="right" wrapText="1"/>
    </xf>
    <xf numFmtId="0" fontId="3" fillId="0" borderId="70" xfId="0" applyFont="1" applyBorder="1"/>
    <xf numFmtId="0" fontId="103" fillId="0" borderId="0" xfId="0" applyFont="1"/>
    <xf numFmtId="0" fontId="0" fillId="0" borderId="0" xfId="0" applyAlignment="1">
      <alignment horizontal="left"/>
    </xf>
    <xf numFmtId="0" fontId="30" fillId="0" borderId="0" xfId="0" applyFont="1" applyAlignment="1">
      <alignment horizontal="left"/>
    </xf>
    <xf numFmtId="0" fontId="2" fillId="0" borderId="0" xfId="0" applyFont="1" applyAlignment="1">
      <alignment horizontal="left"/>
    </xf>
    <xf numFmtId="0" fontId="0" fillId="0" borderId="20" xfId="0" applyBorder="1" applyAlignment="1">
      <alignment horizontal="left" vertical="top"/>
    </xf>
    <xf numFmtId="0" fontId="4" fillId="0" borderId="20" xfId="0" applyFont="1" applyBorder="1"/>
    <xf numFmtId="3" fontId="0" fillId="0" borderId="20" xfId="0" applyNumberFormat="1" applyBorder="1"/>
    <xf numFmtId="3" fontId="0" fillId="0" borderId="20" xfId="0" applyNumberFormat="1" applyBorder="1" applyAlignment="1">
      <alignment horizontal="left" vertical="top"/>
    </xf>
    <xf numFmtId="167" fontId="4" fillId="0" borderId="20" xfId="0" applyNumberFormat="1" applyFont="1" applyBorder="1"/>
    <xf numFmtId="3" fontId="0" fillId="30" borderId="23" xfId="0" applyNumberFormat="1" applyFill="1" applyBorder="1"/>
    <xf numFmtId="11" fontId="4" fillId="30" borderId="23" xfId="0" applyNumberFormat="1" applyFont="1" applyFill="1" applyBorder="1" applyAlignment="1">
      <alignment horizontal="left" vertical="top"/>
    </xf>
    <xf numFmtId="165" fontId="0" fillId="0" borderId="73" xfId="0" applyNumberFormat="1" applyBorder="1"/>
    <xf numFmtId="165" fontId="0" fillId="0" borderId="76" xfId="0" applyNumberFormat="1" applyBorder="1"/>
    <xf numFmtId="165" fontId="58" fillId="0" borderId="55" xfId="0" applyNumberFormat="1" applyFont="1" applyBorder="1"/>
    <xf numFmtId="165" fontId="58" fillId="0" borderId="51" xfId="0" applyNumberFormat="1" applyFont="1" applyBorder="1"/>
    <xf numFmtId="0" fontId="0" fillId="21" borderId="0" xfId="0" applyFill="1" applyAlignment="1">
      <alignment horizontal="left" vertical="top" wrapText="1"/>
    </xf>
    <xf numFmtId="0" fontId="1" fillId="14" borderId="54" xfId="0" applyFont="1" applyFill="1" applyBorder="1" applyAlignment="1">
      <alignment vertical="center"/>
    </xf>
    <xf numFmtId="0" fontId="0" fillId="14" borderId="20" xfId="0" applyFill="1" applyBorder="1" applyAlignment="1">
      <alignment vertical="center"/>
    </xf>
    <xf numFmtId="0" fontId="0" fillId="14" borderId="21" xfId="0" applyFill="1" applyBorder="1" applyAlignment="1">
      <alignment vertical="center"/>
    </xf>
    <xf numFmtId="166" fontId="0" fillId="14" borderId="20" xfId="0" applyNumberFormat="1" applyFill="1" applyBorder="1" applyAlignment="1">
      <alignment vertical="center"/>
    </xf>
    <xf numFmtId="166" fontId="1" fillId="14" borderId="54" xfId="0" applyNumberFormat="1" applyFont="1" applyFill="1" applyBorder="1" applyAlignment="1">
      <alignment vertical="center"/>
    </xf>
    <xf numFmtId="166" fontId="1" fillId="14" borderId="26" xfId="0" applyNumberFormat="1" applyFont="1" applyFill="1" applyBorder="1" applyAlignment="1">
      <alignment vertical="center"/>
    </xf>
    <xf numFmtId="166" fontId="0" fillId="2" borderId="0" xfId="0" applyNumberFormat="1" applyFill="1" applyAlignment="1">
      <alignment vertical="center"/>
    </xf>
    <xf numFmtId="166" fontId="1" fillId="2" borderId="0" xfId="0" applyNumberFormat="1" applyFont="1" applyFill="1" applyAlignment="1">
      <alignment vertical="center"/>
    </xf>
    <xf numFmtId="0" fontId="91" fillId="2" borderId="0" xfId="0" applyFont="1" applyFill="1" applyAlignment="1">
      <alignment vertical="center"/>
    </xf>
    <xf numFmtId="0" fontId="93" fillId="2" borderId="0" xfId="0" applyFont="1" applyFill="1" applyAlignment="1">
      <alignment vertical="center"/>
    </xf>
    <xf numFmtId="166" fontId="91" fillId="2" borderId="0" xfId="0" applyNumberFormat="1" applyFont="1" applyFill="1" applyAlignment="1">
      <alignment vertical="center"/>
    </xf>
    <xf numFmtId="0" fontId="0" fillId="0" borderId="0" xfId="0" applyAlignment="1">
      <alignment vertical="center"/>
    </xf>
    <xf numFmtId="167" fontId="0" fillId="0" borderId="0" xfId="0" applyNumberFormat="1" applyAlignment="1">
      <alignment horizontal="center"/>
    </xf>
    <xf numFmtId="167" fontId="9" fillId="0" borderId="0" xfId="0" applyNumberFormat="1" applyFont="1" applyAlignment="1">
      <alignment horizontal="center"/>
    </xf>
    <xf numFmtId="166" fontId="9" fillId="0" borderId="0" xfId="0" applyNumberFormat="1" applyFont="1" applyAlignment="1">
      <alignment horizontal="center"/>
    </xf>
    <xf numFmtId="11" fontId="0" fillId="0" borderId="0" xfId="0" applyNumberFormat="1" applyAlignment="1">
      <alignment horizontal="center"/>
    </xf>
    <xf numFmtId="167" fontId="4" fillId="0" borderId="0" xfId="0" applyNumberFormat="1" applyFont="1" applyAlignment="1">
      <alignment horizontal="center"/>
    </xf>
    <xf numFmtId="166" fontId="4" fillId="0" borderId="0" xfId="0" applyNumberFormat="1" applyFont="1" applyAlignment="1">
      <alignment horizontal="center"/>
    </xf>
    <xf numFmtId="1" fontId="4" fillId="0" borderId="20" xfId="0" applyNumberFormat="1" applyFont="1" applyBorder="1"/>
    <xf numFmtId="1" fontId="4" fillId="0" borderId="0" xfId="0" applyNumberFormat="1" applyFont="1"/>
    <xf numFmtId="0" fontId="0" fillId="0" borderId="0" xfId="0" applyAlignment="1">
      <alignment horizontal="center" vertical="center" wrapText="1"/>
    </xf>
    <xf numFmtId="0" fontId="0" fillId="30" borderId="0" xfId="0" applyFill="1"/>
    <xf numFmtId="0" fontId="0" fillId="30" borderId="0" xfId="0" applyFill="1" applyAlignment="1">
      <alignment horizontal="left" vertical="top"/>
    </xf>
    <xf numFmtId="166" fontId="4" fillId="30" borderId="0" xfId="0" applyNumberFormat="1" applyFont="1" applyFill="1"/>
    <xf numFmtId="166" fontId="4" fillId="30" borderId="0" xfId="0" applyNumberFormat="1" applyFont="1" applyFill="1" applyAlignment="1">
      <alignment horizontal="center"/>
    </xf>
    <xf numFmtId="165" fontId="0" fillId="30" borderId="0" xfId="0" applyNumberFormat="1" applyFill="1"/>
    <xf numFmtId="167" fontId="0" fillId="30" borderId="0" xfId="0" applyNumberFormat="1" applyFill="1"/>
    <xf numFmtId="11" fontId="0" fillId="30" borderId="0" xfId="0" applyNumberFormat="1" applyFill="1"/>
    <xf numFmtId="172" fontId="0" fillId="30" borderId="0" xfId="0" applyNumberFormat="1" applyFill="1"/>
    <xf numFmtId="1" fontId="0" fillId="30" borderId="0" xfId="0" applyNumberFormat="1" applyFill="1"/>
    <xf numFmtId="0" fontId="0" fillId="30" borderId="0" xfId="0" applyFill="1" applyAlignment="1">
      <alignment wrapText="1"/>
    </xf>
    <xf numFmtId="0" fontId="6" fillId="30" borderId="0" xfId="0" applyFont="1" applyFill="1"/>
    <xf numFmtId="0" fontId="7" fillId="30" borderId="0" xfId="0" applyFont="1" applyFill="1"/>
    <xf numFmtId="0" fontId="37" fillId="30" borderId="0" xfId="0" applyFont="1" applyFill="1"/>
    <xf numFmtId="165" fontId="4" fillId="0" borderId="0" xfId="0" applyNumberFormat="1" applyFont="1"/>
    <xf numFmtId="165" fontId="4" fillId="30" borderId="0" xfId="0" applyNumberFormat="1" applyFont="1" applyFill="1"/>
    <xf numFmtId="2" fontId="0" fillId="3" borderId="0" xfId="0" applyNumberFormat="1" applyFill="1" applyAlignment="1">
      <alignment horizontal="center" vertical="center" wrapText="1"/>
    </xf>
    <xf numFmtId="1" fontId="0" fillId="3" borderId="0" xfId="0" applyNumberFormat="1" applyFill="1" applyAlignment="1">
      <alignment horizontal="center" vertical="center" wrapText="1"/>
    </xf>
    <xf numFmtId="1" fontId="4" fillId="3" borderId="0" xfId="0" applyNumberFormat="1" applyFont="1" applyFill="1" applyAlignment="1">
      <alignment horizontal="center" vertical="center" wrapText="1"/>
    </xf>
    <xf numFmtId="2" fontId="4" fillId="3" borderId="0" xfId="0" applyNumberFormat="1" applyFont="1" applyFill="1" applyAlignment="1">
      <alignment horizontal="center" vertical="center" wrapText="1"/>
    </xf>
    <xf numFmtId="164" fontId="0" fillId="3" borderId="0" xfId="0" applyNumberFormat="1" applyFill="1" applyAlignment="1">
      <alignment horizontal="center" vertical="center" wrapText="1"/>
    </xf>
    <xf numFmtId="11" fontId="0" fillId="3" borderId="0" xfId="0" applyNumberFormat="1" applyFill="1" applyAlignment="1">
      <alignment horizontal="center" vertical="center" wrapText="1"/>
    </xf>
    <xf numFmtId="2" fontId="0" fillId="0" borderId="74" xfId="0" applyNumberFormat="1" applyBorder="1"/>
    <xf numFmtId="2" fontId="58" fillId="0" borderId="74" xfId="0" applyNumberFormat="1" applyFont="1" applyBorder="1"/>
    <xf numFmtId="2" fontId="58" fillId="0" borderId="0" xfId="0" applyNumberFormat="1" applyFont="1"/>
    <xf numFmtId="2" fontId="4" fillId="0" borderId="0" xfId="0" applyNumberFormat="1" applyFont="1"/>
    <xf numFmtId="2" fontId="58" fillId="0" borderId="23" xfId="0" applyNumberFormat="1" applyFont="1" applyBorder="1"/>
    <xf numFmtId="2" fontId="37" fillId="0" borderId="53" xfId="0" applyNumberFormat="1" applyFont="1" applyBorder="1"/>
    <xf numFmtId="2" fontId="58" fillId="0" borderId="53" xfId="0" applyNumberFormat="1" applyFont="1" applyBorder="1"/>
    <xf numFmtId="2" fontId="4" fillId="0" borderId="53" xfId="0" applyNumberFormat="1" applyFont="1" applyBorder="1"/>
    <xf numFmtId="171" fontId="9" fillId="0" borderId="0" xfId="0" applyNumberFormat="1" applyFont="1" applyAlignment="1">
      <alignment horizontal="left" vertical="center"/>
    </xf>
    <xf numFmtId="166" fontId="4" fillId="2" borderId="0" xfId="0" applyNumberFormat="1" applyFont="1" applyFill="1"/>
    <xf numFmtId="166" fontId="4" fillId="3" borderId="0" xfId="0" applyNumberFormat="1" applyFont="1" applyFill="1" applyAlignment="1">
      <alignment horizontal="center" vertical="center" wrapText="1"/>
    </xf>
    <xf numFmtId="2" fontId="0" fillId="0" borderId="73" xfId="0" applyNumberFormat="1" applyBorder="1"/>
    <xf numFmtId="2" fontId="0" fillId="0" borderId="76" xfId="0" applyNumberFormat="1" applyBorder="1"/>
    <xf numFmtId="2" fontId="37" fillId="0" borderId="55" xfId="0" applyNumberFormat="1" applyFont="1" applyBorder="1"/>
    <xf numFmtId="2" fontId="58" fillId="0" borderId="51" xfId="0" applyNumberFormat="1" applyFont="1" applyBorder="1"/>
    <xf numFmtId="0" fontId="38" fillId="0" borderId="0" xfId="0" applyFont="1" applyAlignment="1">
      <alignment horizontal="right"/>
    </xf>
    <xf numFmtId="0" fontId="0" fillId="0" borderId="75" xfId="0" applyBorder="1"/>
    <xf numFmtId="0" fontId="0" fillId="0" borderId="77" xfId="0" applyBorder="1"/>
    <xf numFmtId="0" fontId="37" fillId="0" borderId="77" xfId="0" applyFont="1" applyBorder="1"/>
    <xf numFmtId="0" fontId="58" fillId="0" borderId="77" xfId="0" applyFont="1" applyBorder="1"/>
    <xf numFmtId="0" fontId="118" fillId="0" borderId="53" xfId="0" applyFont="1" applyBorder="1"/>
    <xf numFmtId="0" fontId="118" fillId="0" borderId="86" xfId="0" applyFont="1" applyBorder="1"/>
    <xf numFmtId="0" fontId="58" fillId="20" borderId="0" xfId="0" applyFont="1" applyFill="1"/>
    <xf numFmtId="0" fontId="120" fillId="0" borderId="0" xfId="0" applyFont="1"/>
    <xf numFmtId="0" fontId="28" fillId="0" borderId="0" xfId="0" applyFont="1"/>
    <xf numFmtId="0" fontId="121" fillId="0" borderId="0" xfId="0" applyFont="1"/>
    <xf numFmtId="0" fontId="122" fillId="0" borderId="2" xfId="2" applyFont="1"/>
    <xf numFmtId="0" fontId="123" fillId="0" borderId="0" xfId="0" applyFont="1"/>
    <xf numFmtId="0" fontId="124" fillId="0" borderId="0" xfId="0" applyFont="1"/>
    <xf numFmtId="0" fontId="125" fillId="0" borderId="0" xfId="0" applyFont="1"/>
    <xf numFmtId="0" fontId="123" fillId="0" borderId="0" xfId="0" applyFont="1" applyAlignment="1">
      <alignment horizontal="left" vertical="center"/>
    </xf>
    <xf numFmtId="0" fontId="126" fillId="0" borderId="0" xfId="0" applyFont="1"/>
    <xf numFmtId="0" fontId="125" fillId="0" borderId="20" xfId="0" applyFont="1" applyBorder="1"/>
    <xf numFmtId="0" fontId="123" fillId="0" borderId="20" xfId="0" applyFont="1" applyBorder="1"/>
    <xf numFmtId="0" fontId="125" fillId="0" borderId="23" xfId="0" applyFont="1" applyBorder="1"/>
    <xf numFmtId="0" fontId="123" fillId="0" borderId="23" xfId="0" applyFont="1" applyBorder="1"/>
    <xf numFmtId="9" fontId="125" fillId="0" borderId="0" xfId="0" applyNumberFormat="1" applyFont="1"/>
    <xf numFmtId="0" fontId="125" fillId="0" borderId="25" xfId="0" applyFont="1" applyBorder="1" applyAlignment="1">
      <alignment vertical="center"/>
    </xf>
    <xf numFmtId="0" fontId="125" fillId="0" borderId="0" xfId="0" applyFont="1" applyAlignment="1">
      <alignment vertical="center"/>
    </xf>
    <xf numFmtId="0" fontId="123" fillId="0" borderId="25" xfId="0" applyFont="1" applyBorder="1"/>
    <xf numFmtId="0" fontId="123" fillId="0" borderId="25" xfId="0" applyFont="1" applyBorder="1" applyAlignment="1">
      <alignment vertical="center"/>
    </xf>
    <xf numFmtId="0" fontId="123" fillId="0" borderId="25" xfId="0" applyFont="1" applyBorder="1" applyAlignment="1">
      <alignment horizontal="right" vertical="center"/>
    </xf>
    <xf numFmtId="0" fontId="125" fillId="0" borderId="0" xfId="0" applyFont="1" applyAlignment="1">
      <alignment horizontal="center"/>
    </xf>
    <xf numFmtId="4" fontId="128" fillId="18" borderId="20" xfId="0" applyNumberFormat="1" applyFont="1" applyFill="1" applyBorder="1"/>
    <xf numFmtId="11" fontId="128" fillId="18" borderId="20" xfId="0" applyNumberFormat="1" applyFont="1" applyFill="1" applyBorder="1"/>
    <xf numFmtId="0" fontId="129" fillId="18" borderId="23" xfId="0" applyFont="1" applyFill="1" applyBorder="1"/>
    <xf numFmtId="9" fontId="129" fillId="18" borderId="23" xfId="0" applyNumberFormat="1" applyFont="1" applyFill="1" applyBorder="1" applyAlignment="1">
      <alignment horizontal="center"/>
    </xf>
    <xf numFmtId="2" fontId="124" fillId="0" borderId="0" xfId="0" applyNumberFormat="1" applyFont="1"/>
    <xf numFmtId="3" fontId="123" fillId="0" borderId="0" xfId="0" applyNumberFormat="1" applyFont="1"/>
    <xf numFmtId="2" fontId="123" fillId="0" borderId="0" xfId="0" applyNumberFormat="1" applyFont="1"/>
    <xf numFmtId="11" fontId="124" fillId="0" borderId="23" xfId="0" applyNumberFormat="1" applyFont="1" applyBorder="1"/>
    <xf numFmtId="4" fontId="123" fillId="0" borderId="23" xfId="0" applyNumberFormat="1" applyFont="1" applyBorder="1"/>
    <xf numFmtId="0" fontId="128" fillId="19" borderId="20" xfId="0" applyFont="1" applyFill="1" applyBorder="1" applyAlignment="1">
      <alignment vertical="center"/>
    </xf>
    <xf numFmtId="0" fontId="129" fillId="19" borderId="23" xfId="0" applyFont="1" applyFill="1" applyBorder="1" applyAlignment="1">
      <alignment vertical="center"/>
    </xf>
    <xf numFmtId="0" fontId="124" fillId="0" borderId="50" xfId="0" applyFont="1" applyBorder="1" applyAlignment="1">
      <alignment vertical="center"/>
    </xf>
    <xf numFmtId="3" fontId="123" fillId="0" borderId="50" xfId="0" applyNumberFormat="1" applyFont="1" applyBorder="1"/>
    <xf numFmtId="0" fontId="124" fillId="0" borderId="0" xfId="0" applyFont="1" applyAlignment="1">
      <alignment wrapText="1"/>
    </xf>
    <xf numFmtId="168" fontId="123" fillId="0" borderId="0" xfId="0" applyNumberFormat="1" applyFont="1"/>
    <xf numFmtId="0" fontId="124" fillId="0" borderId="0" xfId="0" applyFont="1" applyAlignment="1">
      <alignment vertical="center"/>
    </xf>
    <xf numFmtId="167" fontId="123" fillId="0" borderId="0" xfId="0" applyNumberFormat="1" applyFont="1"/>
    <xf numFmtId="4" fontId="128" fillId="18" borderId="21" xfId="0" applyNumberFormat="1" applyFont="1" applyFill="1" applyBorder="1"/>
    <xf numFmtId="11" fontId="128" fillId="18" borderId="20" xfId="0" applyNumberFormat="1" applyFont="1" applyFill="1" applyBorder="1" applyAlignment="1">
      <alignment horizontal="center"/>
    </xf>
    <xf numFmtId="11" fontId="128" fillId="18" borderId="21" xfId="0" applyNumberFormat="1" applyFont="1" applyFill="1" applyBorder="1" applyAlignment="1">
      <alignment horizontal="center"/>
    </xf>
    <xf numFmtId="4" fontId="128" fillId="18" borderId="22" xfId="0" applyNumberFormat="1" applyFont="1" applyFill="1" applyBorder="1"/>
    <xf numFmtId="11" fontId="128" fillId="18" borderId="0" xfId="0" applyNumberFormat="1" applyFont="1" applyFill="1" applyAlignment="1">
      <alignment horizontal="center"/>
    </xf>
    <xf numFmtId="11" fontId="128" fillId="18" borderId="22" xfId="0" applyNumberFormat="1" applyFont="1" applyFill="1" applyBorder="1" applyAlignment="1">
      <alignment horizontal="center"/>
    </xf>
    <xf numFmtId="1" fontId="128" fillId="18" borderId="0" xfId="0" applyNumberFormat="1" applyFont="1" applyFill="1" applyAlignment="1">
      <alignment horizontal="center"/>
    </xf>
    <xf numFmtId="1" fontId="128" fillId="18" borderId="22" xfId="0" applyNumberFormat="1" applyFont="1" applyFill="1" applyBorder="1" applyAlignment="1">
      <alignment horizontal="center"/>
    </xf>
    <xf numFmtId="0" fontId="130" fillId="18" borderId="24" xfId="0" applyFont="1" applyFill="1" applyBorder="1"/>
    <xf numFmtId="9" fontId="125" fillId="18" borderId="23" xfId="7" applyNumberFormat="1" applyFont="1" applyFill="1" applyBorder="1" applyAlignment="1">
      <alignment wrapText="1"/>
    </xf>
    <xf numFmtId="9" fontId="125" fillId="18" borderId="24" xfId="7" applyNumberFormat="1" applyFont="1" applyFill="1" applyBorder="1"/>
    <xf numFmtId="0" fontId="125" fillId="0" borderId="22" xfId="7" applyFont="1" applyBorder="1"/>
    <xf numFmtId="0" fontId="123" fillId="0" borderId="0" xfId="7" applyFont="1"/>
    <xf numFmtId="0" fontId="123" fillId="0" borderId="22" xfId="7" applyFont="1" applyBorder="1"/>
    <xf numFmtId="0" fontId="123" fillId="0" borderId="24" xfId="7" applyFont="1" applyBorder="1"/>
    <xf numFmtId="3" fontId="123" fillId="0" borderId="23" xfId="7" applyNumberFormat="1" applyFont="1" applyBorder="1"/>
    <xf numFmtId="3" fontId="123" fillId="0" borderId="24" xfId="7" applyNumberFormat="1" applyFont="1" applyBorder="1"/>
    <xf numFmtId="11" fontId="123" fillId="0" borderId="0" xfId="0" applyNumberFormat="1" applyFont="1"/>
    <xf numFmtId="9" fontId="125" fillId="18" borderId="23" xfId="7" applyNumberFormat="1" applyFont="1" applyFill="1" applyBorder="1"/>
    <xf numFmtId="3" fontId="123" fillId="0" borderId="0" xfId="7" applyNumberFormat="1" applyFont="1"/>
    <xf numFmtId="3" fontId="123" fillId="0" borderId="22" xfId="7" applyNumberFormat="1" applyFont="1" applyBorder="1"/>
    <xf numFmtId="3" fontId="123" fillId="0" borderId="51" xfId="7" applyNumberFormat="1" applyFont="1" applyBorder="1"/>
    <xf numFmtId="0" fontId="123" fillId="0" borderId="50" xfId="0" applyFont="1" applyBorder="1"/>
    <xf numFmtId="0" fontId="125" fillId="0" borderId="50" xfId="0" applyFont="1" applyBorder="1"/>
    <xf numFmtId="3" fontId="123" fillId="0" borderId="50" xfId="7" applyNumberFormat="1" applyFont="1" applyBorder="1"/>
    <xf numFmtId="0" fontId="123" fillId="0" borderId="20" xfId="7" applyFont="1" applyBorder="1"/>
    <xf numFmtId="169" fontId="123" fillId="0" borderId="20" xfId="7" applyNumberFormat="1" applyFont="1" applyBorder="1"/>
    <xf numFmtId="169" fontId="123" fillId="0" borderId="0" xfId="7" applyNumberFormat="1" applyFont="1"/>
    <xf numFmtId="3" fontId="123" fillId="0" borderId="20" xfId="7" applyNumberFormat="1" applyFont="1" applyBorder="1"/>
    <xf numFmtId="0" fontId="130" fillId="18" borderId="52" xfId="0" applyFont="1" applyFill="1" applyBorder="1"/>
    <xf numFmtId="9" fontId="125" fillId="18" borderId="50" xfId="7" applyNumberFormat="1" applyFont="1" applyFill="1" applyBorder="1"/>
    <xf numFmtId="9" fontId="125" fillId="18" borderId="52" xfId="7" applyNumberFormat="1" applyFont="1" applyFill="1" applyBorder="1"/>
    <xf numFmtId="9" fontId="125" fillId="18" borderId="50" xfId="7" applyNumberFormat="1" applyFont="1" applyFill="1" applyBorder="1" applyAlignment="1">
      <alignment wrapText="1"/>
    </xf>
    <xf numFmtId="169" fontId="123" fillId="0" borderId="0" xfId="0" applyNumberFormat="1" applyFont="1"/>
    <xf numFmtId="0" fontId="128" fillId="0" borderId="0" xfId="0" applyFont="1"/>
    <xf numFmtId="0" fontId="128" fillId="28" borderId="20" xfId="0" applyFont="1" applyFill="1" applyBorder="1"/>
    <xf numFmtId="0" fontId="129" fillId="28" borderId="23" xfId="0" applyFont="1" applyFill="1" applyBorder="1"/>
    <xf numFmtId="9" fontId="129" fillId="28" borderId="23" xfId="0" applyNumberFormat="1" applyFont="1" applyFill="1" applyBorder="1"/>
    <xf numFmtId="0" fontId="124" fillId="0" borderId="53" xfId="0" applyFont="1" applyBorder="1"/>
    <xf numFmtId="0" fontId="124" fillId="0" borderId="23" xfId="0" applyFont="1" applyBorder="1" applyAlignment="1">
      <alignment wrapText="1"/>
    </xf>
    <xf numFmtId="0" fontId="124" fillId="0" borderId="23" xfId="0" applyFont="1" applyBorder="1"/>
    <xf numFmtId="9" fontId="123" fillId="0" borderId="0" xfId="0" applyNumberFormat="1" applyFont="1"/>
    <xf numFmtId="49" fontId="123" fillId="0" borderId="0" xfId="0" applyNumberFormat="1" applyFont="1"/>
    <xf numFmtId="0" fontId="123" fillId="0" borderId="0" xfId="0" applyFont="1" applyAlignment="1">
      <alignment horizontal="right" vertical="center"/>
    </xf>
    <xf numFmtId="0" fontId="123" fillId="0" borderId="30" xfId="0" applyFont="1" applyBorder="1" applyAlignment="1">
      <alignment horizontal="right" vertical="center"/>
    </xf>
    <xf numFmtId="0" fontId="123" fillId="0" borderId="0" xfId="0" applyFont="1" applyAlignment="1">
      <alignment vertical="center"/>
    </xf>
    <xf numFmtId="0" fontId="123" fillId="0" borderId="29" xfId="0" applyFont="1" applyBorder="1" applyAlignment="1">
      <alignment vertical="center"/>
    </xf>
    <xf numFmtId="0" fontId="122" fillId="0" borderId="2" xfId="2" applyFont="1" applyFill="1"/>
    <xf numFmtId="0" fontId="131" fillId="0" borderId="0" xfId="5" applyFont="1"/>
    <xf numFmtId="0" fontId="125" fillId="0" borderId="3" xfId="3" applyFont="1" applyFill="1"/>
    <xf numFmtId="0" fontId="132" fillId="0" borderId="0" xfId="0" applyFont="1"/>
    <xf numFmtId="0" fontId="133" fillId="0" borderId="0" xfId="0" applyFont="1"/>
    <xf numFmtId="0" fontId="123" fillId="0" borderId="0" xfId="0" applyFont="1" applyAlignment="1">
      <alignment wrapText="1"/>
    </xf>
    <xf numFmtId="0" fontId="128" fillId="0" borderId="64" xfId="0" applyFont="1" applyBorder="1"/>
    <xf numFmtId="11" fontId="124" fillId="0" borderId="0" xfId="0" applyNumberFormat="1" applyFont="1"/>
    <xf numFmtId="0" fontId="58" fillId="20" borderId="0" xfId="0" applyFont="1" applyFill="1" applyAlignment="1">
      <alignment wrapText="1"/>
    </xf>
    <xf numFmtId="0" fontId="134" fillId="0" borderId="0" xfId="0" applyFont="1"/>
    <xf numFmtId="0" fontId="132" fillId="0" borderId="0" xfId="4" applyFont="1"/>
    <xf numFmtId="0" fontId="135" fillId="0" borderId="0" xfId="4" applyFont="1"/>
    <xf numFmtId="0" fontId="136" fillId="0" borderId="19" xfId="0" applyFont="1" applyBorder="1"/>
    <xf numFmtId="0" fontId="136" fillId="0" borderId="50" xfId="0" applyFont="1" applyBorder="1"/>
    <xf numFmtId="0" fontId="136" fillId="0" borderId="52" xfId="0" applyFont="1" applyBorder="1"/>
    <xf numFmtId="0" fontId="123" fillId="21" borderId="0" xfId="0" applyFont="1" applyFill="1"/>
    <xf numFmtId="0" fontId="131" fillId="21" borderId="0" xfId="5" applyFont="1" applyFill="1"/>
    <xf numFmtId="0" fontId="123" fillId="22" borderId="0" xfId="0" applyFont="1" applyFill="1"/>
    <xf numFmtId="0" fontId="131" fillId="22" borderId="0" xfId="5" applyFont="1" applyFill="1"/>
    <xf numFmtId="0" fontId="123" fillId="23" borderId="0" xfId="0" applyFont="1" applyFill="1"/>
    <xf numFmtId="0" fontId="131" fillId="23" borderId="0" xfId="5" applyFont="1" applyFill="1"/>
    <xf numFmtId="0" fontId="123" fillId="24" borderId="0" xfId="0" applyFont="1" applyFill="1"/>
    <xf numFmtId="0" fontId="131" fillId="24" borderId="0" xfId="5" applyFont="1" applyFill="1"/>
    <xf numFmtId="0" fontId="123" fillId="25" borderId="0" xfId="0" applyFont="1" applyFill="1"/>
    <xf numFmtId="0" fontId="131" fillId="25" borderId="0" xfId="5" applyFont="1" applyFill="1"/>
    <xf numFmtId="0" fontId="123" fillId="12" borderId="0" xfId="0" applyFont="1" applyFill="1"/>
    <xf numFmtId="0" fontId="131" fillId="12" borderId="0" xfId="5" applyFont="1" applyFill="1"/>
    <xf numFmtId="0" fontId="123" fillId="26" borderId="0" xfId="0" applyFont="1" applyFill="1"/>
    <xf numFmtId="0" fontId="131" fillId="26" borderId="0" xfId="5" applyFont="1" applyFill="1"/>
    <xf numFmtId="0" fontId="137" fillId="0" borderId="1" xfId="1" applyFont="1"/>
    <xf numFmtId="0" fontId="137" fillId="0" borderId="1" xfId="1" applyFont="1" applyAlignment="1">
      <alignment horizontal="center"/>
    </xf>
    <xf numFmtId="14" fontId="123" fillId="0" borderId="0" xfId="0" applyNumberFormat="1" applyFont="1"/>
    <xf numFmtId="20" fontId="123" fillId="0" borderId="0" xfId="0" applyNumberFormat="1" applyFont="1"/>
    <xf numFmtId="0" fontId="125" fillId="0" borderId="3" xfId="3" applyFont="1"/>
    <xf numFmtId="0" fontId="123" fillId="0" borderId="0" xfId="0" applyFont="1" applyAlignment="1">
      <alignment horizontal="left" wrapText="1"/>
    </xf>
    <xf numFmtId="0" fontId="125" fillId="0" borderId="3" xfId="3" applyFont="1" applyAlignment="1">
      <alignment horizontal="left" wrapText="1"/>
    </xf>
    <xf numFmtId="0" fontId="128" fillId="0" borderId="25" xfId="0" applyFont="1" applyBorder="1" applyAlignment="1">
      <alignment horizontal="center" vertical="top"/>
    </xf>
    <xf numFmtId="0" fontId="128" fillId="3" borderId="25" xfId="0" applyFont="1" applyFill="1" applyBorder="1" applyAlignment="1">
      <alignment horizontal="center" vertical="top"/>
    </xf>
    <xf numFmtId="0" fontId="123" fillId="3" borderId="0" xfId="0" applyFont="1" applyFill="1"/>
    <xf numFmtId="0" fontId="128" fillId="14" borderId="25" xfId="0" applyFont="1" applyFill="1" applyBorder="1" applyAlignment="1">
      <alignment horizontal="center" vertical="top"/>
    </xf>
    <xf numFmtId="0" fontId="123" fillId="14" borderId="0" xfId="0" applyFont="1" applyFill="1"/>
    <xf numFmtId="0" fontId="128" fillId="14" borderId="26" xfId="0" applyFont="1" applyFill="1" applyBorder="1" applyAlignment="1">
      <alignment horizontal="center" vertical="top"/>
    </xf>
    <xf numFmtId="0" fontId="136" fillId="0" borderId="20" xfId="0" applyFont="1" applyBorder="1"/>
    <xf numFmtId="0" fontId="136" fillId="0" borderId="21" xfId="0" applyFont="1" applyBorder="1"/>
    <xf numFmtId="0" fontId="131" fillId="6" borderId="0" xfId="5" applyFont="1" applyFill="1" applyBorder="1"/>
    <xf numFmtId="0" fontId="131" fillId="6" borderId="20" xfId="5" applyFont="1" applyFill="1" applyBorder="1"/>
    <xf numFmtId="0" fontId="123" fillId="6" borderId="21" xfId="0" applyFont="1" applyFill="1" applyBorder="1"/>
    <xf numFmtId="0" fontId="123" fillId="6" borderId="22" xfId="0" applyFont="1" applyFill="1" applyBorder="1"/>
    <xf numFmtId="0" fontId="131" fillId="7" borderId="0" xfId="5" applyFont="1" applyFill="1" applyBorder="1"/>
    <xf numFmtId="0" fontId="123" fillId="7" borderId="22" xfId="0" applyFont="1" applyFill="1" applyBorder="1"/>
    <xf numFmtId="0" fontId="123" fillId="7" borderId="0" xfId="0" applyFont="1" applyFill="1"/>
    <xf numFmtId="0" fontId="131" fillId="8" borderId="0" xfId="5" applyFont="1" applyFill="1" applyBorder="1"/>
    <xf numFmtId="0" fontId="123" fillId="8" borderId="22" xfId="0" applyFont="1" applyFill="1" applyBorder="1"/>
    <xf numFmtId="0" fontId="131" fillId="9" borderId="0" xfId="5" applyFont="1" applyFill="1" applyBorder="1"/>
    <xf numFmtId="0" fontId="123" fillId="9" borderId="22" xfId="0" applyFont="1" applyFill="1" applyBorder="1"/>
    <xf numFmtId="0" fontId="123" fillId="9" borderId="0" xfId="0" applyFont="1" applyFill="1"/>
    <xf numFmtId="0" fontId="131" fillId="10" borderId="0" xfId="5" applyFont="1" applyFill="1" applyBorder="1"/>
    <xf numFmtId="0" fontId="123" fillId="10" borderId="22" xfId="0" applyFont="1" applyFill="1" applyBorder="1"/>
    <xf numFmtId="0" fontId="131" fillId="11" borderId="0" xfId="5" applyFont="1" applyFill="1" applyBorder="1"/>
    <xf numFmtId="0" fontId="123" fillId="11" borderId="22" xfId="0" applyFont="1" applyFill="1" applyBorder="1"/>
    <xf numFmtId="0" fontId="131" fillId="12" borderId="0" xfId="5" applyFont="1" applyFill="1" applyBorder="1"/>
    <xf numFmtId="0" fontId="123" fillId="12" borderId="22" xfId="0" applyFont="1" applyFill="1" applyBorder="1"/>
    <xf numFmtId="0" fontId="131" fillId="13" borderId="23" xfId="5" applyFont="1" applyFill="1" applyBorder="1"/>
    <xf numFmtId="0" fontId="123" fillId="13" borderId="24" xfId="0" applyFont="1" applyFill="1" applyBorder="1"/>
    <xf numFmtId="0" fontId="124" fillId="0" borderId="0" xfId="6" applyFont="1"/>
    <xf numFmtId="1" fontId="124" fillId="0" borderId="0" xfId="6" applyNumberFormat="1" applyFont="1"/>
    <xf numFmtId="0" fontId="128" fillId="0" borderId="0" xfId="6" applyFont="1"/>
    <xf numFmtId="0" fontId="138" fillId="0" borderId="0" xfId="0" applyFont="1" applyAlignment="1">
      <alignment horizontal="left" vertical="center" indent="4"/>
    </xf>
    <xf numFmtId="0" fontId="140" fillId="0" borderId="0" xfId="0" applyFont="1" applyAlignment="1">
      <alignment vertical="center"/>
    </xf>
    <xf numFmtId="0" fontId="141" fillId="0" borderId="0" xfId="0" applyFont="1"/>
    <xf numFmtId="0" fontId="125" fillId="15" borderId="27" xfId="0" applyFont="1" applyFill="1" applyBorder="1" applyAlignment="1">
      <alignment vertical="center" wrapText="1"/>
    </xf>
    <xf numFmtId="0" fontId="125" fillId="15" borderId="28" xfId="0" applyFont="1" applyFill="1" applyBorder="1" applyAlignment="1">
      <alignment vertical="center" wrapText="1"/>
    </xf>
    <xf numFmtId="0" fontId="142" fillId="0" borderId="25" xfId="0" applyFont="1" applyBorder="1"/>
    <xf numFmtId="0" fontId="125" fillId="0" borderId="29" xfId="0" applyFont="1" applyBorder="1" applyAlignment="1">
      <alignment vertical="center" wrapText="1"/>
    </xf>
    <xf numFmtId="0" fontId="123" fillId="16" borderId="30" xfId="0" applyFont="1" applyFill="1" applyBorder="1" applyAlignment="1">
      <alignment vertical="center" wrapText="1"/>
    </xf>
    <xf numFmtId="0" fontId="123" fillId="16" borderId="30" xfId="0" applyFont="1" applyFill="1" applyBorder="1" applyAlignment="1">
      <alignment horizontal="right" vertical="center" wrapText="1"/>
    </xf>
    <xf numFmtId="0" fontId="123" fillId="0" borderId="30" xfId="0" applyFont="1" applyBorder="1" applyAlignment="1">
      <alignment vertical="center" wrapText="1"/>
    </xf>
    <xf numFmtId="0" fontId="133" fillId="0" borderId="25" xfId="0" applyFont="1" applyBorder="1"/>
    <xf numFmtId="11" fontId="123" fillId="16" borderId="30" xfId="0" applyNumberFormat="1" applyFont="1" applyFill="1" applyBorder="1" applyAlignment="1">
      <alignment horizontal="right" vertical="center" wrapText="1"/>
    </xf>
    <xf numFmtId="0" fontId="125" fillId="0" borderId="30" xfId="0" applyFont="1" applyBorder="1" applyAlignment="1">
      <alignment vertical="center" wrapText="1"/>
    </xf>
    <xf numFmtId="11" fontId="133" fillId="0" borderId="25" xfId="0" applyNumberFormat="1" applyFont="1" applyBorder="1"/>
    <xf numFmtId="0" fontId="123" fillId="0" borderId="29" xfId="0" applyFont="1" applyBorder="1" applyAlignment="1">
      <alignment vertical="center" wrapText="1"/>
    </xf>
    <xf numFmtId="0" fontId="146" fillId="0" borderId="0" xfId="0" applyFont="1"/>
    <xf numFmtId="0" fontId="123" fillId="0" borderId="30" xfId="0" applyFont="1" applyBorder="1" applyAlignment="1">
      <alignment horizontal="right" vertical="center" wrapText="1"/>
    </xf>
    <xf numFmtId="3" fontId="133" fillId="0" borderId="25" xfId="0" applyNumberFormat="1" applyFont="1" applyBorder="1"/>
    <xf numFmtId="0" fontId="152" fillId="0" borderId="0" xfId="0" applyFont="1"/>
    <xf numFmtId="11" fontId="123" fillId="0" borderId="30" xfId="0" applyNumberFormat="1" applyFont="1" applyBorder="1" applyAlignment="1">
      <alignment horizontal="right" vertical="center" wrapText="1"/>
    </xf>
    <xf numFmtId="0" fontId="153" fillId="0" borderId="0" xfId="0" applyFont="1"/>
    <xf numFmtId="0" fontId="131" fillId="0" borderId="0" xfId="5" applyFont="1" applyAlignment="1">
      <alignment vertical="center"/>
    </xf>
    <xf numFmtId="0" fontId="155" fillId="0" borderId="0" xfId="0" applyFont="1"/>
    <xf numFmtId="0" fontId="154" fillId="5" borderId="4" xfId="0" applyFont="1" applyFill="1" applyBorder="1" applyAlignment="1">
      <alignment horizontal="left" vertical="center" wrapText="1"/>
    </xf>
    <xf numFmtId="0" fontId="125" fillId="0" borderId="67" xfId="0" applyFont="1" applyBorder="1"/>
    <xf numFmtId="0" fontId="157" fillId="4" borderId="10" xfId="0" applyFont="1" applyFill="1" applyBorder="1" applyAlignment="1">
      <alignment horizontal="left" vertical="center" wrapText="1"/>
    </xf>
    <xf numFmtId="0" fontId="157" fillId="4" borderId="4" xfId="0" applyFont="1" applyFill="1" applyBorder="1" applyAlignment="1">
      <alignment horizontal="left" vertical="center" wrapText="1"/>
    </xf>
    <xf numFmtId="0" fontId="123" fillId="0" borderId="0" xfId="0" quotePrefix="1" applyFont="1"/>
    <xf numFmtId="0" fontId="157" fillId="4" borderId="5" xfId="0" applyFont="1" applyFill="1" applyBorder="1" applyAlignment="1">
      <alignment horizontal="left" vertical="center" wrapText="1"/>
    </xf>
    <xf numFmtId="0" fontId="157" fillId="4" borderId="6" xfId="0" applyFont="1" applyFill="1" applyBorder="1" applyAlignment="1">
      <alignment horizontal="left" vertical="center" wrapText="1"/>
    </xf>
    <xf numFmtId="0" fontId="157" fillId="4" borderId="11" xfId="0" applyFont="1" applyFill="1" applyBorder="1" applyAlignment="1">
      <alignment horizontal="left" vertical="center" wrapText="1"/>
    </xf>
    <xf numFmtId="0" fontId="159" fillId="0" borderId="0" xfId="0" applyFont="1" applyAlignment="1">
      <alignment horizontal="left" vertical="center" indent="1"/>
    </xf>
    <xf numFmtId="0" fontId="131" fillId="0" borderId="0" xfId="5" applyFont="1" applyAlignment="1">
      <alignment horizontal="left" vertical="center" indent="1"/>
    </xf>
    <xf numFmtId="0" fontId="131" fillId="0" borderId="0" xfId="5" applyFont="1" applyBorder="1"/>
    <xf numFmtId="0" fontId="123" fillId="0" borderId="68" xfId="0" applyFont="1" applyBorder="1"/>
    <xf numFmtId="0" fontId="123" fillId="0" borderId="68" xfId="0" quotePrefix="1" applyFont="1" applyBorder="1"/>
    <xf numFmtId="0" fontId="155" fillId="0" borderId="0" xfId="0" applyFont="1" applyAlignment="1">
      <alignment wrapText="1"/>
    </xf>
    <xf numFmtId="176" fontId="0" fillId="20" borderId="0" xfId="0" applyNumberFormat="1" applyFill="1"/>
    <xf numFmtId="0" fontId="161" fillId="0" borderId="0" xfId="0" applyFont="1"/>
    <xf numFmtId="0" fontId="162" fillId="0" borderId="54" xfId="0" applyFont="1" applyBorder="1"/>
    <xf numFmtId="0" fontId="162" fillId="0" borderId="20" xfId="0" applyFont="1" applyBorder="1"/>
    <xf numFmtId="0" fontId="162" fillId="0" borderId="21" xfId="0" applyFont="1" applyBorder="1"/>
    <xf numFmtId="176" fontId="162" fillId="0" borderId="0" xfId="0" applyNumberFormat="1" applyFont="1"/>
    <xf numFmtId="0" fontId="163" fillId="0" borderId="0" xfId="0" applyFont="1"/>
    <xf numFmtId="0" fontId="124" fillId="0" borderId="0" xfId="0" quotePrefix="1" applyFont="1"/>
    <xf numFmtId="2" fontId="0" fillId="20" borderId="0" xfId="0" applyNumberFormat="1" applyFill="1"/>
    <xf numFmtId="2" fontId="37" fillId="0" borderId="76" xfId="0" applyNumberFormat="1" applyFont="1" applyBorder="1"/>
    <xf numFmtId="2" fontId="58" fillId="0" borderId="76" xfId="0" applyNumberFormat="1" applyFont="1" applyBorder="1"/>
    <xf numFmtId="2" fontId="58" fillId="0" borderId="85" xfId="0" applyNumberFormat="1" applyFont="1" applyBorder="1"/>
    <xf numFmtId="166" fontId="119" fillId="0" borderId="0" xfId="0" applyNumberFormat="1" applyFont="1"/>
    <xf numFmtId="166" fontId="119" fillId="0" borderId="77" xfId="0" applyNumberFormat="1" applyFont="1" applyBorder="1"/>
    <xf numFmtId="0" fontId="0" fillId="3" borderId="0" xfId="0" applyFill="1"/>
    <xf numFmtId="0" fontId="0" fillId="36" borderId="0" xfId="0" applyFill="1"/>
    <xf numFmtId="1" fontId="4" fillId="30" borderId="23" xfId="0" applyNumberFormat="1" applyFont="1" applyFill="1" applyBorder="1"/>
    <xf numFmtId="0" fontId="0" fillId="3" borderId="0" xfId="0" applyFill="1" applyAlignment="1">
      <alignment wrapText="1"/>
    </xf>
    <xf numFmtId="0" fontId="0" fillId="36" borderId="0" xfId="0" applyFill="1" applyAlignment="1">
      <alignment wrapText="1"/>
    </xf>
    <xf numFmtId="167" fontId="4" fillId="30" borderId="0" xfId="0" applyNumberFormat="1" applyFont="1" applyFill="1" applyAlignment="1">
      <alignment horizontal="center"/>
    </xf>
    <xf numFmtId="0" fontId="164" fillId="0" borderId="0" xfId="0" applyFont="1" applyAlignment="1">
      <alignment vertical="center"/>
    </xf>
    <xf numFmtId="174" fontId="4" fillId="0" borderId="0" xfId="0" applyNumberFormat="1" applyFont="1"/>
    <xf numFmtId="172" fontId="4" fillId="0" borderId="20" xfId="0" applyNumberFormat="1" applyFont="1" applyBorder="1"/>
    <xf numFmtId="167" fontId="4" fillId="0" borderId="0" xfId="0" quotePrefix="1" applyNumberFormat="1" applyFont="1"/>
    <xf numFmtId="0" fontId="61" fillId="20" borderId="0" xfId="0" applyFont="1" applyFill="1"/>
    <xf numFmtId="0" fontId="1" fillId="0" borderId="0" xfId="0" applyFont="1" applyAlignment="1">
      <alignment horizontal="center"/>
    </xf>
    <xf numFmtId="0" fontId="10" fillId="0" borderId="0" xfId="0" applyFont="1" applyAlignment="1">
      <alignment horizontal="left"/>
    </xf>
    <xf numFmtId="0" fontId="52" fillId="27" borderId="57" xfId="0" applyFont="1" applyFill="1" applyBorder="1" applyAlignment="1">
      <alignment readingOrder="1"/>
    </xf>
    <xf numFmtId="0" fontId="52" fillId="27" borderId="58" xfId="0" applyFont="1" applyFill="1" applyBorder="1" applyAlignment="1">
      <alignment readingOrder="1"/>
    </xf>
    <xf numFmtId="0" fontId="52" fillId="27" borderId="59" xfId="0" applyFont="1" applyFill="1" applyBorder="1" applyAlignment="1">
      <alignment readingOrder="1"/>
    </xf>
    <xf numFmtId="0" fontId="55" fillId="27" borderId="57" xfId="0" applyFont="1" applyFill="1" applyBorder="1" applyAlignment="1">
      <alignment readingOrder="1"/>
    </xf>
    <xf numFmtId="0" fontId="0" fillId="0" borderId="0" xfId="0" applyAlignment="1">
      <alignment horizontal="right" vertical="center"/>
    </xf>
    <xf numFmtId="0" fontId="1" fillId="0" borderId="0" xfId="0" applyFont="1" applyAlignment="1">
      <alignment horizontal="center" wrapText="1"/>
    </xf>
    <xf numFmtId="0" fontId="123" fillId="0" borderId="0" xfId="0" applyFont="1" applyAlignment="1">
      <alignment horizontal="center" wrapText="1"/>
    </xf>
    <xf numFmtId="0" fontId="137" fillId="0" borderId="1" xfId="1" applyFont="1" applyAlignment="1">
      <alignment horizontal="center"/>
    </xf>
    <xf numFmtId="0" fontId="125" fillId="0" borderId="3" xfId="3" applyFont="1" applyAlignment="1">
      <alignment horizontal="center"/>
    </xf>
    <xf numFmtId="0" fontId="155" fillId="0" borderId="0" xfId="0" applyFont="1" applyAlignment="1">
      <alignment horizontal="center" wrapText="1"/>
    </xf>
    <xf numFmtId="0" fontId="154" fillId="5" borderId="12" xfId="0" applyFont="1" applyFill="1" applyBorder="1" applyAlignment="1">
      <alignment horizontal="left" vertical="center" wrapText="1"/>
    </xf>
    <xf numFmtId="0" fontId="154" fillId="5" borderId="13" xfId="0" applyFont="1" applyFill="1" applyBorder="1" applyAlignment="1">
      <alignment horizontal="left" vertical="center" wrapText="1"/>
    </xf>
    <xf numFmtId="0" fontId="154" fillId="5" borderId="7" xfId="0" applyFont="1" applyFill="1" applyBorder="1" applyAlignment="1">
      <alignment horizontal="left" vertical="center" wrapText="1"/>
    </xf>
    <xf numFmtId="0" fontId="154" fillId="5" borderId="8" xfId="0" applyFont="1" applyFill="1" applyBorder="1" applyAlignment="1">
      <alignment horizontal="left" vertical="center" wrapText="1"/>
    </xf>
    <xf numFmtId="0" fontId="154" fillId="5" borderId="9" xfId="0" applyFont="1" applyFill="1" applyBorder="1" applyAlignment="1">
      <alignment horizontal="left" vertical="center" wrapText="1"/>
    </xf>
    <xf numFmtId="0" fontId="157" fillId="4" borderId="14" xfId="0" applyFont="1" applyFill="1" applyBorder="1" applyAlignment="1">
      <alignment horizontal="left" vertical="center" wrapText="1"/>
    </xf>
    <xf numFmtId="0" fontId="157" fillId="4" borderId="13" xfId="0" applyFont="1" applyFill="1" applyBorder="1" applyAlignment="1">
      <alignment horizontal="left" vertical="center" wrapText="1"/>
    </xf>
    <xf numFmtId="0" fontId="157" fillId="4" borderId="15" xfId="0" applyFont="1" applyFill="1" applyBorder="1" applyAlignment="1">
      <alignment horizontal="left" vertical="center" wrapText="1"/>
    </xf>
    <xf numFmtId="0" fontId="157" fillId="4" borderId="16" xfId="0" applyFont="1" applyFill="1" applyBorder="1" applyAlignment="1">
      <alignment horizontal="left" vertical="center" wrapText="1"/>
    </xf>
    <xf numFmtId="0" fontId="157" fillId="4" borderId="17" xfId="0" applyFont="1" applyFill="1" applyBorder="1" applyAlignment="1">
      <alignment horizontal="left" vertical="center" wrapText="1"/>
    </xf>
    <xf numFmtId="0" fontId="157" fillId="4" borderId="18" xfId="0" applyFont="1" applyFill="1" applyBorder="1" applyAlignment="1">
      <alignment horizontal="left" vertical="center" wrapText="1"/>
    </xf>
    <xf numFmtId="0" fontId="58" fillId="0" borderId="0" xfId="0" applyFont="1" applyAlignment="1">
      <alignment wrapText="1"/>
    </xf>
    <xf numFmtId="0" fontId="58" fillId="0" borderId="0" xfId="0" applyFont="1"/>
    <xf numFmtId="0" fontId="38" fillId="0" borderId="69" xfId="0" applyFont="1" applyBorder="1"/>
    <xf numFmtId="0" fontId="20" fillId="0" borderId="0" xfId="5" applyFill="1" applyBorder="1" applyAlignment="1"/>
    <xf numFmtId="0" fontId="38" fillId="0" borderId="0" xfId="0" applyFont="1"/>
    <xf numFmtId="0" fontId="108" fillId="0" borderId="0" xfId="0" applyFont="1"/>
    <xf numFmtId="0" fontId="20" fillId="0" borderId="68" xfId="5" applyFill="1" applyBorder="1" applyAlignment="1"/>
    <xf numFmtId="0" fontId="151" fillId="0" borderId="19" xfId="0" applyFont="1" applyBorder="1"/>
    <xf numFmtId="0" fontId="151" fillId="0" borderId="50" xfId="0" applyFont="1" applyBorder="1"/>
    <xf numFmtId="0" fontId="151" fillId="0" borderId="52" xfId="0" applyFont="1" applyBorder="1"/>
    <xf numFmtId="0" fontId="0" fillId="0" borderId="0" xfId="0" applyAlignment="1">
      <alignment horizontal="center" wrapText="1"/>
    </xf>
    <xf numFmtId="0" fontId="143" fillId="0" borderId="31" xfId="0" applyFont="1" applyBorder="1" applyAlignment="1">
      <alignment vertical="center" wrapText="1"/>
    </xf>
    <xf numFmtId="0" fontId="143" fillId="0" borderId="32" xfId="0" applyFont="1" applyBorder="1" applyAlignment="1">
      <alignment vertical="center" wrapText="1"/>
    </xf>
    <xf numFmtId="0" fontId="143" fillId="0" borderId="30" xfId="0" applyFont="1" applyBorder="1" applyAlignment="1">
      <alignment vertical="center" wrapText="1"/>
    </xf>
    <xf numFmtId="0" fontId="123" fillId="0" borderId="0" xfId="0" applyFont="1" applyAlignment="1">
      <alignment horizontal="left" wrapText="1"/>
    </xf>
    <xf numFmtId="0" fontId="125" fillId="15" borderId="36" xfId="0" applyFont="1" applyFill="1" applyBorder="1" applyAlignment="1">
      <alignment vertical="center" wrapText="1"/>
    </xf>
    <xf numFmtId="0" fontId="125" fillId="15" borderId="37" xfId="0" applyFont="1" applyFill="1" applyBorder="1" applyAlignment="1">
      <alignment vertical="center" wrapText="1"/>
    </xf>
    <xf numFmtId="0" fontId="125" fillId="15" borderId="28" xfId="0" applyFont="1" applyFill="1" applyBorder="1" applyAlignment="1">
      <alignment vertical="center" wrapText="1"/>
    </xf>
    <xf numFmtId="0" fontId="125" fillId="0" borderId="38" xfId="0" applyFont="1" applyBorder="1" applyAlignment="1">
      <alignment vertical="center" wrapText="1"/>
    </xf>
    <xf numFmtId="0" fontId="125" fillId="0" borderId="33" xfId="0" applyFont="1" applyBorder="1" applyAlignment="1">
      <alignment vertical="center" wrapText="1"/>
    </xf>
    <xf numFmtId="0" fontId="125" fillId="0" borderId="29" xfId="0" applyFont="1" applyBorder="1" applyAlignment="1">
      <alignment vertical="center" wrapText="1"/>
    </xf>
    <xf numFmtId="0" fontId="123" fillId="15" borderId="36" xfId="0" applyFont="1" applyFill="1" applyBorder="1" applyAlignment="1">
      <alignment horizontal="right" vertical="center" wrapText="1"/>
    </xf>
    <xf numFmtId="0" fontId="123" fillId="15" borderId="37" xfId="0" applyFont="1" applyFill="1" applyBorder="1" applyAlignment="1">
      <alignment horizontal="right" vertical="center" wrapText="1"/>
    </xf>
    <xf numFmtId="0" fontId="123" fillId="15" borderId="28" xfId="0" applyFont="1" applyFill="1" applyBorder="1" applyAlignment="1">
      <alignment horizontal="right" vertical="center" wrapText="1"/>
    </xf>
    <xf numFmtId="0" fontId="123" fillId="17" borderId="36" xfId="0" applyFont="1" applyFill="1" applyBorder="1" applyAlignment="1">
      <alignment horizontal="right" vertical="center" wrapText="1"/>
    </xf>
    <xf numFmtId="0" fontId="123" fillId="17" borderId="37" xfId="0" applyFont="1" applyFill="1" applyBorder="1" applyAlignment="1">
      <alignment horizontal="right" vertical="center" wrapText="1"/>
    </xf>
    <xf numFmtId="0" fontId="123" fillId="17" borderId="28" xfId="0" applyFont="1" applyFill="1" applyBorder="1" applyAlignment="1">
      <alignment horizontal="right" vertical="center" wrapText="1"/>
    </xf>
    <xf numFmtId="0" fontId="143" fillId="0" borderId="39" xfId="0" applyFont="1" applyBorder="1" applyAlignment="1">
      <alignment vertical="center" wrapText="1"/>
    </xf>
    <xf numFmtId="0" fontId="143" fillId="0" borderId="40" xfId="0" applyFont="1" applyBorder="1" applyAlignment="1">
      <alignment vertical="center" wrapText="1"/>
    </xf>
    <xf numFmtId="0" fontId="143" fillId="0" borderId="41" xfId="0" applyFont="1" applyBorder="1" applyAlignment="1">
      <alignment vertical="center" wrapText="1"/>
    </xf>
    <xf numFmtId="0" fontId="143" fillId="0" borderId="34" xfId="0" applyFont="1" applyBorder="1" applyAlignment="1">
      <alignment vertical="center" wrapText="1"/>
    </xf>
    <xf numFmtId="0" fontId="143" fillId="0" borderId="0" xfId="0" applyFont="1" applyAlignment="1">
      <alignment vertical="center" wrapText="1"/>
    </xf>
    <xf numFmtId="0" fontId="143" fillId="0" borderId="35" xfId="0" applyFont="1" applyBorder="1" applyAlignment="1">
      <alignment vertical="center" wrapText="1"/>
    </xf>
    <xf numFmtId="0" fontId="142" fillId="0" borderId="19" xfId="0" applyFont="1" applyBorder="1"/>
    <xf numFmtId="0" fontId="142" fillId="0" borderId="52" xfId="0" applyFont="1" applyBorder="1"/>
    <xf numFmtId="0" fontId="133" fillId="0" borderId="19" xfId="0" applyFont="1" applyBorder="1"/>
    <xf numFmtId="0" fontId="133" fillId="0" borderId="52" xfId="0" applyFont="1" applyBorder="1"/>
    <xf numFmtId="0" fontId="58" fillId="0" borderId="0" xfId="0" applyFont="1" applyAlignment="1">
      <alignment horizontal="center" textRotation="90" wrapText="1"/>
    </xf>
    <xf numFmtId="0" fontId="133" fillId="0" borderId="50" xfId="0" applyFont="1" applyBorder="1"/>
    <xf numFmtId="0" fontId="133" fillId="0" borderId="26" xfId="0" applyFont="1" applyBorder="1"/>
    <xf numFmtId="0" fontId="133" fillId="0" borderId="65" xfId="0" applyFont="1" applyBorder="1"/>
    <xf numFmtId="0" fontId="133" fillId="0" borderId="66" xfId="0" applyFont="1" applyBorder="1"/>
    <xf numFmtId="0" fontId="30" fillId="0" borderId="0" xfId="0" applyFont="1" applyAlignment="1">
      <alignment horizontal="lef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31" fillId="0" borderId="42" xfId="0" applyFont="1" applyBorder="1" applyAlignment="1">
      <alignment horizontal="left" vertical="center"/>
    </xf>
    <xf numFmtId="0" fontId="40" fillId="0" borderId="0" xfId="0" applyFont="1" applyAlignment="1">
      <alignment horizontal="center" wrapText="1"/>
    </xf>
    <xf numFmtId="0" fontId="31" fillId="0" borderId="44" xfId="0" applyFont="1" applyBorder="1" applyAlignment="1">
      <alignment horizontal="center" vertical="center" wrapText="1"/>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0" fontId="30" fillId="0" borderId="44" xfId="0" applyFont="1" applyBorder="1" applyAlignment="1">
      <alignment horizontal="left" wrapText="1"/>
    </xf>
    <xf numFmtId="0" fontId="35" fillId="0" borderId="49" xfId="0" applyFont="1" applyBorder="1" applyAlignment="1">
      <alignment horizontal="left" vertical="center" wrapText="1"/>
    </xf>
    <xf numFmtId="0" fontId="18" fillId="4" borderId="14" xfId="0" applyFont="1" applyFill="1" applyBorder="1" applyAlignment="1">
      <alignment horizontal="left" vertical="center" wrapText="1"/>
    </xf>
    <xf numFmtId="0" fontId="18" fillId="4" borderId="17"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18" fillId="4" borderId="18" xfId="0" applyFont="1" applyFill="1" applyBorder="1" applyAlignment="1">
      <alignment horizontal="left" vertical="center" wrapText="1"/>
    </xf>
    <xf numFmtId="0" fontId="18" fillId="4" borderId="13" xfId="0" applyFont="1" applyFill="1" applyBorder="1" applyAlignment="1">
      <alignment horizontal="left" vertical="center" wrapText="1"/>
    </xf>
    <xf numFmtId="0" fontId="18" fillId="4" borderId="16" xfId="0" applyFont="1" applyFill="1" applyBorder="1" applyAlignment="1">
      <alignment horizontal="left" vertical="center" wrapText="1"/>
    </xf>
    <xf numFmtId="0" fontId="30" fillId="0" borderId="0" xfId="0" applyFont="1" applyAlignment="1">
      <alignment vertical="center" wrapText="1"/>
    </xf>
    <xf numFmtId="0" fontId="16" fillId="5" borderId="12" xfId="0" applyFont="1" applyFill="1" applyBorder="1" applyAlignment="1">
      <alignment horizontal="left" vertical="center" wrapText="1"/>
    </xf>
    <xf numFmtId="0" fontId="16" fillId="5" borderId="13" xfId="0" applyFont="1" applyFill="1" applyBorder="1" applyAlignment="1">
      <alignment horizontal="left" vertical="center" wrapText="1"/>
    </xf>
    <xf numFmtId="0" fontId="16" fillId="5" borderId="7"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16" fillId="5" borderId="9" xfId="0" applyFont="1" applyFill="1" applyBorder="1" applyAlignment="1">
      <alignment horizontal="left" vertical="center" wrapText="1"/>
    </xf>
    <xf numFmtId="0" fontId="9" fillId="0" borderId="0" xfId="0" applyFont="1" applyAlignment="1">
      <alignment horizontal="left" wrapText="1"/>
    </xf>
    <xf numFmtId="0" fontId="0" fillId="0" borderId="0" xfId="0" applyAlignment="1">
      <alignment horizontal="center" vertical="top" wrapText="1"/>
    </xf>
    <xf numFmtId="0" fontId="1" fillId="0" borderId="0" xfId="0" applyFont="1"/>
    <xf numFmtId="0" fontId="0" fillId="0" borderId="0" xfId="0"/>
    <xf numFmtId="0" fontId="20" fillId="0" borderId="0" xfId="5" applyBorder="1" applyAlignment="1"/>
    <xf numFmtId="0" fontId="20" fillId="0" borderId="68" xfId="5" applyBorder="1" applyAlignment="1"/>
    <xf numFmtId="0" fontId="1" fillId="0" borderId="69" xfId="0" applyFont="1" applyBorder="1"/>
    <xf numFmtId="0" fontId="67" fillId="0" borderId="0" xfId="0" applyFont="1"/>
    <xf numFmtId="0" fontId="1" fillId="0" borderId="42" xfId="0" applyFont="1" applyBorder="1" applyAlignment="1">
      <alignment horizontal="left" wrapText="1"/>
    </xf>
    <xf numFmtId="0" fontId="39" fillId="0" borderId="42" xfId="0" applyFont="1" applyBorder="1" applyAlignment="1">
      <alignment horizontal="left" vertical="center" wrapText="1"/>
    </xf>
    <xf numFmtId="0" fontId="30" fillId="0" borderId="42" xfId="0" applyFont="1" applyBorder="1" applyAlignment="1">
      <alignment horizontal="left" vertical="center" wrapText="1"/>
    </xf>
    <xf numFmtId="0" fontId="30" fillId="0" borderId="44" xfId="0" applyFont="1" applyBorder="1" applyAlignment="1">
      <alignment horizontal="left" vertical="center" wrapText="1"/>
    </xf>
    <xf numFmtId="0" fontId="29" fillId="0" borderId="44" xfId="0" applyFont="1" applyBorder="1" applyAlignment="1">
      <alignment horizontal="left" vertical="center"/>
    </xf>
    <xf numFmtId="0" fontId="29" fillId="0" borderId="0" xfId="0" applyFont="1" applyAlignment="1">
      <alignment horizontal="left" vertical="center" wrapText="1"/>
    </xf>
    <xf numFmtId="0" fontId="0" fillId="0" borderId="0" xfId="0" applyAlignment="1">
      <alignment horizontal="left"/>
    </xf>
    <xf numFmtId="0" fontId="0" fillId="0" borderId="44" xfId="0" applyBorder="1" applyAlignment="1">
      <alignment horizontal="left" wrapText="1"/>
    </xf>
    <xf numFmtId="0" fontId="34" fillId="0" borderId="44" xfId="0" applyFont="1" applyBorder="1" applyAlignment="1">
      <alignment horizontal="left" vertical="center" wrapText="1"/>
    </xf>
    <xf numFmtId="0" fontId="34" fillId="0" borderId="0" xfId="0" applyFont="1" applyAlignment="1">
      <alignment horizontal="left" vertical="center" wrapText="1"/>
    </xf>
    <xf numFmtId="0" fontId="43" fillId="0" borderId="0" xfId="0" applyFont="1" applyAlignment="1">
      <alignment horizontal="left" vertical="center" wrapText="1"/>
    </xf>
    <xf numFmtId="0" fontId="34" fillId="0" borderId="44" xfId="0" applyFont="1" applyBorder="1" applyAlignment="1">
      <alignment horizontal="center" wrapText="1"/>
    </xf>
    <xf numFmtId="0" fontId="45" fillId="0" borderId="44" xfId="0" applyFont="1" applyBorder="1" applyAlignment="1">
      <alignment horizontal="center" wrapText="1"/>
    </xf>
    <xf numFmtId="0" fontId="45" fillId="0" borderId="0" xfId="0" applyFont="1" applyAlignment="1">
      <alignment horizontal="center" wrapText="1"/>
    </xf>
    <xf numFmtId="0" fontId="94" fillId="32" borderId="23" xfId="8" applyBorder="1" applyAlignment="1">
      <alignment horizontal="center"/>
    </xf>
    <xf numFmtId="0" fontId="90" fillId="31" borderId="0" xfId="0" applyFont="1" applyFill="1" applyAlignment="1">
      <alignment horizontal="center"/>
    </xf>
    <xf numFmtId="0" fontId="94" fillId="35" borderId="23" xfId="8" applyFill="1" applyBorder="1" applyAlignment="1">
      <alignment horizontal="center"/>
    </xf>
  </cellXfs>
  <cellStyles count="10">
    <cellStyle name="Accent6" xfId="8" builtinId="49"/>
    <cellStyle name="Calculation" xfId="9" builtinId="22"/>
    <cellStyle name="Explanatory Text" xfId="4" builtinId="53"/>
    <cellStyle name="Heading 1" xfId="1" builtinId="16"/>
    <cellStyle name="Heading 2" xfId="2" builtinId="17"/>
    <cellStyle name="Heading 3" xfId="3" builtinId="18"/>
    <cellStyle name="Hyperlink" xfId="5" xr:uid="{00000000-000B-0000-0000-000008000000}"/>
    <cellStyle name="Normal" xfId="0" builtinId="0"/>
    <cellStyle name="Normal 2" xfId="6" xr:uid="{16C27F2D-74DF-463C-895B-CE4D8E15D05B}"/>
    <cellStyle name="Normal 3" xfId="7" xr:uid="{EA7507B7-3413-4E4D-AF14-4A3B02A082C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'Novel foods CO2e'!$E$4</c:f>
              <c:strCache>
                <c:ptCount val="1"/>
                <c:pt idx="0">
                  <c:v>Minor ingredients (published)</c:v>
                </c:pt>
              </c:strCache>
            </c:strRef>
          </c:tx>
          <c:spPr>
            <a:solidFill>
              <a:schemeClr val="accent1"/>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CO2e'!$E$6:$E$11</c:f>
              <c:numCache>
                <c:formatCode>0.00</c:formatCode>
                <c:ptCount val="6"/>
                <c:pt idx="0">
                  <c:v>4.6360000000000001</c:v>
                </c:pt>
                <c:pt idx="1">
                  <c:v>0.25</c:v>
                </c:pt>
                <c:pt idx="2">
                  <c:v>2.3997628682535646</c:v>
                </c:pt>
                <c:pt idx="3">
                  <c:v>0.4280804748</c:v>
                </c:pt>
                <c:pt idx="4">
                  <c:v>0.12</c:v>
                </c:pt>
              </c:numCache>
            </c:numRef>
          </c:val>
          <c:extLst>
            <c:ext xmlns:c16="http://schemas.microsoft.com/office/drawing/2014/chart" uri="{C3380CC4-5D6E-409C-BE32-E72D297353CC}">
              <c16:uniqueId val="{00000001-DF90-4A44-B488-8AF8EB4C9517}"/>
            </c:ext>
          </c:extLst>
        </c:ser>
        <c:ser>
          <c:idx val="1"/>
          <c:order val="1"/>
          <c:tx>
            <c:strRef>
              <c:f>'Novel foods CO2e'!$F$4</c:f>
              <c:strCache>
                <c:ptCount val="1"/>
                <c:pt idx="0">
                  <c:v>Total (published)</c:v>
                </c:pt>
              </c:strCache>
            </c:strRef>
          </c:tx>
          <c:spPr>
            <a:solidFill>
              <a:schemeClr val="accent2"/>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CO2e'!$F$6:$F$11</c:f>
              <c:numCache>
                <c:formatCode>0.00</c:formatCode>
                <c:ptCount val="6"/>
                <c:pt idx="0">
                  <c:v>4.88</c:v>
                </c:pt>
                <c:pt idx="1">
                  <c:v>1.0900000000000001</c:v>
                </c:pt>
                <c:pt idx="2">
                  <c:v>9.5708442999999992</c:v>
                </c:pt>
                <c:pt idx="3">
                  <c:v>8.3937348000000007</c:v>
                </c:pt>
                <c:pt idx="4">
                  <c:v>6</c:v>
                </c:pt>
              </c:numCache>
            </c:numRef>
          </c:val>
          <c:extLst>
            <c:ext xmlns:c16="http://schemas.microsoft.com/office/drawing/2014/chart" uri="{C3380CC4-5D6E-409C-BE32-E72D297353CC}">
              <c16:uniqueId val="{00000003-DF90-4A44-B488-8AF8EB4C9517}"/>
            </c:ext>
          </c:extLst>
        </c:ser>
        <c:ser>
          <c:idx val="2"/>
          <c:order val="2"/>
          <c:tx>
            <c:strRef>
              <c:f>'Novel foods CO2e'!$G$4</c:f>
              <c:strCache>
                <c:ptCount val="1"/>
                <c:pt idx="0">
                  <c:v>Major ingredients (sum of Crop+Animal+Energy Inputs)</c:v>
                </c:pt>
              </c:strCache>
            </c:strRef>
          </c:tx>
          <c:spPr>
            <a:solidFill>
              <a:schemeClr val="accent3"/>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CO2e'!$G$6:$G$11</c:f>
              <c:numCache>
                <c:formatCode>0.00</c:formatCode>
                <c:ptCount val="6"/>
                <c:pt idx="0">
                  <c:v>0</c:v>
                </c:pt>
                <c:pt idx="1">
                  <c:v>0</c:v>
                </c:pt>
                <c:pt idx="2">
                  <c:v>0</c:v>
                </c:pt>
                <c:pt idx="3">
                  <c:v>1.6924239096600366</c:v>
                </c:pt>
                <c:pt idx="4">
                  <c:v>0</c:v>
                </c:pt>
                <c:pt idx="5">
                  <c:v>1.1802778197072946E-2</c:v>
                </c:pt>
              </c:numCache>
            </c:numRef>
          </c:val>
          <c:extLst>
            <c:ext xmlns:c16="http://schemas.microsoft.com/office/drawing/2014/chart" uri="{C3380CC4-5D6E-409C-BE32-E72D297353CC}">
              <c16:uniqueId val="{00000005-DF90-4A44-B488-8AF8EB4C9517}"/>
            </c:ext>
          </c:extLst>
        </c:ser>
        <c:ser>
          <c:idx val="3"/>
          <c:order val="3"/>
          <c:tx>
            <c:strRef>
              <c:f>'Novel foods CO2e'!$H$4</c:f>
              <c:strCache>
                <c:ptCount val="1"/>
                <c:pt idx="0">
                  <c:v>Total (sum of Electricity ingredients + Crop+Animal+Energy inputs)</c:v>
                </c:pt>
              </c:strCache>
            </c:strRef>
          </c:tx>
          <c:spPr>
            <a:solidFill>
              <a:schemeClr val="accent4"/>
            </a:solidFill>
            <a:ln>
              <a:noFill/>
            </a:ln>
            <a:effectLst/>
          </c:spPr>
          <c:invertIfNegative val="0"/>
          <c:cat>
            <c:strRef>
              <c:f>'Novel foods CO2e'!$B$6:$B$11</c:f>
              <c:strCache>
                <c:ptCount val="6"/>
                <c:pt idx="0">
                  <c:v>Cultured Meat (Bos. Spp.)</c:v>
                </c:pt>
                <c:pt idx="1">
                  <c:v>Microbial Milk (T. reesei)</c:v>
                </c:pt>
                <c:pt idx="2">
                  <c:v>Microbial Ovalbumin (T. reesei)</c:v>
                </c:pt>
                <c:pt idx="3">
                  <c:v>Microbial Protein (Solein)</c:v>
                </c:pt>
                <c:pt idx="4">
                  <c:v>Mycoprotein (Quorn)</c:v>
                </c:pt>
                <c:pt idx="5">
                  <c:v>Yeast Fat (Rhodotorula babjevae)</c:v>
                </c:pt>
              </c:strCache>
            </c:strRef>
          </c:cat>
          <c:val>
            <c:numRef>
              <c:f>'Novel foods CO2e'!$H$6:$H$11</c:f>
              <c:numCache>
                <c:formatCode>0.00</c:formatCode>
                <c:ptCount val="6"/>
                <c:pt idx="0">
                  <c:v>0</c:v>
                </c:pt>
                <c:pt idx="1">
                  <c:v>0</c:v>
                </c:pt>
                <c:pt idx="2">
                  <c:v>0</c:v>
                </c:pt>
                <c:pt idx="3">
                  <c:v>2.1205043844600366</c:v>
                </c:pt>
                <c:pt idx="4">
                  <c:v>0</c:v>
                </c:pt>
                <c:pt idx="5">
                  <c:v>1.1802778197072946E-2</c:v>
                </c:pt>
              </c:numCache>
            </c:numRef>
          </c:val>
          <c:extLst>
            <c:ext xmlns:c16="http://schemas.microsoft.com/office/drawing/2014/chart" uri="{C3380CC4-5D6E-409C-BE32-E72D297353CC}">
              <c16:uniqueId val="{00000007-DF90-4A44-B488-8AF8EB4C9517}"/>
            </c:ext>
          </c:extLst>
        </c:ser>
        <c:dLbls>
          <c:showLegendKey val="0"/>
          <c:showVal val="0"/>
          <c:showCatName val="0"/>
          <c:showSerName val="0"/>
          <c:showPercent val="0"/>
          <c:showBubbleSize val="0"/>
        </c:dLbls>
        <c:gapWidth val="219"/>
        <c:overlap val="-27"/>
        <c:axId val="83643576"/>
        <c:axId val="83647048"/>
      </c:barChart>
      <c:catAx>
        <c:axId val="8364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83647048"/>
        <c:crosses val="autoZero"/>
        <c:auto val="1"/>
        <c:lblAlgn val="ctr"/>
        <c:lblOffset val="100"/>
        <c:noMultiLvlLbl val="0"/>
      </c:catAx>
      <c:valAx>
        <c:axId val="83647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CO2e/kg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83643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971550</xdr:colOff>
      <xdr:row>46</xdr:row>
      <xdr:rowOff>152400</xdr:rowOff>
    </xdr:from>
    <xdr:to>
      <xdr:col>20</xdr:col>
      <xdr:colOff>533400</xdr:colOff>
      <xdr:row>71</xdr:row>
      <xdr:rowOff>133350</xdr:rowOff>
    </xdr:to>
    <xdr:pic>
      <xdr:nvPicPr>
        <xdr:cNvPr id="2" name="Bild 1">
          <a:extLst>
            <a:ext uri="{FF2B5EF4-FFF2-40B4-BE49-F238E27FC236}">
              <a16:creationId xmlns:a16="http://schemas.microsoft.com/office/drawing/2014/main" id="{4B417AA4-ACCA-C76B-213F-F4EF46F5AD09}"/>
            </a:ext>
          </a:extLst>
        </xdr:cNvPr>
        <xdr:cNvPicPr>
          <a:picLocks noChangeAspect="1"/>
        </xdr:cNvPicPr>
      </xdr:nvPicPr>
      <xdr:blipFill>
        <a:blip xmlns:r="http://schemas.openxmlformats.org/officeDocument/2006/relationships" r:embed="rId1"/>
        <a:stretch>
          <a:fillRect/>
        </a:stretch>
      </xdr:blipFill>
      <xdr:spPr>
        <a:xfrm>
          <a:off x="15735300" y="9867900"/>
          <a:ext cx="7448550" cy="4743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144</xdr:row>
      <xdr:rowOff>6350</xdr:rowOff>
    </xdr:from>
    <xdr:to>
      <xdr:col>6</xdr:col>
      <xdr:colOff>353435</xdr:colOff>
      <xdr:row>166</xdr:row>
      <xdr:rowOff>124674</xdr:rowOff>
    </xdr:to>
    <xdr:pic>
      <xdr:nvPicPr>
        <xdr:cNvPr id="6" name="Picture 5">
          <a:extLst>
            <a:ext uri="{FF2B5EF4-FFF2-40B4-BE49-F238E27FC236}">
              <a16:creationId xmlns:a16="http://schemas.microsoft.com/office/drawing/2014/main" id="{8487DB67-A771-4DAC-83B0-157FDB677C9F}"/>
            </a:ext>
          </a:extLst>
        </xdr:cNvPr>
        <xdr:cNvPicPr>
          <a:picLocks noChangeAspect="1"/>
        </xdr:cNvPicPr>
      </xdr:nvPicPr>
      <xdr:blipFill>
        <a:blip xmlns:r="http://schemas.openxmlformats.org/officeDocument/2006/relationships" r:embed="rId1"/>
        <a:stretch>
          <a:fillRect/>
        </a:stretch>
      </xdr:blipFill>
      <xdr:spPr>
        <a:xfrm>
          <a:off x="76200" y="13246100"/>
          <a:ext cx="7302875" cy="4165814"/>
        </a:xfrm>
        <a:prstGeom prst="rect">
          <a:avLst/>
        </a:prstGeom>
      </xdr:spPr>
    </xdr:pic>
    <xdr:clientData/>
  </xdr:twoCellAnchor>
  <xdr:twoCellAnchor editAs="oneCell">
    <xdr:from>
      <xdr:col>0</xdr:col>
      <xdr:colOff>63501</xdr:colOff>
      <xdr:row>94</xdr:row>
      <xdr:rowOff>31751</xdr:rowOff>
    </xdr:from>
    <xdr:to>
      <xdr:col>6</xdr:col>
      <xdr:colOff>485141</xdr:colOff>
      <xdr:row>103</xdr:row>
      <xdr:rowOff>155146</xdr:rowOff>
    </xdr:to>
    <xdr:pic>
      <xdr:nvPicPr>
        <xdr:cNvPr id="3" name="Picture 2">
          <a:extLst>
            <a:ext uri="{FF2B5EF4-FFF2-40B4-BE49-F238E27FC236}">
              <a16:creationId xmlns:a16="http://schemas.microsoft.com/office/drawing/2014/main" id="{07C568C1-7388-454E-B0EB-09BC1A8DF736}"/>
            </a:ext>
          </a:extLst>
        </xdr:cNvPr>
        <xdr:cNvPicPr>
          <a:picLocks noChangeAspect="1"/>
        </xdr:cNvPicPr>
      </xdr:nvPicPr>
      <xdr:blipFill>
        <a:blip xmlns:r="http://schemas.openxmlformats.org/officeDocument/2006/relationships" r:embed="rId2"/>
        <a:stretch>
          <a:fillRect/>
        </a:stretch>
      </xdr:blipFill>
      <xdr:spPr>
        <a:xfrm>
          <a:off x="63501" y="4064001"/>
          <a:ext cx="7454900" cy="1879170"/>
        </a:xfrm>
        <a:prstGeom prst="rect">
          <a:avLst/>
        </a:prstGeom>
      </xdr:spPr>
    </xdr:pic>
    <xdr:clientData/>
  </xdr:twoCellAnchor>
  <xdr:twoCellAnchor editAs="oneCell">
    <xdr:from>
      <xdr:col>0</xdr:col>
      <xdr:colOff>0</xdr:colOff>
      <xdr:row>87</xdr:row>
      <xdr:rowOff>0</xdr:rowOff>
    </xdr:from>
    <xdr:to>
      <xdr:col>6</xdr:col>
      <xdr:colOff>479406</xdr:colOff>
      <xdr:row>95</xdr:row>
      <xdr:rowOff>66645</xdr:rowOff>
    </xdr:to>
    <xdr:pic>
      <xdr:nvPicPr>
        <xdr:cNvPr id="2" name="Picture 1">
          <a:extLst>
            <a:ext uri="{FF2B5EF4-FFF2-40B4-BE49-F238E27FC236}">
              <a16:creationId xmlns:a16="http://schemas.microsoft.com/office/drawing/2014/main" id="{22920BB0-85BF-4833-AF20-FDF6AC9DB4E1}"/>
            </a:ext>
          </a:extLst>
        </xdr:cNvPr>
        <xdr:cNvPicPr>
          <a:picLocks noChangeAspect="1"/>
        </xdr:cNvPicPr>
      </xdr:nvPicPr>
      <xdr:blipFill>
        <a:blip xmlns:r="http://schemas.openxmlformats.org/officeDocument/2006/relationships" r:embed="rId3"/>
        <a:stretch>
          <a:fillRect/>
        </a:stretch>
      </xdr:blipFill>
      <xdr:spPr>
        <a:xfrm>
          <a:off x="0" y="2743200"/>
          <a:ext cx="7501236" cy="1765905"/>
        </a:xfrm>
        <a:prstGeom prst="rect">
          <a:avLst/>
        </a:prstGeom>
      </xdr:spPr>
    </xdr:pic>
    <xdr:clientData/>
  </xdr:twoCellAnchor>
  <xdr:twoCellAnchor editAs="oneCell">
    <xdr:from>
      <xdr:col>0</xdr:col>
      <xdr:colOff>95250</xdr:colOff>
      <xdr:row>106</xdr:row>
      <xdr:rowOff>158750</xdr:rowOff>
    </xdr:from>
    <xdr:to>
      <xdr:col>6</xdr:col>
      <xdr:colOff>438529</xdr:colOff>
      <xdr:row>139</xdr:row>
      <xdr:rowOff>57457</xdr:rowOff>
    </xdr:to>
    <xdr:pic>
      <xdr:nvPicPr>
        <xdr:cNvPr id="4" name="Picture 3">
          <a:extLst>
            <a:ext uri="{FF2B5EF4-FFF2-40B4-BE49-F238E27FC236}">
              <a16:creationId xmlns:a16="http://schemas.microsoft.com/office/drawing/2014/main" id="{DC65F506-0ED1-4D27-9815-997DA88800F6}"/>
            </a:ext>
          </a:extLst>
        </xdr:cNvPr>
        <xdr:cNvPicPr>
          <a:picLocks noChangeAspect="1"/>
        </xdr:cNvPicPr>
      </xdr:nvPicPr>
      <xdr:blipFill>
        <a:blip xmlns:r="http://schemas.openxmlformats.org/officeDocument/2006/relationships" r:embed="rId4"/>
        <a:stretch>
          <a:fillRect/>
        </a:stretch>
      </xdr:blipFill>
      <xdr:spPr>
        <a:xfrm>
          <a:off x="95250" y="6400800"/>
          <a:ext cx="7372729" cy="5975657"/>
        </a:xfrm>
        <a:prstGeom prst="rect">
          <a:avLst/>
        </a:prstGeom>
      </xdr:spPr>
    </xdr:pic>
    <xdr:clientData/>
  </xdr:twoCellAnchor>
  <xdr:twoCellAnchor editAs="oneCell">
    <xdr:from>
      <xdr:col>0</xdr:col>
      <xdr:colOff>107950</xdr:colOff>
      <xdr:row>157</xdr:row>
      <xdr:rowOff>95250</xdr:rowOff>
    </xdr:from>
    <xdr:to>
      <xdr:col>6</xdr:col>
      <xdr:colOff>361055</xdr:colOff>
      <xdr:row>171</xdr:row>
      <xdr:rowOff>66171</xdr:rowOff>
    </xdr:to>
    <xdr:pic>
      <xdr:nvPicPr>
        <xdr:cNvPr id="7" name="Picture 6">
          <a:extLst>
            <a:ext uri="{FF2B5EF4-FFF2-40B4-BE49-F238E27FC236}">
              <a16:creationId xmlns:a16="http://schemas.microsoft.com/office/drawing/2014/main" id="{48E5BC46-C7E1-45C4-87D4-4B3535B3599C}"/>
            </a:ext>
          </a:extLst>
        </xdr:cNvPr>
        <xdr:cNvPicPr>
          <a:picLocks noChangeAspect="1"/>
        </xdr:cNvPicPr>
      </xdr:nvPicPr>
      <xdr:blipFill>
        <a:blip xmlns:r="http://schemas.openxmlformats.org/officeDocument/2006/relationships" r:embed="rId5"/>
        <a:stretch>
          <a:fillRect/>
        </a:stretch>
      </xdr:blipFill>
      <xdr:spPr>
        <a:xfrm>
          <a:off x="107950" y="15728950"/>
          <a:ext cx="7290175" cy="2552831"/>
        </a:xfrm>
        <a:prstGeom prst="rect">
          <a:avLst/>
        </a:prstGeom>
      </xdr:spPr>
    </xdr:pic>
    <xdr:clientData/>
  </xdr:twoCellAnchor>
  <xdr:twoCellAnchor editAs="oneCell">
    <xdr:from>
      <xdr:col>0</xdr:col>
      <xdr:colOff>0</xdr:colOff>
      <xdr:row>49</xdr:row>
      <xdr:rowOff>171450</xdr:rowOff>
    </xdr:from>
    <xdr:to>
      <xdr:col>4</xdr:col>
      <xdr:colOff>1043940</xdr:colOff>
      <xdr:row>55</xdr:row>
      <xdr:rowOff>148590</xdr:rowOff>
    </xdr:to>
    <xdr:pic>
      <xdr:nvPicPr>
        <xdr:cNvPr id="8" name="Bild 7">
          <a:extLst>
            <a:ext uri="{FF2B5EF4-FFF2-40B4-BE49-F238E27FC236}">
              <a16:creationId xmlns:a16="http://schemas.microsoft.com/office/drawing/2014/main" id="{FAA3E478-CACA-E485-83F9-68769D0DCB33}"/>
            </a:ext>
            <a:ext uri="{147F2762-F138-4A5C-976F-8EAC2B608ADB}">
              <a16:predDERef xmlns:a16="http://schemas.microsoft.com/office/drawing/2014/main" pred="{48E5BC46-C7E1-45C4-87D4-4B3535B3599C}"/>
            </a:ext>
          </a:extLst>
        </xdr:cNvPr>
        <xdr:cNvPicPr>
          <a:picLocks noChangeAspect="1"/>
        </xdr:cNvPicPr>
      </xdr:nvPicPr>
      <xdr:blipFill>
        <a:blip xmlns:r="http://schemas.openxmlformats.org/officeDocument/2006/relationships" r:embed="rId6"/>
        <a:stretch>
          <a:fillRect/>
        </a:stretch>
      </xdr:blipFill>
      <xdr:spPr>
        <a:xfrm>
          <a:off x="0" y="8105775"/>
          <a:ext cx="5095875" cy="1190625"/>
        </a:xfrm>
        <a:prstGeom prst="rect">
          <a:avLst/>
        </a:prstGeom>
      </xdr:spPr>
    </xdr:pic>
    <xdr:clientData/>
  </xdr:twoCellAnchor>
  <xdr:twoCellAnchor editAs="oneCell">
    <xdr:from>
      <xdr:col>0</xdr:col>
      <xdr:colOff>133350</xdr:colOff>
      <xdr:row>139</xdr:row>
      <xdr:rowOff>85725</xdr:rowOff>
    </xdr:from>
    <xdr:to>
      <xdr:col>6</xdr:col>
      <xdr:colOff>399155</xdr:colOff>
      <xdr:row>144</xdr:row>
      <xdr:rowOff>60371</xdr:rowOff>
    </xdr:to>
    <xdr:pic>
      <xdr:nvPicPr>
        <xdr:cNvPr id="9" name="Bild 8">
          <a:extLst>
            <a:ext uri="{FF2B5EF4-FFF2-40B4-BE49-F238E27FC236}">
              <a16:creationId xmlns:a16="http://schemas.microsoft.com/office/drawing/2014/main" id="{3E352AA5-5333-4354-B222-F03774FD959E}"/>
            </a:ext>
            <a:ext uri="{147F2762-F138-4A5C-976F-8EAC2B608ADB}">
              <a16:predDERef xmlns:a16="http://schemas.microsoft.com/office/drawing/2014/main" pred="{FAA3E478-CACA-E485-83F9-68769D0DCB33}"/>
            </a:ext>
          </a:extLst>
        </xdr:cNvPr>
        <xdr:cNvPicPr>
          <a:picLocks noChangeAspect="1"/>
        </xdr:cNvPicPr>
      </xdr:nvPicPr>
      <xdr:blipFill>
        <a:blip xmlns:r="http://schemas.openxmlformats.org/officeDocument/2006/relationships" r:embed="rId7"/>
        <a:stretch>
          <a:fillRect/>
        </a:stretch>
      </xdr:blipFill>
      <xdr:spPr>
        <a:xfrm>
          <a:off x="133350" y="26765250"/>
          <a:ext cx="7312400" cy="8795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171450</xdr:colOff>
      <xdr:row>62</xdr:row>
      <xdr:rowOff>158750</xdr:rowOff>
    </xdr:from>
    <xdr:to>
      <xdr:col>4</xdr:col>
      <xdr:colOff>284859</xdr:colOff>
      <xdr:row>92</xdr:row>
      <xdr:rowOff>155875</xdr:rowOff>
    </xdr:to>
    <xdr:pic>
      <xdr:nvPicPr>
        <xdr:cNvPr id="2" name="Picture 1">
          <a:extLst>
            <a:ext uri="{FF2B5EF4-FFF2-40B4-BE49-F238E27FC236}">
              <a16:creationId xmlns:a16="http://schemas.microsoft.com/office/drawing/2014/main" id="{68FC86E4-2D0C-4A3C-B4F4-9978D3736D9A}"/>
            </a:ext>
          </a:extLst>
        </xdr:cNvPr>
        <xdr:cNvPicPr>
          <a:picLocks noChangeAspect="1"/>
        </xdr:cNvPicPr>
      </xdr:nvPicPr>
      <xdr:blipFill>
        <a:blip xmlns:r="http://schemas.openxmlformats.org/officeDocument/2006/relationships" r:embed="rId1"/>
        <a:stretch>
          <a:fillRect/>
        </a:stretch>
      </xdr:blipFill>
      <xdr:spPr>
        <a:xfrm>
          <a:off x="171450" y="8305800"/>
          <a:ext cx="7379079" cy="5829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171450</xdr:colOff>
      <xdr:row>202</xdr:row>
      <xdr:rowOff>158750</xdr:rowOff>
    </xdr:from>
    <xdr:to>
      <xdr:col>5</xdr:col>
      <xdr:colOff>1178304</xdr:colOff>
      <xdr:row>233</xdr:row>
      <xdr:rowOff>124125</xdr:rowOff>
    </xdr:to>
    <xdr:pic>
      <xdr:nvPicPr>
        <xdr:cNvPr id="2" name="Picture 1">
          <a:extLst>
            <a:ext uri="{FF2B5EF4-FFF2-40B4-BE49-F238E27FC236}">
              <a16:creationId xmlns:a16="http://schemas.microsoft.com/office/drawing/2014/main" id="{A2FBF6B5-2691-40FA-88A7-0F953F729D28}"/>
            </a:ext>
          </a:extLst>
        </xdr:cNvPr>
        <xdr:cNvPicPr>
          <a:picLocks noChangeAspect="1"/>
        </xdr:cNvPicPr>
      </xdr:nvPicPr>
      <xdr:blipFill>
        <a:blip xmlns:r="http://schemas.openxmlformats.org/officeDocument/2006/relationships" r:embed="rId1"/>
        <a:stretch>
          <a:fillRect/>
        </a:stretch>
      </xdr:blipFill>
      <xdr:spPr>
        <a:xfrm>
          <a:off x="171450" y="8489950"/>
          <a:ext cx="7379079" cy="5829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23</xdr:row>
      <xdr:rowOff>0</xdr:rowOff>
    </xdr:from>
    <xdr:to>
      <xdr:col>8</xdr:col>
      <xdr:colOff>428625</xdr:colOff>
      <xdr:row>68</xdr:row>
      <xdr:rowOff>133350</xdr:rowOff>
    </xdr:to>
    <xdr:pic>
      <xdr:nvPicPr>
        <xdr:cNvPr id="3" name="Bild 2">
          <a:extLst>
            <a:ext uri="{FF2B5EF4-FFF2-40B4-BE49-F238E27FC236}">
              <a16:creationId xmlns:a16="http://schemas.microsoft.com/office/drawing/2014/main" id="{38FD3913-BD74-CF2A-DBE3-9A0572B4C19B}"/>
            </a:ext>
          </a:extLst>
        </xdr:cNvPr>
        <xdr:cNvPicPr>
          <a:picLocks noChangeAspect="1"/>
        </xdr:cNvPicPr>
      </xdr:nvPicPr>
      <xdr:blipFill>
        <a:blip xmlns:r="http://schemas.openxmlformats.org/officeDocument/2006/relationships" r:embed="rId1"/>
        <a:stretch>
          <a:fillRect/>
        </a:stretch>
      </xdr:blipFill>
      <xdr:spPr>
        <a:xfrm>
          <a:off x="3533775" y="4467225"/>
          <a:ext cx="6610350" cy="8734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676275</xdr:colOff>
      <xdr:row>19</xdr:row>
      <xdr:rowOff>104775</xdr:rowOff>
    </xdr:from>
    <xdr:to>
      <xdr:col>10</xdr:col>
      <xdr:colOff>1076325</xdr:colOff>
      <xdr:row>45</xdr:row>
      <xdr:rowOff>161925</xdr:rowOff>
    </xdr:to>
    <xdr:graphicFrame macro="">
      <xdr:nvGraphicFramePr>
        <xdr:cNvPr id="2" name="Diagram 1">
          <a:extLst>
            <a:ext uri="{FF2B5EF4-FFF2-40B4-BE49-F238E27FC236}">
              <a16:creationId xmlns:a16="http://schemas.microsoft.com/office/drawing/2014/main" id="{BF208659-576B-3322-F60A-187C91E3E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2%20-%20Livestock/Pig.xlsx" TargetMode="External"/><Relationship Id="rId1" Type="http://schemas.openxmlformats.org/officeDocument/2006/relationships/externalLinkPath" Target="/personal/elin_roos_slu_se/Documents/Dokument/SLU/Projekt%2042%20-%20Plan'eat/WP3/2%20-%20Livestock/Pi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2%20-%20Livestock/Egg.xlsx" TargetMode="External"/><Relationship Id="rId1" Type="http://schemas.openxmlformats.org/officeDocument/2006/relationships/externalLinkPath" Target="/personal/elin_roos_slu_se/Documents/Dokument/SLU/Projekt%2042%20-%20Plan'eat/WP3/2%20-%20Livestock/Eg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s"/>
      <sheetName val="Footprints, results per kg"/>
      <sheetName val="GHG detailed, results per kg"/>
      <sheetName val="Production"/>
      <sheetName val="Parameters, country spec"/>
      <sheetName val="Mortality &amp; FCR"/>
      <sheetName val="Manure"/>
      <sheetName val="CO2 per kg feed"/>
      <sheetName val="CH4 per kg feed"/>
      <sheetName val="N2O per kg feed"/>
      <sheetName val="EFP per kg feed"/>
      <sheetName val="Off-farm feed"/>
      <sheetName val="Parameters, general"/>
      <sheetName val="References"/>
      <sheetName val="Verification"/>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gures"/>
      <sheetName val="Footprints, results per kg"/>
      <sheetName val="GHG detailed, results per kg"/>
      <sheetName val="Production"/>
      <sheetName val="Parameters, country spec"/>
      <sheetName val="Manure"/>
      <sheetName val="CO2 per kg feed"/>
      <sheetName val="CH4 per kg feed"/>
      <sheetName val="N2O per kg feed"/>
      <sheetName val="EFP per kg feed"/>
      <sheetName val="Parameters, general"/>
      <sheetName val="Off-farm feed"/>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Guest User" id="{5CEF7936-0392-4D7B-B859-76AB9D8A3A30}" userId="S::urn:spo:anon#94a666c3b2f60ca2caf0a9daea7d7f2d683c13f709496c9c1d7985101d02aa55::" providerId="AD"/>
  <person displayName="rachel.mazac" id="{3872D94B-9B52-46AD-986A-E8F8F849B430}" userId="S::rachel.mazac_su.se#ext#@svelantbruksuniversitet.onmicrosoft.com::a656249a-a512-4933-92fe-af20918cf4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5" dT="2023-08-01T12:15:27.87" personId="{3872D94B-9B52-46AD-986A-E8F8F849B430}" id="{4913C71D-B624-4E1F-A2C0-664C035B631A}">
    <text>How can we calculate these for the insects/cultured products with the animal welfare index?</text>
  </threadedComment>
  <threadedComment ref="F9" dT="2023-08-01T11:50:47.81" personId="{3872D94B-9B52-46AD-986A-E8F8F849B430}" id="{F807ACF2-6A7F-4CBA-93F2-F82AC4777181}">
    <text>There are other scenarios which assume more renewables and more efficient technology which could also be used, "The environmental impacts of the CMB were 1.7–2.3 times higher compared to the CMB128 and 3.8–5.7 times higher compared to the impacts of the CMC depending on the impact category (Table 3)."</text>
    <extLst>
      <x:ext xmlns:xltc2="http://schemas.microsoft.com/office/spreadsheetml/2020/threadedcomments2" uri="{F7C98A9C-CBB3-438F-8F68-D28B6AF4A901}">
        <xltc2:checksum>336985439</xltc2:checksum>
        <xltc2:hyperlink startIndex="292" length="7" url="https://www.sciencedirect.com/science/article/pii/S0048969722051506#t0015"/>
      </x:ext>
    </extLst>
  </threadedComment>
  <threadedComment ref="R9" dT="2023-08-01T11:44:42.12" personId="{3872D94B-9B52-46AD-986A-E8F8F849B430}" id="{2750F62D-2CC3-4722-B208-B7BD59460AE0}">
    <text>possibly just a waste product, not the resulting impact?</text>
  </threadedComment>
  <threadedComment ref="B10" dT="2023-08-01T12:00:51.45" personId="{3872D94B-9B52-46AD-986A-E8F8F849B430}" id="{9C1CCE03-884F-49BA-A8E5-B5CF3D2A8104}">
    <text>Limited information, "Cultured milk protein production is a new and proprietary process, and so our analysis is based on data extracted from resources documenting similar production processes." Bhandri et al. (2021)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A80" dT="2023-08-16T08:14:07.31" personId="{5CEF7936-0392-4D7B-B859-76AB9D8A3A30}" id="{49E73F3B-0326-4CAC-9403-FEC07F4EED56}">
    <text>NOTE: this is a comparison of the two fermentation types: continuously stirred-tank reactor (CSTR) or raceway pond. We chose the tank here as akin to bioreactor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frontiersin.org/articles/10.3389/fsufs.2019.00043/full?ref=wherefrom" TargetMode="External"/><Relationship Id="rId2" Type="http://schemas.openxmlformats.org/officeDocument/2006/relationships/hyperlink" Target="https://microbialcellfactories.biomedcentral.com/articles/10.1186/s12934-023-02067-5" TargetMode="External"/><Relationship Id="rId1" Type="http://schemas.openxmlformats.org/officeDocument/2006/relationships/hyperlink" Target="https://www.susupport.com/knowledge/fermentation/precision-fermentation" TargetMode="External"/><Relationship Id="rId6" Type="http://schemas.openxmlformats.org/officeDocument/2006/relationships/printerSettings" Target="../printerSettings/printerSettings3.bin"/><Relationship Id="rId5" Type="http://schemas.openxmlformats.org/officeDocument/2006/relationships/hyperlink" Target="https://www.sciencedirect.com/science/article/pii/S0308597X2200447X" TargetMode="External"/><Relationship Id="rId4" Type="http://schemas.openxmlformats.org/officeDocument/2006/relationships/hyperlink" Target="https://www.sciencedirect.com/science/article/pii/S0040162521002778?casa_token=isodOjKyCcoAAAAA:Zd4i0G4h5N-qcaPZ5dDQSll1WXWKpjgNIxVpZrcJ_nSmG62Xj-MV0LBxLug43NaevDKt2kftCorO"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link.springer.com/article/10.1007/s11367-022-02087-0" TargetMode="External"/><Relationship Id="rId1" Type="http://schemas.openxmlformats.org/officeDocument/2006/relationships/hyperlink" Target="https://www.sciencedirect.com/science/article/pii/S096085241731427X?casa_token=fN_HIEgNxtwAAAAA:iXOjwsm-dut-R4gwhUiXo4UhLL5ivqa7h1kqVNiXwc22WWWoQSj4ViAM-R-J7qR5hBL4J-Ha63kh" TargetMode="Externa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link.springer.com/article/10.1007/s11367-015-0931-6" TargetMode="External"/><Relationship Id="rId7" Type="http://schemas.openxmlformats.org/officeDocument/2006/relationships/hyperlink" Target="https://ncegg.org/egg-nutrition-center/yolks-vs-whites/" TargetMode="External"/><Relationship Id="rId2" Type="http://schemas.openxmlformats.org/officeDocument/2006/relationships/hyperlink" Target="https://link.springer.com/article/10.1007/s11367-015-0931-6" TargetMode="External"/><Relationship Id="rId1" Type="http://schemas.openxmlformats.org/officeDocument/2006/relationships/hyperlink" Target="https://link.springer.com/article/10.1007/s11367-015-0931-6" TargetMode="External"/><Relationship Id="rId6" Type="http://schemas.openxmlformats.org/officeDocument/2006/relationships/hyperlink" Target="https://www.sciencedirect.com/science/article/pii/S2666833521000320" TargetMode="External"/><Relationship Id="rId5" Type="http://schemas.openxmlformats.org/officeDocument/2006/relationships/hyperlink" Target="https://link.springer.com/article/10.1007/s11367-015-0931-6" TargetMode="External"/><Relationship Id="rId4" Type="http://schemas.openxmlformats.org/officeDocument/2006/relationships/hyperlink" Target="https://link.springer.com/article/10.1007/s11367-015-0931-6" TargetMode="External"/><Relationship Id="rId9"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sciencedirect.com/science/article/pii/S0959652619318517?casa_token=IVB8LNN_g4MAAAAA:ThU-boZM8s2v_HCo9cnWJGuXQ6lpFfTYPx3yvRGZa_TTwEcLhOI0TKVClpB1Q8qV2hG7LRqYKy1A" TargetMode="External"/><Relationship Id="rId7" Type="http://schemas.openxmlformats.org/officeDocument/2006/relationships/hyperlink" Target="https://www.sciencedirect.com/science/article/pii/S0959652619318517?casa_token=IVB8LNN_g4MAAAAA:ThU-boZM8s2v_HCo9cnWJGuXQ6lpFfTYPx3yvRGZa_TTwEcLhOI0TKVClpB1Q8qV2hG7LRqYKy1A" TargetMode="External"/><Relationship Id="rId2" Type="http://schemas.openxmlformats.org/officeDocument/2006/relationships/hyperlink" Target="https://www.sciencedirect.com/science/article/pii/S0959652619318517?casa_token=IVB8LNN_g4MAAAAA:ThU-boZM8s2v_HCo9cnWJGuXQ6lpFfTYPx3yvRGZa_TTwEcLhOI0TKVClpB1Q8qV2hG7LRqYKy1A" TargetMode="External"/><Relationship Id="rId1" Type="http://schemas.openxmlformats.org/officeDocument/2006/relationships/hyperlink" Target="https://www.sciencedirect.com/science/article/pii/S221192642100223X?via%3Dihub" TargetMode="External"/><Relationship Id="rId6" Type="http://schemas.openxmlformats.org/officeDocument/2006/relationships/hyperlink" Target="Lardon,%20L.,%20H&#233;lias,%20A.,%20Sialve,%20B.,%20Steyer,%20J.%20P.,%20&amp;%20Bernard,%20O.%20(2009).%20Life-cycle%20assessment%20of%20biodiesel%20production%20from%20microalgae." TargetMode="External"/><Relationship Id="rId5" Type="http://schemas.openxmlformats.org/officeDocument/2006/relationships/hyperlink" Target="https://www.sciencedirect.com/science/article/pii/S0959652619318517?casa_token=IVB8LNN_g4MAAAAA:ThU-boZM8s2v_HCo9cnWJGuXQ6lpFfTYPx3yvRGZa_TTwEcLhOI0TKVClpB1Q8qV2hG7LRqYKy1A" TargetMode="External"/><Relationship Id="rId4" Type="http://schemas.openxmlformats.org/officeDocument/2006/relationships/hyperlink" Target="https://www.sciencedirect.com/science/article/pii/S0959652619318517?casa_token=IVB8LNN_g4MAAAAA:ThU-boZM8s2v_HCo9cnWJGuXQ6lpFfTYPx3yvRGZa_TTwEcLhOI0TKVClpB1Q8qV2hG7LRqYKy1A"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sciencedirect.com/science/article/pii/S0959652615004813?casa_token=BNFr1eV7GTQAAAAA:Bv3tY5HrfJyNV-i0kwllNGtVBjaoywCB7DdwWhC8NvF-bVYb9sdROjfjxWZMZHA90WX-vu3hToiN" TargetMode="External"/><Relationship Id="rId18" Type="http://schemas.openxmlformats.org/officeDocument/2006/relationships/hyperlink" Target="https://www.sciencedirect.com/science/article/pii/S0959652615004813?casa_token=BNFr1eV7GTQAAAAA:Bv3tY5HrfJyNV-i0kwllNGtVBjaoywCB7DdwWhC8NvF-bVYb9sdROjfjxWZMZHA90WX-vu3hToiN" TargetMode="External"/><Relationship Id="rId26" Type="http://schemas.openxmlformats.org/officeDocument/2006/relationships/hyperlink" Target="https://www.sciencedirect.com/science/article/pii/S0959652616310447?casa_token=biIWC8GkVWEAAAAA:ogFqF0vxlBtcvxZzgO5m0Anm78s2QOfZnGv-Y-XNKENEnN8CUlut5CJWbfBDu6nUt25ezBSFzaDG" TargetMode="External"/><Relationship Id="rId3" Type="http://schemas.openxmlformats.org/officeDocument/2006/relationships/hyperlink" Target="https://link.springer.com/article/10.1007/s11367-015-0931-6" TargetMode="External"/><Relationship Id="rId21" Type="http://schemas.openxmlformats.org/officeDocument/2006/relationships/hyperlink" Target="https://www.sciencedirect.com/science/article/pii/S0959652616310447?casa_token=biIWC8GkVWEAAAAA:ogFqF0vxlBtcvxZzgO5m0Anm78s2QOfZnGv-Y-XNKENEnN8CUlut5CJWbfBDu6nUt25ezBSFzaDG" TargetMode="External"/><Relationship Id="rId34" Type="http://schemas.openxmlformats.org/officeDocument/2006/relationships/drawing" Target="../drawings/drawing4.xml"/><Relationship Id="rId7" Type="http://schemas.openxmlformats.org/officeDocument/2006/relationships/hyperlink" Target="https://www.sciencedirect.com/science/article/pii/S0959652615004813?casa_token=BNFr1eV7GTQAAAAA:Bv3tY5HrfJyNV-i0kwllNGtVBjaoywCB7DdwWhC8NvF-bVYb9sdROjfjxWZMZHA90WX-vu3hToiN" TargetMode="External"/><Relationship Id="rId12" Type="http://schemas.openxmlformats.org/officeDocument/2006/relationships/hyperlink" Target="https://www.sciencedirect.com/science/article/pii/S0959652615004813?casa_token=BNFr1eV7GTQAAAAA:Bv3tY5HrfJyNV-i0kwllNGtVBjaoywCB7DdwWhC8NvF-bVYb9sdROjfjxWZMZHA90WX-vu3hToiN" TargetMode="External"/><Relationship Id="rId17" Type="http://schemas.openxmlformats.org/officeDocument/2006/relationships/hyperlink" Target="https://www.sciencedirect.com/science/article/pii/S0959652615004813?casa_token=BNFr1eV7GTQAAAAA:Bv3tY5HrfJyNV-i0kwllNGtVBjaoywCB7DdwWhC8NvF-bVYb9sdROjfjxWZMZHA90WX-vu3hToiN" TargetMode="External"/><Relationship Id="rId25" Type="http://schemas.openxmlformats.org/officeDocument/2006/relationships/hyperlink" Target="https://www.sciencedirect.com/science/article/pii/S0959652616310447?casa_token=biIWC8GkVWEAAAAA:ogFqF0vxlBtcvxZzgO5m0Anm78s2QOfZnGv-Y-XNKENEnN8CUlut5CJWbfBDu6nUt25ezBSFzaDG" TargetMode="External"/><Relationship Id="rId33" Type="http://schemas.openxmlformats.org/officeDocument/2006/relationships/hyperlink" Target="https://link.springer.com/article/10.1007/s13593-016-0392-8" TargetMode="External"/><Relationship Id="rId2" Type="http://schemas.openxmlformats.org/officeDocument/2006/relationships/hyperlink" Target="https://link.springer.com/article/10.1007/s11367-015-0931-6" TargetMode="External"/><Relationship Id="rId16" Type="http://schemas.openxmlformats.org/officeDocument/2006/relationships/hyperlink" Target="https://www.sciencedirect.com/science/article/pii/S0959652615004813?casa_token=BNFr1eV7GTQAAAAA:Bv3tY5HrfJyNV-i0kwllNGtVBjaoywCB7DdwWhC8NvF-bVYb9sdROjfjxWZMZHA90WX-vu3hToiN" TargetMode="External"/><Relationship Id="rId20" Type="http://schemas.openxmlformats.org/officeDocument/2006/relationships/hyperlink" Target="https://www.sciencedirect.com/science/article/pii/S0959652616310447?casa_token=biIWC8GkVWEAAAAA:ogFqF0vxlBtcvxZzgO5m0Anm78s2QOfZnGv-Y-XNKENEnN8CUlut5CJWbfBDu6nUt25ezBSFzaDG" TargetMode="External"/><Relationship Id="rId29" Type="http://schemas.openxmlformats.org/officeDocument/2006/relationships/hyperlink" Target="https://link.springer.com/article/10.1007/s13593-016-0392-8" TargetMode="External"/><Relationship Id="rId1" Type="http://schemas.openxmlformats.org/officeDocument/2006/relationships/hyperlink" Target="https://link.springer.com/article/10.1007/s11367-015-0931-6" TargetMode="External"/><Relationship Id="rId6" Type="http://schemas.openxmlformats.org/officeDocument/2006/relationships/hyperlink" Target="https://www.sciencedirect.com/science/article/pii/S0959652615004813?casa_token=BNFr1eV7GTQAAAAA:Bv3tY5HrfJyNV-i0kwllNGtVBjaoywCB7DdwWhC8NvF-bVYb9sdROjfjxWZMZHA90WX-vu3hToiN" TargetMode="External"/><Relationship Id="rId11" Type="http://schemas.openxmlformats.org/officeDocument/2006/relationships/hyperlink" Target="https://www.sciencedirect.com/science/article/pii/S0959652615004813?casa_token=BNFr1eV7GTQAAAAA:Bv3tY5HrfJyNV-i0kwllNGtVBjaoywCB7DdwWhC8NvF-bVYb9sdROjfjxWZMZHA90WX-vu3hToiN" TargetMode="External"/><Relationship Id="rId24" Type="http://schemas.openxmlformats.org/officeDocument/2006/relationships/hyperlink" Target="https://www.sciencedirect.com/science/article/pii/S0959652616310447?casa_token=biIWC8GkVWEAAAAA:ogFqF0vxlBtcvxZzgO5m0Anm78s2QOfZnGv-Y-XNKENEnN8CUlut5CJWbfBDu6nUt25ezBSFzaDG" TargetMode="External"/><Relationship Id="rId32" Type="http://schemas.openxmlformats.org/officeDocument/2006/relationships/hyperlink" Target="https://link.springer.com/article/10.1007/s13593-016-0392-8" TargetMode="External"/><Relationship Id="rId5" Type="http://schemas.openxmlformats.org/officeDocument/2006/relationships/hyperlink" Target="https://link.springer.com/article/10.1007/s11367-015-0931-6" TargetMode="External"/><Relationship Id="rId15" Type="http://schemas.openxmlformats.org/officeDocument/2006/relationships/hyperlink" Target="https://www.sciencedirect.com/science/article/pii/S0959652615004813?casa_token=BNFr1eV7GTQAAAAA:Bv3tY5HrfJyNV-i0kwllNGtVBjaoywCB7DdwWhC8NvF-bVYb9sdROjfjxWZMZHA90WX-vu3hToiN" TargetMode="External"/><Relationship Id="rId23" Type="http://schemas.openxmlformats.org/officeDocument/2006/relationships/hyperlink" Target="https://www.sciencedirect.com/science/article/pii/S0959652616310447?casa_token=biIWC8GkVWEAAAAA:ogFqF0vxlBtcvxZzgO5m0Anm78s2QOfZnGv-Y-XNKENEnN8CUlut5CJWbfBDu6nUt25ezBSFzaDG" TargetMode="External"/><Relationship Id="rId28" Type="http://schemas.openxmlformats.org/officeDocument/2006/relationships/hyperlink" Target="https://link.springer.com/article/10.1007/s13593-016-0392-8" TargetMode="External"/><Relationship Id="rId10" Type="http://schemas.openxmlformats.org/officeDocument/2006/relationships/hyperlink" Target="https://www.sciencedirect.com/science/article/pii/S0959652615004813?casa_token=BNFr1eV7GTQAAAAA:Bv3tY5HrfJyNV-i0kwllNGtVBjaoywCB7DdwWhC8NvF-bVYb9sdROjfjxWZMZHA90WX-vu3hToiN" TargetMode="External"/><Relationship Id="rId19" Type="http://schemas.openxmlformats.org/officeDocument/2006/relationships/hyperlink" Target="https://www.sciencedirect.com/topics/engineering/life-cycle-inventory" TargetMode="External"/><Relationship Id="rId31" Type="http://schemas.openxmlformats.org/officeDocument/2006/relationships/hyperlink" Target="https://link.springer.com/article/10.1007/s13593-016-0392-8" TargetMode="External"/><Relationship Id="rId4" Type="http://schemas.openxmlformats.org/officeDocument/2006/relationships/hyperlink" Target="https://link.springer.com/article/10.1007/s11367-015-0931-6" TargetMode="External"/><Relationship Id="rId9" Type="http://schemas.openxmlformats.org/officeDocument/2006/relationships/hyperlink" Target="https://www.sciencedirect.com/science/article/pii/S0959652615004813?casa_token=BNFr1eV7GTQAAAAA:Bv3tY5HrfJyNV-i0kwllNGtVBjaoywCB7DdwWhC8NvF-bVYb9sdROjfjxWZMZHA90WX-vu3hToiN" TargetMode="External"/><Relationship Id="rId14" Type="http://schemas.openxmlformats.org/officeDocument/2006/relationships/hyperlink" Target="https://www.sciencedirect.com/science/article/pii/S0959652615004813?casa_token=BNFr1eV7GTQAAAAA:Bv3tY5HrfJyNV-i0kwllNGtVBjaoywCB7DdwWhC8NvF-bVYb9sdROjfjxWZMZHA90WX-vu3hToiN" TargetMode="External"/><Relationship Id="rId22" Type="http://schemas.openxmlformats.org/officeDocument/2006/relationships/hyperlink" Target="https://www.sciencedirect.com/science/article/pii/S0959652616310447?casa_token=biIWC8GkVWEAAAAA:ogFqF0vxlBtcvxZzgO5m0Anm78s2QOfZnGv-Y-XNKENEnN8CUlut5CJWbfBDu6nUt25ezBSFzaDG" TargetMode="External"/><Relationship Id="rId27" Type="http://schemas.openxmlformats.org/officeDocument/2006/relationships/hyperlink" Target="https://link.springer.com/article/10.1007/s13593-016-0392-8" TargetMode="External"/><Relationship Id="rId30" Type="http://schemas.openxmlformats.org/officeDocument/2006/relationships/hyperlink" Target="https://link.springer.com/article/10.1007/s13593-016-0392-8" TargetMode="External"/><Relationship Id="rId8" Type="http://schemas.openxmlformats.org/officeDocument/2006/relationships/hyperlink" Target="https://www.sciencedirect.com/science/article/pii/S0959652615004813?casa_token=BNFr1eV7GTQAAAAA:Bv3tY5HrfJyNV-i0kwllNGtVBjaoywCB7DdwWhC8NvF-bVYb9sdROjfjxWZMZHA90WX-vu3hToiN"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ubs.acs.org/doi/full/10.1021/acsbiomaterials.2c00093?casa_token=r5NVyvuHV4kAAAAA%3AiYg-mtHZUL2EVtAhqUkmF2wl2Xf6k-91atmXgWmT2FAInSt0oNtbOFZqmOVCh_PFXpekqsB1sw_GzY9CJA"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https://www.sciencedirect.com/science/article/pii/S0959652619318517?casa_token=IVB8LNN_g4MAAAAA:ThU-boZM8s2v_HCo9cnWJGuXQ6lpFfTYPx3yvRGZa_TTwEcLhOI0TKVClpB1Q8qV2hG7LRqYKy1A" TargetMode="External"/><Relationship Id="rId7" Type="http://schemas.openxmlformats.org/officeDocument/2006/relationships/vmlDrawing" Target="../drawings/vmlDrawing5.vml"/><Relationship Id="rId2" Type="http://schemas.openxmlformats.org/officeDocument/2006/relationships/hyperlink" Target="https://www.sciencedirect.com/science/article/pii/S0959652619318517?casa_token=IVB8LNN_g4MAAAAA:ThU-boZM8s2v_HCo9cnWJGuXQ6lpFfTYPx3yvRGZa_TTwEcLhOI0TKVClpB1Q8qV2hG7LRqYKy1A" TargetMode="External"/><Relationship Id="rId1" Type="http://schemas.openxmlformats.org/officeDocument/2006/relationships/hyperlink" Target="https://www.sciencedirect.com/science/article/pii/S0959652619318517?casa_token=IVB8LNN_g4MAAAAA:ThU-boZM8s2v_HCo9cnWJGuXQ6lpFfTYPx3yvRGZa_TTwEcLhOI0TKVClpB1Q8qV2hG7LRqYKy1A" TargetMode="External"/><Relationship Id="rId6" Type="http://schemas.openxmlformats.org/officeDocument/2006/relationships/hyperlink" Target="Lardon,%20L.,%20H&#233;lias,%20A.,%20Sialve,%20B.,%20Steyer,%20J.%20P.,%20&amp;%20Bernard,%20O.%20(2009).%20Life-cycle%20assessment%20of%20biodiesel%20production%20from%20microalgae." TargetMode="External"/><Relationship Id="rId5" Type="http://schemas.openxmlformats.org/officeDocument/2006/relationships/hyperlink" Target="https://www.sciencedirect.com/science/article/pii/S0959652619318517?casa_token=IVB8LNN_g4MAAAAA:ThU-boZM8s2v_HCo9cnWJGuXQ6lpFfTYPx3yvRGZa_TTwEcLhOI0TKVClpB1Q8qV2hG7LRqYKy1A" TargetMode="External"/><Relationship Id="rId4" Type="http://schemas.openxmlformats.org/officeDocument/2006/relationships/hyperlink" Target="https://www.sciencedirect.com/science/article/pii/S0959652619318517?casa_token=IVB8LNN_g4MAAAAA:ThU-boZM8s2v_HCo9cnWJGuXQ6lpFfTYPx3yvRGZa_TTwEcLhOI0TKVClpB1Q8qV2hG7LRqYKy1A" TargetMode="External"/><Relationship Id="rId9" Type="http://schemas.microsoft.com/office/2017/10/relationships/threadedComment" Target="../threadedComments/threadedComment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AEAF-E414-4555-B911-C1165A2C5C63}">
  <sheetPr>
    <tabColor theme="9" tint="0.59999389629810485"/>
  </sheetPr>
  <dimension ref="A2:Y77"/>
  <sheetViews>
    <sheetView topLeftCell="A5" workbookViewId="0">
      <selection activeCell="Q6" sqref="Q6"/>
    </sheetView>
  </sheetViews>
  <sheetFormatPr defaultColWidth="8.6640625" defaultRowHeight="14.4"/>
  <cols>
    <col min="1" max="1" width="8" customWidth="1"/>
    <col min="2" max="2" width="30" customWidth="1"/>
    <col min="3" max="3" width="13.6640625" customWidth="1"/>
    <col min="4" max="4" width="13.33203125" customWidth="1"/>
    <col min="5" max="5" width="7.6640625" customWidth="1"/>
    <col min="6" max="6" width="12.6640625" customWidth="1"/>
    <col min="7" max="7" width="12" customWidth="1"/>
    <col min="8" max="8" width="13.44140625" customWidth="1"/>
    <col min="9" max="9" width="14.33203125" customWidth="1"/>
    <col min="10" max="11" width="8.5546875" customWidth="1"/>
    <col min="12" max="12" width="9.33203125" customWidth="1"/>
    <col min="13" max="16" width="12.6640625" customWidth="1"/>
    <col min="17" max="17" width="12.6640625" style="45" customWidth="1"/>
    <col min="18" max="21" width="12.6640625" customWidth="1"/>
    <col min="23" max="23" width="31.5546875" customWidth="1"/>
    <col min="24" max="24" width="13" customWidth="1"/>
    <col min="25" max="25" width="15.6640625" customWidth="1"/>
  </cols>
  <sheetData>
    <row r="2" spans="1:25" ht="21">
      <c r="A2" s="2" t="s">
        <v>0</v>
      </c>
    </row>
    <row r="3" spans="1:25" ht="15.6" customHeight="1">
      <c r="A3" s="2"/>
    </row>
    <row r="4" spans="1:25">
      <c r="A4" s="7" t="s">
        <v>1</v>
      </c>
      <c r="B4" s="8"/>
      <c r="C4" s="8"/>
      <c r="D4" s="8"/>
      <c r="E4" s="9"/>
      <c r="F4" s="10" t="s">
        <v>2</v>
      </c>
      <c r="G4" s="9"/>
      <c r="H4" s="11"/>
      <c r="I4" s="11"/>
      <c r="J4" s="11"/>
      <c r="K4" s="11"/>
      <c r="L4" s="12" t="s">
        <v>3</v>
      </c>
      <c r="M4" s="12" t="s">
        <v>4</v>
      </c>
      <c r="N4" s="12" t="s">
        <v>5</v>
      </c>
      <c r="O4" s="12" t="s">
        <v>6</v>
      </c>
      <c r="P4" s="13" t="s">
        <v>7</v>
      </c>
      <c r="Q4" s="13" t="s">
        <v>8</v>
      </c>
      <c r="R4" s="13" t="s">
        <v>9</v>
      </c>
      <c r="S4" s="13" t="s">
        <v>10</v>
      </c>
      <c r="T4" s="14" t="s">
        <v>11</v>
      </c>
      <c r="U4" s="14" t="s">
        <v>12</v>
      </c>
      <c r="W4" s="3"/>
      <c r="X4" s="3"/>
      <c r="Y4" s="3"/>
    </row>
    <row r="5" spans="1:25" s="354" customFormat="1" ht="57.6">
      <c r="A5" s="249" t="s">
        <v>13</v>
      </c>
      <c r="B5" s="250" t="s">
        <v>1</v>
      </c>
      <c r="C5" s="250" t="s">
        <v>14</v>
      </c>
      <c r="D5" s="250" t="s">
        <v>15</v>
      </c>
      <c r="E5" s="370" t="s">
        <v>16</v>
      </c>
      <c r="F5" s="371" t="s">
        <v>17</v>
      </c>
      <c r="G5" s="372" t="s">
        <v>18</v>
      </c>
      <c r="H5" s="371" t="s">
        <v>19</v>
      </c>
      <c r="I5" s="371" t="s">
        <v>20</v>
      </c>
      <c r="J5" s="371" t="s">
        <v>21</v>
      </c>
      <c r="K5" s="372" t="s">
        <v>22</v>
      </c>
      <c r="L5" s="372" t="s">
        <v>23</v>
      </c>
      <c r="M5" s="372" t="s">
        <v>24</v>
      </c>
      <c r="N5" s="372" t="s">
        <v>25</v>
      </c>
      <c r="O5" s="373" t="s">
        <v>26</v>
      </c>
      <c r="P5" s="374" t="s">
        <v>27</v>
      </c>
      <c r="Q5" s="375" t="s">
        <v>28</v>
      </c>
      <c r="R5" s="375" t="s">
        <v>29</v>
      </c>
      <c r="S5" s="375" t="s">
        <v>30</v>
      </c>
      <c r="T5" s="23" t="s">
        <v>31</v>
      </c>
      <c r="U5" s="23"/>
    </row>
    <row r="6" spans="1:25">
      <c r="A6" s="1" t="s">
        <v>32</v>
      </c>
      <c r="B6" s="1" t="s">
        <v>33</v>
      </c>
      <c r="C6" s="1" t="s">
        <v>34</v>
      </c>
      <c r="D6" s="1" t="s">
        <v>35</v>
      </c>
      <c r="E6" s="1" t="s">
        <v>36</v>
      </c>
      <c r="F6" s="368">
        <f>'GHG detailed, results per kg'!G10</f>
        <v>17.194275451771649</v>
      </c>
      <c r="G6" s="368">
        <f>'GHG detailed, results per kg'!G6</f>
        <v>15.279233926668002</v>
      </c>
      <c r="H6" s="259">
        <f>'GHG detailed, results per kg'!G7</f>
        <v>4.6008134865267933E-2</v>
      </c>
      <c r="I6" s="351">
        <f>'GHG detailed, results per kg'!G8</f>
        <v>0</v>
      </c>
      <c r="J6" s="259">
        <f>'GHG detailed, results per kg'!G9</f>
        <v>1.9926707183833734E-3</v>
      </c>
      <c r="L6" s="6">
        <f>'Novel foods, input data'!$AB$6*'Agri ing'!$P$27</f>
        <v>3.3515324339513941</v>
      </c>
      <c r="M6" s="57">
        <f>'Novel foods, input data'!$AB$6*'Agri ing'!$Q$27</f>
        <v>4.5694370306114139E-2</v>
      </c>
      <c r="N6" s="57">
        <f>'Novel foods, input data'!$AB$6*'Agri ing'!$R$27</f>
        <v>1.4952788814262839E-2</v>
      </c>
      <c r="O6" s="57">
        <f>'Novel foods, input data'!$AB$6*'Agri ing'!$S$27</f>
        <v>0.17035718082788057</v>
      </c>
      <c r="P6" s="57">
        <f>'Novel foods, input data'!$AB$6*'Agri ing'!$T$27</f>
        <v>0.85916204402984386</v>
      </c>
      <c r="Q6" s="45">
        <f>'Novel foods, input data'!$AB$6*'Agri ing'!$U$27*100</f>
        <v>3.1240860319710514E-11</v>
      </c>
      <c r="R6" s="279">
        <f>'Novel foods, input data'!$AB$6*'Agri ing'!$V$27</f>
        <v>2.7779710883252297E-3</v>
      </c>
      <c r="S6" s="6"/>
      <c r="T6" s="4">
        <v>0</v>
      </c>
      <c r="U6" s="4">
        <v>0</v>
      </c>
      <c r="W6" s="30"/>
      <c r="X6" s="29"/>
    </row>
    <row r="7" spans="1:25">
      <c r="A7" s="1" t="s">
        <v>32</v>
      </c>
      <c r="B7" s="1" t="s">
        <v>33</v>
      </c>
      <c r="C7" s="1" t="s">
        <v>34</v>
      </c>
      <c r="D7" s="1" t="s">
        <v>37</v>
      </c>
      <c r="E7" s="1" t="s">
        <v>38</v>
      </c>
      <c r="F7" s="368">
        <f>'GHG detailed, results per kg'!G15</f>
        <v>4.2362682793118838</v>
      </c>
      <c r="G7" s="368">
        <f>'GHG detailed, results per kg'!G11</f>
        <v>3.5498417304344154</v>
      </c>
      <c r="H7" s="259">
        <f>'GHG detailed, results per kg'!G12</f>
        <v>7.0766996969970873E-3</v>
      </c>
      <c r="I7" s="351">
        <f>'GHG detailed, results per kg'!G13</f>
        <v>0</v>
      </c>
      <c r="J7" s="259">
        <f>'GHG detailed, results per kg'!G14</f>
        <v>1.7419080509412284E-3</v>
      </c>
      <c r="L7" s="6">
        <f>'Novel foods, input data'!$AB$6*'Agri ing'!$P$27</f>
        <v>3.3515324339513941</v>
      </c>
      <c r="M7" s="57">
        <f>'Novel foods, input data'!$AB$6*'Agri ing'!$Q$27</f>
        <v>4.5694370306114139E-2</v>
      </c>
      <c r="N7" s="57">
        <f>'Novel foods, input data'!$AB$6*'Agri ing'!$R$27</f>
        <v>1.4952788814262839E-2</v>
      </c>
      <c r="O7" s="57">
        <f>'Novel foods, input data'!$AB$6*'Agri ing'!$S$27</f>
        <v>0.17035718082788057</v>
      </c>
      <c r="P7" s="57">
        <f>'Novel foods, input data'!$AB$6*'Agri ing'!$T$27</f>
        <v>0.85916204402984386</v>
      </c>
      <c r="Q7" s="45">
        <f>'Novel foods, input data'!$AB$6*'Agri ing'!$U$27*100</f>
        <v>3.1240860319710514E-11</v>
      </c>
      <c r="R7" s="279">
        <f>'Novel foods, input data'!$AB$6*'Agri ing'!$V$27</f>
        <v>2.7779710883252297E-3</v>
      </c>
      <c r="S7" s="6"/>
      <c r="T7" s="4">
        <v>0</v>
      </c>
      <c r="U7" s="4">
        <v>0</v>
      </c>
      <c r="W7" s="30"/>
      <c r="X7" s="29"/>
    </row>
    <row r="8" spans="1:25">
      <c r="A8" s="1" t="s">
        <v>32</v>
      </c>
      <c r="B8" s="1" t="s">
        <v>33</v>
      </c>
      <c r="C8" s="1" t="s">
        <v>34</v>
      </c>
      <c r="D8" s="1" t="s">
        <v>39</v>
      </c>
      <c r="E8" s="1" t="s">
        <v>40</v>
      </c>
      <c r="F8" s="368">
        <f>'GHG detailed, results per kg'!G20</f>
        <v>1.6159599750215952</v>
      </c>
      <c r="G8" s="368">
        <f>'GHG detailed, results per kg'!G16</f>
        <v>1.106616867466923</v>
      </c>
      <c r="H8" s="259">
        <f>'GHG detailed, results per kg'!G17</f>
        <v>1.7795518403511828E-3</v>
      </c>
      <c r="I8" s="351">
        <f>'GHG detailed, results per kg'!G18</f>
        <v>0</v>
      </c>
      <c r="J8" s="259">
        <f>'GHG detailed, results per kg'!G19</f>
        <v>1.6714742223890367E-3</v>
      </c>
      <c r="L8" s="6">
        <f>'Novel foods, input data'!$AB$6*'Agri ing'!$P$27</f>
        <v>3.3515324339513941</v>
      </c>
      <c r="M8" s="57">
        <f>'Novel foods, input data'!$AB$6*'Agri ing'!$Q$27</f>
        <v>4.5694370306114139E-2</v>
      </c>
      <c r="N8" s="57">
        <f>'Novel foods, input data'!$AB$6*'Agri ing'!$R$27</f>
        <v>1.4952788814262839E-2</v>
      </c>
      <c r="O8" s="57">
        <f>'Novel foods, input data'!$AB$6*'Agri ing'!$S$27</f>
        <v>0.17035718082788057</v>
      </c>
      <c r="P8" s="57">
        <f>'Novel foods, input data'!$AB$6*'Agri ing'!$T$27</f>
        <v>0.85916204402984386</v>
      </c>
      <c r="Q8" s="45">
        <f>'Novel foods, input data'!$AB$6*'Agri ing'!$U$27*100</f>
        <v>3.1240860319710514E-11</v>
      </c>
      <c r="R8" s="279">
        <f>'Novel foods, input data'!$AB$6*'Agri ing'!$V$27</f>
        <v>2.7779710883252297E-3</v>
      </c>
      <c r="S8" s="6"/>
      <c r="T8" s="4">
        <v>0</v>
      </c>
      <c r="U8" s="4">
        <v>0</v>
      </c>
      <c r="W8" s="30"/>
      <c r="X8" s="29"/>
    </row>
    <row r="9" spans="1:25">
      <c r="A9" s="1" t="s">
        <v>32</v>
      </c>
      <c r="B9" s="1" t="s">
        <v>33</v>
      </c>
      <c r="C9" s="1" t="s">
        <v>34</v>
      </c>
      <c r="D9" s="1" t="s">
        <v>41</v>
      </c>
      <c r="E9" s="1" t="s">
        <v>42</v>
      </c>
      <c r="F9" s="368">
        <f>'GHG detailed, results per kg'!G25</f>
        <v>4.3700633380754992</v>
      </c>
      <c r="G9" s="368">
        <f>'GHG detailed, results per kg'!G21</f>
        <v>3.7219655141109107</v>
      </c>
      <c r="H9" s="259">
        <f>'GHG detailed, results per kg'!G22</f>
        <v>6.070967715504849E-3</v>
      </c>
      <c r="I9" s="351">
        <f>'GHG detailed, results per kg'!G23</f>
        <v>0</v>
      </c>
      <c r="J9" s="259">
        <f>'GHG detailed, results per kg'!G24</f>
        <v>1.7112929891668284E-3</v>
      </c>
      <c r="L9" s="6">
        <f>'Novel foods, input data'!$AB$6*'Agri ing'!$P$27</f>
        <v>3.3515324339513941</v>
      </c>
      <c r="M9" s="57">
        <f>'Novel foods, input data'!$AB$6*'Agri ing'!$Q$27</f>
        <v>4.5694370306114139E-2</v>
      </c>
      <c r="N9" s="57">
        <f>'Novel foods, input data'!$AB$6*'Agri ing'!$R$27</f>
        <v>1.4952788814262839E-2</v>
      </c>
      <c r="O9" s="57">
        <f>'Novel foods, input data'!$AB$6*'Agri ing'!$S$27</f>
        <v>0.17035718082788057</v>
      </c>
      <c r="P9" s="57">
        <f>'Novel foods, input data'!$AB$6*'Agri ing'!$T$27</f>
        <v>0.85916204402984386</v>
      </c>
      <c r="Q9" s="45">
        <f>'Novel foods, input data'!$AB$6*'Agri ing'!$U$27*100</f>
        <v>3.1240860319710514E-11</v>
      </c>
      <c r="R9" s="279">
        <f>'Novel foods, input data'!$AB$6*'Agri ing'!$V$27</f>
        <v>2.7779710883252297E-3</v>
      </c>
      <c r="S9" s="6"/>
      <c r="T9" s="4">
        <v>0</v>
      </c>
      <c r="U9" s="4">
        <v>0</v>
      </c>
      <c r="W9" s="30"/>
      <c r="X9" s="29"/>
    </row>
    <row r="10" spans="1:25" s="355" customFormat="1">
      <c r="A10" s="356" t="s">
        <v>43</v>
      </c>
      <c r="B10" s="356" t="s">
        <v>44</v>
      </c>
      <c r="C10" s="356" t="s">
        <v>34</v>
      </c>
      <c r="D10" s="356" t="s">
        <v>45</v>
      </c>
      <c r="E10" s="356" t="s">
        <v>46</v>
      </c>
      <c r="F10" s="369">
        <f>'GHG detailed, results per kg'!G30</f>
        <v>1.3241574403093153</v>
      </c>
      <c r="G10" s="369">
        <f>'GHG detailed, results per kg'!G26</f>
        <v>1.054122024388416</v>
      </c>
      <c r="H10" s="357">
        <f>'GHG detailed, results per kg'!G27</f>
        <v>1.3087990466767753E-3</v>
      </c>
      <c r="I10" s="358">
        <f>'GHG detailed, results per kg'!G28</f>
        <v>0</v>
      </c>
      <c r="J10" s="357">
        <f>'GHG detailed, results per kg'!G29</f>
        <v>8.4627547373601175E-4</v>
      </c>
      <c r="L10" s="359">
        <f>'Novel foods, input data'!$AB$7*'Agri ing'!$P$27</f>
        <v>1.6935889310353935</v>
      </c>
      <c r="M10" s="360">
        <f>'Novel foods, input data'!$AB$7*'Agri ing'!$O$27</f>
        <v>8.1991307394769499E-4</v>
      </c>
      <c r="N10" s="360">
        <f>'Novel foods, input data'!$AB$7*'Agri ing'!$R$27</f>
        <v>7.5559100569672884E-3</v>
      </c>
      <c r="O10" s="360">
        <f>'Novel foods, input data'!$AB$7*'Agri ing'!$S$27</f>
        <v>8.6084512520244266E-2</v>
      </c>
      <c r="P10" s="360">
        <f>'Novel foods, input data'!$AB$7*'Agri ing'!$T$27</f>
        <v>0.43414985723983873</v>
      </c>
      <c r="Q10" s="361">
        <f>'Novel foods, input data'!$AB$7*'Agri ing'!$U$27*100</f>
        <v>1.5786562199878712E-11</v>
      </c>
      <c r="R10" s="362">
        <f>'Novel foods, input data'!$AB$7*'Agri ing'!$V$27</f>
        <v>1.4037581848423744E-3</v>
      </c>
      <c r="S10" s="359"/>
      <c r="T10" s="363">
        <v>0</v>
      </c>
      <c r="U10" s="363">
        <v>0</v>
      </c>
      <c r="W10" s="364"/>
      <c r="X10" s="365"/>
    </row>
    <row r="11" spans="1:25" s="355" customFormat="1">
      <c r="A11" s="356" t="s">
        <v>43</v>
      </c>
      <c r="B11" s="356" t="s">
        <v>44</v>
      </c>
      <c r="C11" s="356" t="s">
        <v>34</v>
      </c>
      <c r="D11" s="356" t="s">
        <v>47</v>
      </c>
      <c r="E11" s="356" t="s">
        <v>48</v>
      </c>
      <c r="F11" s="369">
        <f>'GHG detailed, results per kg'!G35</f>
        <v>1.4688403576604858</v>
      </c>
      <c r="G11" s="369">
        <f>'GHG detailed, results per kg'!G31</f>
        <v>1.1826885045241065</v>
      </c>
      <c r="H11" s="357">
        <f>'GHG detailed, results per kg'!G32</f>
        <v>1.8281417337747043E-3</v>
      </c>
      <c r="I11" s="358">
        <f>'GHG detailed, results per kg'!G33</f>
        <v>0</v>
      </c>
      <c r="J11" s="357">
        <f>'GHG detailed, results per kg'!G34</f>
        <v>8.4861988816810764E-4</v>
      </c>
      <c r="L11" s="359">
        <f>'Novel foods, input data'!$AB$7*'Agri ing'!$P$27</f>
        <v>1.6935889310353935</v>
      </c>
      <c r="M11" s="360">
        <f>'Novel foods, input data'!$AB$7*'Agri ing'!$O$27</f>
        <v>8.1991307394769499E-4</v>
      </c>
      <c r="N11" s="360">
        <f>'Novel foods, input data'!$AB$7*'Agri ing'!$R$27</f>
        <v>7.5559100569672884E-3</v>
      </c>
      <c r="O11" s="360">
        <f>'Novel foods, input data'!$AB$7*'Agri ing'!$S$27</f>
        <v>8.6084512520244266E-2</v>
      </c>
      <c r="P11" s="360">
        <f>'Novel foods, input data'!$AB$7*'Agri ing'!$T$27</f>
        <v>0.43414985723983873</v>
      </c>
      <c r="Q11" s="361">
        <f>'Novel foods, input data'!$AB$7*'Agri ing'!$U$27*100</f>
        <v>1.5786562199878712E-11</v>
      </c>
      <c r="R11" s="362">
        <f>'Novel foods, input data'!$AB$7*'Agri ing'!$V$27</f>
        <v>1.4037581848423744E-3</v>
      </c>
      <c r="S11" s="359"/>
      <c r="T11" s="363">
        <v>0</v>
      </c>
      <c r="U11" s="363">
        <v>0</v>
      </c>
      <c r="W11" s="364"/>
      <c r="X11" s="365"/>
    </row>
    <row r="12" spans="1:25" s="355" customFormat="1">
      <c r="A12" s="356" t="s">
        <v>43</v>
      </c>
      <c r="B12" s="356" t="s">
        <v>44</v>
      </c>
      <c r="C12" s="356" t="s">
        <v>34</v>
      </c>
      <c r="D12" s="356" t="s">
        <v>39</v>
      </c>
      <c r="E12" s="356" t="s">
        <v>40</v>
      </c>
      <c r="F12" s="369">
        <f>'GHG detailed, results per kg'!G40</f>
        <v>0.91295493921398085</v>
      </c>
      <c r="G12" s="369">
        <f>'GHG detailed, results per kg'!G36</f>
        <v>0.66404221752664561</v>
      </c>
      <c r="H12" s="357">
        <f>'GHG detailed, results per kg'!G37</f>
        <v>7.3795969424879588E-4</v>
      </c>
      <c r="I12" s="358">
        <f>'GHG detailed, results per kg'!G38</f>
        <v>0</v>
      </c>
      <c r="J12" s="357">
        <f>'GHG detailed, results per kg'!G35</f>
        <v>1.4688403576604858</v>
      </c>
      <c r="L12" s="359">
        <f>'Novel foods, input data'!$AB$7*'Agri ing'!$P$27</f>
        <v>1.6935889310353935</v>
      </c>
      <c r="M12" s="360">
        <f>'Novel foods, input data'!$AB$7*'Agri ing'!$O$27</f>
        <v>8.1991307394769499E-4</v>
      </c>
      <c r="N12" s="360">
        <f>'Novel foods, input data'!$AB$7*'Agri ing'!$R$27</f>
        <v>7.5559100569672884E-3</v>
      </c>
      <c r="O12" s="360">
        <f>'Novel foods, input data'!$AB$7*'Agri ing'!$S$27</f>
        <v>8.6084512520244266E-2</v>
      </c>
      <c r="P12" s="360">
        <f>'Novel foods, input data'!$AB$7*'Agri ing'!$T$27</f>
        <v>0.43414985723983873</v>
      </c>
      <c r="Q12" s="361">
        <f>'Novel foods, input data'!$AB$7*'Agri ing'!$U$27*100</f>
        <v>1.5786562199878712E-11</v>
      </c>
      <c r="R12" s="362">
        <f>'Novel foods, input data'!$AB$7*'Agri ing'!$V$27</f>
        <v>1.4037581848423744E-3</v>
      </c>
      <c r="S12" s="359"/>
      <c r="T12" s="363">
        <v>0</v>
      </c>
      <c r="U12" s="363">
        <v>0</v>
      </c>
      <c r="W12" s="364"/>
      <c r="X12" s="365"/>
    </row>
    <row r="13" spans="1:25" s="355" customFormat="1">
      <c r="A13" s="356" t="s">
        <v>43</v>
      </c>
      <c r="B13" s="356" t="s">
        <v>44</v>
      </c>
      <c r="C13" s="356" t="s">
        <v>34</v>
      </c>
      <c r="D13" s="356" t="s">
        <v>49</v>
      </c>
      <c r="E13" s="356" t="s">
        <v>50</v>
      </c>
      <c r="F13" s="369">
        <f>'GHG detailed, results per kg'!G45</f>
        <v>0.91295493921398085</v>
      </c>
      <c r="G13" s="369">
        <f>'GHG detailed, results per kg'!G41</f>
        <v>0.66404221752664561</v>
      </c>
      <c r="H13" s="357">
        <f>'GHG detailed, results per kg'!G42</f>
        <v>7.3795969424879588E-4</v>
      </c>
      <c r="I13" s="358">
        <f>'GHG detailed, results per kg'!G43</f>
        <v>0</v>
      </c>
      <c r="J13" s="357">
        <f>'GHG detailed, results per kg'!G39</f>
        <v>8.3121436922608421E-4</v>
      </c>
      <c r="L13" s="359">
        <f>'Novel foods, input data'!$AB$7*'Agri ing'!$P$27</f>
        <v>1.6935889310353935</v>
      </c>
      <c r="M13" s="360">
        <f>'Novel foods, input data'!$AB$7*'Agri ing'!$O$27</f>
        <v>8.1991307394769499E-4</v>
      </c>
      <c r="N13" s="360">
        <f>'Novel foods, input data'!$AB$7*'Agri ing'!$R$27</f>
        <v>7.5559100569672884E-3</v>
      </c>
      <c r="O13" s="360">
        <f>'Novel foods, input data'!$AB$7*'Agri ing'!$S$27</f>
        <v>8.6084512520244266E-2</v>
      </c>
      <c r="P13" s="360">
        <f>'Novel foods, input data'!$AB$7*'Agri ing'!$T$27</f>
        <v>0.43414985723983873</v>
      </c>
      <c r="Q13" s="361">
        <f>'Novel foods, input data'!$AB$7*'Agri ing'!$U$27*100</f>
        <v>1.5786562199878712E-11</v>
      </c>
      <c r="R13" s="362">
        <f>'Novel foods, input data'!$AB$7*'Agri ing'!$V$27</f>
        <v>1.4037581848423744E-3</v>
      </c>
      <c r="S13" s="359"/>
      <c r="T13" s="363">
        <v>0</v>
      </c>
      <c r="U13" s="363">
        <v>0</v>
      </c>
      <c r="W13" s="364"/>
      <c r="X13" s="365"/>
    </row>
    <row r="14" spans="1:25" s="355" customFormat="1">
      <c r="A14" s="356" t="s">
        <v>43</v>
      </c>
      <c r="B14" s="356" t="s">
        <v>44</v>
      </c>
      <c r="C14" s="356" t="s">
        <v>34</v>
      </c>
      <c r="D14" s="356" t="s">
        <v>41</v>
      </c>
      <c r="E14" s="356" t="s">
        <v>42</v>
      </c>
      <c r="F14" s="369">
        <f>'GHG detailed, results per kg'!G50</f>
        <v>1.5493914973670353</v>
      </c>
      <c r="G14" s="369">
        <f>'GHG detailed, results per kg'!G46</f>
        <v>1.2684144111667035</v>
      </c>
      <c r="H14" s="357">
        <f>'GHG detailed, results per kg'!G47</f>
        <v>1.7296486721663329E-3</v>
      </c>
      <c r="I14" s="358">
        <f>'GHG detailed, results per kg'!G48</f>
        <v>0</v>
      </c>
      <c r="J14" s="357">
        <f>'GHG detailed, results per kg'!G44</f>
        <v>8.3121436922608421E-4</v>
      </c>
      <c r="L14" s="359">
        <f>'Novel foods, input data'!$AB$7*'Agri ing'!$P$27</f>
        <v>1.6935889310353935</v>
      </c>
      <c r="M14" s="360">
        <f>'Novel foods, input data'!$AB$7*'Agri ing'!$O$27</f>
        <v>8.1991307394769499E-4</v>
      </c>
      <c r="N14" s="360">
        <f>'Novel foods, input data'!$AB$7*'Agri ing'!$R$27</f>
        <v>7.5559100569672884E-3</v>
      </c>
      <c r="O14" s="360">
        <f>'Novel foods, input data'!$AB$7*'Agri ing'!$S$27</f>
        <v>8.6084512520244266E-2</v>
      </c>
      <c r="P14" s="360">
        <f>'Novel foods, input data'!$AB$7*'Agri ing'!$T$27</f>
        <v>0.43414985723983873</v>
      </c>
      <c r="Q14" s="361">
        <f>'Novel foods, input data'!$AB$7*'Agri ing'!$U$27*100</f>
        <v>1.5786562199878712E-11</v>
      </c>
      <c r="R14" s="362">
        <f>'Novel foods, input data'!$AB$7*'Agri ing'!$V$27</f>
        <v>1.4037581848423744E-3</v>
      </c>
      <c r="S14" s="359"/>
      <c r="T14" s="363">
        <v>0</v>
      </c>
      <c r="U14" s="363">
        <v>0</v>
      </c>
      <c r="W14" s="364"/>
      <c r="X14" s="365"/>
    </row>
    <row r="15" spans="1:25">
      <c r="A15" s="1" t="s">
        <v>51</v>
      </c>
      <c r="B15" s="1" t="s">
        <v>52</v>
      </c>
      <c r="C15" s="1" t="s">
        <v>34</v>
      </c>
      <c r="D15" s="1" t="s">
        <v>45</v>
      </c>
      <c r="E15" s="1" t="s">
        <v>46</v>
      </c>
      <c r="F15" s="368">
        <f>'GHG detailed, results per kg'!G55</f>
        <v>6.1831960279421017</v>
      </c>
      <c r="G15" s="368">
        <f>'GHG detailed, results per kg'!G51</f>
        <v>5.4401856230797341</v>
      </c>
      <c r="H15" s="259">
        <f>'GHG detailed, results per kg'!G52</f>
        <v>4.7026690287592429E-3</v>
      </c>
      <c r="I15" s="351">
        <f>'GHG detailed, results per kg'!G53</f>
        <v>0</v>
      </c>
      <c r="J15" s="259">
        <f>'GHG detailed, results per kg'!G49</f>
        <v>8.404159552006412E-4</v>
      </c>
      <c r="L15" s="6">
        <f>'Novel foods, input data'!$AB$8*'Agri ing'!$P$27</f>
        <v>4.3173584880474625</v>
      </c>
      <c r="M15" s="57">
        <f>'Novel foods, input data'!$AB$8*'Agri ing'!$O$27</f>
        <v>2.0901522231283349E-3</v>
      </c>
      <c r="N15" s="57">
        <f>'Novel foods, input data'!$AB$8*'Agri ing'!$R$27</f>
        <v>1.9261800677586718E-2</v>
      </c>
      <c r="O15" s="57">
        <f>'Novel foods, input data'!$AB$8*'Agri ing'!$S$27</f>
        <v>0.21944976966251648</v>
      </c>
      <c r="P15" s="57">
        <f>'Novel foods, input data'!$AB$8*'Agri ing'!$T$27</f>
        <v>1.1067506033433328</v>
      </c>
      <c r="Q15" s="45">
        <f>'Novel foods, input data'!$AB$8*'Agri ing'!$U$27*100</f>
        <v>4.0243678416738076E-11</v>
      </c>
      <c r="R15" s="279">
        <f>'Novel foods, input data'!$AB$8*'Agri ing'!$V$27</f>
        <v>3.5785114105523568E-3</v>
      </c>
      <c r="S15" s="6"/>
      <c r="T15" s="4">
        <v>0</v>
      </c>
      <c r="U15" s="4">
        <v>0</v>
      </c>
      <c r="W15" s="30"/>
      <c r="X15" s="29"/>
    </row>
    <row r="16" spans="1:25">
      <c r="A16" s="1" t="s">
        <v>51</v>
      </c>
      <c r="B16" s="1" t="s">
        <v>52</v>
      </c>
      <c r="C16" s="1" t="s">
        <v>34</v>
      </c>
      <c r="D16" s="1" t="s">
        <v>47</v>
      </c>
      <c r="E16" s="1" t="s">
        <v>48</v>
      </c>
      <c r="F16" s="368">
        <f>'GHG detailed, results per kg'!G60</f>
        <v>6.8317180889675022</v>
      </c>
      <c r="G16" s="368">
        <f>'GHG detailed, results per kg'!G56</f>
        <v>6.0164678836454764</v>
      </c>
      <c r="H16" s="259">
        <f>'GHG detailed, results per kg'!G57</f>
        <v>7.030554006346011E-3</v>
      </c>
      <c r="I16" s="351">
        <f>'GHG detailed, results per kg'!G58</f>
        <v>0</v>
      </c>
      <c r="J16" s="259">
        <f>'GHG detailed, results per kg'!G54</f>
        <v>2.208318197089163E-3</v>
      </c>
      <c r="L16" s="6">
        <f>'Novel foods, input data'!$AB$8*'Agri ing'!$P$27</f>
        <v>4.3173584880474625</v>
      </c>
      <c r="M16" s="57">
        <f>'Novel foods, input data'!$AB$8*'Agri ing'!$O$27</f>
        <v>2.0901522231283349E-3</v>
      </c>
      <c r="N16" s="57">
        <f>'Novel foods, input data'!$AB$8*'Agri ing'!$R$27</f>
        <v>1.9261800677586718E-2</v>
      </c>
      <c r="O16" s="57">
        <f>'Novel foods, input data'!$AB$8*'Agri ing'!$S$27</f>
        <v>0.21944976966251648</v>
      </c>
      <c r="P16" s="57">
        <f>'Novel foods, input data'!$AB$8*'Agri ing'!$T$27</f>
        <v>1.1067506033433328</v>
      </c>
      <c r="Q16" s="45">
        <f>'Novel foods, input data'!$AB$8*'Agri ing'!$U$27*100</f>
        <v>4.0243678416738076E-11</v>
      </c>
      <c r="R16" s="279">
        <f>'Novel foods, input data'!$AB$8*'Agri ing'!$V$27</f>
        <v>3.5785114105523568E-3</v>
      </c>
      <c r="S16" s="6"/>
      <c r="T16" s="4">
        <v>0</v>
      </c>
      <c r="U16" s="4">
        <v>0</v>
      </c>
      <c r="W16" s="30"/>
      <c r="X16" s="29"/>
    </row>
    <row r="17" spans="1:24">
      <c r="A17" s="1" t="s">
        <v>51</v>
      </c>
      <c r="B17" s="1" t="s">
        <v>52</v>
      </c>
      <c r="C17" s="1" t="s">
        <v>34</v>
      </c>
      <c r="D17" s="1" t="s">
        <v>39</v>
      </c>
      <c r="E17" s="1" t="s">
        <v>40</v>
      </c>
      <c r="F17" s="368">
        <f>'GHG detailed, results per kg'!G65</f>
        <v>4.3400351462612239</v>
      </c>
      <c r="G17" s="368">
        <f>'GHG detailed, results per kg'!G61</f>
        <v>3.6917044274982977</v>
      </c>
      <c r="H17" s="259">
        <f>'GHG detailed, results per kg'!G62</f>
        <v>2.1439570527458417E-3</v>
      </c>
      <c r="I17" s="351">
        <f>'GHG detailed, results per kg'!G63</f>
        <v>0</v>
      </c>
      <c r="J17" s="259">
        <f>'GHG detailed, results per kg'!G59</f>
        <v>2.2188267250289901E-3</v>
      </c>
      <c r="L17" s="6">
        <f>'Novel foods, input data'!$AB$8*'Agri ing'!$P$27</f>
        <v>4.3173584880474625</v>
      </c>
      <c r="M17" s="57">
        <f>'Novel foods, input data'!$AB$8*'Agri ing'!$O$27</f>
        <v>2.0901522231283349E-3</v>
      </c>
      <c r="N17" s="57">
        <f>'Novel foods, input data'!$AB$8*'Agri ing'!$R$27</f>
        <v>1.9261800677586718E-2</v>
      </c>
      <c r="O17" s="57">
        <f>'Novel foods, input data'!$AB$8*'Agri ing'!$S$27</f>
        <v>0.21944976966251648</v>
      </c>
      <c r="P17" s="57">
        <f>'Novel foods, input data'!$AB$8*'Agri ing'!$T$27</f>
        <v>1.1067506033433328</v>
      </c>
      <c r="Q17" s="45">
        <f>'Novel foods, input data'!$AB$8*'Agri ing'!$U$27*100</f>
        <v>4.0243678416738076E-11</v>
      </c>
      <c r="R17" s="279">
        <f>'Novel foods, input data'!$AB$8*'Agri ing'!$V$27</f>
        <v>3.5785114105523568E-3</v>
      </c>
      <c r="S17" s="6"/>
      <c r="T17" s="4">
        <v>0</v>
      </c>
      <c r="U17" s="4">
        <v>0</v>
      </c>
      <c r="W17" s="30"/>
      <c r="X17" s="29"/>
    </row>
    <row r="18" spans="1:24">
      <c r="A18" s="1" t="s">
        <v>51</v>
      </c>
      <c r="B18" s="1" t="s">
        <v>52</v>
      </c>
      <c r="C18" s="1" t="s">
        <v>34</v>
      </c>
      <c r="D18" s="1" t="s">
        <v>49</v>
      </c>
      <c r="E18" s="1" t="s">
        <v>50</v>
      </c>
      <c r="F18" s="368">
        <f>'GHG detailed, results per kg'!G70</f>
        <v>4.3400351462612239</v>
      </c>
      <c r="G18" s="368">
        <f>'GHG detailed, results per kg'!G66</f>
        <v>3.6917044274982977</v>
      </c>
      <c r="H18" s="259">
        <f>'GHG detailed, results per kg'!G67</f>
        <v>2.1439570527458417E-3</v>
      </c>
      <c r="I18" s="351">
        <f>'GHG detailed, results per kg'!G68</f>
        <v>0</v>
      </c>
      <c r="J18" s="259">
        <f>'GHG detailed, results per kg'!G64</f>
        <v>2.1408087860479838E-3</v>
      </c>
      <c r="L18" s="6">
        <f>'Novel foods, input data'!$AB$8*'Agri ing'!$P$27</f>
        <v>4.3173584880474625</v>
      </c>
      <c r="M18" s="57">
        <f>'Novel foods, input data'!$AB$8*'Agri ing'!$O$27</f>
        <v>2.0901522231283349E-3</v>
      </c>
      <c r="N18" s="57">
        <f>'Novel foods, input data'!$AB$8*'Agri ing'!$R$27</f>
        <v>1.9261800677586718E-2</v>
      </c>
      <c r="O18" s="57">
        <f>'Novel foods, input data'!$AB$8*'Agri ing'!$S$27</f>
        <v>0.21944976966251648</v>
      </c>
      <c r="P18" s="57">
        <f>'Novel foods, input data'!$AB$8*'Agri ing'!$T$27</f>
        <v>1.1067506033433328</v>
      </c>
      <c r="Q18" s="45">
        <f>'Novel foods, input data'!$AB$8*'Agri ing'!$U$27*100</f>
        <v>4.0243678416738076E-11</v>
      </c>
      <c r="R18" s="279">
        <f>'Novel foods, input data'!$AB$8*'Agri ing'!$V$27</f>
        <v>3.5785114105523568E-3</v>
      </c>
      <c r="S18" s="6"/>
      <c r="T18" s="4">
        <v>0</v>
      </c>
      <c r="U18" s="4">
        <v>0</v>
      </c>
      <c r="W18" s="30"/>
      <c r="X18" s="29"/>
    </row>
    <row r="19" spans="1:24">
      <c r="A19" s="1" t="s">
        <v>51</v>
      </c>
      <c r="B19" s="1" t="s">
        <v>52</v>
      </c>
      <c r="C19" s="1" t="s">
        <v>34</v>
      </c>
      <c r="D19" s="1" t="s">
        <v>41</v>
      </c>
      <c r="E19" s="1" t="s">
        <v>42</v>
      </c>
      <c r="F19" s="368">
        <f>'GHG detailed, results per kg'!G75</f>
        <v>7.192777930010398</v>
      </c>
      <c r="G19" s="368">
        <f>'GHG detailed, results per kg'!G71</f>
        <v>6.4007229337713243</v>
      </c>
      <c r="H19" s="259">
        <f>'GHG detailed, results per kg'!G72</f>
        <v>6.5890718709262011E-3</v>
      </c>
      <c r="I19" s="351">
        <f>'GHG detailed, results per kg'!G73</f>
        <v>0</v>
      </c>
      <c r="J19" s="259">
        <f>'GHG detailed, results per kg'!G69</f>
        <v>2.1408087860479838E-3</v>
      </c>
      <c r="L19" s="6">
        <f>'Novel foods, input data'!$AB$8*'Agri ing'!$P$27</f>
        <v>4.3173584880474625</v>
      </c>
      <c r="M19" s="57">
        <f>'Novel foods, input data'!$AB$8*'Agri ing'!$O$27</f>
        <v>2.0901522231283349E-3</v>
      </c>
      <c r="N19" s="57">
        <f>'Novel foods, input data'!$AB$8*'Agri ing'!$R$27</f>
        <v>1.9261800677586718E-2</v>
      </c>
      <c r="O19" s="57">
        <f>'Novel foods, input data'!$AB$8*'Agri ing'!$S$27</f>
        <v>0.21944976966251648</v>
      </c>
      <c r="P19" s="57">
        <f>'Novel foods, input data'!$AB$8*'Agri ing'!$T$27</f>
        <v>1.1067506033433328</v>
      </c>
      <c r="Q19" s="45">
        <f>'Novel foods, input data'!$AB$8*'Agri ing'!$U$27*100</f>
        <v>4.0243678416738076E-11</v>
      </c>
      <c r="R19" s="279">
        <f>'Novel foods, input data'!$AB$8*'Agri ing'!$V$27</f>
        <v>3.5785114105523568E-3</v>
      </c>
      <c r="S19" s="6"/>
      <c r="T19" s="4">
        <v>0</v>
      </c>
      <c r="U19" s="4">
        <v>0</v>
      </c>
      <c r="W19" s="30"/>
      <c r="X19" s="29"/>
    </row>
    <row r="20" spans="1:24" s="355" customFormat="1">
      <c r="A20" s="356" t="s">
        <v>53</v>
      </c>
      <c r="B20" s="356" t="s">
        <v>54</v>
      </c>
      <c r="C20" s="356" t="s">
        <v>34</v>
      </c>
      <c r="D20" s="356" t="s">
        <v>55</v>
      </c>
      <c r="E20" s="356" t="s">
        <v>56</v>
      </c>
      <c r="F20" s="369">
        <f>'GHG detailed, results per kg'!G80</f>
        <v>6.2223283462229189</v>
      </c>
      <c r="G20" s="369">
        <f>'GHG detailed, results per kg'!G76</f>
        <v>5.8015207424309114</v>
      </c>
      <c r="H20" s="357">
        <f>'GHG detailed, results per kg'!G77</f>
        <v>1.0911699607116153E-2</v>
      </c>
      <c r="I20" s="358">
        <f>'GHG detailed, results per kg'!G78</f>
        <v>0</v>
      </c>
      <c r="J20" s="357">
        <f>'GHG detailed, results per kg'!G74</f>
        <v>2.1820536794339672E-3</v>
      </c>
      <c r="L20" s="363">
        <v>0</v>
      </c>
      <c r="M20" s="363">
        <v>0</v>
      </c>
      <c r="N20" s="363">
        <v>0</v>
      </c>
      <c r="O20" s="363">
        <v>0</v>
      </c>
      <c r="P20" s="363">
        <v>0</v>
      </c>
      <c r="Q20" s="363">
        <v>0</v>
      </c>
      <c r="R20" s="363">
        <v>0</v>
      </c>
      <c r="S20" s="359"/>
      <c r="T20" s="363">
        <v>0</v>
      </c>
      <c r="U20" s="363">
        <v>0</v>
      </c>
      <c r="W20" s="364"/>
      <c r="X20" s="366"/>
    </row>
    <row r="21" spans="1:24" s="355" customFormat="1">
      <c r="A21" s="356" t="s">
        <v>53</v>
      </c>
      <c r="B21" s="356" t="s">
        <v>54</v>
      </c>
      <c r="C21" s="356" t="s">
        <v>34</v>
      </c>
      <c r="D21" s="356" t="s">
        <v>39</v>
      </c>
      <c r="E21" s="356" t="s">
        <v>40</v>
      </c>
      <c r="F21" s="369">
        <f>'GHG detailed, results per kg'!G85</f>
        <v>2.1205043844600366</v>
      </c>
      <c r="G21" s="369">
        <f>'GHG detailed, results per kg'!G81</f>
        <v>2.0272183919206928</v>
      </c>
      <c r="H21" s="357">
        <f>'GHG detailed, results per kg'!G82</f>
        <v>1.7768270204250669E-3</v>
      </c>
      <c r="I21" s="358">
        <f>'GHG detailed, results per kg'!G83</f>
        <v>0</v>
      </c>
      <c r="J21" s="357">
        <f>'GHG detailed, results per kg'!G79</f>
        <v>3.5032584432214499E-4</v>
      </c>
      <c r="L21" s="363">
        <v>0</v>
      </c>
      <c r="M21" s="363">
        <v>0</v>
      </c>
      <c r="N21" s="363">
        <v>0</v>
      </c>
      <c r="O21" s="363">
        <v>0</v>
      </c>
      <c r="P21" s="363">
        <v>0</v>
      </c>
      <c r="Q21" s="363">
        <v>0</v>
      </c>
      <c r="R21" s="363">
        <v>0</v>
      </c>
      <c r="S21" s="359"/>
      <c r="T21" s="363">
        <v>0</v>
      </c>
      <c r="U21" s="363">
        <v>0</v>
      </c>
      <c r="W21" s="364"/>
      <c r="X21" s="366"/>
    </row>
    <row r="22" spans="1:24">
      <c r="A22" s="1" t="s">
        <v>57</v>
      </c>
      <c r="B22" s="1" t="s">
        <v>58</v>
      </c>
      <c r="C22" s="1" t="s">
        <v>34</v>
      </c>
      <c r="D22" s="1" t="s">
        <v>39</v>
      </c>
      <c r="E22" s="1" t="s">
        <v>40</v>
      </c>
      <c r="F22" s="368">
        <f>'GHG detailed, results per kg'!G90</f>
        <v>1.9266956297819191</v>
      </c>
      <c r="G22" s="368">
        <f>'GHG detailed, results per kg'!G86</f>
        <v>1.0653230047988831</v>
      </c>
      <c r="H22" s="259">
        <f>'GHG detailed, results per kg'!G87</f>
        <v>2.449488630233824E-3</v>
      </c>
      <c r="I22" s="351">
        <f>'GHG detailed, results per kg'!G88</f>
        <v>7.0753259076891605E-5</v>
      </c>
      <c r="J22" s="259">
        <f>'GHG detailed, results per kg'!G84</f>
        <v>1.4775292062519E-4</v>
      </c>
      <c r="L22" s="6">
        <f>'Novel foods, input data'!$AD$10*'Agri ing'!N21+'Novel foods, input data'!$AE$10*'Agri ing'!P26</f>
        <v>4.0200758668520393</v>
      </c>
      <c r="M22" s="57">
        <f>'Novel foods, input data'!$AD$10*'Agri ing'!O21+'Novel foods, input data'!$AE$10*'Agri ing'!Q26</f>
        <v>5.1406516163970573E-2</v>
      </c>
      <c r="N22" s="57">
        <f>'Novel foods, input data'!$AD$10*'Agri ing'!P21+'Novel foods, input data'!$AE$10*'Agri ing'!R26</f>
        <v>4.7428770962566463E-3</v>
      </c>
      <c r="O22" s="57">
        <f>'Novel foods, input data'!$AD$10*'Agri ing'!Q21+'Novel foods, input data'!$AE$10*'Agri ing'!S26</f>
        <v>1.7315239900148157E-2</v>
      </c>
      <c r="P22" s="57">
        <f>'Novel foods, input data'!$AD$10*'Agri ing'!R21+'Novel foods, input data'!$AE$10*'Agri ing'!T26</f>
        <v>0.51524658546500068</v>
      </c>
      <c r="Q22" s="256">
        <f>('Novel foods, input data'!$AD$10*'Agri ing'!S21+'Novel foods, input data'!$AE$10*'Agri ing'!U26)*100</f>
        <v>1.0074486597568924E-10</v>
      </c>
      <c r="R22" s="6">
        <f>'Novel foods, input data'!$AD$10*'Agri ing'!T21+'Novel foods, input data'!$AE$10*'Agri ing'!V26</f>
        <v>3.118153222168461E-3</v>
      </c>
      <c r="S22" s="6"/>
      <c r="T22" s="57">
        <f>'Novel foods, input data'!$AD$10*'Agri ing'!U21+'Novel foods, input data'!$AE$10*'Agri ing'!W26</f>
        <v>0.29204350859282241</v>
      </c>
      <c r="U22" s="57">
        <f>'Novel foods, input data'!$AD$10*'Agri ing'!V21+'Novel foods, input data'!$AE$10*'Agri ing'!X26</f>
        <v>8.267392943192519E-3</v>
      </c>
      <c r="W22" s="30"/>
    </row>
    <row r="23" spans="1:24">
      <c r="A23" s="1" t="s">
        <v>57</v>
      </c>
      <c r="B23" s="1" t="s">
        <v>58</v>
      </c>
      <c r="C23" s="1" t="s">
        <v>34</v>
      </c>
      <c r="D23" s="1" t="s">
        <v>59</v>
      </c>
      <c r="E23" s="1" t="s">
        <v>60</v>
      </c>
      <c r="F23" s="368">
        <f>'GHG detailed, results per kg'!G95</f>
        <v>2.0031951520330509</v>
      </c>
      <c r="G23" s="368">
        <f>'GHG detailed, results per kg'!G91</f>
        <v>1.1247855624870695</v>
      </c>
      <c r="H23" s="259">
        <f>'GHG detailed, results per kg'!G92</f>
        <v>2.7051407041652803E-3</v>
      </c>
      <c r="I23" s="351">
        <f>'GHG detailed, results per kg'!G93</f>
        <v>7.0753259076891605E-5</v>
      </c>
      <c r="J23" s="259">
        <f>'GHG detailed, results per kg'!G89</f>
        <v>2.8808334278644389E-3</v>
      </c>
      <c r="L23" s="6">
        <f>'Novel foods, input data'!$AD$10*'Agri ing'!N21+'Novel foods, input data'!$AE$10*'Agri ing'!P26</f>
        <v>4.0200758668520393</v>
      </c>
      <c r="M23" s="57">
        <f>'Novel foods, input data'!$AD$10*'Agri ing'!O21+'Novel foods, input data'!$AE$10*'Agri ing'!Q26</f>
        <v>5.1406516163970573E-2</v>
      </c>
      <c r="N23" s="57">
        <f>'Novel foods, input data'!$AD$10*'Agri ing'!P21+'Novel foods, input data'!$AE$10*'Agri ing'!R26</f>
        <v>4.7428770962566463E-3</v>
      </c>
      <c r="O23" s="57">
        <f>'Novel foods, input data'!$AD$10*'Agri ing'!Q21+'Novel foods, input data'!$AE$10*'Agri ing'!S26</f>
        <v>1.7315239900148157E-2</v>
      </c>
      <c r="P23" s="57">
        <f>'Novel foods, input data'!$AD$10*'Agri ing'!R21+'Novel foods, input data'!$AE$10*'Agri ing'!T26</f>
        <v>0.51524658546500068</v>
      </c>
      <c r="Q23" s="256">
        <f>('Novel foods, input data'!$AD$10*'Agri ing'!S21+'Novel foods, input data'!$AE$10*'Agri ing'!U26)*100</f>
        <v>1.0074486597568924E-10</v>
      </c>
      <c r="R23" s="6">
        <f>'Novel foods, input data'!$AD$10*'Agri ing'!T21+'Novel foods, input data'!$AE$10*'Agri ing'!V26</f>
        <v>3.118153222168461E-3</v>
      </c>
      <c r="S23" s="6"/>
      <c r="T23" s="57">
        <f>'Novel foods, input data'!$AD$10*'Agri ing'!U21+'Novel foods, input data'!$AE$10*'Agri ing'!W26</f>
        <v>0.29204350859282241</v>
      </c>
      <c r="U23" s="57">
        <f>'Novel foods, input data'!$AD$10*'Agri ing'!V21+'Novel foods, input data'!$AE$10*'Agri ing'!X26</f>
        <v>8.267392943192519E-3</v>
      </c>
      <c r="W23" s="30"/>
    </row>
    <row r="24" spans="1:24" s="355" customFormat="1">
      <c r="A24" s="367" t="s">
        <v>61</v>
      </c>
      <c r="B24" s="367" t="s">
        <v>62</v>
      </c>
      <c r="C24" s="367" t="s">
        <v>34</v>
      </c>
      <c r="D24" s="356" t="s">
        <v>35</v>
      </c>
      <c r="E24" s="356" t="s">
        <v>36</v>
      </c>
      <c r="F24" s="369">
        <f>'GHG detailed, results per kg'!G100</f>
        <v>0.93463892657501257</v>
      </c>
      <c r="G24" s="369">
        <f>'GHG detailed, results per kg'!G96</f>
        <v>0.85944291407401696</v>
      </c>
      <c r="H24" s="357">
        <f>'GHG detailed, results per kg'!G97</f>
        <v>2.0750212487514602E-3</v>
      </c>
      <c r="I24" s="358">
        <f>'GHG detailed, results per kg'!G98</f>
        <v>0</v>
      </c>
      <c r="J24" s="357">
        <f>'GHG detailed, results per kg'!G94</f>
        <v>2.9153335478636611E-3</v>
      </c>
      <c r="K24" s="363"/>
      <c r="L24" s="363">
        <v>0</v>
      </c>
      <c r="M24" s="363">
        <v>0</v>
      </c>
      <c r="N24" s="363">
        <v>0</v>
      </c>
      <c r="O24" s="363">
        <v>0</v>
      </c>
      <c r="P24" s="363">
        <v>0</v>
      </c>
      <c r="Q24" s="363">
        <v>0</v>
      </c>
      <c r="R24" s="363">
        <v>0</v>
      </c>
      <c r="S24" s="359"/>
      <c r="T24" s="363">
        <v>0</v>
      </c>
      <c r="U24" s="363">
        <v>0</v>
      </c>
      <c r="W24" s="364"/>
      <c r="X24" s="365"/>
    </row>
    <row r="25" spans="1:24" s="355" customFormat="1">
      <c r="A25" s="367" t="s">
        <v>61</v>
      </c>
      <c r="B25" s="367" t="s">
        <v>62</v>
      </c>
      <c r="C25" s="367" t="s">
        <v>34</v>
      </c>
      <c r="D25" s="356" t="s">
        <v>37</v>
      </c>
      <c r="E25" s="356" t="s">
        <v>38</v>
      </c>
      <c r="F25" s="369">
        <f>'GHG detailed, results per kg'!G105</f>
        <v>0.66161793193136142</v>
      </c>
      <c r="G25" s="369">
        <f>'GHG detailed, results per kg'!G101</f>
        <v>0.61230843719339634</v>
      </c>
      <c r="H25" s="357">
        <f>'GHG detailed, results per kg'!G102</f>
        <v>1.2547485778783779E-3</v>
      </c>
      <c r="I25" s="358">
        <f>'GHG detailed, results per kg'!G103</f>
        <v>0</v>
      </c>
      <c r="J25" s="357">
        <f>'GHG detailed, results per kg'!G104</f>
        <v>4.3655630465895332E-5</v>
      </c>
      <c r="K25" s="363"/>
      <c r="L25" s="363">
        <v>0</v>
      </c>
      <c r="M25" s="363">
        <v>0</v>
      </c>
      <c r="N25" s="363">
        <v>0</v>
      </c>
      <c r="O25" s="363">
        <v>0</v>
      </c>
      <c r="P25" s="363">
        <v>0</v>
      </c>
      <c r="Q25" s="363">
        <v>0</v>
      </c>
      <c r="R25" s="363">
        <v>0</v>
      </c>
      <c r="S25" s="359"/>
      <c r="T25" s="363">
        <v>0</v>
      </c>
      <c r="U25" s="363">
        <v>0</v>
      </c>
      <c r="W25" s="364"/>
      <c r="X25" s="365"/>
    </row>
    <row r="26" spans="1:24" s="355" customFormat="1">
      <c r="A26" s="367" t="s">
        <v>61</v>
      </c>
      <c r="B26" s="367" t="s">
        <v>62</v>
      </c>
      <c r="C26" s="367" t="s">
        <v>34</v>
      </c>
      <c r="D26" s="356" t="s">
        <v>39</v>
      </c>
      <c r="E26" s="356" t="s">
        <v>40</v>
      </c>
      <c r="F26" s="369">
        <f>'GHG detailed, results per kg'!G110</f>
        <v>0.60640888859707276</v>
      </c>
      <c r="G26" s="369">
        <f>'GHG detailed, results per kg'!G106</f>
        <v>0.56083048434558513</v>
      </c>
      <c r="H26" s="357">
        <f>'GHG detailed, results per kg'!G107</f>
        <v>1.1431393962080905E-3</v>
      </c>
      <c r="I26" s="358">
        <f>'GHG detailed, results per kg'!G108</f>
        <v>0</v>
      </c>
      <c r="J26" s="357">
        <f>'GHG detailed, results per kg'!G109</f>
        <v>4.2171612617167024E-5</v>
      </c>
      <c r="K26" s="363"/>
      <c r="L26" s="363">
        <v>0</v>
      </c>
      <c r="M26" s="363">
        <v>0</v>
      </c>
      <c r="N26" s="363">
        <v>0</v>
      </c>
      <c r="O26" s="363">
        <v>0</v>
      </c>
      <c r="P26" s="363">
        <v>0</v>
      </c>
      <c r="Q26" s="363">
        <v>0</v>
      </c>
      <c r="R26" s="363">
        <v>0</v>
      </c>
      <c r="S26" s="359"/>
      <c r="T26" s="363">
        <v>0</v>
      </c>
      <c r="U26" s="363">
        <v>0</v>
      </c>
      <c r="W26" s="364"/>
      <c r="X26" s="365"/>
    </row>
    <row r="27" spans="1:24" s="355" customFormat="1">
      <c r="A27" s="367" t="s">
        <v>61</v>
      </c>
      <c r="B27" s="367" t="s">
        <v>62</v>
      </c>
      <c r="C27" s="367" t="s">
        <v>34</v>
      </c>
      <c r="D27" s="356" t="s">
        <v>41</v>
      </c>
      <c r="E27" s="356" t="s">
        <v>42</v>
      </c>
      <c r="F27" s="369">
        <f>'GHG detailed, results per kg'!G115</f>
        <v>0.66443695028317129</v>
      </c>
      <c r="G27" s="369">
        <f>'GHG detailed, results per kg'!G111</f>
        <v>0.61593502930711752</v>
      </c>
      <c r="H27" s="357">
        <f>'GHG detailed, results per kg'!G112</f>
        <v>1.2335581322892189E-3</v>
      </c>
      <c r="I27" s="358">
        <f>'GHG detailed, results per kg'!G113</f>
        <v>0</v>
      </c>
      <c r="J27" s="357">
        <f>'GHG detailed, results per kg'!G114</f>
        <v>4.3010581076318799E-5</v>
      </c>
      <c r="K27" s="363"/>
      <c r="L27" s="363">
        <v>0</v>
      </c>
      <c r="M27" s="363">
        <v>0</v>
      </c>
      <c r="N27" s="363">
        <v>0</v>
      </c>
      <c r="O27" s="363">
        <v>0</v>
      </c>
      <c r="P27" s="363">
        <v>0</v>
      </c>
      <c r="Q27" s="363">
        <v>0</v>
      </c>
      <c r="R27" s="363">
        <v>0</v>
      </c>
      <c r="S27" s="359"/>
      <c r="T27" s="363">
        <v>0</v>
      </c>
      <c r="U27" s="363">
        <v>0</v>
      </c>
      <c r="W27" s="364"/>
      <c r="X27" s="365"/>
    </row>
    <row r="28" spans="1:24">
      <c r="A28" s="140" t="s">
        <v>63</v>
      </c>
      <c r="B28" s="140" t="s">
        <v>64</v>
      </c>
      <c r="C28" s="73" t="s">
        <v>34</v>
      </c>
      <c r="D28" s="1" t="s">
        <v>45</v>
      </c>
      <c r="E28" s="1" t="s">
        <v>46</v>
      </c>
      <c r="F28" s="368">
        <f>'GHG detailed, results per kg'!G120</f>
        <v>3.4589033714055382</v>
      </c>
      <c r="G28" s="368">
        <f>'GHG detailed, results per kg'!G116</f>
        <v>2.5190595166220859</v>
      </c>
      <c r="H28" s="259">
        <f>'GHG detailed, results per kg'!G117</f>
        <v>3.7988688930966318E-3</v>
      </c>
      <c r="I28" s="351">
        <f>'GHG detailed, results per kg'!G118</f>
        <v>0</v>
      </c>
      <c r="J28" s="259">
        <f>'GHG detailed, results per kg'!G119</f>
        <v>3.0279764167368967E-3</v>
      </c>
      <c r="L28" s="6">
        <f>'Novel foods, input data'!$AB$12*'Agri ing'!P27</f>
        <v>6.129696873060781</v>
      </c>
      <c r="M28" s="57">
        <f>'Novel foods, input data'!$AB$12*'Agri ing'!Q27</f>
        <v>8.3571513718470949E-2</v>
      </c>
      <c r="N28" s="57">
        <f>'Novel foods, input data'!$AB$12*'Agri ing'!R27</f>
        <v>2.7347508832031315E-2</v>
      </c>
      <c r="O28" s="57">
        <f>'Novel foods, input data'!$AB$12*'Agri ing'!S27</f>
        <v>0.31157027395762737</v>
      </c>
      <c r="P28" s="56">
        <f>'Novel foods, input data'!$AB$12*'Agri ing'!T27</f>
        <v>1.5713417663493272</v>
      </c>
      <c r="Q28" s="256">
        <f>'Novel foods, input data'!$AB$12*'Agri ing'!U27*100</f>
        <v>5.7137147733846267E-11</v>
      </c>
      <c r="R28" s="57">
        <f>'Novel foods, input data'!$AB$12*'Agri ing'!V27</f>
        <v>5.0806969734392754E-3</v>
      </c>
      <c r="S28" s="6"/>
      <c r="T28" s="4">
        <v>0</v>
      </c>
      <c r="U28" s="4">
        <v>0</v>
      </c>
    </row>
    <row r="29" spans="1:24">
      <c r="A29" s="140" t="s">
        <v>63</v>
      </c>
      <c r="B29" s="140" t="s">
        <v>64</v>
      </c>
      <c r="C29" s="73" t="s">
        <v>34</v>
      </c>
      <c r="D29" s="1" t="s">
        <v>47</v>
      </c>
      <c r="E29" s="1" t="s">
        <v>48</v>
      </c>
      <c r="F29" s="368">
        <f>'GHG detailed, results per kg'!G125</f>
        <v>3.7905090230440019</v>
      </c>
      <c r="G29" s="368">
        <f>'GHG detailed, results per kg'!G121</f>
        <v>2.8137271401728365</v>
      </c>
      <c r="H29" s="259">
        <f>'GHG detailed, results per kg'!G122</f>
        <v>4.9891750697462134E-3</v>
      </c>
      <c r="I29" s="351">
        <f>'GHG detailed, results per kg'!G123</f>
        <v>0</v>
      </c>
      <c r="J29" s="259">
        <f>'GHG detailed, results per kg'!G124</f>
        <v>3.0333496915484546E-3</v>
      </c>
      <c r="K29" s="4"/>
      <c r="L29" s="6">
        <f>'Novel foods, input data'!$AB$12*'Agri ing'!P27</f>
        <v>6.129696873060781</v>
      </c>
      <c r="M29" s="57">
        <f>'Novel foods, input data'!$AB$12*'Agri ing'!Q27</f>
        <v>8.3571513718470949E-2</v>
      </c>
      <c r="N29" s="57">
        <f>'Novel foods, input data'!$AB$12*'Agri ing'!R27</f>
        <v>2.7347508832031315E-2</v>
      </c>
      <c r="O29" s="57">
        <f>'Novel foods, input data'!$AB$12*'Agri ing'!S27</f>
        <v>0.31157027395762737</v>
      </c>
      <c r="P29" s="56">
        <f>'Novel foods, input data'!$AB$12*'Agri ing'!T27</f>
        <v>1.5713417663493272</v>
      </c>
      <c r="Q29" s="256">
        <f>'Novel foods, input data'!$AB$12*'Agri ing'!U27*100</f>
        <v>5.7137147733846267E-11</v>
      </c>
      <c r="R29" s="57">
        <f>'Novel foods, input data'!$AB$12*'Agri ing'!V27</f>
        <v>5.0806969734392754E-3</v>
      </c>
      <c r="S29" s="6"/>
      <c r="T29" s="4">
        <v>0</v>
      </c>
      <c r="U29" s="4">
        <v>0</v>
      </c>
    </row>
    <row r="30" spans="1:24">
      <c r="A30" s="140" t="s">
        <v>63</v>
      </c>
      <c r="B30" s="140" t="s">
        <v>64</v>
      </c>
      <c r="C30" s="73" t="s">
        <v>34</v>
      </c>
      <c r="D30" s="1" t="s">
        <v>39</v>
      </c>
      <c r="E30" s="1" t="s">
        <v>40</v>
      </c>
      <c r="F30" s="368">
        <f>'GHG detailed, results per kg'!G130</f>
        <v>2.5164488244038217</v>
      </c>
      <c r="G30" s="368">
        <f>'GHG detailed, results per kg'!G126</f>
        <v>1.6250170759969644</v>
      </c>
      <c r="H30" s="259">
        <f>'GHG detailed, results per kg'!G127</f>
        <v>2.490535062757075E-3</v>
      </c>
      <c r="I30" s="351">
        <f>'GHG detailed, results per kg'!G128</f>
        <v>0</v>
      </c>
      <c r="J30" s="259">
        <f>'GHG detailed, results per kg'!G129</f>
        <v>2.9934571558120748E-3</v>
      </c>
      <c r="K30" s="4"/>
      <c r="L30" s="6">
        <f>'Novel foods, input data'!$AB$12*'Agri ing'!P27</f>
        <v>6.129696873060781</v>
      </c>
      <c r="M30" s="57">
        <f>'Novel foods, input data'!$AB$12*'Agri ing'!Q27</f>
        <v>8.3571513718470949E-2</v>
      </c>
      <c r="N30" s="57">
        <f>'Novel foods, input data'!$AB$12*'Agri ing'!R27</f>
        <v>2.7347508832031315E-2</v>
      </c>
      <c r="O30" s="57">
        <f>'Novel foods, input data'!$AB$12*'Agri ing'!S27</f>
        <v>0.31157027395762737</v>
      </c>
      <c r="P30" s="56">
        <f>'Novel foods, input data'!$AB$12*'Agri ing'!T27</f>
        <v>1.5713417663493272</v>
      </c>
      <c r="Q30" s="256">
        <f>'Novel foods, input data'!$AB$12*'Agri ing'!U27*100</f>
        <v>5.7137147733846267E-11</v>
      </c>
      <c r="R30" s="57">
        <f>'Novel foods, input data'!$AB$12*'Agri ing'!V27</f>
        <v>5.0806969734392754E-3</v>
      </c>
      <c r="S30" s="6"/>
      <c r="T30" s="4">
        <v>0</v>
      </c>
      <c r="U30" s="4">
        <v>0</v>
      </c>
    </row>
    <row r="31" spans="1:24">
      <c r="A31" s="140" t="s">
        <v>63</v>
      </c>
      <c r="B31" s="140" t="s">
        <v>64</v>
      </c>
      <c r="C31" s="73" t="s">
        <v>34</v>
      </c>
      <c r="D31" s="1" t="s">
        <v>49</v>
      </c>
      <c r="E31" s="1" t="s">
        <v>50</v>
      </c>
      <c r="F31" s="368">
        <f>'GHG detailed, results per kg'!G135</f>
        <v>2.5164488244038217</v>
      </c>
      <c r="G31" s="368">
        <f>'GHG detailed, results per kg'!G131</f>
        <v>1.6250170759969644</v>
      </c>
      <c r="H31" s="259">
        <f>'GHG detailed, results per kg'!G132</f>
        <v>2.490535062757075E-3</v>
      </c>
      <c r="I31" s="351">
        <f>'GHG detailed, results per kg'!G133</f>
        <v>0</v>
      </c>
      <c r="J31" s="259">
        <f>'GHG detailed, results per kg'!G134</f>
        <v>2.9934571558120748E-3</v>
      </c>
      <c r="K31" s="4"/>
      <c r="L31" s="6">
        <f>'Novel foods, input data'!$AB$12*'Agri ing'!P27</f>
        <v>6.129696873060781</v>
      </c>
      <c r="M31" s="57">
        <f>'Novel foods, input data'!$AB$12*'Agri ing'!Q27</f>
        <v>8.3571513718470949E-2</v>
      </c>
      <c r="N31" s="57">
        <f>'Novel foods, input data'!$AB$12*'Agri ing'!R27</f>
        <v>2.7347508832031315E-2</v>
      </c>
      <c r="O31" s="57">
        <f>'Novel foods, input data'!$AB$12*'Agri ing'!S27</f>
        <v>0.31157027395762737</v>
      </c>
      <c r="P31" s="56">
        <f>'Novel foods, input data'!$AB$12*'Agri ing'!T27</f>
        <v>1.5713417663493272</v>
      </c>
      <c r="Q31" s="256">
        <f>'Novel foods, input data'!$AB$12*'Agri ing'!U27*100</f>
        <v>5.7137147733846267E-11</v>
      </c>
      <c r="R31" s="57">
        <f>'Novel foods, input data'!$AB$12*'Agri ing'!V27</f>
        <v>5.0806969734392754E-3</v>
      </c>
      <c r="S31" s="6"/>
      <c r="T31" s="4">
        <v>0</v>
      </c>
      <c r="U31" s="4">
        <v>0</v>
      </c>
    </row>
    <row r="32" spans="1:24">
      <c r="A32" s="140" t="s">
        <v>63</v>
      </c>
      <c r="B32" s="140" t="s">
        <v>64</v>
      </c>
      <c r="C32" s="73" t="s">
        <v>34</v>
      </c>
      <c r="D32" s="1" t="s">
        <v>41</v>
      </c>
      <c r="E32" s="1" t="s">
        <v>42</v>
      </c>
      <c r="F32" s="368">
        <f>'GHG detailed, results per kg'!G140</f>
        <v>3.9751280068303076</v>
      </c>
      <c r="G32" s="368">
        <f>'GHG detailed, results per kg'!G136</f>
        <v>3.0102064181343025</v>
      </c>
      <c r="H32" s="259">
        <f>'GHG detailed, results per kg'!G137</f>
        <v>4.7634341427974028E-3</v>
      </c>
      <c r="I32" s="351">
        <f>'GHG detailed, results per kg'!G138</f>
        <v>0</v>
      </c>
      <c r="J32" s="259">
        <f>'GHG detailed, results per kg'!G139</f>
        <v>3.0145467078411805E-3</v>
      </c>
      <c r="K32" s="4"/>
      <c r="L32" s="6">
        <f>'Novel foods, input data'!$AB$12*'Agri ing'!P27</f>
        <v>6.129696873060781</v>
      </c>
      <c r="M32" s="57">
        <f>'Novel foods, input data'!$AB$12*'Agri ing'!Q27</f>
        <v>8.3571513718470949E-2</v>
      </c>
      <c r="N32" s="57">
        <f>'Novel foods, input data'!$AB$12*'Agri ing'!R27</f>
        <v>2.7347508832031315E-2</v>
      </c>
      <c r="O32" s="57">
        <f>'Novel foods, input data'!$AB$12*'Agri ing'!S27</f>
        <v>0.31157027395762737</v>
      </c>
      <c r="P32" s="56">
        <f>'Novel foods, input data'!$AB$12*'Agri ing'!T27</f>
        <v>1.5713417663493272</v>
      </c>
      <c r="Q32" s="256">
        <f>'Novel foods, input data'!$AB$12*'Agri ing'!U27*100</f>
        <v>5.7137147733846267E-11</v>
      </c>
      <c r="R32" s="57">
        <f>'Novel foods, input data'!$AB$12*'Agri ing'!V27</f>
        <v>5.0806969734392754E-3</v>
      </c>
      <c r="S32" s="6"/>
      <c r="T32" s="4">
        <v>0</v>
      </c>
      <c r="U32" s="4">
        <v>0</v>
      </c>
    </row>
    <row r="33" spans="1:20">
      <c r="A33" s="140"/>
      <c r="B33" s="140"/>
      <c r="C33" s="73"/>
      <c r="D33" s="1"/>
      <c r="E33" s="1"/>
      <c r="F33" s="259"/>
      <c r="G33" s="259"/>
      <c r="H33" s="259"/>
      <c r="I33" s="351"/>
      <c r="J33" s="259"/>
      <c r="K33" s="4"/>
      <c r="L33" s="6"/>
      <c r="M33" s="6"/>
      <c r="N33" s="6"/>
      <c r="O33" s="6"/>
      <c r="T33" s="4"/>
    </row>
    <row r="34" spans="1:20">
      <c r="E34" s="1"/>
      <c r="F34" s="259"/>
      <c r="G34" s="259"/>
      <c r="H34" s="259"/>
      <c r="I34" s="351"/>
      <c r="J34" s="259"/>
      <c r="K34" s="4"/>
      <c r="L34" s="6"/>
      <c r="M34" s="6"/>
      <c r="N34" s="6"/>
      <c r="O34" s="6"/>
      <c r="T34" s="4"/>
    </row>
    <row r="35" spans="1:20">
      <c r="E35" s="1"/>
      <c r="F35" s="6"/>
      <c r="G35" s="1"/>
      <c r="L35" s="6"/>
      <c r="M35" s="6"/>
      <c r="N35" s="6"/>
      <c r="O35" s="6"/>
      <c r="T35" s="4"/>
    </row>
    <row r="36" spans="1:20">
      <c r="E36" s="1"/>
      <c r="F36" s="6"/>
      <c r="G36" s="1"/>
      <c r="L36" s="6"/>
      <c r="M36" s="6"/>
      <c r="N36" s="6"/>
      <c r="O36" s="6"/>
      <c r="T36" s="4"/>
    </row>
    <row r="37" spans="1:20">
      <c r="E37" s="1"/>
      <c r="F37" s="6"/>
      <c r="G37" s="1"/>
      <c r="L37" s="6"/>
      <c r="M37" s="6"/>
      <c r="N37" s="6"/>
      <c r="O37" s="6"/>
    </row>
    <row r="38" spans="1:20">
      <c r="E38" s="1"/>
      <c r="F38" s="6"/>
      <c r="G38" s="25"/>
      <c r="L38" s="6"/>
      <c r="M38" s="6"/>
      <c r="N38" s="6"/>
      <c r="O38" s="6"/>
    </row>
    <row r="39" spans="1:20">
      <c r="E39" s="1"/>
      <c r="F39" s="6"/>
      <c r="G39" s="25"/>
      <c r="L39" s="6"/>
      <c r="M39" s="6"/>
      <c r="N39" s="6"/>
      <c r="O39" s="6"/>
    </row>
    <row r="40" spans="1:20">
      <c r="E40" s="1"/>
      <c r="F40" s="6"/>
      <c r="G40" s="25"/>
      <c r="L40" s="6"/>
      <c r="M40" s="6"/>
      <c r="N40" s="6"/>
      <c r="O40" s="6"/>
    </row>
    <row r="41" spans="1:20">
      <c r="E41" s="1"/>
      <c r="F41" s="6"/>
      <c r="G41" s="25"/>
      <c r="L41" s="6"/>
      <c r="M41" s="6"/>
      <c r="N41" s="6"/>
      <c r="O41" s="6"/>
    </row>
    <row r="42" spans="1:20">
      <c r="E42" s="1"/>
      <c r="F42" s="6"/>
      <c r="G42" s="25"/>
      <c r="L42" s="6"/>
      <c r="M42" s="6"/>
      <c r="N42" s="6"/>
      <c r="O42" s="6"/>
    </row>
    <row r="43" spans="1:20">
      <c r="E43" s="1"/>
      <c r="F43" s="6"/>
      <c r="G43" s="1"/>
      <c r="L43" s="6"/>
      <c r="M43" s="6"/>
      <c r="N43" s="6"/>
      <c r="O43" s="6"/>
    </row>
    <row r="44" spans="1:20">
      <c r="A44" s="1"/>
      <c r="B44" s="1"/>
      <c r="C44" s="1"/>
      <c r="D44" s="1"/>
      <c r="E44" s="1"/>
      <c r="F44" s="6"/>
      <c r="G44" s="1"/>
      <c r="L44" s="6"/>
      <c r="M44" s="6"/>
      <c r="N44" s="6"/>
      <c r="O44" s="6"/>
    </row>
    <row r="45" spans="1:20">
      <c r="A45" s="1"/>
      <c r="B45" s="1"/>
      <c r="C45" s="1"/>
      <c r="D45" s="1"/>
      <c r="E45" s="1"/>
      <c r="F45" s="6"/>
      <c r="G45" s="1"/>
      <c r="L45" s="6"/>
      <c r="M45" s="6"/>
      <c r="N45" s="6"/>
      <c r="O45" s="6"/>
    </row>
    <row r="46" spans="1:20">
      <c r="A46" s="1"/>
      <c r="B46" s="1"/>
      <c r="C46" s="1"/>
      <c r="D46" s="1"/>
      <c r="E46" s="1"/>
      <c r="F46" s="6"/>
      <c r="G46" s="1"/>
      <c r="L46" s="6"/>
      <c r="M46" s="6"/>
      <c r="N46" s="6"/>
      <c r="O46" s="6"/>
    </row>
    <row r="47" spans="1:20">
      <c r="A47" s="1"/>
      <c r="B47" s="1"/>
      <c r="C47" s="1"/>
      <c r="D47" s="1"/>
      <c r="E47" s="1"/>
      <c r="F47" s="6"/>
      <c r="G47" s="1"/>
      <c r="L47" s="6"/>
      <c r="M47" s="6"/>
      <c r="N47" s="6"/>
      <c r="O47" s="6"/>
    </row>
    <row r="48" spans="1:20">
      <c r="A48" s="1"/>
      <c r="B48" s="1"/>
      <c r="C48" s="1"/>
      <c r="D48" s="1"/>
      <c r="E48" s="1"/>
      <c r="F48" s="6"/>
      <c r="G48" s="1"/>
      <c r="L48" s="6"/>
      <c r="M48" s="6"/>
      <c r="N48" s="6"/>
      <c r="O48" s="6"/>
    </row>
    <row r="49" spans="1:15">
      <c r="A49" s="1"/>
      <c r="B49" s="1"/>
      <c r="C49" s="1"/>
      <c r="D49" s="1"/>
      <c r="E49" s="1"/>
      <c r="F49" s="6"/>
      <c r="G49" s="1"/>
      <c r="L49" s="6"/>
      <c r="M49" s="6"/>
      <c r="N49" s="6"/>
      <c r="O49" s="6"/>
    </row>
    <row r="50" spans="1:15">
      <c r="A50" s="1"/>
      <c r="B50" s="1"/>
      <c r="C50" s="1"/>
      <c r="D50" s="1"/>
      <c r="E50" s="1"/>
      <c r="F50" s="6"/>
      <c r="G50" s="26"/>
      <c r="H50" s="26"/>
      <c r="I50" s="26"/>
      <c r="J50" s="26"/>
      <c r="K50" s="26"/>
      <c r="L50" s="6"/>
      <c r="M50" s="6"/>
      <c r="N50" s="6"/>
      <c r="O50" s="6"/>
    </row>
    <row r="51" spans="1:15">
      <c r="A51" s="1"/>
      <c r="B51" s="1"/>
      <c r="C51" s="1"/>
      <c r="D51" s="1"/>
      <c r="E51" s="1"/>
      <c r="F51" s="6"/>
      <c r="G51" s="26"/>
      <c r="H51" s="26"/>
      <c r="I51" s="26"/>
      <c r="J51" s="26"/>
      <c r="K51" s="26"/>
      <c r="L51" s="6"/>
      <c r="M51" s="6"/>
      <c r="N51" s="6"/>
      <c r="O51" s="6"/>
    </row>
    <row r="52" spans="1:15">
      <c r="A52" s="1"/>
      <c r="B52" s="1"/>
      <c r="C52" s="1"/>
      <c r="D52" s="1"/>
      <c r="E52" s="1"/>
      <c r="F52" s="6"/>
      <c r="G52" s="1"/>
      <c r="L52" s="6"/>
      <c r="M52" s="6"/>
      <c r="N52" s="6"/>
      <c r="O52" s="6"/>
    </row>
    <row r="53" spans="1:15">
      <c r="A53" s="1"/>
      <c r="B53" s="1"/>
      <c r="C53" s="1"/>
      <c r="D53" s="1"/>
      <c r="E53" s="1"/>
      <c r="F53" s="6"/>
      <c r="G53" s="1"/>
      <c r="L53" s="6"/>
      <c r="M53" s="6"/>
      <c r="N53" s="6"/>
      <c r="O53" s="6"/>
    </row>
    <row r="54" spans="1:15">
      <c r="A54" s="1"/>
      <c r="B54" s="1"/>
      <c r="C54" s="1"/>
      <c r="D54" s="1"/>
      <c r="E54" s="1"/>
      <c r="F54" s="6"/>
      <c r="G54" s="1"/>
      <c r="L54" s="6"/>
      <c r="M54" s="6"/>
      <c r="N54" s="6"/>
      <c r="O54" s="6"/>
    </row>
    <row r="55" spans="1:15">
      <c r="A55" s="1"/>
      <c r="B55" s="1"/>
      <c r="C55" s="1"/>
      <c r="D55" s="1"/>
      <c r="E55" s="1"/>
      <c r="F55" s="6"/>
      <c r="G55" s="1"/>
      <c r="L55" s="6"/>
      <c r="M55" s="6"/>
      <c r="N55" s="6"/>
      <c r="O55" s="6"/>
    </row>
    <row r="56" spans="1:15">
      <c r="A56" s="1"/>
      <c r="B56" s="1"/>
      <c r="C56" s="1"/>
      <c r="D56" s="1"/>
      <c r="E56" s="1"/>
      <c r="F56" s="6"/>
      <c r="G56" s="1"/>
      <c r="L56" s="6"/>
      <c r="M56" s="6"/>
      <c r="N56" s="6"/>
      <c r="O56" s="6"/>
    </row>
    <row r="57" spans="1:15">
      <c r="A57" s="1"/>
      <c r="B57" s="1"/>
      <c r="C57" s="1"/>
      <c r="D57" s="1"/>
      <c r="E57" s="1"/>
      <c r="F57" s="6"/>
      <c r="G57" s="1"/>
      <c r="L57" s="6"/>
      <c r="M57" s="6"/>
      <c r="N57" s="6"/>
      <c r="O57" s="6"/>
    </row>
    <row r="58" spans="1:15">
      <c r="A58" s="1"/>
      <c r="B58" s="1"/>
      <c r="C58" s="1"/>
      <c r="D58" s="1"/>
      <c r="E58" s="1"/>
      <c r="F58" s="6"/>
      <c r="G58" s="1"/>
      <c r="L58" s="6"/>
      <c r="M58" s="6"/>
      <c r="N58" s="6"/>
      <c r="O58" s="6"/>
    </row>
    <row r="59" spans="1:15">
      <c r="A59" s="1"/>
      <c r="B59" s="1"/>
      <c r="C59" s="1"/>
      <c r="D59" s="1"/>
      <c r="E59" s="1"/>
      <c r="F59" s="6"/>
      <c r="G59" s="27"/>
      <c r="H59" s="4"/>
      <c r="I59" s="26"/>
      <c r="J59" s="26"/>
      <c r="K59" s="26"/>
      <c r="L59" s="6"/>
      <c r="M59" s="6"/>
      <c r="N59" s="6"/>
      <c r="O59" s="6"/>
    </row>
    <row r="60" spans="1:15">
      <c r="A60" s="1"/>
      <c r="B60" s="1"/>
      <c r="C60" s="1"/>
      <c r="D60" s="1"/>
      <c r="E60" s="1"/>
      <c r="F60" s="6"/>
      <c r="G60" s="27"/>
      <c r="H60" s="4"/>
      <c r="I60" s="26"/>
      <c r="J60" s="26"/>
      <c r="K60" s="26"/>
      <c r="L60" s="6"/>
      <c r="M60" s="6"/>
      <c r="N60" s="6"/>
      <c r="O60" s="6"/>
    </row>
    <row r="61" spans="1:15">
      <c r="A61" s="1"/>
      <c r="B61" s="1"/>
      <c r="C61" s="1"/>
      <c r="D61" s="1"/>
      <c r="E61" s="1"/>
      <c r="F61" s="6"/>
      <c r="G61" s="1"/>
      <c r="L61" s="6"/>
      <c r="M61" s="6"/>
      <c r="N61" s="6"/>
      <c r="O61" s="6"/>
    </row>
    <row r="62" spans="1:15">
      <c r="A62" s="1"/>
      <c r="B62" s="1"/>
      <c r="C62" s="1"/>
      <c r="D62" s="1"/>
      <c r="E62" s="1"/>
      <c r="F62" s="6"/>
      <c r="G62" s="1"/>
      <c r="L62" s="6"/>
      <c r="M62" s="6"/>
      <c r="N62" s="6"/>
      <c r="O62" s="6"/>
    </row>
    <row r="63" spans="1:15">
      <c r="A63" s="1"/>
      <c r="B63" s="1"/>
      <c r="C63" s="1"/>
      <c r="D63" s="1"/>
      <c r="E63" s="1"/>
      <c r="F63" s="6"/>
      <c r="G63" s="1"/>
      <c r="L63" s="6"/>
      <c r="M63" s="6"/>
      <c r="N63" s="6"/>
      <c r="O63" s="6"/>
    </row>
    <row r="64" spans="1:15">
      <c r="A64" s="1"/>
      <c r="B64" s="1"/>
      <c r="C64" s="1"/>
      <c r="D64" s="1"/>
      <c r="E64" s="1"/>
      <c r="F64" s="6"/>
      <c r="G64" s="1"/>
      <c r="L64" s="6"/>
      <c r="M64" s="6"/>
      <c r="N64" s="6"/>
      <c r="O64" s="6"/>
    </row>
    <row r="65" spans="1:15">
      <c r="A65" s="1"/>
      <c r="B65" s="1"/>
      <c r="C65" s="1"/>
      <c r="D65" s="1"/>
      <c r="E65" s="1"/>
      <c r="F65" s="6"/>
      <c r="G65" s="1"/>
      <c r="L65" s="6"/>
      <c r="M65" s="6"/>
      <c r="N65" s="6"/>
      <c r="O65" s="6"/>
    </row>
    <row r="66" spans="1:15">
      <c r="A66" s="1"/>
      <c r="B66" s="1"/>
      <c r="C66" s="1"/>
      <c r="D66" s="1"/>
      <c r="E66" s="1"/>
      <c r="F66" s="6"/>
      <c r="G66" s="26"/>
      <c r="H66" s="26"/>
      <c r="I66" s="26"/>
      <c r="J66" s="26"/>
      <c r="K66" s="26"/>
      <c r="L66" s="6"/>
      <c r="M66" s="6"/>
      <c r="N66" s="6"/>
      <c r="O66" s="6"/>
    </row>
    <row r="67" spans="1:15">
      <c r="A67" s="1"/>
      <c r="B67" s="1"/>
      <c r="C67" s="1"/>
      <c r="D67" s="1"/>
      <c r="E67" s="1"/>
      <c r="F67" s="6"/>
      <c r="G67" s="4"/>
      <c r="H67" s="4"/>
      <c r="I67" s="4"/>
      <c r="J67" s="4"/>
      <c r="K67" s="4"/>
      <c r="L67" s="6"/>
      <c r="M67" s="6"/>
      <c r="N67" s="6"/>
      <c r="O67" s="6"/>
    </row>
    <row r="68" spans="1:15">
      <c r="A68" s="1"/>
      <c r="B68" s="1"/>
      <c r="C68" s="1"/>
      <c r="D68" s="1"/>
      <c r="E68" s="1"/>
      <c r="F68" s="6"/>
      <c r="G68" s="26"/>
      <c r="H68" s="26"/>
      <c r="I68" s="26"/>
      <c r="J68" s="26"/>
      <c r="K68" s="26"/>
      <c r="L68" s="6"/>
      <c r="M68" s="6"/>
      <c r="N68" s="6"/>
      <c r="O68" s="6"/>
    </row>
    <row r="69" spans="1:15">
      <c r="A69" s="1"/>
      <c r="B69" s="1"/>
      <c r="C69" s="1"/>
      <c r="D69" s="1"/>
      <c r="E69" s="1"/>
      <c r="F69" s="6"/>
      <c r="H69" s="28"/>
      <c r="L69" s="6"/>
      <c r="M69" s="6"/>
      <c r="N69" s="6"/>
      <c r="O69" s="6"/>
    </row>
    <row r="70" spans="1:15">
      <c r="A70" s="1"/>
      <c r="B70" s="1"/>
      <c r="C70" s="1"/>
      <c r="D70" s="1"/>
      <c r="E70" s="1"/>
      <c r="F70" s="6"/>
      <c r="G70" s="1"/>
      <c r="H70" s="28"/>
      <c r="L70" s="6"/>
      <c r="M70" s="6"/>
      <c r="N70" s="6"/>
      <c r="O70" s="6"/>
    </row>
    <row r="71" spans="1:15">
      <c r="A71" s="1"/>
      <c r="B71" s="1"/>
      <c r="C71" s="1"/>
      <c r="D71" s="1"/>
      <c r="E71" s="1"/>
      <c r="F71" s="6"/>
      <c r="G71" s="1"/>
      <c r="H71" s="28"/>
      <c r="L71" s="6"/>
      <c r="M71" s="6"/>
      <c r="N71" s="6"/>
      <c r="O71" s="6"/>
    </row>
    <row r="72" spans="1:15">
      <c r="A72" s="1"/>
      <c r="B72" s="1"/>
      <c r="C72" s="1"/>
      <c r="D72" s="1"/>
      <c r="E72" s="1"/>
      <c r="F72" s="6"/>
      <c r="G72" s="1"/>
      <c r="H72" s="28"/>
      <c r="L72" s="6"/>
      <c r="M72" s="6"/>
      <c r="N72" s="6"/>
      <c r="O72" s="6"/>
    </row>
    <row r="73" spans="1:15">
      <c r="A73" s="1"/>
      <c r="B73" s="1"/>
      <c r="C73" s="1"/>
      <c r="D73" s="1"/>
      <c r="E73" s="1"/>
      <c r="F73" s="6"/>
      <c r="G73" s="1"/>
      <c r="H73" s="28"/>
      <c r="L73" s="6"/>
      <c r="M73" s="6"/>
      <c r="N73" s="6"/>
      <c r="O73" s="6"/>
    </row>
    <row r="74" spans="1:15">
      <c r="A74" s="1"/>
      <c r="B74" s="1"/>
      <c r="C74" s="1"/>
      <c r="D74" s="1"/>
      <c r="E74" s="1"/>
      <c r="F74" s="6"/>
      <c r="G74" s="1"/>
      <c r="H74" s="28"/>
      <c r="L74" s="6"/>
      <c r="M74" s="6"/>
      <c r="N74" s="6"/>
      <c r="O74" s="6"/>
    </row>
    <row r="75" spans="1:15">
      <c r="A75" s="1"/>
      <c r="B75" s="1"/>
      <c r="C75" s="1"/>
      <c r="D75" s="1"/>
      <c r="E75" s="1"/>
      <c r="F75" s="6"/>
      <c r="G75" s="1"/>
      <c r="H75" s="28"/>
      <c r="L75" s="6"/>
      <c r="M75" s="6"/>
      <c r="N75" s="6"/>
      <c r="O75" s="6"/>
    </row>
    <row r="76" spans="1:15">
      <c r="L76" s="6"/>
      <c r="M76" s="6"/>
      <c r="N76" s="6"/>
      <c r="O76" s="6"/>
    </row>
    <row r="77" spans="1:15">
      <c r="L77" s="6"/>
      <c r="M77" s="6"/>
      <c r="N77" s="6"/>
      <c r="O77" s="6"/>
    </row>
  </sheetData>
  <phoneticPr fontId="117"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37D8-944B-4B74-82B1-70CC5F2233C5}">
  <sheetPr>
    <tabColor theme="9" tint="0.59999389629810485"/>
  </sheetPr>
  <dimension ref="A1:Y141"/>
  <sheetViews>
    <sheetView topLeftCell="A108" workbookViewId="0">
      <selection activeCell="O120" sqref="O120"/>
    </sheetView>
  </sheetViews>
  <sheetFormatPr defaultRowHeight="14.4"/>
  <cols>
    <col min="2" max="2" width="23.44140625" customWidth="1"/>
    <col min="3" max="3" width="17.6640625" customWidth="1"/>
    <col min="6" max="6" width="23.88671875" customWidth="1"/>
    <col min="8" max="12" width="10.33203125" bestFit="1" customWidth="1"/>
    <col min="15" max="15" width="20.44140625" style="71" customWidth="1"/>
  </cols>
  <sheetData>
    <row r="1" spans="1:24">
      <c r="A1" s="319"/>
      <c r="G1" s="1"/>
      <c r="H1" s="320"/>
      <c r="S1" s="319"/>
      <c r="U1" s="255"/>
      <c r="V1" s="255"/>
    </row>
    <row r="2" spans="1:24" ht="21">
      <c r="A2" s="321" t="s">
        <v>65</v>
      </c>
      <c r="G2" s="1"/>
      <c r="H2" s="320"/>
      <c r="T2" s="45"/>
      <c r="U2" s="257"/>
      <c r="V2" s="255"/>
    </row>
    <row r="3" spans="1:24">
      <c r="A3" s="319"/>
      <c r="G3" s="1"/>
      <c r="H3" s="320"/>
      <c r="J3" s="74"/>
      <c r="K3" s="255"/>
      <c r="L3" s="255"/>
      <c r="M3" s="255"/>
      <c r="N3" s="255"/>
      <c r="P3" s="255"/>
      <c r="Q3" s="255"/>
      <c r="R3" s="255"/>
      <c r="S3" s="255"/>
      <c r="T3" s="255"/>
      <c r="U3" s="255"/>
      <c r="V3" s="255"/>
    </row>
    <row r="4" spans="1:24">
      <c r="A4" s="240" t="s">
        <v>66</v>
      </c>
      <c r="B4" s="8"/>
      <c r="C4" s="8"/>
      <c r="D4" s="241"/>
      <c r="E4" s="241"/>
      <c r="F4" s="242"/>
      <c r="G4" s="243" t="s">
        <v>67</v>
      </c>
      <c r="H4" s="243" t="s">
        <v>68</v>
      </c>
      <c r="I4" s="244"/>
      <c r="J4" s="243" t="s">
        <v>69</v>
      </c>
      <c r="K4" s="245"/>
      <c r="L4" s="14" t="s">
        <v>70</v>
      </c>
      <c r="M4" s="245"/>
      <c r="N4" s="245"/>
      <c r="O4" s="385"/>
      <c r="P4" s="14" t="s">
        <v>71</v>
      </c>
      <c r="Q4" s="14" t="s">
        <v>72</v>
      </c>
      <c r="R4" s="14" t="s">
        <v>73</v>
      </c>
      <c r="S4" s="246"/>
      <c r="T4" s="246"/>
      <c r="U4" s="247"/>
      <c r="V4" s="247"/>
      <c r="W4" s="248"/>
      <c r="X4" s="248"/>
    </row>
    <row r="5" spans="1:24" ht="94.2" customHeight="1">
      <c r="A5" s="249" t="s">
        <v>13</v>
      </c>
      <c r="B5" s="250" t="s">
        <v>1</v>
      </c>
      <c r="C5" s="250" t="s">
        <v>14</v>
      </c>
      <c r="D5" s="251" t="s">
        <v>15</v>
      </c>
      <c r="E5" s="252" t="s">
        <v>16</v>
      </c>
      <c r="F5" s="251" t="s">
        <v>74</v>
      </c>
      <c r="G5" s="252" t="s">
        <v>75</v>
      </c>
      <c r="H5" s="23" t="s">
        <v>76</v>
      </c>
      <c r="I5" s="23" t="s">
        <v>77</v>
      </c>
      <c r="J5" s="23" t="s">
        <v>78</v>
      </c>
      <c r="K5" s="23" t="s">
        <v>79</v>
      </c>
      <c r="L5" s="23" t="s">
        <v>80</v>
      </c>
      <c r="M5" s="23" t="s">
        <v>81</v>
      </c>
      <c r="N5" s="23" t="s">
        <v>82</v>
      </c>
      <c r="O5" s="386" t="s">
        <v>83</v>
      </c>
      <c r="P5" s="23" t="s">
        <v>84</v>
      </c>
      <c r="Q5" s="23" t="s">
        <v>72</v>
      </c>
      <c r="R5" s="23" t="s">
        <v>85</v>
      </c>
      <c r="S5" s="252" t="s">
        <v>86</v>
      </c>
      <c r="T5" s="252" t="s">
        <v>87</v>
      </c>
      <c r="U5" s="253" t="s">
        <v>88</v>
      </c>
      <c r="V5" s="253" t="s">
        <v>89</v>
      </c>
      <c r="W5" s="23" t="s">
        <v>90</v>
      </c>
      <c r="X5" s="23" t="s">
        <v>91</v>
      </c>
    </row>
    <row r="6" spans="1:24">
      <c r="A6" s="322" t="s">
        <v>32</v>
      </c>
      <c r="B6" s="322" t="s">
        <v>33</v>
      </c>
      <c r="C6" s="323" t="s">
        <v>34</v>
      </c>
      <c r="D6" s="324" t="s">
        <v>35</v>
      </c>
      <c r="E6" s="324" t="s">
        <v>36</v>
      </c>
      <c r="F6" s="325" t="s">
        <v>92</v>
      </c>
      <c r="G6" s="326">
        <f>SUM(H6:X6)</f>
        <v>15.279233926668002</v>
      </c>
      <c r="H6" s="326">
        <f>'Novel foods, input data'!$AB$6*'Agri ing'!$AF$27</f>
        <v>0.16530307192657601</v>
      </c>
      <c r="I6" s="326">
        <f>'Novel foods, input data'!$AB$6*'Agri ing'!$AG$27</f>
        <v>0.19564101481124227</v>
      </c>
      <c r="J6" s="352">
        <v>0</v>
      </c>
      <c r="K6" s="352">
        <v>0</v>
      </c>
      <c r="L6" s="326">
        <f>'Novel foods, input data'!$AB$6*'Agri ing'!$AH$27</f>
        <v>0.216371206070712</v>
      </c>
      <c r="M6" s="352">
        <v>0</v>
      </c>
      <c r="N6" s="352">
        <v>0</v>
      </c>
      <c r="O6" s="326">
        <f>'Novel foods, input data'!$D$6*'Emission factors'!$B$12+'Novel foods, input data'!$AF$6</f>
        <v>14.701918633859473</v>
      </c>
      <c r="P6" s="352">
        <v>0</v>
      </c>
      <c r="Q6" s="352">
        <v>0</v>
      </c>
      <c r="R6" s="352">
        <v>0</v>
      </c>
      <c r="S6" s="352">
        <v>0</v>
      </c>
      <c r="T6" s="352">
        <v>0</v>
      </c>
      <c r="U6" s="352">
        <v>0</v>
      </c>
      <c r="V6" s="352">
        <v>0</v>
      </c>
      <c r="W6" s="352">
        <v>0</v>
      </c>
      <c r="X6" s="352">
        <v>0</v>
      </c>
    </row>
    <row r="7" spans="1:24">
      <c r="A7" s="1" t="s">
        <v>32</v>
      </c>
      <c r="B7" s="1" t="s">
        <v>33</v>
      </c>
      <c r="C7" s="71" t="s">
        <v>34</v>
      </c>
      <c r="D7" s="46" t="s">
        <v>35</v>
      </c>
      <c r="E7" s="46" t="s">
        <v>36</v>
      </c>
      <c r="F7" s="1" t="s">
        <v>93</v>
      </c>
      <c r="G7" s="254">
        <f>SUM(H7:X7)</f>
        <v>4.6008134865267933E-2</v>
      </c>
      <c r="H7" s="259">
        <f>'Novel foods, input data'!$AB$6*'Agri ing'!$AJ$27</f>
        <v>2.83842731021275E-4</v>
      </c>
      <c r="I7" s="259">
        <f>'Novel foods, input data'!$AB$6*'Agri ing'!$AK$27</f>
        <v>6.8836653359511237E-4</v>
      </c>
      <c r="J7" s="353">
        <v>0</v>
      </c>
      <c r="K7" s="353">
        <v>0</v>
      </c>
      <c r="L7" s="280">
        <f>'Novel foods, input data'!$AB$6*'Agri ing'!$AL$27</f>
        <v>2.1922736081954127E-4</v>
      </c>
      <c r="M7" s="353">
        <v>0</v>
      </c>
      <c r="N7" s="353">
        <v>0</v>
      </c>
      <c r="O7" s="254">
        <f>'Novel foods, input data'!$D$6*'Emission factors'!$C$12+'Novel foods, input data'!$AG$6</f>
        <v>4.4816698239832004E-2</v>
      </c>
      <c r="P7" s="353">
        <v>0</v>
      </c>
      <c r="Q7" s="4">
        <v>0</v>
      </c>
      <c r="R7" s="4">
        <v>0</v>
      </c>
      <c r="S7" s="4">
        <v>0</v>
      </c>
      <c r="T7" s="4">
        <v>0</v>
      </c>
      <c r="U7" s="4">
        <v>0</v>
      </c>
      <c r="V7" s="4">
        <v>0</v>
      </c>
      <c r="W7" s="4">
        <v>0</v>
      </c>
      <c r="X7" s="4">
        <v>0</v>
      </c>
    </row>
    <row r="8" spans="1:24">
      <c r="A8" s="1" t="s">
        <v>32</v>
      </c>
      <c r="B8" s="1" t="s">
        <v>33</v>
      </c>
      <c r="C8" s="71" t="s">
        <v>34</v>
      </c>
      <c r="D8" s="46" t="s">
        <v>35</v>
      </c>
      <c r="E8" s="46" t="s">
        <v>36</v>
      </c>
      <c r="F8" s="1" t="s">
        <v>94</v>
      </c>
      <c r="G8" s="254">
        <f>SUM(H8:T8)+SUM(W8:X8)</f>
        <v>0</v>
      </c>
      <c r="H8" s="353">
        <v>0</v>
      </c>
      <c r="I8" s="353">
        <v>0</v>
      </c>
      <c r="J8" s="353">
        <v>0</v>
      </c>
      <c r="K8" s="353">
        <v>0</v>
      </c>
      <c r="L8" s="353">
        <v>0</v>
      </c>
      <c r="M8" s="353">
        <v>0</v>
      </c>
      <c r="N8" s="353">
        <v>0</v>
      </c>
      <c r="O8" s="4">
        <v>0</v>
      </c>
      <c r="P8" s="353">
        <v>0</v>
      </c>
      <c r="Q8" s="4">
        <v>0</v>
      </c>
      <c r="R8" s="4">
        <v>0</v>
      </c>
      <c r="S8" s="4">
        <v>0</v>
      </c>
      <c r="T8" s="4">
        <v>0</v>
      </c>
      <c r="U8" s="4">
        <v>0</v>
      </c>
      <c r="V8" s="4">
        <v>0</v>
      </c>
      <c r="W8" s="4">
        <v>0</v>
      </c>
      <c r="X8" s="4">
        <v>0</v>
      </c>
    </row>
    <row r="9" spans="1:24" ht="15" thickBot="1">
      <c r="A9" s="1" t="s">
        <v>32</v>
      </c>
      <c r="B9" s="1" t="s">
        <v>33</v>
      </c>
      <c r="C9" s="71" t="s">
        <v>34</v>
      </c>
      <c r="D9" s="46" t="s">
        <v>35</v>
      </c>
      <c r="E9" s="46" t="s">
        <v>36</v>
      </c>
      <c r="F9" s="258" t="s">
        <v>95</v>
      </c>
      <c r="G9" s="254">
        <f>SUM(H9:T9)+SUM(W9:X9)</f>
        <v>1.9926707183833734E-3</v>
      </c>
      <c r="H9" s="280">
        <f>'Novel foods, input data'!$AB$6*'Agri ing'!$AP$27</f>
        <v>3.600241377716189E-4</v>
      </c>
      <c r="I9" s="280">
        <f>'Novel foods, input data'!$AB$6*'Agri ing'!$AQ$27</f>
        <v>7.9705598626802452E-6</v>
      </c>
      <c r="J9" s="280">
        <f>'Novel foods, input data'!$AB$6*'Agri ing'!$AR$27</f>
        <v>1.2460277669962094E-3</v>
      </c>
      <c r="K9" s="353">
        <v>0</v>
      </c>
      <c r="L9" s="280">
        <f>'Novel foods, input data'!$AB$6*'Agri ing'!$AS$27</f>
        <v>8.5467491848447489E-6</v>
      </c>
      <c r="M9" s="353">
        <v>0</v>
      </c>
      <c r="N9" s="353">
        <v>0</v>
      </c>
      <c r="O9" s="608">
        <f>'Novel foods, input data'!$D$6*'Emission factors'!$D$12+'Novel foods, input data'!$AH$6</f>
        <v>3.7010150456801997E-4</v>
      </c>
      <c r="P9" s="353">
        <v>0</v>
      </c>
      <c r="Q9" s="353">
        <v>0</v>
      </c>
      <c r="R9" s="353">
        <v>0</v>
      </c>
      <c r="S9" s="353">
        <v>0</v>
      </c>
      <c r="T9" s="353">
        <v>0</v>
      </c>
      <c r="U9" s="353">
        <v>0</v>
      </c>
      <c r="V9" s="353">
        <v>0</v>
      </c>
      <c r="W9" s="353">
        <v>0</v>
      </c>
      <c r="X9" s="353">
        <v>0</v>
      </c>
    </row>
    <row r="10" spans="1:24" ht="15.6" thickTop="1" thickBot="1">
      <c r="A10" s="260" t="s">
        <v>32</v>
      </c>
      <c r="B10" s="260" t="s">
        <v>33</v>
      </c>
      <c r="C10" s="261" t="s">
        <v>34</v>
      </c>
      <c r="D10" s="327" t="s">
        <v>35</v>
      </c>
      <c r="E10" s="327" t="s">
        <v>36</v>
      </c>
      <c r="F10" s="328" t="s">
        <v>96</v>
      </c>
      <c r="G10" s="262">
        <f>SUM(H10:X10)</f>
        <v>17.194275451771649</v>
      </c>
      <c r="H10" s="263">
        <f t="shared" ref="H10:T10" si="0">H6+H7*CF_CH4_foss+H8*CF_CH4_bio+H9*CF_N2O</f>
        <v>0.27204817492266198</v>
      </c>
      <c r="I10" s="263">
        <f t="shared" si="0"/>
        <v>0.21833030035488832</v>
      </c>
      <c r="J10" s="263">
        <f t="shared" si="0"/>
        <v>0.34016558038996519</v>
      </c>
      <c r="K10" s="263">
        <f t="shared" si="0"/>
        <v>0</v>
      </c>
      <c r="L10" s="263">
        <f t="shared" si="0"/>
        <v>0.22523744395059694</v>
      </c>
      <c r="M10" s="603">
        <f t="shared" si="0"/>
        <v>0</v>
      </c>
      <c r="N10" s="603">
        <f t="shared" si="0"/>
        <v>0</v>
      </c>
      <c r="O10" s="263">
        <f>O6+O7*CF_CH4_foss+O8*CF_CH4_bio+O9*CF_N2O</f>
        <v>16.138493952153535</v>
      </c>
      <c r="P10" s="263">
        <f t="shared" si="0"/>
        <v>0</v>
      </c>
      <c r="Q10" s="263">
        <f t="shared" si="0"/>
        <v>0</v>
      </c>
      <c r="R10" s="263">
        <f t="shared" si="0"/>
        <v>0</v>
      </c>
      <c r="S10" s="263">
        <f t="shared" si="0"/>
        <v>0</v>
      </c>
      <c r="T10" s="263">
        <f t="shared" si="0"/>
        <v>0</v>
      </c>
      <c r="U10" s="263"/>
      <c r="V10" s="263"/>
      <c r="W10" s="263">
        <f>W6+W7*CF_CH4_foss+W8*CF_CH4_bio+W9*CF_N2O</f>
        <v>0</v>
      </c>
      <c r="X10" s="263">
        <f>X6+X7*CF_CH4_foss+X8*CF_CH4_bio+X9*CF_N2O</f>
        <v>0</v>
      </c>
    </row>
    <row r="11" spans="1:24" ht="15" thickTop="1">
      <c r="A11" s="322" t="s">
        <v>32</v>
      </c>
      <c r="B11" s="322" t="s">
        <v>33</v>
      </c>
      <c r="C11" s="323" t="s">
        <v>34</v>
      </c>
      <c r="D11" s="324" t="s">
        <v>37</v>
      </c>
      <c r="E11" s="324" t="s">
        <v>38</v>
      </c>
      <c r="F11" s="325" t="s">
        <v>92</v>
      </c>
      <c r="G11" s="326">
        <f>SUM(H11:X11)</f>
        <v>3.5498417304344154</v>
      </c>
      <c r="H11" s="326">
        <f>'Novel foods, input data'!$AB$6*'Agri ing'!$AF$27</f>
        <v>0.16530307192657601</v>
      </c>
      <c r="I11" s="326">
        <f>'Novel foods, input data'!$AB$6*'Agri ing'!$AG$27</f>
        <v>0.19564101481124227</v>
      </c>
      <c r="J11" s="352">
        <v>0</v>
      </c>
      <c r="K11" s="352">
        <v>0</v>
      </c>
      <c r="L11" s="326">
        <f>'Novel foods, input data'!$AB$6*'Agri ing'!$AH$27</f>
        <v>0.216371206070712</v>
      </c>
      <c r="M11" s="352">
        <v>0</v>
      </c>
      <c r="N11" s="352">
        <v>0</v>
      </c>
      <c r="O11" s="326">
        <f>'Novel foods, input data'!$D$6*'Emission factors'!$B$7+'Novel foods, input data'!$AF$6</f>
        <v>2.9725264376258851</v>
      </c>
      <c r="P11" s="352">
        <v>0</v>
      </c>
      <c r="Q11" s="352">
        <v>0</v>
      </c>
      <c r="R11" s="352">
        <v>0</v>
      </c>
      <c r="S11" s="352">
        <v>0</v>
      </c>
      <c r="T11" s="352">
        <v>0</v>
      </c>
      <c r="U11" s="352">
        <v>0</v>
      </c>
      <c r="V11" s="352">
        <v>0</v>
      </c>
      <c r="W11" s="352">
        <v>0</v>
      </c>
      <c r="X11" s="352">
        <v>0</v>
      </c>
    </row>
    <row r="12" spans="1:24">
      <c r="A12" s="1" t="s">
        <v>32</v>
      </c>
      <c r="B12" s="1" t="s">
        <v>33</v>
      </c>
      <c r="C12" s="71" t="s">
        <v>34</v>
      </c>
      <c r="D12" s="46" t="s">
        <v>37</v>
      </c>
      <c r="E12" s="46" t="s">
        <v>38</v>
      </c>
      <c r="F12" s="1" t="s">
        <v>93</v>
      </c>
      <c r="G12" s="254">
        <f>SUM(H12:X12)</f>
        <v>7.0766996969970873E-3</v>
      </c>
      <c r="H12" s="259">
        <f>'Novel foods, input data'!$AB$6*'Agri ing'!$AJ$27</f>
        <v>2.83842731021275E-4</v>
      </c>
      <c r="I12" s="259">
        <f>'Novel foods, input data'!$AB$6*'Agri ing'!$AK$27</f>
        <v>6.8836653359511237E-4</v>
      </c>
      <c r="J12" s="353">
        <v>0</v>
      </c>
      <c r="K12" s="353">
        <v>0</v>
      </c>
      <c r="L12" s="280">
        <f>'Novel foods, input data'!$AB$6*'Agri ing'!$AL$27</f>
        <v>2.1922736081954127E-4</v>
      </c>
      <c r="M12" s="353">
        <v>0</v>
      </c>
      <c r="N12" s="353">
        <v>0</v>
      </c>
      <c r="O12" s="254">
        <f>'Novel foods, input data'!$D$6*'Emission factors'!$C$7+'Novel foods, input data'!$AG$6</f>
        <v>5.8852630715611589E-3</v>
      </c>
      <c r="P12" s="353">
        <v>0</v>
      </c>
      <c r="Q12" s="4">
        <v>0</v>
      </c>
      <c r="R12" s="4">
        <v>0</v>
      </c>
      <c r="S12" s="4">
        <v>0</v>
      </c>
      <c r="T12" s="4">
        <v>0</v>
      </c>
      <c r="U12" s="4">
        <v>0</v>
      </c>
      <c r="V12" s="4">
        <v>0</v>
      </c>
      <c r="W12" s="4">
        <v>0</v>
      </c>
      <c r="X12" s="4">
        <v>0</v>
      </c>
    </row>
    <row r="13" spans="1:24">
      <c r="A13" s="1" t="s">
        <v>32</v>
      </c>
      <c r="B13" s="1" t="s">
        <v>33</v>
      </c>
      <c r="C13" s="71" t="s">
        <v>34</v>
      </c>
      <c r="D13" s="46" t="s">
        <v>37</v>
      </c>
      <c r="E13" s="46" t="s">
        <v>38</v>
      </c>
      <c r="F13" s="1" t="s">
        <v>94</v>
      </c>
      <c r="G13" s="254">
        <f>SUM(H13:T13)+SUM(W13:X13)</f>
        <v>0</v>
      </c>
      <c r="H13" s="353">
        <v>0</v>
      </c>
      <c r="I13" s="353">
        <v>0</v>
      </c>
      <c r="J13" s="353">
        <v>0</v>
      </c>
      <c r="K13" s="353">
        <v>0</v>
      </c>
      <c r="L13" s="353">
        <v>0</v>
      </c>
      <c r="M13" s="353">
        <v>0</v>
      </c>
      <c r="N13" s="353">
        <v>0</v>
      </c>
      <c r="O13" s="4">
        <v>0</v>
      </c>
      <c r="P13" s="353">
        <v>0</v>
      </c>
      <c r="Q13" s="4">
        <v>0</v>
      </c>
      <c r="R13" s="4">
        <v>0</v>
      </c>
      <c r="S13" s="4">
        <v>0</v>
      </c>
      <c r="T13" s="4">
        <v>0</v>
      </c>
      <c r="U13" s="4">
        <v>0</v>
      </c>
      <c r="V13" s="4">
        <v>0</v>
      </c>
      <c r="W13" s="4">
        <v>0</v>
      </c>
      <c r="X13" s="4">
        <v>0</v>
      </c>
    </row>
    <row r="14" spans="1:24" ht="15" thickBot="1">
      <c r="A14" s="1" t="s">
        <v>32</v>
      </c>
      <c r="B14" s="1" t="s">
        <v>33</v>
      </c>
      <c r="C14" s="71" t="s">
        <v>34</v>
      </c>
      <c r="D14" s="46" t="s">
        <v>37</v>
      </c>
      <c r="E14" s="46" t="s">
        <v>38</v>
      </c>
      <c r="F14" s="258" t="s">
        <v>95</v>
      </c>
      <c r="G14" s="254">
        <f>SUM(H14:T14)+SUM(W14:X14)</f>
        <v>1.7419080509412284E-3</v>
      </c>
      <c r="H14" s="280">
        <f>'Novel foods, input data'!$AB$6*'Agri ing'!$AP$27</f>
        <v>3.600241377716189E-4</v>
      </c>
      <c r="I14" s="280">
        <f>'Novel foods, input data'!$AB$6*'Agri ing'!$AQ$27</f>
        <v>7.9705598626802452E-6</v>
      </c>
      <c r="J14" s="280">
        <f>'Novel foods, input data'!$AB$6*'Agri ing'!$AR$27</f>
        <v>1.2460277669962094E-3</v>
      </c>
      <c r="K14" s="353">
        <v>0</v>
      </c>
      <c r="L14" s="280">
        <f>'Novel foods, input data'!$AB$6*'Agri ing'!$AS$27</f>
        <v>8.5467491848447489E-6</v>
      </c>
      <c r="M14" s="353">
        <v>0</v>
      </c>
      <c r="N14" s="353">
        <v>0</v>
      </c>
      <c r="O14" s="608">
        <f>'Novel foods, input data'!$D$6*'Emission factors'!$D$7+'Novel foods, input data'!$AH$6</f>
        <v>1.19338837125875E-4</v>
      </c>
      <c r="P14" s="353">
        <v>0</v>
      </c>
      <c r="Q14" s="353">
        <v>0</v>
      </c>
      <c r="R14" s="353">
        <v>0</v>
      </c>
      <c r="S14" s="353">
        <v>0</v>
      </c>
      <c r="T14" s="353">
        <v>0</v>
      </c>
      <c r="U14" s="353">
        <v>0</v>
      </c>
      <c r="V14" s="353">
        <v>0</v>
      </c>
      <c r="W14" s="353">
        <v>0</v>
      </c>
      <c r="X14" s="353">
        <v>0</v>
      </c>
    </row>
    <row r="15" spans="1:24" ht="15.6" thickTop="1" thickBot="1">
      <c r="A15" s="260" t="s">
        <v>32</v>
      </c>
      <c r="B15" s="260" t="s">
        <v>33</v>
      </c>
      <c r="C15" s="261" t="s">
        <v>34</v>
      </c>
      <c r="D15" s="327" t="s">
        <v>37</v>
      </c>
      <c r="E15" s="327" t="s">
        <v>38</v>
      </c>
      <c r="F15" s="328" t="s">
        <v>96</v>
      </c>
      <c r="G15" s="262">
        <f>SUM(H15:X15)</f>
        <v>4.2362682793118838</v>
      </c>
      <c r="H15" s="263">
        <f t="shared" ref="H15:T15" si="1">H11+H12*CF_CH4_foss+H13*CF_CH4_bio+H14*CF_N2O</f>
        <v>0.27204817492266198</v>
      </c>
      <c r="I15" s="263">
        <f t="shared" si="1"/>
        <v>0.21833030035488832</v>
      </c>
      <c r="J15" s="263">
        <f t="shared" si="1"/>
        <v>0.34016558038996519</v>
      </c>
      <c r="K15" s="263">
        <f t="shared" si="1"/>
        <v>0</v>
      </c>
      <c r="L15" s="263">
        <f t="shared" si="1"/>
        <v>0.22523744395059694</v>
      </c>
      <c r="M15" s="603">
        <f t="shared" si="1"/>
        <v>0</v>
      </c>
      <c r="N15" s="603">
        <f t="shared" si="1"/>
        <v>0</v>
      </c>
      <c r="O15" s="263">
        <f t="shared" si="1"/>
        <v>3.1804867796937715</v>
      </c>
      <c r="P15" s="263">
        <f t="shared" si="1"/>
        <v>0</v>
      </c>
      <c r="Q15" s="263">
        <f t="shared" si="1"/>
        <v>0</v>
      </c>
      <c r="R15" s="263">
        <f t="shared" si="1"/>
        <v>0</v>
      </c>
      <c r="S15" s="263">
        <f t="shared" si="1"/>
        <v>0</v>
      </c>
      <c r="T15" s="263">
        <f t="shared" si="1"/>
        <v>0</v>
      </c>
      <c r="U15" s="263"/>
      <c r="V15" s="263"/>
      <c r="W15" s="263">
        <f>W11+W12*CF_CH4_foss+W13*CF_CH4_bio+W14*CF_N2O</f>
        <v>0</v>
      </c>
      <c r="X15" s="263">
        <f>X11+X12*CF_CH4_foss+X13*CF_CH4_bio+X14*CF_N2O</f>
        <v>0</v>
      </c>
    </row>
    <row r="16" spans="1:24" ht="15" thickTop="1">
      <c r="A16" s="322" t="s">
        <v>32</v>
      </c>
      <c r="B16" s="322" t="s">
        <v>33</v>
      </c>
      <c r="C16" s="323" t="s">
        <v>34</v>
      </c>
      <c r="D16" s="324" t="s">
        <v>39</v>
      </c>
      <c r="E16" s="324" t="s">
        <v>40</v>
      </c>
      <c r="F16" s="325" t="s">
        <v>92</v>
      </c>
      <c r="G16" s="326">
        <f>SUM(H16:X16)</f>
        <v>1.106616867466923</v>
      </c>
      <c r="H16" s="326">
        <f>'Novel foods, input data'!$AB$6*'Agri ing'!$AF$27</f>
        <v>0.16530307192657601</v>
      </c>
      <c r="I16" s="326">
        <f>'Novel foods, input data'!$AB$6*'Agri ing'!$AG$27</f>
        <v>0.19564101481124227</v>
      </c>
      <c r="J16" s="352">
        <v>0</v>
      </c>
      <c r="K16" s="352">
        <v>0</v>
      </c>
      <c r="L16" s="326">
        <f>'Novel foods, input data'!$AB$6*'Agri ing'!$AH$27</f>
        <v>0.216371206070712</v>
      </c>
      <c r="M16" s="352">
        <v>0</v>
      </c>
      <c r="N16" s="352">
        <v>0</v>
      </c>
      <c r="O16" s="609">
        <f>'Novel foods, input data'!$D$6*'Emission factors'!$B$11+'Novel foods, input data'!$AF$6</f>
        <v>0.52930157465839278</v>
      </c>
      <c r="P16" s="352">
        <v>0</v>
      </c>
      <c r="Q16" s="352">
        <v>0</v>
      </c>
      <c r="R16" s="352">
        <v>0</v>
      </c>
      <c r="S16" s="352">
        <v>0</v>
      </c>
      <c r="T16" s="352">
        <v>0</v>
      </c>
      <c r="U16" s="352">
        <v>0</v>
      </c>
      <c r="V16" s="352">
        <v>0</v>
      </c>
      <c r="W16" s="352">
        <v>0</v>
      </c>
      <c r="X16" s="352">
        <v>0</v>
      </c>
    </row>
    <row r="17" spans="1:24">
      <c r="A17" s="1" t="s">
        <v>32</v>
      </c>
      <c r="B17" s="1" t="s">
        <v>33</v>
      </c>
      <c r="C17" s="71" t="s">
        <v>34</v>
      </c>
      <c r="D17" s="46" t="s">
        <v>39</v>
      </c>
      <c r="E17" s="46" t="s">
        <v>40</v>
      </c>
      <c r="F17" s="1" t="s">
        <v>93</v>
      </c>
      <c r="G17" s="254">
        <f>SUM(H17:X17)</f>
        <v>1.7795518403511828E-3</v>
      </c>
      <c r="H17" s="259">
        <f>'Novel foods, input data'!$AB$6*'Agri ing'!$AJ$27</f>
        <v>2.83842731021275E-4</v>
      </c>
      <c r="I17" s="259">
        <f>'Novel foods, input data'!$AB$6*'Agri ing'!$AK$27</f>
        <v>6.8836653359511237E-4</v>
      </c>
      <c r="J17" s="353">
        <v>0</v>
      </c>
      <c r="K17" s="353">
        <v>0</v>
      </c>
      <c r="L17" s="280">
        <f>'Novel foods, input data'!$AB$6*'Agri ing'!$AL$27</f>
        <v>2.1922736081954127E-4</v>
      </c>
      <c r="M17" s="353">
        <v>0</v>
      </c>
      <c r="N17" s="353">
        <v>0</v>
      </c>
      <c r="O17" s="254">
        <f>'Novel foods, input data'!$D$6*'Emission factors'!$C$11+'Novel foods, input data'!$AG$6</f>
        <v>5.8811521491525416E-4</v>
      </c>
      <c r="P17" s="353">
        <v>0</v>
      </c>
      <c r="Q17" s="4">
        <v>0</v>
      </c>
      <c r="R17" s="4">
        <v>0</v>
      </c>
      <c r="S17" s="4">
        <v>0</v>
      </c>
      <c r="T17" s="4">
        <v>0</v>
      </c>
      <c r="U17" s="4">
        <v>0</v>
      </c>
      <c r="V17" s="4">
        <v>0</v>
      </c>
      <c r="W17" s="4">
        <v>0</v>
      </c>
      <c r="X17" s="4">
        <v>0</v>
      </c>
    </row>
    <row r="18" spans="1:24">
      <c r="A18" s="1" t="s">
        <v>32</v>
      </c>
      <c r="B18" s="1" t="s">
        <v>33</v>
      </c>
      <c r="C18" s="71" t="s">
        <v>34</v>
      </c>
      <c r="D18" s="46" t="s">
        <v>39</v>
      </c>
      <c r="E18" s="46" t="s">
        <v>40</v>
      </c>
      <c r="F18" s="1" t="s">
        <v>94</v>
      </c>
      <c r="G18" s="254">
        <f>SUM(H18:T18)+SUM(W18:X18)</f>
        <v>0</v>
      </c>
      <c r="H18" s="353">
        <v>0</v>
      </c>
      <c r="I18" s="353">
        <v>0</v>
      </c>
      <c r="J18" s="353">
        <v>0</v>
      </c>
      <c r="K18" s="353">
        <v>0</v>
      </c>
      <c r="L18" s="353">
        <v>0</v>
      </c>
      <c r="M18" s="353">
        <v>0</v>
      </c>
      <c r="N18" s="353">
        <v>0</v>
      </c>
      <c r="O18" s="4">
        <v>0</v>
      </c>
      <c r="P18" s="353">
        <v>0</v>
      </c>
      <c r="Q18" s="4">
        <v>0</v>
      </c>
      <c r="R18" s="4">
        <v>0</v>
      </c>
      <c r="S18" s="4">
        <v>0</v>
      </c>
      <c r="T18" s="4">
        <v>0</v>
      </c>
      <c r="U18" s="4">
        <v>0</v>
      </c>
      <c r="V18" s="4">
        <v>0</v>
      </c>
      <c r="W18" s="4">
        <v>0</v>
      </c>
      <c r="X18" s="4">
        <v>0</v>
      </c>
    </row>
    <row r="19" spans="1:24" ht="15" thickBot="1">
      <c r="A19" s="1" t="s">
        <v>32</v>
      </c>
      <c r="B19" s="1" t="s">
        <v>33</v>
      </c>
      <c r="C19" s="71" t="s">
        <v>34</v>
      </c>
      <c r="D19" s="46" t="s">
        <v>39</v>
      </c>
      <c r="E19" s="46" t="s">
        <v>40</v>
      </c>
      <c r="F19" s="258" t="s">
        <v>95</v>
      </c>
      <c r="G19" s="254">
        <f>SUM(H19:T19)+SUM(W19:X19)</f>
        <v>1.6714742223890367E-3</v>
      </c>
      <c r="H19" s="280">
        <f>'Novel foods, input data'!$AB$6*'Agri ing'!$AP$27</f>
        <v>3.600241377716189E-4</v>
      </c>
      <c r="I19" s="280">
        <f>'Novel foods, input data'!$AB$6*'Agri ing'!$AQ$27</f>
        <v>7.9705598626802452E-6</v>
      </c>
      <c r="J19" s="280">
        <f>'Novel foods, input data'!$AB$6*'Agri ing'!$AR$27</f>
        <v>1.2460277669962094E-3</v>
      </c>
      <c r="K19" s="353">
        <v>0</v>
      </c>
      <c r="L19" s="280">
        <f>'Novel foods, input data'!$AB$6*'Agri ing'!$AS$27</f>
        <v>8.5467491848447489E-6</v>
      </c>
      <c r="M19" s="353">
        <v>0</v>
      </c>
      <c r="N19" s="353">
        <v>0</v>
      </c>
      <c r="O19" s="254">
        <f>'Novel foods, input data'!$D$6*'Emission factors'!$D$11+'Novel foods, input data'!$AH$6</f>
        <v>4.8905008573683322E-5</v>
      </c>
      <c r="P19" s="353">
        <v>0</v>
      </c>
      <c r="Q19" s="353">
        <v>0</v>
      </c>
      <c r="R19" s="353">
        <v>0</v>
      </c>
      <c r="S19" s="353">
        <v>0</v>
      </c>
      <c r="T19" s="353">
        <v>0</v>
      </c>
      <c r="U19" s="353">
        <v>0</v>
      </c>
      <c r="V19" s="353">
        <v>0</v>
      </c>
      <c r="W19" s="353">
        <v>0</v>
      </c>
      <c r="X19" s="353">
        <v>0</v>
      </c>
    </row>
    <row r="20" spans="1:24" ht="15.6" thickTop="1" thickBot="1">
      <c r="A20" s="260" t="s">
        <v>32</v>
      </c>
      <c r="B20" s="260" t="s">
        <v>33</v>
      </c>
      <c r="C20" s="261" t="s">
        <v>34</v>
      </c>
      <c r="D20" s="327" t="s">
        <v>39</v>
      </c>
      <c r="E20" s="327" t="s">
        <v>40</v>
      </c>
      <c r="F20" s="328" t="s">
        <v>96</v>
      </c>
      <c r="G20" s="262">
        <f>SUM(H20:X20)</f>
        <v>1.6159599750215952</v>
      </c>
      <c r="H20" s="263">
        <f t="shared" ref="H20:T20" si="2">H16+H17*CF_CH4_foss+H18*CF_CH4_bio+H19*CF_N2O</f>
        <v>0.27204817492266198</v>
      </c>
      <c r="I20" s="263">
        <f t="shared" si="2"/>
        <v>0.21833030035488832</v>
      </c>
      <c r="J20" s="263">
        <f t="shared" si="2"/>
        <v>0.34016558038996519</v>
      </c>
      <c r="K20" s="263">
        <f t="shared" si="2"/>
        <v>0</v>
      </c>
      <c r="L20" s="263">
        <f t="shared" si="2"/>
        <v>0.22523744395059694</v>
      </c>
      <c r="M20" s="603">
        <f t="shared" si="2"/>
        <v>0</v>
      </c>
      <c r="N20" s="603">
        <f t="shared" si="2"/>
        <v>0</v>
      </c>
      <c r="O20" s="263">
        <f t="shared" si="2"/>
        <v>0.56017847540348287</v>
      </c>
      <c r="P20" s="263">
        <f t="shared" si="2"/>
        <v>0</v>
      </c>
      <c r="Q20" s="263">
        <f t="shared" si="2"/>
        <v>0</v>
      </c>
      <c r="R20" s="263">
        <f t="shared" si="2"/>
        <v>0</v>
      </c>
      <c r="S20" s="263">
        <f t="shared" si="2"/>
        <v>0</v>
      </c>
      <c r="T20" s="263">
        <f t="shared" si="2"/>
        <v>0</v>
      </c>
      <c r="U20" s="263"/>
      <c r="V20" s="263"/>
      <c r="W20" s="263">
        <f>W16+W17*CF_CH4_foss+W18*CF_CH4_bio+W19*CF_N2O</f>
        <v>0</v>
      </c>
      <c r="X20" s="263">
        <f>X16+X17*CF_CH4_foss+X18*CF_CH4_bio+X19*CF_N2O</f>
        <v>0</v>
      </c>
    </row>
    <row r="21" spans="1:24" ht="15" thickTop="1">
      <c r="A21" s="322" t="s">
        <v>32</v>
      </c>
      <c r="B21" s="322" t="s">
        <v>33</v>
      </c>
      <c r="C21" s="323" t="s">
        <v>34</v>
      </c>
      <c r="D21" s="324" t="s">
        <v>41</v>
      </c>
      <c r="E21" s="324" t="s">
        <v>42</v>
      </c>
      <c r="F21" s="325" t="s">
        <v>92</v>
      </c>
      <c r="G21" s="326">
        <f>SUM(H21:X21)</f>
        <v>3.7219655141109107</v>
      </c>
      <c r="H21" s="326">
        <f>'Novel foods, input data'!$AB$6*'Agri ing'!$AF$27</f>
        <v>0.16530307192657601</v>
      </c>
      <c r="I21" s="326">
        <f>'Novel foods, input data'!$AB$6*'Agri ing'!$AG$27</f>
        <v>0.19564101481124227</v>
      </c>
      <c r="J21" s="352">
        <v>0</v>
      </c>
      <c r="K21" s="352">
        <v>0</v>
      </c>
      <c r="L21" s="326">
        <f>'Novel foods, input data'!$AB$6*'Agri ing'!$AH$27</f>
        <v>0.216371206070712</v>
      </c>
      <c r="M21" s="352">
        <v>0</v>
      </c>
      <c r="N21" s="352">
        <v>0</v>
      </c>
      <c r="O21" s="326">
        <f>'Novel foods, input data'!$D$6*'Emission factors'!$B$13+'Novel foods, input data'!$AF$6</f>
        <v>3.1446502213023804</v>
      </c>
      <c r="P21" s="352">
        <v>0</v>
      </c>
      <c r="Q21" s="352">
        <v>0</v>
      </c>
      <c r="R21" s="352">
        <v>0</v>
      </c>
      <c r="S21" s="352">
        <v>0</v>
      </c>
      <c r="T21" s="352">
        <v>0</v>
      </c>
      <c r="U21" s="352">
        <v>0</v>
      </c>
      <c r="V21" s="352">
        <v>0</v>
      </c>
      <c r="W21" s="352">
        <v>0</v>
      </c>
      <c r="X21" s="352">
        <v>0</v>
      </c>
    </row>
    <row r="22" spans="1:24">
      <c r="A22" s="1" t="s">
        <v>32</v>
      </c>
      <c r="B22" s="1" t="s">
        <v>33</v>
      </c>
      <c r="C22" s="71" t="s">
        <v>34</v>
      </c>
      <c r="D22" s="46" t="s">
        <v>41</v>
      </c>
      <c r="E22" s="46" t="s">
        <v>42</v>
      </c>
      <c r="F22" s="1" t="s">
        <v>93</v>
      </c>
      <c r="G22" s="254">
        <f>SUM(H22:X22)</f>
        <v>6.070967715504849E-3</v>
      </c>
      <c r="H22" s="259">
        <f>'Novel foods, input data'!$AB$6*'Agri ing'!$AJ$27</f>
        <v>2.83842731021275E-4</v>
      </c>
      <c r="I22" s="259">
        <f>'Novel foods, input data'!$AB$6*'Agri ing'!$AK$27</f>
        <v>6.8836653359511237E-4</v>
      </c>
      <c r="J22" s="353">
        <v>0</v>
      </c>
      <c r="K22" s="353">
        <v>0</v>
      </c>
      <c r="L22" s="280">
        <f>'Novel foods, input data'!$AB$6*'Agri ing'!$AL$27</f>
        <v>2.1922736081954127E-4</v>
      </c>
      <c r="M22" s="353">
        <v>0</v>
      </c>
      <c r="N22" s="353">
        <v>0</v>
      </c>
      <c r="O22" s="254">
        <f>'Novel foods, input data'!$D$6*'Emission factors'!$C$13+'Novel foods, input data'!$AG$6</f>
        <v>4.8795310900689205E-3</v>
      </c>
      <c r="P22" s="353">
        <v>0</v>
      </c>
      <c r="Q22" s="4">
        <v>0</v>
      </c>
      <c r="R22" s="4">
        <v>0</v>
      </c>
      <c r="S22" s="4">
        <v>0</v>
      </c>
      <c r="T22" s="4">
        <v>0</v>
      </c>
      <c r="U22" s="4">
        <v>0</v>
      </c>
      <c r="V22" s="4">
        <v>0</v>
      </c>
      <c r="W22" s="4">
        <v>0</v>
      </c>
      <c r="X22" s="4">
        <v>0</v>
      </c>
    </row>
    <row r="23" spans="1:24">
      <c r="A23" s="1" t="s">
        <v>32</v>
      </c>
      <c r="B23" s="1" t="s">
        <v>33</v>
      </c>
      <c r="C23" s="71" t="s">
        <v>34</v>
      </c>
      <c r="D23" s="46" t="s">
        <v>41</v>
      </c>
      <c r="E23" s="46" t="s">
        <v>42</v>
      </c>
      <c r="F23" s="1" t="s">
        <v>94</v>
      </c>
      <c r="G23" s="254">
        <f>SUM(H23:T23)+SUM(W23:X23)</f>
        <v>0</v>
      </c>
      <c r="H23" s="353">
        <v>0</v>
      </c>
      <c r="I23" s="353">
        <v>0</v>
      </c>
      <c r="J23" s="353">
        <v>0</v>
      </c>
      <c r="K23" s="353">
        <v>0</v>
      </c>
      <c r="L23" s="353">
        <v>0</v>
      </c>
      <c r="M23" s="353">
        <v>0</v>
      </c>
      <c r="N23" s="353">
        <v>0</v>
      </c>
      <c r="O23" s="4">
        <v>0</v>
      </c>
      <c r="P23" s="353">
        <v>0</v>
      </c>
      <c r="Q23" s="4">
        <v>0</v>
      </c>
      <c r="R23" s="4">
        <v>0</v>
      </c>
      <c r="S23" s="4">
        <v>0</v>
      </c>
      <c r="T23" s="4">
        <v>0</v>
      </c>
      <c r="U23" s="4">
        <v>0</v>
      </c>
      <c r="V23" s="4">
        <v>0</v>
      </c>
      <c r="W23" s="4">
        <v>0</v>
      </c>
      <c r="X23" s="4">
        <v>0</v>
      </c>
    </row>
    <row r="24" spans="1:24" ht="15" thickBot="1">
      <c r="A24" s="1" t="s">
        <v>32</v>
      </c>
      <c r="B24" s="1" t="s">
        <v>33</v>
      </c>
      <c r="C24" s="71" t="s">
        <v>34</v>
      </c>
      <c r="D24" s="46" t="s">
        <v>41</v>
      </c>
      <c r="E24" s="46" t="s">
        <v>42</v>
      </c>
      <c r="F24" s="258" t="s">
        <v>95</v>
      </c>
      <c r="G24" s="254">
        <f>SUM(H24:T24)+SUM(W24:X24)</f>
        <v>1.7112929891668284E-3</v>
      </c>
      <c r="H24" s="280">
        <f>'Novel foods, input data'!$AB$6*'Agri ing'!$AP$27</f>
        <v>3.600241377716189E-4</v>
      </c>
      <c r="I24" s="280">
        <f>'Novel foods, input data'!$AB$6*'Agri ing'!$AQ$27</f>
        <v>7.9705598626802452E-6</v>
      </c>
      <c r="J24" s="280">
        <f>'Novel foods, input data'!$AB$6*'Agri ing'!$AR$27</f>
        <v>1.2460277669962094E-3</v>
      </c>
      <c r="K24" s="353">
        <v>0</v>
      </c>
      <c r="L24" s="280">
        <f>'Novel foods, input data'!$AB$6*'Agri ing'!$AS$27</f>
        <v>8.5467491848447489E-6</v>
      </c>
      <c r="M24" s="353">
        <v>0</v>
      </c>
      <c r="N24" s="353">
        <v>0</v>
      </c>
      <c r="O24" s="254">
        <f>'Novel foods, input data'!$D$6*'Emission factors'!$D$13+'Novel foods, input data'!$AH$6</f>
        <v>8.8723775351475011E-5</v>
      </c>
      <c r="P24" s="353">
        <v>0</v>
      </c>
      <c r="Q24" s="353">
        <v>0</v>
      </c>
      <c r="R24" s="353">
        <v>0</v>
      </c>
      <c r="S24" s="353">
        <v>0</v>
      </c>
      <c r="T24" s="353">
        <v>0</v>
      </c>
      <c r="U24" s="353">
        <v>0</v>
      </c>
      <c r="V24" s="353">
        <v>0</v>
      </c>
      <c r="W24" s="353">
        <v>0</v>
      </c>
      <c r="X24" s="353">
        <v>0</v>
      </c>
    </row>
    <row r="25" spans="1:24" ht="15.6" thickTop="1" thickBot="1">
      <c r="A25" s="260" t="s">
        <v>32</v>
      </c>
      <c r="B25" s="260" t="s">
        <v>33</v>
      </c>
      <c r="C25" s="261" t="s">
        <v>34</v>
      </c>
      <c r="D25" s="327" t="s">
        <v>41</v>
      </c>
      <c r="E25" s="327" t="s">
        <v>42</v>
      </c>
      <c r="F25" s="328" t="s">
        <v>96</v>
      </c>
      <c r="G25" s="262">
        <f>SUM(H25:X25)</f>
        <v>4.3700633380754992</v>
      </c>
      <c r="H25" s="263">
        <f t="shared" ref="H25:T25" si="3">H21+H22*CF_CH4_foss+H23*CF_CH4_bio+H24*CF_N2O</f>
        <v>0.27204817492266198</v>
      </c>
      <c r="I25" s="263">
        <f t="shared" si="3"/>
        <v>0.21833030035488832</v>
      </c>
      <c r="J25" s="263">
        <f t="shared" si="3"/>
        <v>0.34016558038996519</v>
      </c>
      <c r="K25" s="263">
        <f t="shared" si="3"/>
        <v>0</v>
      </c>
      <c r="L25" s="263">
        <f t="shared" si="3"/>
        <v>0.22523744395059694</v>
      </c>
      <c r="M25" s="603">
        <f t="shared" si="3"/>
        <v>0</v>
      </c>
      <c r="N25" s="603">
        <f t="shared" si="3"/>
        <v>0</v>
      </c>
      <c r="O25" s="263">
        <f t="shared" si="3"/>
        <v>3.3142818384573869</v>
      </c>
      <c r="P25" s="263">
        <f t="shared" si="3"/>
        <v>0</v>
      </c>
      <c r="Q25" s="263">
        <f t="shared" si="3"/>
        <v>0</v>
      </c>
      <c r="R25" s="263">
        <f t="shared" si="3"/>
        <v>0</v>
      </c>
      <c r="S25" s="263">
        <f t="shared" si="3"/>
        <v>0</v>
      </c>
      <c r="T25" s="263">
        <f t="shared" si="3"/>
        <v>0</v>
      </c>
      <c r="U25" s="263"/>
      <c r="V25" s="263"/>
      <c r="W25" s="263">
        <f>W21+W22*CF_CH4_foss+W23*CF_CH4_bio+W24*CF_N2O</f>
        <v>0</v>
      </c>
      <c r="X25" s="263">
        <f>X21+X22*CF_CH4_foss+X23*CF_CH4_bio+X24*CF_N2O</f>
        <v>0</v>
      </c>
    </row>
    <row r="26" spans="1:24" ht="15" thickTop="1">
      <c r="A26" s="322" t="s">
        <v>43</v>
      </c>
      <c r="B26" s="322" t="s">
        <v>44</v>
      </c>
      <c r="C26" s="323" t="s">
        <v>34</v>
      </c>
      <c r="D26" s="324" t="s">
        <v>45</v>
      </c>
      <c r="E26" s="324" t="s">
        <v>46</v>
      </c>
      <c r="F26" s="325" t="s">
        <v>92</v>
      </c>
      <c r="G26" s="326">
        <f>SUM(H26:X26)</f>
        <v>1.054122024388416</v>
      </c>
      <c r="H26" s="326">
        <f>'Novel foods, input data'!$AB$7*'Agri ing'!$AF$27</f>
        <v>8.3530581427473882E-2</v>
      </c>
      <c r="I26" s="326">
        <f>'Novel foods, input data'!$AB$7*'Agri ing'!$AG$27</f>
        <v>9.8860883393037349E-2</v>
      </c>
      <c r="J26" s="352">
        <v>0</v>
      </c>
      <c r="K26" s="352">
        <v>0</v>
      </c>
      <c r="L26" s="326">
        <f>'Novel foods, input data'!$AB$7*'Agri ing'!$AH$27</f>
        <v>0.10933621763108094</v>
      </c>
      <c r="M26" s="352">
        <v>0</v>
      </c>
      <c r="N26" s="352">
        <v>0</v>
      </c>
      <c r="O26" s="326">
        <f>'Novel foods, input data'!$D$7*'Emission factors'!$B$6+'Novel foods, input data'!$AF$7</f>
        <v>0.76239434193682387</v>
      </c>
      <c r="P26" s="352">
        <v>0</v>
      </c>
      <c r="Q26" s="352">
        <v>0</v>
      </c>
      <c r="R26" s="352">
        <v>0</v>
      </c>
      <c r="S26" s="352">
        <v>0</v>
      </c>
      <c r="T26" s="352">
        <v>0</v>
      </c>
      <c r="U26" s="352">
        <v>0</v>
      </c>
      <c r="V26" s="352">
        <v>0</v>
      </c>
      <c r="W26" s="352">
        <v>0</v>
      </c>
      <c r="X26" s="352">
        <v>0</v>
      </c>
    </row>
    <row r="27" spans="1:24">
      <c r="A27" s="1" t="s">
        <v>43</v>
      </c>
      <c r="B27" s="1" t="s">
        <v>44</v>
      </c>
      <c r="C27" s="71" t="s">
        <v>34</v>
      </c>
      <c r="D27" s="46" t="s">
        <v>45</v>
      </c>
      <c r="E27" s="46" t="s">
        <v>46</v>
      </c>
      <c r="F27" s="1" t="s">
        <v>93</v>
      </c>
      <c r="G27" s="254">
        <f>SUM(H27:X27)</f>
        <v>1.3087990466767753E-3</v>
      </c>
      <c r="H27" s="259">
        <f>'Novel foods, input data'!$AB$7*'Agri ing'!$AJ$27</f>
        <v>1.4343077887082726E-4</v>
      </c>
      <c r="I27" s="259">
        <f>'Novel foods, input data'!$AB$7*'Agri ing'!$AK$27</f>
        <v>3.4784384897550206E-4</v>
      </c>
      <c r="J27" s="353">
        <v>0</v>
      </c>
      <c r="K27" s="353">
        <v>0</v>
      </c>
      <c r="L27" s="280">
        <f>'Novel foods, input data'!$AB$7*'Agri ing'!$AL$27</f>
        <v>1.107794834097261E-4</v>
      </c>
      <c r="M27" s="353">
        <v>0</v>
      </c>
      <c r="N27" s="353">
        <v>0</v>
      </c>
      <c r="O27" s="254">
        <f>'Novel foods, input data'!$D$7*'Emission factors'!$C$6+'Novel foods, input data'!$AG$7</f>
        <v>7.0674493542071998E-4</v>
      </c>
      <c r="P27" s="353">
        <v>0</v>
      </c>
      <c r="Q27" s="4">
        <v>0</v>
      </c>
      <c r="R27" s="4">
        <v>0</v>
      </c>
      <c r="S27" s="4">
        <v>0</v>
      </c>
      <c r="T27" s="4">
        <v>0</v>
      </c>
      <c r="U27" s="4">
        <v>0</v>
      </c>
      <c r="V27" s="4">
        <v>0</v>
      </c>
      <c r="W27" s="4">
        <v>0</v>
      </c>
      <c r="X27" s="4">
        <v>0</v>
      </c>
    </row>
    <row r="28" spans="1:24">
      <c r="A28" s="1" t="s">
        <v>43</v>
      </c>
      <c r="B28" s="1" t="s">
        <v>44</v>
      </c>
      <c r="C28" s="71" t="s">
        <v>34</v>
      </c>
      <c r="D28" s="46" t="s">
        <v>45</v>
      </c>
      <c r="E28" s="46" t="s">
        <v>46</v>
      </c>
      <c r="F28" s="1" t="s">
        <v>94</v>
      </c>
      <c r="G28" s="254">
        <f>SUM(H28:T28)+SUM(W28:X28)</f>
        <v>0</v>
      </c>
      <c r="H28" s="353">
        <v>0</v>
      </c>
      <c r="I28" s="353">
        <v>0</v>
      </c>
      <c r="J28" s="353">
        <v>0</v>
      </c>
      <c r="K28" s="353">
        <v>0</v>
      </c>
      <c r="L28" s="353">
        <v>0</v>
      </c>
      <c r="M28" s="353">
        <v>0</v>
      </c>
      <c r="N28" s="353">
        <v>0</v>
      </c>
      <c r="O28" s="4">
        <v>0</v>
      </c>
      <c r="P28" s="353">
        <v>0</v>
      </c>
      <c r="Q28" s="4">
        <v>0</v>
      </c>
      <c r="R28" s="4">
        <v>0</v>
      </c>
      <c r="S28" s="4">
        <v>0</v>
      </c>
      <c r="T28" s="4">
        <v>0</v>
      </c>
      <c r="U28" s="4">
        <v>0</v>
      </c>
      <c r="V28" s="4">
        <v>0</v>
      </c>
      <c r="W28" s="4">
        <v>0</v>
      </c>
      <c r="X28" s="4">
        <v>0</v>
      </c>
    </row>
    <row r="29" spans="1:24" ht="15" thickBot="1">
      <c r="A29" s="1" t="s">
        <v>43</v>
      </c>
      <c r="B29" s="1" t="s">
        <v>44</v>
      </c>
      <c r="C29" s="71" t="s">
        <v>34</v>
      </c>
      <c r="D29" s="46" t="s">
        <v>45</v>
      </c>
      <c r="E29" s="46" t="s">
        <v>46</v>
      </c>
      <c r="F29" s="258" t="s">
        <v>95</v>
      </c>
      <c r="G29" s="254">
        <f>SUM(H29:T29)+SUM(W29:X29)</f>
        <v>8.4627547373601175E-4</v>
      </c>
      <c r="H29" s="280">
        <f>'Novel foods, input data'!$AB$7*'Agri ing'!$AP$27</f>
        <v>1.8192659825067297E-4</v>
      </c>
      <c r="I29" s="280">
        <f>'Novel foods, input data'!$AB$7*'Agri ing'!$AQ$27</f>
        <v>4.0276656197163386E-6</v>
      </c>
      <c r="J29" s="280">
        <f>'Novel foods, input data'!$AB$7*'Agri ing'!$AR$27</f>
        <v>6.296399857481233E-4</v>
      </c>
      <c r="K29" s="353">
        <v>0</v>
      </c>
      <c r="L29" s="280">
        <f>'Novel foods, input data'!$AB$7*'Agri ing'!$AS$27</f>
        <v>4.318824329181103E-6</v>
      </c>
      <c r="M29" s="353">
        <v>0</v>
      </c>
      <c r="N29" s="353">
        <v>0</v>
      </c>
      <c r="O29" s="254">
        <f>'Novel foods, input data'!$D$7*'Emission factors'!$D$6+'Novel foods, input data'!$AH$7</f>
        <v>2.6362399788318057E-5</v>
      </c>
      <c r="P29" s="353">
        <v>0</v>
      </c>
      <c r="Q29" s="353">
        <v>0</v>
      </c>
      <c r="R29" s="353">
        <v>0</v>
      </c>
      <c r="S29" s="353">
        <v>0</v>
      </c>
      <c r="T29" s="353">
        <v>0</v>
      </c>
      <c r="U29" s="353">
        <v>0</v>
      </c>
      <c r="V29" s="353">
        <v>0</v>
      </c>
      <c r="W29" s="353">
        <v>0</v>
      </c>
      <c r="X29" s="353">
        <v>0</v>
      </c>
    </row>
    <row r="30" spans="1:24" ht="15.6" thickTop="1" thickBot="1">
      <c r="A30" s="260" t="s">
        <v>43</v>
      </c>
      <c r="B30" s="260" t="s">
        <v>44</v>
      </c>
      <c r="C30" s="261" t="s">
        <v>34</v>
      </c>
      <c r="D30" s="327" t="s">
        <v>45</v>
      </c>
      <c r="E30" s="327" t="s">
        <v>46</v>
      </c>
      <c r="F30" s="328" t="s">
        <v>96</v>
      </c>
      <c r="G30" s="262">
        <f>SUM(H30:X30)</f>
        <v>1.3241574403093153</v>
      </c>
      <c r="H30" s="263">
        <f t="shared" ref="H30:T30" si="4">H26+H27*CF_CH4_foss+H28*CF_CH4_bio+H29*CF_N2O</f>
        <v>0.13747077996025825</v>
      </c>
      <c r="I30" s="263">
        <f t="shared" si="4"/>
        <v>0.11032618280668988</v>
      </c>
      <c r="J30" s="263">
        <f t="shared" si="4"/>
        <v>0.17189171610923765</v>
      </c>
      <c r="K30" s="263">
        <f t="shared" si="4"/>
        <v>0</v>
      </c>
      <c r="L30" s="263">
        <f t="shared" si="4"/>
        <v>0.11381648527855723</v>
      </c>
      <c r="M30" s="603">
        <f t="shared" si="4"/>
        <v>0</v>
      </c>
      <c r="N30" s="603">
        <f t="shared" si="4"/>
        <v>0</v>
      </c>
      <c r="O30" s="263">
        <f t="shared" si="4"/>
        <v>0.79065227615457223</v>
      </c>
      <c r="P30" s="263">
        <f t="shared" si="4"/>
        <v>0</v>
      </c>
      <c r="Q30" s="263">
        <f t="shared" si="4"/>
        <v>0</v>
      </c>
      <c r="R30" s="263">
        <f t="shared" si="4"/>
        <v>0</v>
      </c>
      <c r="S30" s="263">
        <f t="shared" si="4"/>
        <v>0</v>
      </c>
      <c r="T30" s="263">
        <f t="shared" si="4"/>
        <v>0</v>
      </c>
      <c r="U30" s="263"/>
      <c r="V30" s="263"/>
      <c r="W30" s="263">
        <f>W26+W27*CF_CH4_foss+W28*CF_CH4_bio+W29*CF_N2O</f>
        <v>0</v>
      </c>
      <c r="X30" s="263">
        <f>X26+X27*CF_CH4_foss+X28*CF_CH4_bio+X29*CF_N2O</f>
        <v>0</v>
      </c>
    </row>
    <row r="31" spans="1:24" ht="15" thickTop="1">
      <c r="A31" s="322" t="s">
        <v>43</v>
      </c>
      <c r="B31" s="322" t="s">
        <v>44</v>
      </c>
      <c r="C31" s="323" t="s">
        <v>34</v>
      </c>
      <c r="D31" s="324" t="s">
        <v>47</v>
      </c>
      <c r="E31" s="324" t="s">
        <v>48</v>
      </c>
      <c r="F31" s="325" t="s">
        <v>92</v>
      </c>
      <c r="G31" s="326">
        <f>SUM(H31:X31)</f>
        <v>1.1826885045241065</v>
      </c>
      <c r="H31" s="326">
        <f>'Novel foods, input data'!$AB$7*'Agri ing'!$AF$27</f>
        <v>8.3530581427473882E-2</v>
      </c>
      <c r="I31" s="326">
        <f>'Novel foods, input data'!$AB$7*'Agri ing'!$AG$27</f>
        <v>9.8860883393037349E-2</v>
      </c>
      <c r="J31" s="352">
        <v>0</v>
      </c>
      <c r="K31" s="352">
        <v>0</v>
      </c>
      <c r="L31" s="326">
        <f>'Novel foods, input data'!$AB$7*'Agri ing'!$AH$27</f>
        <v>0.10933621763108094</v>
      </c>
      <c r="M31" s="352">
        <v>0</v>
      </c>
      <c r="N31" s="352">
        <v>0</v>
      </c>
      <c r="O31" s="326">
        <f>'Novel foods, input data'!$D$7*'Emission factors'!$B$8+'Novel foods, input data'!$AF$7</f>
        <v>0.89096082207251426</v>
      </c>
      <c r="P31" s="352">
        <v>0</v>
      </c>
      <c r="Q31" s="352">
        <v>0</v>
      </c>
      <c r="R31" s="352">
        <v>0</v>
      </c>
      <c r="S31" s="352">
        <v>0</v>
      </c>
      <c r="T31" s="352">
        <v>0</v>
      </c>
      <c r="U31" s="352">
        <v>0</v>
      </c>
      <c r="V31" s="352">
        <v>0</v>
      </c>
      <c r="W31" s="352">
        <v>0</v>
      </c>
      <c r="X31" s="352">
        <v>0</v>
      </c>
    </row>
    <row r="32" spans="1:24">
      <c r="A32" s="1" t="s">
        <v>43</v>
      </c>
      <c r="B32" s="1" t="s">
        <v>44</v>
      </c>
      <c r="C32" s="71" t="s">
        <v>34</v>
      </c>
      <c r="D32" s="46" t="s">
        <v>47</v>
      </c>
      <c r="E32" s="46" t="s">
        <v>48</v>
      </c>
      <c r="F32" s="1" t="s">
        <v>93</v>
      </c>
      <c r="G32" s="254">
        <f>SUM(H32:X32)</f>
        <v>1.8281417337747043E-3</v>
      </c>
      <c r="H32" s="259">
        <f>'Novel foods, input data'!$AB$7*'Agri ing'!$AJ$27</f>
        <v>1.4343077887082726E-4</v>
      </c>
      <c r="I32" s="259">
        <f>'Novel foods, input data'!$AB$7*'Agri ing'!$AK$27</f>
        <v>3.4784384897550206E-4</v>
      </c>
      <c r="J32" s="353">
        <v>0</v>
      </c>
      <c r="K32" s="353">
        <v>0</v>
      </c>
      <c r="L32" s="280">
        <f>'Novel foods, input data'!$AB$7*'Agri ing'!$AL$27</f>
        <v>1.107794834097261E-4</v>
      </c>
      <c r="M32" s="353">
        <v>0</v>
      </c>
      <c r="N32" s="353">
        <v>0</v>
      </c>
      <c r="O32" s="254">
        <f>'Novel foods, input data'!$D$7*'Emission factors'!$C$8+'Novel foods, input data'!$AG$7</f>
        <v>1.2260876225186491E-3</v>
      </c>
      <c r="P32" s="353">
        <v>0</v>
      </c>
      <c r="Q32" s="4">
        <v>0</v>
      </c>
      <c r="R32" s="4">
        <v>0</v>
      </c>
      <c r="S32" s="4">
        <v>0</v>
      </c>
      <c r="T32" s="4">
        <v>0</v>
      </c>
      <c r="U32" s="4">
        <v>0</v>
      </c>
      <c r="V32" s="4">
        <v>0</v>
      </c>
      <c r="W32" s="4">
        <v>0</v>
      </c>
      <c r="X32" s="4">
        <v>0</v>
      </c>
    </row>
    <row r="33" spans="1:24">
      <c r="A33" s="1" t="s">
        <v>43</v>
      </c>
      <c r="B33" s="1" t="s">
        <v>44</v>
      </c>
      <c r="C33" s="71" t="s">
        <v>34</v>
      </c>
      <c r="D33" s="46" t="s">
        <v>47</v>
      </c>
      <c r="E33" s="46" t="s">
        <v>48</v>
      </c>
      <c r="F33" s="1" t="s">
        <v>94</v>
      </c>
      <c r="G33" s="254">
        <f>SUM(H33:T33)+SUM(W33:X33)</f>
        <v>0</v>
      </c>
      <c r="H33" s="353">
        <v>0</v>
      </c>
      <c r="I33" s="353">
        <v>0</v>
      </c>
      <c r="J33" s="353">
        <v>0</v>
      </c>
      <c r="K33" s="353">
        <v>0</v>
      </c>
      <c r="L33" s="353">
        <v>0</v>
      </c>
      <c r="M33" s="353">
        <v>0</v>
      </c>
      <c r="N33" s="353">
        <v>0</v>
      </c>
      <c r="O33" s="4">
        <v>0</v>
      </c>
      <c r="P33" s="353">
        <v>0</v>
      </c>
      <c r="Q33" s="4">
        <v>0</v>
      </c>
      <c r="R33" s="4">
        <v>0</v>
      </c>
      <c r="S33" s="4">
        <v>0</v>
      </c>
      <c r="T33" s="4">
        <v>0</v>
      </c>
      <c r="U33" s="4">
        <v>0</v>
      </c>
      <c r="V33" s="4">
        <v>0</v>
      </c>
      <c r="W33" s="4">
        <v>0</v>
      </c>
      <c r="X33" s="4">
        <v>0</v>
      </c>
    </row>
    <row r="34" spans="1:24" ht="15" thickBot="1">
      <c r="A34" s="1" t="s">
        <v>43</v>
      </c>
      <c r="B34" s="1" t="s">
        <v>44</v>
      </c>
      <c r="C34" s="71" t="s">
        <v>34</v>
      </c>
      <c r="D34" s="46" t="s">
        <v>47</v>
      </c>
      <c r="E34" s="46" t="s">
        <v>48</v>
      </c>
      <c r="F34" s="258" t="s">
        <v>95</v>
      </c>
      <c r="G34" s="254">
        <f>SUM(H34:T34)+SUM(W34:X34)</f>
        <v>8.4861988816810764E-4</v>
      </c>
      <c r="H34" s="280">
        <f>'Novel foods, input data'!$AB$7*'Agri ing'!$AP$27</f>
        <v>1.8192659825067297E-4</v>
      </c>
      <c r="I34" s="280">
        <f>'Novel foods, input data'!$AB$7*'Agri ing'!$AQ$27</f>
        <v>4.0276656197163386E-6</v>
      </c>
      <c r="J34" s="280">
        <f>'Novel foods, input data'!$AB$7*'Agri ing'!$AR$27</f>
        <v>6.296399857481233E-4</v>
      </c>
      <c r="K34" s="353">
        <v>0</v>
      </c>
      <c r="L34" s="280">
        <f>'Novel foods, input data'!$AB$7*'Agri ing'!$AS$27</f>
        <v>4.318824329181103E-6</v>
      </c>
      <c r="M34" s="353">
        <v>0</v>
      </c>
      <c r="N34" s="353">
        <v>0</v>
      </c>
      <c r="O34" s="254">
        <f>'Novel foods, input data'!$D$7*'Emission factors'!$D$8+'Novel foods, input data'!$AH$7</f>
        <v>2.87068142204139E-5</v>
      </c>
      <c r="P34" s="353">
        <v>0</v>
      </c>
      <c r="Q34" s="353">
        <v>0</v>
      </c>
      <c r="R34" s="353">
        <v>0</v>
      </c>
      <c r="S34" s="353">
        <v>0</v>
      </c>
      <c r="T34" s="353">
        <v>0</v>
      </c>
      <c r="U34" s="353">
        <v>0</v>
      </c>
      <c r="V34" s="353">
        <v>0</v>
      </c>
      <c r="W34" s="353">
        <v>0</v>
      </c>
      <c r="X34" s="353">
        <v>0</v>
      </c>
    </row>
    <row r="35" spans="1:24" ht="15.6" thickTop="1" thickBot="1">
      <c r="A35" s="260" t="s">
        <v>43</v>
      </c>
      <c r="B35" s="260" t="s">
        <v>44</v>
      </c>
      <c r="C35" s="261" t="s">
        <v>34</v>
      </c>
      <c r="D35" s="327" t="s">
        <v>47</v>
      </c>
      <c r="E35" s="327" t="s">
        <v>48</v>
      </c>
      <c r="F35" s="328" t="s">
        <v>96</v>
      </c>
      <c r="G35" s="262">
        <f>SUM(H35:X35)</f>
        <v>1.4688403576604858</v>
      </c>
      <c r="H35" s="263">
        <f t="shared" ref="H35:T35" si="5">H31+H32*CF_CH4_foss+H33*CF_CH4_bio+H34*CF_N2O</f>
        <v>0.13747077996025825</v>
      </c>
      <c r="I35" s="263">
        <f t="shared" si="5"/>
        <v>0.11032618280668988</v>
      </c>
      <c r="J35" s="263">
        <f t="shared" si="5"/>
        <v>0.17189171610923765</v>
      </c>
      <c r="K35" s="263">
        <f t="shared" si="5"/>
        <v>0</v>
      </c>
      <c r="L35" s="263">
        <f t="shared" si="5"/>
        <v>0.11381648527855723</v>
      </c>
      <c r="M35" s="603">
        <f t="shared" si="5"/>
        <v>0</v>
      </c>
      <c r="N35" s="603">
        <f t="shared" si="5"/>
        <v>0</v>
      </c>
      <c r="O35" s="263">
        <f t="shared" si="5"/>
        <v>0.9353351935057429</v>
      </c>
      <c r="P35" s="263">
        <f t="shared" si="5"/>
        <v>0</v>
      </c>
      <c r="Q35" s="263">
        <f t="shared" si="5"/>
        <v>0</v>
      </c>
      <c r="R35" s="263">
        <f t="shared" si="5"/>
        <v>0</v>
      </c>
      <c r="S35" s="263">
        <f t="shared" si="5"/>
        <v>0</v>
      </c>
      <c r="T35" s="263">
        <f t="shared" si="5"/>
        <v>0</v>
      </c>
      <c r="U35" s="263"/>
      <c r="V35" s="263"/>
      <c r="W35" s="263">
        <f>W31+W32*CF_CH4_foss+W33*CF_CH4_bio+W34*CF_N2O</f>
        <v>0</v>
      </c>
      <c r="X35" s="263">
        <f>X31+X32*CF_CH4_foss+X33*CF_CH4_bio+X34*CF_N2O</f>
        <v>0</v>
      </c>
    </row>
    <row r="36" spans="1:24" ht="15" thickTop="1">
      <c r="A36" s="322" t="s">
        <v>43</v>
      </c>
      <c r="B36" s="322" t="s">
        <v>44</v>
      </c>
      <c r="C36" s="323" t="s">
        <v>34</v>
      </c>
      <c r="D36" s="324" t="s">
        <v>39</v>
      </c>
      <c r="E36" s="324" t="s">
        <v>40</v>
      </c>
      <c r="F36" s="325" t="s">
        <v>92</v>
      </c>
      <c r="G36" s="326">
        <f>SUM(H36:X36)</f>
        <v>0.66404221752664561</v>
      </c>
      <c r="H36" s="326">
        <f>'Novel foods, input data'!$AB$7*'Agri ing'!$AF$27</f>
        <v>8.3530581427473882E-2</v>
      </c>
      <c r="I36" s="326">
        <f>'Novel foods, input data'!$AB$7*'Agri ing'!$AG$27</f>
        <v>9.8860883393037349E-2</v>
      </c>
      <c r="J36" s="352">
        <v>0</v>
      </c>
      <c r="K36" s="352">
        <v>0</v>
      </c>
      <c r="L36" s="326">
        <f>'Novel foods, input data'!$AB$7*'Agri ing'!$AH$27</f>
        <v>0.10933621763108094</v>
      </c>
      <c r="M36" s="352">
        <v>0</v>
      </c>
      <c r="N36" s="352">
        <v>0</v>
      </c>
      <c r="O36" s="326">
        <f>'Novel foods, input data'!$D$7*'Emission factors'!$B$11+'Novel foods, input data'!$AF$7</f>
        <v>0.37231453507505347</v>
      </c>
      <c r="P36" s="352">
        <v>0</v>
      </c>
      <c r="Q36" s="352">
        <v>0</v>
      </c>
      <c r="R36" s="352">
        <v>0</v>
      </c>
      <c r="S36" s="352">
        <v>0</v>
      </c>
      <c r="T36" s="352">
        <v>0</v>
      </c>
      <c r="U36" s="352">
        <v>0</v>
      </c>
      <c r="V36" s="352">
        <v>0</v>
      </c>
      <c r="W36" s="352">
        <v>0</v>
      </c>
      <c r="X36" s="352">
        <v>0</v>
      </c>
    </row>
    <row r="37" spans="1:24">
      <c r="A37" s="1" t="s">
        <v>43</v>
      </c>
      <c r="B37" s="1" t="s">
        <v>44</v>
      </c>
      <c r="C37" s="71" t="s">
        <v>34</v>
      </c>
      <c r="D37" s="46" t="s">
        <v>39</v>
      </c>
      <c r="E37" s="46" t="s">
        <v>40</v>
      </c>
      <c r="F37" s="1" t="s">
        <v>93</v>
      </c>
      <c r="G37" s="254">
        <f>SUM(H37:X37)</f>
        <v>7.3795969424879588E-4</v>
      </c>
      <c r="H37" s="259">
        <f>'Novel foods, input data'!$AB$7*'Agri ing'!$AJ$27</f>
        <v>1.4343077887082726E-4</v>
      </c>
      <c r="I37" s="259">
        <f>'Novel foods, input data'!$AB$7*'Agri ing'!$AK$27</f>
        <v>3.4784384897550206E-4</v>
      </c>
      <c r="J37" s="353">
        <v>0</v>
      </c>
      <c r="K37" s="353">
        <v>0</v>
      </c>
      <c r="L37" s="280">
        <f>'Novel foods, input data'!$AB$7*'Agri ing'!$AL$27</f>
        <v>1.107794834097261E-4</v>
      </c>
      <c r="M37" s="353">
        <v>0</v>
      </c>
      <c r="N37" s="353">
        <v>0</v>
      </c>
      <c r="O37" s="254">
        <f>'Novel foods, input data'!$D$7*'Emission factors'!$C$11+'Novel foods, input data'!$AG$7</f>
        <v>1.3590558299274058E-4</v>
      </c>
      <c r="P37" s="353">
        <v>0</v>
      </c>
      <c r="Q37" s="4">
        <v>0</v>
      </c>
      <c r="R37" s="4">
        <v>0</v>
      </c>
      <c r="S37" s="4">
        <v>0</v>
      </c>
      <c r="T37" s="4">
        <v>0</v>
      </c>
      <c r="U37" s="4">
        <v>0</v>
      </c>
      <c r="V37" s="4">
        <v>0</v>
      </c>
      <c r="W37" s="4">
        <v>0</v>
      </c>
      <c r="X37" s="4">
        <v>0</v>
      </c>
    </row>
    <row r="38" spans="1:24">
      <c r="A38" s="1" t="s">
        <v>43</v>
      </c>
      <c r="B38" s="1" t="s">
        <v>44</v>
      </c>
      <c r="C38" s="71" t="s">
        <v>34</v>
      </c>
      <c r="D38" s="46" t="s">
        <v>39</v>
      </c>
      <c r="E38" s="46" t="s">
        <v>40</v>
      </c>
      <c r="F38" s="1" t="s">
        <v>94</v>
      </c>
      <c r="G38" s="254">
        <f>SUM(H38:T38)+SUM(W38:X38)</f>
        <v>0</v>
      </c>
      <c r="H38" s="353">
        <v>0</v>
      </c>
      <c r="I38" s="353">
        <v>0</v>
      </c>
      <c r="J38" s="353">
        <v>0</v>
      </c>
      <c r="K38" s="353">
        <v>0</v>
      </c>
      <c r="L38" s="353">
        <v>0</v>
      </c>
      <c r="M38" s="353">
        <v>0</v>
      </c>
      <c r="N38" s="353">
        <v>0</v>
      </c>
      <c r="O38" s="4">
        <v>0</v>
      </c>
      <c r="P38" s="353">
        <v>0</v>
      </c>
      <c r="Q38" s="4">
        <v>0</v>
      </c>
      <c r="R38" s="4">
        <v>0</v>
      </c>
      <c r="S38" s="4">
        <v>0</v>
      </c>
      <c r="T38" s="4">
        <v>0</v>
      </c>
      <c r="U38" s="4">
        <v>0</v>
      </c>
      <c r="V38" s="4">
        <v>0</v>
      </c>
      <c r="W38" s="4">
        <v>0</v>
      </c>
      <c r="X38" s="4">
        <v>0</v>
      </c>
    </row>
    <row r="39" spans="1:24" ht="15" thickBot="1">
      <c r="A39" s="1" t="s">
        <v>43</v>
      </c>
      <c r="B39" s="1" t="s">
        <v>44</v>
      </c>
      <c r="C39" s="71" t="s">
        <v>34</v>
      </c>
      <c r="D39" s="46" t="s">
        <v>39</v>
      </c>
      <c r="E39" s="46" t="s">
        <v>40</v>
      </c>
      <c r="F39" s="258" t="s">
        <v>95</v>
      </c>
      <c r="G39" s="254">
        <f>SUM(H39:T39)+SUM(W39:X39)</f>
        <v>8.3121436922608421E-4</v>
      </c>
      <c r="H39" s="280">
        <f>'Novel foods, input data'!$AB$7*'Agri ing'!$AP$27</f>
        <v>1.8192659825067297E-4</v>
      </c>
      <c r="I39" s="280">
        <f>'Novel foods, input data'!$AB$7*'Agri ing'!$AQ$27</f>
        <v>4.0276656197163386E-6</v>
      </c>
      <c r="J39" s="280">
        <f>'Novel foods, input data'!$AB$7*'Agri ing'!$AR$27</f>
        <v>6.296399857481233E-4</v>
      </c>
      <c r="K39" s="353">
        <v>0</v>
      </c>
      <c r="L39" s="280">
        <f>'Novel foods, input data'!$AB$7*'Agri ing'!$AS$27</f>
        <v>4.318824329181103E-6</v>
      </c>
      <c r="M39" s="353">
        <v>0</v>
      </c>
      <c r="N39" s="353">
        <v>0</v>
      </c>
      <c r="O39" s="254">
        <f>'Novel foods, input data'!$D$7*'Emission factors'!$D$11+'Novel foods, input data'!$AH$7</f>
        <v>1.1301295278390556E-5</v>
      </c>
      <c r="P39" s="353">
        <v>0</v>
      </c>
      <c r="Q39" s="353">
        <v>0</v>
      </c>
      <c r="R39" s="353">
        <v>0</v>
      </c>
      <c r="S39" s="353">
        <v>0</v>
      </c>
      <c r="T39" s="353">
        <v>0</v>
      </c>
      <c r="U39" s="353">
        <v>0</v>
      </c>
      <c r="V39" s="353">
        <v>0</v>
      </c>
      <c r="W39" s="353">
        <v>0</v>
      </c>
      <c r="X39" s="353">
        <v>0</v>
      </c>
    </row>
    <row r="40" spans="1:24" ht="15.6" thickTop="1" thickBot="1">
      <c r="A40" s="260" t="s">
        <v>43</v>
      </c>
      <c r="B40" s="260" t="s">
        <v>44</v>
      </c>
      <c r="C40" s="261" t="s">
        <v>34</v>
      </c>
      <c r="D40" s="327" t="s">
        <v>39</v>
      </c>
      <c r="E40" s="327" t="s">
        <v>40</v>
      </c>
      <c r="F40" s="328" t="s">
        <v>96</v>
      </c>
      <c r="G40" s="262">
        <f>SUM(H40:X40)</f>
        <v>0.91295493921398085</v>
      </c>
      <c r="H40" s="263">
        <f t="shared" ref="H40:T40" si="6">H36+H37*CF_CH4_foss+H38*CF_CH4_bio+H39*CF_N2O</f>
        <v>0.13747077996025825</v>
      </c>
      <c r="I40" s="263">
        <f t="shared" si="6"/>
        <v>0.11032618280668988</v>
      </c>
      <c r="J40" s="263">
        <f t="shared" si="6"/>
        <v>0.17189171610923765</v>
      </c>
      <c r="K40" s="263">
        <f t="shared" si="6"/>
        <v>0</v>
      </c>
      <c r="L40" s="263">
        <f t="shared" si="6"/>
        <v>0.11381648527855723</v>
      </c>
      <c r="M40" s="603">
        <f t="shared" si="6"/>
        <v>0</v>
      </c>
      <c r="N40" s="603">
        <f t="shared" si="6"/>
        <v>0</v>
      </c>
      <c r="O40" s="263">
        <f t="shared" si="6"/>
        <v>0.37944977505923777</v>
      </c>
      <c r="P40" s="263">
        <f t="shared" si="6"/>
        <v>0</v>
      </c>
      <c r="Q40" s="263">
        <f t="shared" si="6"/>
        <v>0</v>
      </c>
      <c r="R40" s="263">
        <f t="shared" si="6"/>
        <v>0</v>
      </c>
      <c r="S40" s="263">
        <f t="shared" si="6"/>
        <v>0</v>
      </c>
      <c r="T40" s="263">
        <f t="shared" si="6"/>
        <v>0</v>
      </c>
      <c r="U40" s="263"/>
      <c r="V40" s="263"/>
      <c r="W40" s="263">
        <f>W36+W37*CF_CH4_foss+W38*CF_CH4_bio+W39*CF_N2O</f>
        <v>0</v>
      </c>
      <c r="X40" s="263">
        <f>X36+X37*CF_CH4_foss+X38*CF_CH4_bio+X39*CF_N2O</f>
        <v>0</v>
      </c>
    </row>
    <row r="41" spans="1:24" ht="15" thickTop="1">
      <c r="A41" s="322" t="s">
        <v>43</v>
      </c>
      <c r="B41" s="322" t="s">
        <v>44</v>
      </c>
      <c r="C41" s="323" t="s">
        <v>34</v>
      </c>
      <c r="D41" s="324" t="s">
        <v>49</v>
      </c>
      <c r="E41" s="324" t="s">
        <v>50</v>
      </c>
      <c r="F41" s="325" t="s">
        <v>92</v>
      </c>
      <c r="G41" s="326">
        <f>SUM(H41:X41)</f>
        <v>0.66404221752664561</v>
      </c>
      <c r="H41" s="326">
        <f>'Novel foods, input data'!$AB$7*'Agri ing'!$AF$27</f>
        <v>8.3530581427473882E-2</v>
      </c>
      <c r="I41" s="326">
        <f>'Novel foods, input data'!$AB$7*'Agri ing'!$AG$27</f>
        <v>9.8860883393037349E-2</v>
      </c>
      <c r="J41" s="352">
        <v>0</v>
      </c>
      <c r="K41" s="352">
        <v>0</v>
      </c>
      <c r="L41" s="326">
        <f>'Novel foods, input data'!$AB$7*'Agri ing'!$AH$27</f>
        <v>0.10933621763108094</v>
      </c>
      <c r="M41" s="352">
        <v>0</v>
      </c>
      <c r="N41" s="352">
        <v>0</v>
      </c>
      <c r="O41" s="326">
        <f>'Novel foods, input data'!$D$7*'Emission factors'!$B$9+'Novel foods, input data'!$AF$7</f>
        <v>0.37231453507505347</v>
      </c>
      <c r="P41" s="352">
        <v>0</v>
      </c>
      <c r="Q41" s="352">
        <v>0</v>
      </c>
      <c r="R41" s="352">
        <v>0</v>
      </c>
      <c r="S41" s="352">
        <v>0</v>
      </c>
      <c r="T41" s="352">
        <v>0</v>
      </c>
      <c r="U41" s="352">
        <v>0</v>
      </c>
      <c r="V41" s="352">
        <v>0</v>
      </c>
      <c r="W41" s="352">
        <v>0</v>
      </c>
      <c r="X41" s="352">
        <v>0</v>
      </c>
    </row>
    <row r="42" spans="1:24">
      <c r="A42" s="1" t="s">
        <v>43</v>
      </c>
      <c r="B42" s="1" t="s">
        <v>44</v>
      </c>
      <c r="C42" s="71" t="s">
        <v>34</v>
      </c>
      <c r="D42" s="46" t="s">
        <v>49</v>
      </c>
      <c r="E42" s="46" t="s">
        <v>50</v>
      </c>
      <c r="F42" s="1" t="s">
        <v>93</v>
      </c>
      <c r="G42" s="254">
        <f>SUM(H42:X42)</f>
        <v>7.3795969424879588E-4</v>
      </c>
      <c r="H42" s="259">
        <f>'Novel foods, input data'!$AB$7*'Agri ing'!$AJ$27</f>
        <v>1.4343077887082726E-4</v>
      </c>
      <c r="I42" s="259">
        <f>'Novel foods, input data'!$AB$7*'Agri ing'!$AK$27</f>
        <v>3.4784384897550206E-4</v>
      </c>
      <c r="J42" s="353">
        <v>0</v>
      </c>
      <c r="K42" s="353">
        <v>0</v>
      </c>
      <c r="L42" s="280">
        <f>'Novel foods, input data'!$AB$7*'Agri ing'!$AL$27</f>
        <v>1.107794834097261E-4</v>
      </c>
      <c r="M42" s="353">
        <v>0</v>
      </c>
      <c r="N42" s="353">
        <v>0</v>
      </c>
      <c r="O42" s="254">
        <f>'Novel foods, input data'!$D$7*'Emission factors'!$C$9+'Novel foods, input data'!$AG$7</f>
        <v>1.3590558299274058E-4</v>
      </c>
      <c r="P42" s="353">
        <v>0</v>
      </c>
      <c r="Q42" s="4">
        <v>0</v>
      </c>
      <c r="R42" s="4">
        <v>0</v>
      </c>
      <c r="S42" s="4">
        <v>0</v>
      </c>
      <c r="T42" s="4">
        <v>0</v>
      </c>
      <c r="U42" s="4">
        <v>0</v>
      </c>
      <c r="V42" s="4">
        <v>0</v>
      </c>
      <c r="W42" s="4">
        <v>0</v>
      </c>
      <c r="X42" s="4">
        <v>0</v>
      </c>
    </row>
    <row r="43" spans="1:24">
      <c r="A43" s="1" t="s">
        <v>43</v>
      </c>
      <c r="B43" s="1" t="s">
        <v>44</v>
      </c>
      <c r="C43" s="71" t="s">
        <v>34</v>
      </c>
      <c r="D43" s="46" t="s">
        <v>49</v>
      </c>
      <c r="E43" s="46" t="s">
        <v>50</v>
      </c>
      <c r="F43" s="1" t="s">
        <v>94</v>
      </c>
      <c r="G43" s="254">
        <f>SUM(H43:T43)+SUM(W43:X43)</f>
        <v>0</v>
      </c>
      <c r="H43" s="353">
        <v>0</v>
      </c>
      <c r="I43" s="353">
        <v>0</v>
      </c>
      <c r="J43" s="353">
        <v>0</v>
      </c>
      <c r="K43" s="353">
        <v>0</v>
      </c>
      <c r="L43" s="353">
        <v>0</v>
      </c>
      <c r="M43" s="353">
        <v>0</v>
      </c>
      <c r="N43" s="353">
        <v>0</v>
      </c>
      <c r="O43" s="4">
        <v>0</v>
      </c>
      <c r="P43" s="353">
        <v>0</v>
      </c>
      <c r="Q43" s="4">
        <v>0</v>
      </c>
      <c r="R43" s="4">
        <v>0</v>
      </c>
      <c r="S43" s="4">
        <v>0</v>
      </c>
      <c r="T43" s="4">
        <v>0</v>
      </c>
      <c r="U43" s="4">
        <v>0</v>
      </c>
      <c r="V43" s="4">
        <v>0</v>
      </c>
      <c r="W43" s="4">
        <v>0</v>
      </c>
      <c r="X43" s="4">
        <v>0</v>
      </c>
    </row>
    <row r="44" spans="1:24" ht="15" thickBot="1">
      <c r="A44" s="1" t="s">
        <v>43</v>
      </c>
      <c r="B44" s="1" t="s">
        <v>44</v>
      </c>
      <c r="C44" s="71" t="s">
        <v>34</v>
      </c>
      <c r="D44" s="46" t="s">
        <v>49</v>
      </c>
      <c r="E44" s="46" t="s">
        <v>50</v>
      </c>
      <c r="F44" s="258" t="s">
        <v>95</v>
      </c>
      <c r="G44" s="254">
        <f>SUM(H44:T44)+SUM(W44:X44)</f>
        <v>8.3121436922608421E-4</v>
      </c>
      <c r="H44" s="280">
        <f>'Novel foods, input data'!$AB$7*'Agri ing'!$AP$27</f>
        <v>1.8192659825067297E-4</v>
      </c>
      <c r="I44" s="280">
        <f>'Novel foods, input data'!$AB$7*'Agri ing'!$AQ$27</f>
        <v>4.0276656197163386E-6</v>
      </c>
      <c r="J44" s="280">
        <f>'Novel foods, input data'!$AB$7*'Agri ing'!$AR$27</f>
        <v>6.296399857481233E-4</v>
      </c>
      <c r="K44" s="353">
        <v>0</v>
      </c>
      <c r="L44" s="280">
        <f>'Novel foods, input data'!$AB$7*'Agri ing'!$AS$27</f>
        <v>4.318824329181103E-6</v>
      </c>
      <c r="M44" s="353">
        <v>0</v>
      </c>
      <c r="N44" s="353">
        <v>0</v>
      </c>
      <c r="O44" s="254">
        <f>'Novel foods, input data'!$D$7*'Emission factors'!$D$9+'Novel foods, input data'!$AH$7</f>
        <v>1.1301295278390556E-5</v>
      </c>
      <c r="P44" s="353">
        <v>0</v>
      </c>
      <c r="Q44" s="353">
        <v>0</v>
      </c>
      <c r="R44" s="353">
        <v>0</v>
      </c>
      <c r="S44" s="353">
        <v>0</v>
      </c>
      <c r="T44" s="353">
        <v>0</v>
      </c>
      <c r="U44" s="353">
        <v>0</v>
      </c>
      <c r="V44" s="353">
        <v>0</v>
      </c>
      <c r="W44" s="353">
        <v>0</v>
      </c>
      <c r="X44" s="353">
        <v>0</v>
      </c>
    </row>
    <row r="45" spans="1:24" ht="15.6" thickTop="1" thickBot="1">
      <c r="A45" s="260" t="s">
        <v>43</v>
      </c>
      <c r="B45" s="260" t="s">
        <v>44</v>
      </c>
      <c r="C45" s="261" t="s">
        <v>34</v>
      </c>
      <c r="D45" s="327" t="s">
        <v>49</v>
      </c>
      <c r="E45" s="327" t="s">
        <v>50</v>
      </c>
      <c r="F45" s="328" t="s">
        <v>96</v>
      </c>
      <c r="G45" s="262">
        <f>SUM(H45:X45)</f>
        <v>0.91295493921398085</v>
      </c>
      <c r="H45" s="263">
        <f t="shared" ref="H45:T45" si="7">H41+H42*CF_CH4_foss+H43*CF_CH4_bio+H44*CF_N2O</f>
        <v>0.13747077996025825</v>
      </c>
      <c r="I45" s="263">
        <f t="shared" si="7"/>
        <v>0.11032618280668988</v>
      </c>
      <c r="J45" s="263">
        <f t="shared" si="7"/>
        <v>0.17189171610923765</v>
      </c>
      <c r="K45" s="263">
        <f t="shared" si="7"/>
        <v>0</v>
      </c>
      <c r="L45" s="263">
        <f t="shared" si="7"/>
        <v>0.11381648527855723</v>
      </c>
      <c r="M45" s="603">
        <f t="shared" si="7"/>
        <v>0</v>
      </c>
      <c r="N45" s="603">
        <f t="shared" si="7"/>
        <v>0</v>
      </c>
      <c r="O45" s="263">
        <f t="shared" si="7"/>
        <v>0.37944977505923777</v>
      </c>
      <c r="P45" s="263">
        <f t="shared" si="7"/>
        <v>0</v>
      </c>
      <c r="Q45" s="263">
        <f t="shared" si="7"/>
        <v>0</v>
      </c>
      <c r="R45" s="263">
        <f t="shared" si="7"/>
        <v>0</v>
      </c>
      <c r="S45" s="263">
        <f t="shared" si="7"/>
        <v>0</v>
      </c>
      <c r="T45" s="263">
        <f t="shared" si="7"/>
        <v>0</v>
      </c>
      <c r="U45" s="263"/>
      <c r="V45" s="263"/>
      <c r="W45" s="263">
        <f>W41+W42*CF_CH4_foss+W43*CF_CH4_bio+W44*CF_N2O</f>
        <v>0</v>
      </c>
      <c r="X45" s="263">
        <f>X41+X42*CF_CH4_foss+X43*CF_CH4_bio+X44*CF_N2O</f>
        <v>0</v>
      </c>
    </row>
    <row r="46" spans="1:24" ht="15" thickTop="1">
      <c r="A46" s="322" t="s">
        <v>43</v>
      </c>
      <c r="B46" s="322" t="s">
        <v>44</v>
      </c>
      <c r="C46" s="323" t="s">
        <v>34</v>
      </c>
      <c r="D46" s="324" t="s">
        <v>41</v>
      </c>
      <c r="E46" s="324" t="s">
        <v>42</v>
      </c>
      <c r="F46" s="325" t="s">
        <v>92</v>
      </c>
      <c r="G46" s="326">
        <f>SUM(H46:X46)</f>
        <v>1.2684144111667035</v>
      </c>
      <c r="H46" s="326">
        <f>'Novel foods, input data'!$AB$7*'Agri ing'!$AF$27</f>
        <v>8.3530581427473882E-2</v>
      </c>
      <c r="I46" s="326">
        <f>'Novel foods, input data'!$AB$7*'Agri ing'!$AG$27</f>
        <v>9.8860883393037349E-2</v>
      </c>
      <c r="J46" s="352">
        <v>0</v>
      </c>
      <c r="K46" s="352">
        <v>0</v>
      </c>
      <c r="L46" s="326">
        <f>'Novel foods, input data'!$AB$7*'Agri ing'!$AH$27</f>
        <v>0.10933621763108094</v>
      </c>
      <c r="M46" s="352">
        <v>0</v>
      </c>
      <c r="N46" s="352">
        <v>0</v>
      </c>
      <c r="O46" s="326">
        <f>'Novel foods, input data'!$D$7*'Emission factors'!$B$13+'Novel foods, input data'!$AF$7</f>
        <v>0.97668672871511131</v>
      </c>
      <c r="P46" s="352">
        <v>0</v>
      </c>
      <c r="Q46" s="352">
        <v>0</v>
      </c>
      <c r="R46" s="352">
        <v>0</v>
      </c>
      <c r="S46" s="352">
        <v>0</v>
      </c>
      <c r="T46" s="352">
        <v>0</v>
      </c>
      <c r="U46" s="352">
        <v>0</v>
      </c>
      <c r="V46" s="352">
        <v>0</v>
      </c>
      <c r="W46" s="352">
        <v>0</v>
      </c>
      <c r="X46" s="352">
        <v>0</v>
      </c>
    </row>
    <row r="47" spans="1:24">
      <c r="A47" s="1" t="s">
        <v>43</v>
      </c>
      <c r="B47" s="1" t="s">
        <v>44</v>
      </c>
      <c r="C47" s="71" t="s">
        <v>34</v>
      </c>
      <c r="D47" s="46" t="s">
        <v>41</v>
      </c>
      <c r="E47" s="46" t="s">
        <v>42</v>
      </c>
      <c r="F47" s="1" t="s">
        <v>93</v>
      </c>
      <c r="G47" s="254">
        <f>SUM(H47:X47)</f>
        <v>1.7296486721663329E-3</v>
      </c>
      <c r="H47" s="259">
        <f>'Novel foods, input data'!$AB$7*'Agri ing'!$AJ$27</f>
        <v>1.4343077887082726E-4</v>
      </c>
      <c r="I47" s="259">
        <f>'Novel foods, input data'!$AB$7*'Agri ing'!$AK$27</f>
        <v>3.4784384897550206E-4</v>
      </c>
      <c r="J47" s="353">
        <v>0</v>
      </c>
      <c r="K47" s="353">
        <v>0</v>
      </c>
      <c r="L47" s="280">
        <f>'Novel foods, input data'!$AB$7*'Agri ing'!$AL$27</f>
        <v>1.107794834097261E-4</v>
      </c>
      <c r="M47" s="353">
        <v>0</v>
      </c>
      <c r="N47" s="353">
        <v>0</v>
      </c>
      <c r="O47" s="254">
        <f>'Novel foods, input data'!$D$7*'Emission factors'!$C$13+'Novel foods, input data'!$AG$7</f>
        <v>1.1275945609102776E-3</v>
      </c>
      <c r="P47" s="353">
        <v>0</v>
      </c>
      <c r="Q47" s="4">
        <v>0</v>
      </c>
      <c r="R47" s="4">
        <v>0</v>
      </c>
      <c r="S47" s="4">
        <v>0</v>
      </c>
      <c r="T47" s="4">
        <v>0</v>
      </c>
      <c r="U47" s="4">
        <v>0</v>
      </c>
      <c r="V47" s="4">
        <v>0</v>
      </c>
      <c r="W47" s="4">
        <v>0</v>
      </c>
      <c r="X47" s="4">
        <v>0</v>
      </c>
    </row>
    <row r="48" spans="1:24">
      <c r="A48" s="1" t="s">
        <v>43</v>
      </c>
      <c r="B48" s="1" t="s">
        <v>44</v>
      </c>
      <c r="C48" s="71" t="s">
        <v>34</v>
      </c>
      <c r="D48" s="46" t="s">
        <v>41</v>
      </c>
      <c r="E48" s="46" t="s">
        <v>42</v>
      </c>
      <c r="F48" s="1" t="s">
        <v>94</v>
      </c>
      <c r="G48" s="254">
        <f>SUM(H48:T48)+SUM(W48:X48)</f>
        <v>0</v>
      </c>
      <c r="H48" s="353">
        <v>0</v>
      </c>
      <c r="I48" s="353">
        <v>0</v>
      </c>
      <c r="J48" s="353">
        <v>0</v>
      </c>
      <c r="K48" s="353">
        <v>0</v>
      </c>
      <c r="L48" s="353">
        <v>0</v>
      </c>
      <c r="M48" s="353">
        <v>0</v>
      </c>
      <c r="N48" s="353">
        <v>0</v>
      </c>
      <c r="O48" s="4">
        <v>0</v>
      </c>
      <c r="P48" s="353">
        <v>0</v>
      </c>
      <c r="Q48" s="4">
        <v>0</v>
      </c>
      <c r="R48" s="4">
        <v>0</v>
      </c>
      <c r="S48" s="4">
        <v>0</v>
      </c>
      <c r="T48" s="4">
        <v>0</v>
      </c>
      <c r="U48" s="4">
        <v>0</v>
      </c>
      <c r="V48" s="4">
        <v>0</v>
      </c>
      <c r="W48" s="4">
        <v>0</v>
      </c>
      <c r="X48" s="4">
        <v>0</v>
      </c>
    </row>
    <row r="49" spans="1:24" ht="15" thickBot="1">
      <c r="A49" s="1" t="s">
        <v>43</v>
      </c>
      <c r="B49" s="1" t="s">
        <v>44</v>
      </c>
      <c r="C49" s="71" t="s">
        <v>34</v>
      </c>
      <c r="D49" s="46" t="s">
        <v>41</v>
      </c>
      <c r="E49" s="46" t="s">
        <v>42</v>
      </c>
      <c r="F49" s="258" t="s">
        <v>95</v>
      </c>
      <c r="G49" s="254">
        <f>SUM(H49:T49)+SUM(W49:X49)</f>
        <v>8.404159552006412E-4</v>
      </c>
      <c r="H49" s="280">
        <f>'Novel foods, input data'!$AB$7*'Agri ing'!$AP$27</f>
        <v>1.8192659825067297E-4</v>
      </c>
      <c r="I49" s="280">
        <f>'Novel foods, input data'!$AB$7*'Agri ing'!$AQ$27</f>
        <v>4.0276656197163386E-6</v>
      </c>
      <c r="J49" s="280">
        <f>'Novel foods, input data'!$AB$7*'Agri ing'!$AR$27</f>
        <v>6.296399857481233E-4</v>
      </c>
      <c r="K49" s="353">
        <v>0</v>
      </c>
      <c r="L49" s="280">
        <f>'Novel foods, input data'!$AB$7*'Agri ing'!$AS$27</f>
        <v>4.318824329181103E-6</v>
      </c>
      <c r="M49" s="353">
        <v>0</v>
      </c>
      <c r="N49" s="353">
        <v>0</v>
      </c>
      <c r="O49" s="254">
        <f>'Novel foods, input data'!$D$7*'Emission factors'!$D$13+'Novel foods, input data'!$AH$7</f>
        <v>2.0502881252947505E-5</v>
      </c>
      <c r="P49" s="353">
        <v>0</v>
      </c>
      <c r="Q49" s="353">
        <v>0</v>
      </c>
      <c r="R49" s="353">
        <v>0</v>
      </c>
      <c r="S49" s="353">
        <v>0</v>
      </c>
      <c r="T49" s="353">
        <v>0</v>
      </c>
      <c r="U49" s="353">
        <v>0</v>
      </c>
      <c r="V49" s="353">
        <v>0</v>
      </c>
      <c r="W49" s="353">
        <v>0</v>
      </c>
      <c r="X49" s="353">
        <v>0</v>
      </c>
    </row>
    <row r="50" spans="1:24" ht="15.6" thickTop="1" thickBot="1">
      <c r="A50" s="260" t="s">
        <v>43</v>
      </c>
      <c r="B50" s="260" t="s">
        <v>44</v>
      </c>
      <c r="C50" s="261" t="s">
        <v>34</v>
      </c>
      <c r="D50" s="327" t="s">
        <v>41</v>
      </c>
      <c r="E50" s="327" t="s">
        <v>42</v>
      </c>
      <c r="F50" s="328" t="s">
        <v>96</v>
      </c>
      <c r="G50" s="262">
        <f>SUM(H50:X50)</f>
        <v>1.5493914973670353</v>
      </c>
      <c r="H50" s="263">
        <f t="shared" ref="H50:T50" si="8">H46+H47*CF_CH4_foss+H48*CF_CH4_bio+H49*CF_N2O</f>
        <v>0.13747077996025825</v>
      </c>
      <c r="I50" s="263">
        <f t="shared" si="8"/>
        <v>0.11032618280668988</v>
      </c>
      <c r="J50" s="263">
        <f t="shared" si="8"/>
        <v>0.17189171610923765</v>
      </c>
      <c r="K50" s="263">
        <f t="shared" si="8"/>
        <v>0</v>
      </c>
      <c r="L50" s="263">
        <f t="shared" si="8"/>
        <v>0.11381648527855723</v>
      </c>
      <c r="M50" s="603">
        <f t="shared" si="8"/>
        <v>0</v>
      </c>
      <c r="N50" s="603">
        <f t="shared" si="8"/>
        <v>0</v>
      </c>
      <c r="O50" s="263">
        <f t="shared" si="8"/>
        <v>1.0158863332122923</v>
      </c>
      <c r="P50" s="263">
        <f t="shared" si="8"/>
        <v>0</v>
      </c>
      <c r="Q50" s="263">
        <f t="shared" si="8"/>
        <v>0</v>
      </c>
      <c r="R50" s="263">
        <f t="shared" si="8"/>
        <v>0</v>
      </c>
      <c r="S50" s="263">
        <f t="shared" si="8"/>
        <v>0</v>
      </c>
      <c r="T50" s="263">
        <f t="shared" si="8"/>
        <v>0</v>
      </c>
      <c r="U50" s="263"/>
      <c r="V50" s="263"/>
      <c r="W50" s="263">
        <f>W46+W47*CF_CH4_foss+W48*CF_CH4_bio+W49*CF_N2O</f>
        <v>0</v>
      </c>
      <c r="X50" s="263">
        <f>X46+X47*CF_CH4_foss+X48*CF_CH4_bio+X49*CF_N2O</f>
        <v>0</v>
      </c>
    </row>
    <row r="51" spans="1:24" ht="15" thickTop="1">
      <c r="A51" s="322" t="s">
        <v>51</v>
      </c>
      <c r="B51" s="322" t="s">
        <v>52</v>
      </c>
      <c r="C51" s="323" t="s">
        <v>34</v>
      </c>
      <c r="D51" s="324" t="s">
        <v>45</v>
      </c>
      <c r="E51" s="324" t="s">
        <v>46</v>
      </c>
      <c r="F51" s="325" t="s">
        <v>92</v>
      </c>
      <c r="G51" s="326">
        <f>SUM(H51:X51)</f>
        <v>5.4401856230797341</v>
      </c>
      <c r="H51" s="326">
        <f>'Novel foods, input data'!$AB$8*'Agri ing'!$AF$27</f>
        <v>0.21293919565060465</v>
      </c>
      <c r="I51" s="326">
        <f>'Novel foods, input data'!$AB$8*'Agri ing'!$AG$27</f>
        <v>0.25201975888674505</v>
      </c>
      <c r="J51" s="352">
        <v>0</v>
      </c>
      <c r="K51" s="352">
        <v>0</v>
      </c>
      <c r="L51" s="326">
        <f>'Novel foods, input data'!$AB$8*'Agri ing'!$AH$27</f>
        <v>0.27872386184761078</v>
      </c>
      <c r="M51" s="352">
        <v>0</v>
      </c>
      <c r="N51" s="352">
        <v>0</v>
      </c>
      <c r="O51" s="326">
        <f>'Novel foods, input data'!$D$8*'Emission factors'!$B$6+'Novel foods, input data'!$AF$8</f>
        <v>4.6965028066947738</v>
      </c>
      <c r="P51" s="352">
        <v>0</v>
      </c>
      <c r="Q51" s="352">
        <v>0</v>
      </c>
      <c r="R51" s="352">
        <v>0</v>
      </c>
      <c r="S51" s="352">
        <v>0</v>
      </c>
      <c r="T51" s="352">
        <v>0</v>
      </c>
      <c r="U51" s="352">
        <v>0</v>
      </c>
      <c r="V51" s="352">
        <v>0</v>
      </c>
      <c r="W51" s="352">
        <v>0</v>
      </c>
      <c r="X51" s="352">
        <v>0</v>
      </c>
    </row>
    <row r="52" spans="1:24">
      <c r="A52" s="1" t="s">
        <v>51</v>
      </c>
      <c r="B52" s="1" t="s">
        <v>52</v>
      </c>
      <c r="C52" s="71" t="s">
        <v>34</v>
      </c>
      <c r="D52" s="46" t="s">
        <v>45</v>
      </c>
      <c r="E52" s="46" t="s">
        <v>46</v>
      </c>
      <c r="F52" s="1" t="s">
        <v>93</v>
      </c>
      <c r="G52" s="254">
        <f>SUM(H52:X52)</f>
        <v>4.7026690287592429E-3</v>
      </c>
      <c r="H52" s="259">
        <f>'Novel foods, input data'!$AB$8*'Agri ing'!$AJ$27</f>
        <v>3.6563895716219905E-4</v>
      </c>
      <c r="I52" s="259">
        <f>'Novel foods, input data'!$AB$8*'Agri ing'!$AK$27</f>
        <v>8.867361886755853E-4</v>
      </c>
      <c r="J52" s="353">
        <v>0</v>
      </c>
      <c r="K52" s="353">
        <v>0</v>
      </c>
      <c r="L52" s="280">
        <f>'Novel foods, input data'!$AB$8*'Agri ing'!$AL$27</f>
        <v>2.8240308745292503E-4</v>
      </c>
      <c r="M52" s="353">
        <v>0</v>
      </c>
      <c r="N52" s="353">
        <v>0</v>
      </c>
      <c r="O52" s="254">
        <f>'Novel foods, input data'!$D$8*'Emission factors'!$C$6+'Novel foods, input data'!$AG8</f>
        <v>3.167890795468534E-3</v>
      </c>
      <c r="P52" s="353">
        <v>0</v>
      </c>
      <c r="Q52" s="4">
        <v>0</v>
      </c>
      <c r="R52" s="4">
        <v>0</v>
      </c>
      <c r="S52" s="4">
        <v>0</v>
      </c>
      <c r="T52" s="4">
        <v>0</v>
      </c>
      <c r="U52" s="4">
        <v>0</v>
      </c>
      <c r="V52" s="4">
        <v>0</v>
      </c>
      <c r="W52" s="4">
        <v>0</v>
      </c>
      <c r="X52" s="4">
        <v>0</v>
      </c>
    </row>
    <row r="53" spans="1:24">
      <c r="A53" s="1" t="s">
        <v>51</v>
      </c>
      <c r="B53" s="1" t="s">
        <v>52</v>
      </c>
      <c r="C53" s="71" t="s">
        <v>34</v>
      </c>
      <c r="D53" s="46" t="s">
        <v>45</v>
      </c>
      <c r="E53" s="46" t="s">
        <v>46</v>
      </c>
      <c r="F53" s="1" t="s">
        <v>94</v>
      </c>
      <c r="G53" s="254">
        <f>SUM(H53:T53)+SUM(W53:X53)</f>
        <v>0</v>
      </c>
      <c r="H53" s="353">
        <v>0</v>
      </c>
      <c r="I53" s="353">
        <v>0</v>
      </c>
      <c r="J53" s="353">
        <v>0</v>
      </c>
      <c r="K53" s="353">
        <v>0</v>
      </c>
      <c r="L53" s="353">
        <v>0</v>
      </c>
      <c r="M53" s="353">
        <v>0</v>
      </c>
      <c r="N53" s="353">
        <v>0</v>
      </c>
      <c r="O53" s="4">
        <v>0</v>
      </c>
      <c r="P53" s="353">
        <v>0</v>
      </c>
      <c r="Q53" s="4">
        <v>0</v>
      </c>
      <c r="R53" s="4">
        <v>0</v>
      </c>
      <c r="S53" s="4">
        <v>0</v>
      </c>
      <c r="T53" s="4">
        <v>0</v>
      </c>
      <c r="U53" s="4">
        <v>0</v>
      </c>
      <c r="V53" s="4">
        <v>0</v>
      </c>
      <c r="W53" s="4">
        <v>0</v>
      </c>
      <c r="X53" s="4">
        <v>0</v>
      </c>
    </row>
    <row r="54" spans="1:24" ht="15" thickBot="1">
      <c r="A54" s="1" t="s">
        <v>51</v>
      </c>
      <c r="B54" s="1" t="s">
        <v>52</v>
      </c>
      <c r="C54" s="71" t="s">
        <v>34</v>
      </c>
      <c r="D54" s="46" t="s">
        <v>45</v>
      </c>
      <c r="E54" s="46" t="s">
        <v>46</v>
      </c>
      <c r="F54" s="258" t="s">
        <v>95</v>
      </c>
      <c r="G54" s="254">
        <f>SUM(H54:T54)+SUM(W54:X54)</f>
        <v>2.208318197089163E-3</v>
      </c>
      <c r="H54" s="280">
        <f>'Novel foods, input data'!$AB$8*'Agri ing'!$AP$27</f>
        <v>4.6377389977327911E-4</v>
      </c>
      <c r="I54" s="280">
        <f>'Novel foods, input data'!$AB$8*'Agri ing'!$AQ$27</f>
        <v>1.0267471658348879E-5</v>
      </c>
      <c r="J54" s="280">
        <f>'Novel foods, input data'!$AB$8*'Agri ing'!$AR$27</f>
        <v>1.6051011476685975E-3</v>
      </c>
      <c r="K54" s="353">
        <v>0</v>
      </c>
      <c r="L54" s="280">
        <f>'Novel foods, input data'!$AB$8*'Agri ing'!$AS$27</f>
        <v>1.1009704028105891E-5</v>
      </c>
      <c r="M54" s="353">
        <v>0</v>
      </c>
      <c r="N54" s="353">
        <v>0</v>
      </c>
      <c r="O54" s="254">
        <f>'Novel foods, input data'!$D$8*'Emission factors'!$D$6+'Novel foods, input data'!$AH$8</f>
        <v>1.181659739608316E-4</v>
      </c>
      <c r="P54" s="353">
        <v>0</v>
      </c>
      <c r="Q54" s="353">
        <v>0</v>
      </c>
      <c r="R54" s="353">
        <v>0</v>
      </c>
      <c r="S54" s="353">
        <v>0</v>
      </c>
      <c r="T54" s="353">
        <v>0</v>
      </c>
      <c r="U54" s="353">
        <v>0</v>
      </c>
      <c r="V54" s="353">
        <v>0</v>
      </c>
      <c r="W54" s="353">
        <v>0</v>
      </c>
      <c r="X54" s="353">
        <v>0</v>
      </c>
    </row>
    <row r="55" spans="1:24" ht="15.6" thickTop="1" thickBot="1">
      <c r="A55" s="260" t="s">
        <v>51</v>
      </c>
      <c r="B55" s="260" t="s">
        <v>52</v>
      </c>
      <c r="C55" s="261" t="s">
        <v>34</v>
      </c>
      <c r="D55" s="327" t="s">
        <v>45</v>
      </c>
      <c r="E55" s="327" t="s">
        <v>46</v>
      </c>
      <c r="F55" s="328" t="s">
        <v>96</v>
      </c>
      <c r="G55" s="262">
        <f>SUM(H55:X55)</f>
        <v>6.1831960279421017</v>
      </c>
      <c r="H55" s="263">
        <f t="shared" ref="H55:T55" si="9">H51+H52*CF_CH4_foss+H53*CF_CH4_bio+H54*CF_N2O</f>
        <v>0.3504455112121434</v>
      </c>
      <c r="I55" s="263">
        <f t="shared" si="9"/>
        <v>0.28124751707200674</v>
      </c>
      <c r="J55" s="263">
        <f t="shared" si="9"/>
        <v>0.4381926133135271</v>
      </c>
      <c r="K55" s="263">
        <f t="shared" si="9"/>
        <v>0</v>
      </c>
      <c r="L55" s="263">
        <f t="shared" si="9"/>
        <v>0.2901451230533808</v>
      </c>
      <c r="M55" s="603">
        <f t="shared" si="9"/>
        <v>0</v>
      </c>
      <c r="N55" s="603">
        <f t="shared" si="9"/>
        <v>0</v>
      </c>
      <c r="O55" s="263">
        <f t="shared" si="9"/>
        <v>4.8231652632910436</v>
      </c>
      <c r="P55" s="263">
        <f t="shared" si="9"/>
        <v>0</v>
      </c>
      <c r="Q55" s="263">
        <f t="shared" si="9"/>
        <v>0</v>
      </c>
      <c r="R55" s="263">
        <f t="shared" si="9"/>
        <v>0</v>
      </c>
      <c r="S55" s="263">
        <f t="shared" si="9"/>
        <v>0</v>
      </c>
      <c r="T55" s="263">
        <f t="shared" si="9"/>
        <v>0</v>
      </c>
      <c r="U55" s="263"/>
      <c r="V55" s="263"/>
      <c r="W55" s="263">
        <f>W51+W52*CF_CH4_foss+W53*CF_CH4_bio+W54*CF_N2O</f>
        <v>0</v>
      </c>
      <c r="X55" s="263">
        <f>X51+X52*CF_CH4_foss+X53*CF_CH4_bio+X54*CF_N2O</f>
        <v>0</v>
      </c>
    </row>
    <row r="56" spans="1:24" ht="15" thickTop="1">
      <c r="A56" s="322" t="s">
        <v>51</v>
      </c>
      <c r="B56" s="322" t="s">
        <v>52</v>
      </c>
      <c r="C56" s="323" t="s">
        <v>34</v>
      </c>
      <c r="D56" s="324" t="s">
        <v>47</v>
      </c>
      <c r="E56" s="324" t="s">
        <v>48</v>
      </c>
      <c r="F56" s="325" t="s">
        <v>92</v>
      </c>
      <c r="G56" s="326">
        <f>SUM(H56:X56)</f>
        <v>6.0164678836454764</v>
      </c>
      <c r="H56" s="326">
        <f>'Novel foods, input data'!$AB$8*'Agri ing'!$AF$27</f>
        <v>0.21293919565060465</v>
      </c>
      <c r="I56" s="326">
        <f>'Novel foods, input data'!$AB$8*'Agri ing'!$AG$27</f>
        <v>0.25201975888674505</v>
      </c>
      <c r="J56" s="352">
        <v>0</v>
      </c>
      <c r="K56" s="352">
        <v>0</v>
      </c>
      <c r="L56" s="326">
        <f>'Novel foods, input data'!$AB$8*'Agri ing'!$AH$27</f>
        <v>0.27872386184761078</v>
      </c>
      <c r="M56" s="352">
        <v>0</v>
      </c>
      <c r="N56" s="352">
        <v>0</v>
      </c>
      <c r="O56" s="326">
        <f>'Novel foods, input data'!$D$8*'Emission factors'!$B$8+'Novel foods, input data'!$AF$8</f>
        <v>5.2727850672605161</v>
      </c>
      <c r="P56" s="352">
        <v>0</v>
      </c>
      <c r="Q56" s="352">
        <v>0</v>
      </c>
      <c r="R56" s="352">
        <v>0</v>
      </c>
      <c r="S56" s="352">
        <v>0</v>
      </c>
      <c r="T56" s="352">
        <v>0</v>
      </c>
      <c r="U56" s="352">
        <v>0</v>
      </c>
      <c r="V56" s="352">
        <v>0</v>
      </c>
      <c r="W56" s="352">
        <v>0</v>
      </c>
      <c r="X56" s="352">
        <v>0</v>
      </c>
    </row>
    <row r="57" spans="1:24">
      <c r="A57" s="1" t="s">
        <v>51</v>
      </c>
      <c r="B57" s="1" t="s">
        <v>52</v>
      </c>
      <c r="C57" s="71" t="s">
        <v>34</v>
      </c>
      <c r="D57" s="46" t="s">
        <v>47</v>
      </c>
      <c r="E57" s="46" t="s">
        <v>48</v>
      </c>
      <c r="F57" s="1" t="s">
        <v>93</v>
      </c>
      <c r="G57" s="254">
        <f>SUM(H57:X57)</f>
        <v>7.030554006346011E-3</v>
      </c>
      <c r="H57" s="259">
        <f>'Novel foods, input data'!$AB$8*'Agri ing'!$AJ$27</f>
        <v>3.6563895716219905E-4</v>
      </c>
      <c r="I57" s="259">
        <f>'Novel foods, input data'!$AB$8*'Agri ing'!$AK$27</f>
        <v>8.867361886755853E-4</v>
      </c>
      <c r="J57" s="353">
        <v>0</v>
      </c>
      <c r="K57" s="353">
        <v>0</v>
      </c>
      <c r="L57" s="280">
        <f>'Novel foods, input data'!$AB$8*'Agri ing'!$AL$27</f>
        <v>2.8240308745292503E-4</v>
      </c>
      <c r="M57" s="353">
        <v>0</v>
      </c>
      <c r="N57" s="353">
        <v>0</v>
      </c>
      <c r="O57" s="254">
        <f>'Novel foods, input data'!$D$8*'Emission factors'!$C$8+'Novel foods, input data'!$AG$8</f>
        <v>5.4957757730553017E-3</v>
      </c>
      <c r="P57" s="353">
        <v>0</v>
      </c>
      <c r="Q57" s="4">
        <v>0</v>
      </c>
      <c r="R57" s="4">
        <v>0</v>
      </c>
      <c r="S57" s="4">
        <v>0</v>
      </c>
      <c r="T57" s="4">
        <v>0</v>
      </c>
      <c r="U57" s="4">
        <v>0</v>
      </c>
      <c r="V57" s="4">
        <v>0</v>
      </c>
      <c r="W57" s="4">
        <v>0</v>
      </c>
      <c r="X57" s="4">
        <v>0</v>
      </c>
    </row>
    <row r="58" spans="1:24">
      <c r="A58" s="1" t="s">
        <v>51</v>
      </c>
      <c r="B58" s="1" t="s">
        <v>52</v>
      </c>
      <c r="C58" s="71" t="s">
        <v>34</v>
      </c>
      <c r="D58" s="46" t="s">
        <v>47</v>
      </c>
      <c r="E58" s="46" t="s">
        <v>48</v>
      </c>
      <c r="F58" s="1" t="s">
        <v>94</v>
      </c>
      <c r="G58" s="254">
        <f>SUM(H58:T58)+SUM(W58:X58)</f>
        <v>0</v>
      </c>
      <c r="H58" s="353">
        <v>0</v>
      </c>
      <c r="I58" s="353">
        <v>0</v>
      </c>
      <c r="J58" s="353">
        <v>0</v>
      </c>
      <c r="K58" s="353">
        <v>0</v>
      </c>
      <c r="L58" s="353">
        <v>0</v>
      </c>
      <c r="M58" s="353">
        <v>0</v>
      </c>
      <c r="N58" s="353">
        <v>0</v>
      </c>
      <c r="O58" s="4">
        <v>0</v>
      </c>
      <c r="P58" s="353">
        <v>0</v>
      </c>
      <c r="Q58" s="4">
        <v>0</v>
      </c>
      <c r="R58" s="4">
        <v>0</v>
      </c>
      <c r="S58" s="4">
        <v>0</v>
      </c>
      <c r="T58" s="4">
        <v>0</v>
      </c>
      <c r="U58" s="4">
        <v>0</v>
      </c>
      <c r="V58" s="4">
        <v>0</v>
      </c>
      <c r="W58" s="4">
        <v>0</v>
      </c>
      <c r="X58" s="4">
        <v>0</v>
      </c>
    </row>
    <row r="59" spans="1:24" ht="15" thickBot="1">
      <c r="A59" s="1" t="s">
        <v>51</v>
      </c>
      <c r="B59" s="1" t="s">
        <v>52</v>
      </c>
      <c r="C59" s="71" t="s">
        <v>34</v>
      </c>
      <c r="D59" s="46" t="s">
        <v>47</v>
      </c>
      <c r="E59" s="46" t="s">
        <v>48</v>
      </c>
      <c r="F59" s="258" t="s">
        <v>95</v>
      </c>
      <c r="G59" s="254">
        <f>SUM(H59:T59)+SUM(W59:X59)</f>
        <v>2.2188267250289901E-3</v>
      </c>
      <c r="H59" s="280">
        <f>'Novel foods, input data'!$AB$8*'Agri ing'!$AP$27</f>
        <v>4.6377389977327911E-4</v>
      </c>
      <c r="I59" s="280">
        <f>'Novel foods, input data'!$AB$8*'Agri ing'!$AQ$27</f>
        <v>1.0267471658348879E-5</v>
      </c>
      <c r="J59" s="280">
        <f>'Novel foods, input data'!$AB$8*'Agri ing'!$AR$27</f>
        <v>1.6051011476685975E-3</v>
      </c>
      <c r="K59" s="353">
        <v>0</v>
      </c>
      <c r="L59" s="280">
        <f>'Novel foods, input data'!$AB$8*'Agri ing'!$AS$27</f>
        <v>1.1009704028105891E-5</v>
      </c>
      <c r="M59" s="353">
        <v>0</v>
      </c>
      <c r="N59" s="353">
        <v>0</v>
      </c>
      <c r="O59" s="254">
        <f>'Novel foods, input data'!$D$8*'Emission factors'!$D$8+'Novel foods, input data'!$AH$8</f>
        <v>1.2867450190065879E-4</v>
      </c>
      <c r="P59" s="353">
        <v>0</v>
      </c>
      <c r="Q59" s="353">
        <v>0</v>
      </c>
      <c r="R59" s="353">
        <v>0</v>
      </c>
      <c r="S59" s="353">
        <v>0</v>
      </c>
      <c r="T59" s="353">
        <v>0</v>
      </c>
      <c r="U59" s="353">
        <v>0</v>
      </c>
      <c r="V59" s="353">
        <v>0</v>
      </c>
      <c r="W59" s="353">
        <v>0</v>
      </c>
      <c r="X59" s="353">
        <v>0</v>
      </c>
    </row>
    <row r="60" spans="1:24" ht="15.6" thickTop="1" thickBot="1">
      <c r="A60" s="260" t="s">
        <v>51</v>
      </c>
      <c r="B60" s="260" t="s">
        <v>52</v>
      </c>
      <c r="C60" s="261" t="s">
        <v>34</v>
      </c>
      <c r="D60" s="327" t="s">
        <v>47</v>
      </c>
      <c r="E60" s="327" t="s">
        <v>48</v>
      </c>
      <c r="F60" s="328" t="s">
        <v>96</v>
      </c>
      <c r="G60" s="262">
        <f>SUM(H60:X60)</f>
        <v>6.8317180889675022</v>
      </c>
      <c r="H60" s="263">
        <f t="shared" ref="H60:T60" si="10">H56+H57*CF_CH4_foss+H58*CF_CH4_bio+H59*CF_N2O</f>
        <v>0.3504455112121434</v>
      </c>
      <c r="I60" s="263">
        <f t="shared" si="10"/>
        <v>0.28124751707200674</v>
      </c>
      <c r="J60" s="263">
        <f t="shared" si="10"/>
        <v>0.4381926133135271</v>
      </c>
      <c r="K60" s="263">
        <f t="shared" si="10"/>
        <v>0</v>
      </c>
      <c r="L60" s="263">
        <f t="shared" si="10"/>
        <v>0.2901451230533808</v>
      </c>
      <c r="M60" s="603">
        <f t="shared" si="10"/>
        <v>0</v>
      </c>
      <c r="N60" s="603">
        <f t="shared" si="10"/>
        <v>0</v>
      </c>
      <c r="O60" s="263">
        <f t="shared" si="10"/>
        <v>5.4716873243164441</v>
      </c>
      <c r="P60" s="263">
        <f t="shared" si="10"/>
        <v>0</v>
      </c>
      <c r="Q60" s="263">
        <f t="shared" si="10"/>
        <v>0</v>
      </c>
      <c r="R60" s="263">
        <f t="shared" si="10"/>
        <v>0</v>
      </c>
      <c r="S60" s="263">
        <f t="shared" si="10"/>
        <v>0</v>
      </c>
      <c r="T60" s="263">
        <f t="shared" si="10"/>
        <v>0</v>
      </c>
      <c r="U60" s="263"/>
      <c r="V60" s="263"/>
      <c r="W60" s="263">
        <f>W56+W57*CF_CH4_foss+W58*CF_CH4_bio+W59*CF_N2O</f>
        <v>0</v>
      </c>
      <c r="X60" s="263">
        <f>X56+X57*CF_CH4_foss+X58*CF_CH4_bio+X59*CF_N2O</f>
        <v>0</v>
      </c>
    </row>
    <row r="61" spans="1:24" ht="15" thickTop="1">
      <c r="A61" s="322" t="s">
        <v>51</v>
      </c>
      <c r="B61" s="322" t="s">
        <v>52</v>
      </c>
      <c r="C61" s="323" t="s">
        <v>34</v>
      </c>
      <c r="D61" s="324" t="s">
        <v>39</v>
      </c>
      <c r="E61" s="324" t="s">
        <v>40</v>
      </c>
      <c r="F61" s="325" t="s">
        <v>92</v>
      </c>
      <c r="G61" s="326">
        <f>SUM(H61:X61)</f>
        <v>3.6917044274982977</v>
      </c>
      <c r="H61" s="326">
        <f>'Novel foods, input data'!$AB$8*'Agri ing'!$AF$27</f>
        <v>0.21293919565060465</v>
      </c>
      <c r="I61" s="326">
        <f>'Novel foods, input data'!$AB$8*'Agri ing'!$AG$27</f>
        <v>0.25201975888674505</v>
      </c>
      <c r="J61" s="352">
        <v>0</v>
      </c>
      <c r="K61" s="352">
        <v>0</v>
      </c>
      <c r="L61" s="326">
        <f>'Novel foods, input data'!$AB$8*'Agri ing'!$AH$27</f>
        <v>0.27872386184761078</v>
      </c>
      <c r="M61" s="352">
        <v>0</v>
      </c>
      <c r="N61" s="352">
        <v>0</v>
      </c>
      <c r="O61" s="326">
        <f>'Novel foods, input data'!$D$8*'Emission factors'!$B$11+'Novel foods, input data'!$AF$8</f>
        <v>2.948021611113337</v>
      </c>
      <c r="P61" s="352">
        <v>0</v>
      </c>
      <c r="Q61" s="352">
        <v>0</v>
      </c>
      <c r="R61" s="352">
        <v>0</v>
      </c>
      <c r="S61" s="352">
        <v>0</v>
      </c>
      <c r="T61" s="352">
        <v>0</v>
      </c>
      <c r="U61" s="352">
        <v>0</v>
      </c>
      <c r="V61" s="352">
        <v>0</v>
      </c>
      <c r="W61" s="352">
        <v>0</v>
      </c>
      <c r="X61" s="352">
        <v>0</v>
      </c>
    </row>
    <row r="62" spans="1:24">
      <c r="A62" s="1" t="s">
        <v>51</v>
      </c>
      <c r="B62" s="1" t="s">
        <v>52</v>
      </c>
      <c r="C62" s="71" t="s">
        <v>34</v>
      </c>
      <c r="D62" s="46" t="s">
        <v>39</v>
      </c>
      <c r="E62" s="46" t="s">
        <v>40</v>
      </c>
      <c r="F62" s="1" t="s">
        <v>93</v>
      </c>
      <c r="G62" s="254">
        <f>SUM(H62:X62)</f>
        <v>2.1439570527458417E-3</v>
      </c>
      <c r="H62" s="259">
        <f>'Novel foods, input data'!$AB$8*'Agri ing'!$AJ$27</f>
        <v>3.6563895716219905E-4</v>
      </c>
      <c r="I62" s="259">
        <f>'Novel foods, input data'!$AB$8*'Agri ing'!$AK$27</f>
        <v>8.867361886755853E-4</v>
      </c>
      <c r="J62" s="353">
        <v>0</v>
      </c>
      <c r="K62" s="353">
        <v>0</v>
      </c>
      <c r="L62" s="280">
        <f>'Novel foods, input data'!$AB$8*'Agri ing'!$AL$27</f>
        <v>2.8240308745292503E-4</v>
      </c>
      <c r="M62" s="353">
        <v>0</v>
      </c>
      <c r="N62" s="353">
        <v>0</v>
      </c>
      <c r="O62" s="254">
        <f>'Novel foods, input data'!$D$8*'Emission factors'!$C$11+'Novel foods, input data'!$AG$8</f>
        <v>6.0917881945513216E-4</v>
      </c>
      <c r="P62" s="353">
        <v>0</v>
      </c>
      <c r="Q62" s="4">
        <v>0</v>
      </c>
      <c r="R62" s="4">
        <v>0</v>
      </c>
      <c r="S62" s="4">
        <v>0</v>
      </c>
      <c r="T62" s="4">
        <v>0</v>
      </c>
      <c r="U62" s="4">
        <v>0</v>
      </c>
      <c r="V62" s="4">
        <v>0</v>
      </c>
      <c r="W62" s="4">
        <v>0</v>
      </c>
      <c r="X62" s="4">
        <v>0</v>
      </c>
    </row>
    <row r="63" spans="1:24">
      <c r="A63" s="1" t="s">
        <v>51</v>
      </c>
      <c r="B63" s="1" t="s">
        <v>52</v>
      </c>
      <c r="C63" s="71" t="s">
        <v>34</v>
      </c>
      <c r="D63" s="46" t="s">
        <v>39</v>
      </c>
      <c r="E63" s="46" t="s">
        <v>40</v>
      </c>
      <c r="F63" s="1" t="s">
        <v>94</v>
      </c>
      <c r="G63" s="254">
        <f>SUM(H63:T63)+SUM(W63:X63)</f>
        <v>0</v>
      </c>
      <c r="H63" s="353">
        <v>0</v>
      </c>
      <c r="I63" s="353">
        <v>0</v>
      </c>
      <c r="J63" s="353">
        <v>0</v>
      </c>
      <c r="K63" s="353">
        <v>0</v>
      </c>
      <c r="L63" s="353">
        <v>0</v>
      </c>
      <c r="M63" s="353">
        <v>0</v>
      </c>
      <c r="N63" s="353">
        <v>0</v>
      </c>
      <c r="O63" s="4">
        <v>0</v>
      </c>
      <c r="P63" s="353">
        <v>0</v>
      </c>
      <c r="Q63" s="4">
        <v>0</v>
      </c>
      <c r="R63" s="4">
        <v>0</v>
      </c>
      <c r="S63" s="4">
        <v>0</v>
      </c>
      <c r="T63" s="4">
        <v>0</v>
      </c>
      <c r="U63" s="4">
        <v>0</v>
      </c>
      <c r="V63" s="4">
        <v>0</v>
      </c>
      <c r="W63" s="4">
        <v>0</v>
      </c>
      <c r="X63" s="4">
        <v>0</v>
      </c>
    </row>
    <row r="64" spans="1:24" ht="15" thickBot="1">
      <c r="A64" s="1" t="s">
        <v>51</v>
      </c>
      <c r="B64" s="1" t="s">
        <v>52</v>
      </c>
      <c r="C64" s="71" t="s">
        <v>34</v>
      </c>
      <c r="D64" s="46" t="s">
        <v>39</v>
      </c>
      <c r="E64" s="46" t="s">
        <v>40</v>
      </c>
      <c r="F64" s="258" t="s">
        <v>95</v>
      </c>
      <c r="G64" s="254">
        <f>SUM(H64:T64)+SUM(W64:X64)</f>
        <v>2.1408087860479838E-3</v>
      </c>
      <c r="H64" s="280">
        <f>'Novel foods, input data'!$AB$8*'Agri ing'!$AP$27</f>
        <v>4.6377389977327911E-4</v>
      </c>
      <c r="I64" s="280">
        <f>'Novel foods, input data'!$AB$8*'Agri ing'!$AQ$27</f>
        <v>1.0267471658348879E-5</v>
      </c>
      <c r="J64" s="280">
        <f>'Novel foods, input data'!$AB$8*'Agri ing'!$AR$27</f>
        <v>1.6051011476685975E-3</v>
      </c>
      <c r="K64" s="353">
        <v>0</v>
      </c>
      <c r="L64" s="280">
        <f>'Novel foods, input data'!$AB$8*'Agri ing'!$AS$27</f>
        <v>1.1009704028105891E-5</v>
      </c>
      <c r="M64" s="353">
        <v>0</v>
      </c>
      <c r="N64" s="353">
        <v>0</v>
      </c>
      <c r="O64" s="254">
        <f>'Novel foods, input data'!$D$8*'Emission factors'!$D$11+'Novel foods, input data'!$AH$8</f>
        <v>5.0656562919652499E-5</v>
      </c>
      <c r="P64" s="353">
        <v>0</v>
      </c>
      <c r="Q64" s="353">
        <v>0</v>
      </c>
      <c r="R64" s="353">
        <v>0</v>
      </c>
      <c r="S64" s="353">
        <v>0</v>
      </c>
      <c r="T64" s="353">
        <v>0</v>
      </c>
      <c r="U64" s="353">
        <v>0</v>
      </c>
      <c r="V64" s="353">
        <v>0</v>
      </c>
      <c r="W64" s="353">
        <v>0</v>
      </c>
      <c r="X64" s="353">
        <v>0</v>
      </c>
    </row>
    <row r="65" spans="1:24" ht="15.6" thickTop="1" thickBot="1">
      <c r="A65" s="260" t="s">
        <v>51</v>
      </c>
      <c r="B65" s="260" t="s">
        <v>52</v>
      </c>
      <c r="C65" s="261" t="s">
        <v>34</v>
      </c>
      <c r="D65" s="327" t="s">
        <v>39</v>
      </c>
      <c r="E65" s="327" t="s">
        <v>40</v>
      </c>
      <c r="F65" s="328" t="s">
        <v>96</v>
      </c>
      <c r="G65" s="262">
        <f>SUM(H65:X65)</f>
        <v>4.3400351462612239</v>
      </c>
      <c r="H65" s="263">
        <f t="shared" ref="H65:T65" si="11">H61+H62*CF_CH4_foss+H63*CF_CH4_bio+H64*CF_N2O</f>
        <v>0.3504455112121434</v>
      </c>
      <c r="I65" s="263">
        <f t="shared" si="11"/>
        <v>0.28124751707200674</v>
      </c>
      <c r="J65" s="263">
        <f t="shared" si="11"/>
        <v>0.4381926133135271</v>
      </c>
      <c r="K65" s="263">
        <f t="shared" si="11"/>
        <v>0</v>
      </c>
      <c r="L65" s="263">
        <f t="shared" si="11"/>
        <v>0.2901451230533808</v>
      </c>
      <c r="M65" s="603">
        <f t="shared" si="11"/>
        <v>0</v>
      </c>
      <c r="N65" s="603">
        <f t="shared" si="11"/>
        <v>0</v>
      </c>
      <c r="O65" s="263">
        <f t="shared" si="11"/>
        <v>2.9800043816101653</v>
      </c>
      <c r="P65" s="263">
        <f t="shared" si="11"/>
        <v>0</v>
      </c>
      <c r="Q65" s="263">
        <f t="shared" si="11"/>
        <v>0</v>
      </c>
      <c r="R65" s="263">
        <f t="shared" si="11"/>
        <v>0</v>
      </c>
      <c r="S65" s="263">
        <f t="shared" si="11"/>
        <v>0</v>
      </c>
      <c r="T65" s="263">
        <f t="shared" si="11"/>
        <v>0</v>
      </c>
      <c r="U65" s="263"/>
      <c r="V65" s="263"/>
      <c r="W65" s="263">
        <f>W61+W62*CF_CH4_foss+W63*CF_CH4_bio+W64*CF_N2O</f>
        <v>0</v>
      </c>
      <c r="X65" s="263">
        <f>X61+X62*CF_CH4_foss+X63*CF_CH4_bio+X64*CF_N2O</f>
        <v>0</v>
      </c>
    </row>
    <row r="66" spans="1:24" ht="15" thickTop="1">
      <c r="A66" s="322" t="s">
        <v>51</v>
      </c>
      <c r="B66" s="322" t="s">
        <v>52</v>
      </c>
      <c r="C66" s="323" t="s">
        <v>34</v>
      </c>
      <c r="D66" s="324" t="s">
        <v>49</v>
      </c>
      <c r="E66" s="324" t="s">
        <v>50</v>
      </c>
      <c r="F66" s="325" t="s">
        <v>92</v>
      </c>
      <c r="G66" s="326">
        <f>SUM(H66:X66)</f>
        <v>3.6917044274982977</v>
      </c>
      <c r="H66" s="326">
        <f>'Novel foods, input data'!$AB$8*'Agri ing'!$AF$27</f>
        <v>0.21293919565060465</v>
      </c>
      <c r="I66" s="326">
        <f>'Novel foods, input data'!$AB$8*'Agri ing'!$AG$27</f>
        <v>0.25201975888674505</v>
      </c>
      <c r="J66" s="352">
        <v>0</v>
      </c>
      <c r="K66" s="352">
        <v>0</v>
      </c>
      <c r="L66" s="326">
        <f>'Novel foods, input data'!$AB$8*'Agri ing'!$AH$27</f>
        <v>0.27872386184761078</v>
      </c>
      <c r="M66" s="352">
        <v>0</v>
      </c>
      <c r="N66" s="352">
        <v>0</v>
      </c>
      <c r="O66" s="326">
        <f>'Novel foods, input data'!$D$8*'Emission factors'!$B$9+'Novel foods, input data'!$AF$8</f>
        <v>2.948021611113337</v>
      </c>
      <c r="P66" s="352">
        <v>0</v>
      </c>
      <c r="Q66" s="352">
        <v>0</v>
      </c>
      <c r="R66" s="352">
        <v>0</v>
      </c>
      <c r="S66" s="352">
        <v>0</v>
      </c>
      <c r="T66" s="352">
        <v>0</v>
      </c>
      <c r="U66" s="352">
        <v>0</v>
      </c>
      <c r="V66" s="352">
        <v>0</v>
      </c>
      <c r="W66" s="352">
        <v>0</v>
      </c>
      <c r="X66" s="352">
        <v>0</v>
      </c>
    </row>
    <row r="67" spans="1:24">
      <c r="A67" s="1" t="s">
        <v>51</v>
      </c>
      <c r="B67" s="1" t="s">
        <v>52</v>
      </c>
      <c r="C67" s="71" t="s">
        <v>34</v>
      </c>
      <c r="D67" s="46" t="s">
        <v>49</v>
      </c>
      <c r="E67" s="46" t="s">
        <v>50</v>
      </c>
      <c r="F67" s="1" t="s">
        <v>93</v>
      </c>
      <c r="G67" s="254">
        <f>SUM(H67:X67)</f>
        <v>2.1439570527458417E-3</v>
      </c>
      <c r="H67" s="259">
        <f>'Novel foods, input data'!$AB$8*'Agri ing'!$AJ$27</f>
        <v>3.6563895716219905E-4</v>
      </c>
      <c r="I67" s="259">
        <f>'Novel foods, input data'!$AB$8*'Agri ing'!$AK$27</f>
        <v>8.867361886755853E-4</v>
      </c>
      <c r="J67" s="353">
        <v>0</v>
      </c>
      <c r="K67" s="353">
        <v>0</v>
      </c>
      <c r="L67" s="280">
        <f>'Novel foods, input data'!$AB$8*'Agri ing'!$AL$27</f>
        <v>2.8240308745292503E-4</v>
      </c>
      <c r="M67" s="353">
        <v>0</v>
      </c>
      <c r="N67" s="353">
        <v>0</v>
      </c>
      <c r="O67" s="254">
        <f>'Novel foods, input data'!$D$8*'Emission factors'!$C$9+'Novel foods, input data'!$AG$8</f>
        <v>6.0917881945513216E-4</v>
      </c>
      <c r="P67" s="353">
        <v>0</v>
      </c>
      <c r="Q67" s="4">
        <v>0</v>
      </c>
      <c r="R67" s="4">
        <v>0</v>
      </c>
      <c r="S67" s="4">
        <v>0</v>
      </c>
      <c r="T67" s="4">
        <v>0</v>
      </c>
      <c r="U67" s="4">
        <v>0</v>
      </c>
      <c r="V67" s="4">
        <v>0</v>
      </c>
      <c r="W67" s="4">
        <v>0</v>
      </c>
      <c r="X67" s="4">
        <v>0</v>
      </c>
    </row>
    <row r="68" spans="1:24">
      <c r="A68" s="1" t="s">
        <v>51</v>
      </c>
      <c r="B68" s="1" t="s">
        <v>52</v>
      </c>
      <c r="C68" s="71" t="s">
        <v>34</v>
      </c>
      <c r="D68" s="46" t="s">
        <v>49</v>
      </c>
      <c r="E68" s="46" t="s">
        <v>50</v>
      </c>
      <c r="F68" s="1" t="s">
        <v>94</v>
      </c>
      <c r="G68" s="254">
        <f>SUM(H68:T68)+SUM(W68:X68)</f>
        <v>0</v>
      </c>
      <c r="H68" s="353">
        <v>0</v>
      </c>
      <c r="I68" s="353">
        <v>0</v>
      </c>
      <c r="J68" s="353">
        <v>0</v>
      </c>
      <c r="K68" s="353">
        <v>0</v>
      </c>
      <c r="L68" s="353">
        <v>0</v>
      </c>
      <c r="M68" s="353">
        <v>0</v>
      </c>
      <c r="N68" s="353">
        <v>0</v>
      </c>
      <c r="O68" s="4">
        <v>0</v>
      </c>
      <c r="P68" s="353">
        <v>0</v>
      </c>
      <c r="Q68" s="4">
        <v>0</v>
      </c>
      <c r="R68" s="4">
        <v>0</v>
      </c>
      <c r="S68" s="4">
        <v>0</v>
      </c>
      <c r="T68" s="4">
        <v>0</v>
      </c>
      <c r="U68" s="4">
        <v>0</v>
      </c>
      <c r="V68" s="4">
        <v>0</v>
      </c>
      <c r="W68" s="4">
        <v>0</v>
      </c>
      <c r="X68" s="4">
        <v>0</v>
      </c>
    </row>
    <row r="69" spans="1:24" ht="15" thickBot="1">
      <c r="A69" s="1" t="s">
        <v>51</v>
      </c>
      <c r="B69" s="1" t="s">
        <v>52</v>
      </c>
      <c r="C69" s="71" t="s">
        <v>34</v>
      </c>
      <c r="D69" s="46" t="s">
        <v>49</v>
      </c>
      <c r="E69" s="46" t="s">
        <v>50</v>
      </c>
      <c r="F69" s="258" t="s">
        <v>95</v>
      </c>
      <c r="G69" s="254">
        <f>SUM(H69:T69)+SUM(W69:X69)</f>
        <v>2.1408087860479838E-3</v>
      </c>
      <c r="H69" s="280">
        <f>'Novel foods, input data'!$AB$8*'Agri ing'!$AP$27</f>
        <v>4.6377389977327911E-4</v>
      </c>
      <c r="I69" s="280">
        <f>'Novel foods, input data'!$AB$8*'Agri ing'!$AQ$27</f>
        <v>1.0267471658348879E-5</v>
      </c>
      <c r="J69" s="280">
        <f>'Novel foods, input data'!$AB$8*'Agri ing'!$AR$27</f>
        <v>1.6051011476685975E-3</v>
      </c>
      <c r="K69" s="353">
        <v>0</v>
      </c>
      <c r="L69" s="280">
        <f>'Novel foods, input data'!$AB$8*'Agri ing'!$AS$27</f>
        <v>1.1009704028105891E-5</v>
      </c>
      <c r="M69" s="353">
        <v>0</v>
      </c>
      <c r="N69" s="353">
        <v>0</v>
      </c>
      <c r="O69" s="254">
        <f>'Novel foods, input data'!$D$8*'Emission factors'!$D$9+'Novel foods, input data'!$AH$8</f>
        <v>5.0656562919652499E-5</v>
      </c>
      <c r="P69" s="353">
        <v>0</v>
      </c>
      <c r="Q69" s="353">
        <v>0</v>
      </c>
      <c r="R69" s="353">
        <v>0</v>
      </c>
      <c r="S69" s="353">
        <v>0</v>
      </c>
      <c r="T69" s="353">
        <v>0</v>
      </c>
      <c r="U69" s="353">
        <v>0</v>
      </c>
      <c r="V69" s="353">
        <v>0</v>
      </c>
      <c r="W69" s="353">
        <v>0</v>
      </c>
      <c r="X69" s="353">
        <v>0</v>
      </c>
    </row>
    <row r="70" spans="1:24" ht="15.6" thickTop="1" thickBot="1">
      <c r="A70" s="260" t="s">
        <v>51</v>
      </c>
      <c r="B70" s="260" t="s">
        <v>52</v>
      </c>
      <c r="C70" s="261" t="s">
        <v>34</v>
      </c>
      <c r="D70" s="327" t="s">
        <v>49</v>
      </c>
      <c r="E70" s="327" t="s">
        <v>50</v>
      </c>
      <c r="F70" s="328" t="s">
        <v>96</v>
      </c>
      <c r="G70" s="262">
        <f>SUM(H70:X70)</f>
        <v>4.3400351462612239</v>
      </c>
      <c r="H70" s="263">
        <f t="shared" ref="H70:T70" si="12">H66+H67*CF_CH4_foss+H68*CF_CH4_bio+H69*CF_N2O</f>
        <v>0.3504455112121434</v>
      </c>
      <c r="I70" s="263">
        <f t="shared" si="12"/>
        <v>0.28124751707200674</v>
      </c>
      <c r="J70" s="263">
        <f t="shared" si="12"/>
        <v>0.4381926133135271</v>
      </c>
      <c r="K70" s="263">
        <f t="shared" si="12"/>
        <v>0</v>
      </c>
      <c r="L70" s="263">
        <f t="shared" si="12"/>
        <v>0.2901451230533808</v>
      </c>
      <c r="M70" s="603">
        <f t="shared" si="12"/>
        <v>0</v>
      </c>
      <c r="N70" s="603">
        <f t="shared" si="12"/>
        <v>0</v>
      </c>
      <c r="O70" s="263">
        <f t="shared" si="12"/>
        <v>2.9800043816101653</v>
      </c>
      <c r="P70" s="263">
        <f t="shared" si="12"/>
        <v>0</v>
      </c>
      <c r="Q70" s="263">
        <f t="shared" si="12"/>
        <v>0</v>
      </c>
      <c r="R70" s="263">
        <f t="shared" si="12"/>
        <v>0</v>
      </c>
      <c r="S70" s="263">
        <f t="shared" si="12"/>
        <v>0</v>
      </c>
      <c r="T70" s="263">
        <f t="shared" si="12"/>
        <v>0</v>
      </c>
      <c r="U70" s="263"/>
      <c r="V70" s="263"/>
      <c r="W70" s="263">
        <f>W66+W67*CF_CH4_foss+W68*CF_CH4_bio+W69*CF_N2O</f>
        <v>0</v>
      </c>
      <c r="X70" s="263">
        <f>X66+X67*CF_CH4_foss+X68*CF_CH4_bio+X69*CF_N2O</f>
        <v>0</v>
      </c>
    </row>
    <row r="71" spans="1:24" ht="15" thickTop="1">
      <c r="A71" s="322" t="s">
        <v>51</v>
      </c>
      <c r="B71" s="322" t="s">
        <v>52</v>
      </c>
      <c r="C71" s="323" t="s">
        <v>34</v>
      </c>
      <c r="D71" s="324" t="s">
        <v>41</v>
      </c>
      <c r="E71" s="324" t="s">
        <v>42</v>
      </c>
      <c r="F71" s="325" t="s">
        <v>92</v>
      </c>
      <c r="G71" s="326">
        <f>SUM(H71:X71)</f>
        <v>6.4007229337713243</v>
      </c>
      <c r="H71" s="326">
        <f>'Novel foods, input data'!$AB$8*'Agri ing'!$AF$27</f>
        <v>0.21293919565060465</v>
      </c>
      <c r="I71" s="326">
        <f>'Novel foods, input data'!$AB$8*'Agri ing'!$AG$27</f>
        <v>0.25201975888674505</v>
      </c>
      <c r="J71" s="352">
        <v>0</v>
      </c>
      <c r="K71" s="352">
        <v>0</v>
      </c>
      <c r="L71" s="326">
        <f>'Novel foods, input data'!$AB$8*'Agri ing'!$AH$27</f>
        <v>0.27872386184761078</v>
      </c>
      <c r="M71" s="352">
        <v>0</v>
      </c>
      <c r="N71" s="352">
        <v>0</v>
      </c>
      <c r="O71" s="326">
        <f>'Novel foods, input data'!$D$8*'Emission factors'!$B$13+'Novel foods, input data'!$AF$8</f>
        <v>5.657040117386364</v>
      </c>
      <c r="P71" s="352">
        <v>0</v>
      </c>
      <c r="Q71" s="352">
        <v>0</v>
      </c>
      <c r="R71" s="352">
        <v>0</v>
      </c>
      <c r="S71" s="352">
        <v>0</v>
      </c>
      <c r="T71" s="352">
        <v>0</v>
      </c>
      <c r="U71" s="352">
        <v>0</v>
      </c>
      <c r="V71" s="352">
        <v>0</v>
      </c>
      <c r="W71" s="352">
        <v>0</v>
      </c>
      <c r="X71" s="352">
        <v>0</v>
      </c>
    </row>
    <row r="72" spans="1:24">
      <c r="A72" s="1" t="s">
        <v>51</v>
      </c>
      <c r="B72" s="1" t="s">
        <v>52</v>
      </c>
      <c r="C72" s="71" t="s">
        <v>34</v>
      </c>
      <c r="D72" s="46" t="s">
        <v>41</v>
      </c>
      <c r="E72" s="46" t="s">
        <v>42</v>
      </c>
      <c r="F72" s="1" t="s">
        <v>93</v>
      </c>
      <c r="G72" s="254">
        <f>SUM(H72:X72)</f>
        <v>6.5890718709262011E-3</v>
      </c>
      <c r="H72" s="259">
        <f>'Novel foods, input data'!$AB$8*'Agri ing'!$AJ$27</f>
        <v>3.6563895716219905E-4</v>
      </c>
      <c r="I72" s="259">
        <f>'Novel foods, input data'!$AB$8*'Agri ing'!$AK$27</f>
        <v>8.867361886755853E-4</v>
      </c>
      <c r="J72" s="353">
        <v>0</v>
      </c>
      <c r="K72" s="353">
        <v>0</v>
      </c>
      <c r="L72" s="280">
        <f>'Novel foods, input data'!$AB$8*'Agri ing'!$AL$27</f>
        <v>2.8240308745292503E-4</v>
      </c>
      <c r="M72" s="353">
        <v>0</v>
      </c>
      <c r="N72" s="353">
        <v>0</v>
      </c>
      <c r="O72" s="254">
        <f>'Novel foods, input data'!$D$8*'Emission factors'!$C$13+'Novel foods, input data'!$AG$8</f>
        <v>5.0542936376354918E-3</v>
      </c>
      <c r="P72" s="353">
        <v>0</v>
      </c>
      <c r="Q72" s="4">
        <v>0</v>
      </c>
      <c r="R72" s="4">
        <v>0</v>
      </c>
      <c r="S72" s="4">
        <v>0</v>
      </c>
      <c r="T72" s="4">
        <v>0</v>
      </c>
      <c r="U72" s="4">
        <v>0</v>
      </c>
      <c r="V72" s="4">
        <v>0</v>
      </c>
      <c r="W72" s="4">
        <v>0</v>
      </c>
      <c r="X72" s="4">
        <v>0</v>
      </c>
    </row>
    <row r="73" spans="1:24">
      <c r="A73" s="1" t="s">
        <v>51</v>
      </c>
      <c r="B73" s="1" t="s">
        <v>52</v>
      </c>
      <c r="C73" s="71" t="s">
        <v>34</v>
      </c>
      <c r="D73" s="46" t="s">
        <v>41</v>
      </c>
      <c r="E73" s="46" t="s">
        <v>42</v>
      </c>
      <c r="F73" s="1" t="s">
        <v>94</v>
      </c>
      <c r="G73" s="254">
        <f>SUM(H73:T73)+SUM(W73:X73)</f>
        <v>0</v>
      </c>
      <c r="H73" s="353">
        <v>0</v>
      </c>
      <c r="I73" s="353">
        <v>0</v>
      </c>
      <c r="J73" s="353">
        <v>0</v>
      </c>
      <c r="K73" s="353">
        <v>0</v>
      </c>
      <c r="L73" s="353">
        <v>0</v>
      </c>
      <c r="M73" s="353">
        <v>0</v>
      </c>
      <c r="N73" s="353">
        <v>0</v>
      </c>
      <c r="O73" s="4">
        <v>0</v>
      </c>
      <c r="P73" s="353">
        <v>0</v>
      </c>
      <c r="Q73" s="4">
        <v>0</v>
      </c>
      <c r="R73" s="4">
        <v>0</v>
      </c>
      <c r="S73" s="4">
        <v>0</v>
      </c>
      <c r="T73" s="4">
        <v>0</v>
      </c>
      <c r="U73" s="4">
        <v>0</v>
      </c>
      <c r="V73" s="4">
        <v>0</v>
      </c>
      <c r="W73" s="4">
        <v>0</v>
      </c>
      <c r="X73" s="4">
        <v>0</v>
      </c>
    </row>
    <row r="74" spans="1:24" ht="15" thickBot="1">
      <c r="A74" s="1" t="s">
        <v>51</v>
      </c>
      <c r="B74" s="1" t="s">
        <v>52</v>
      </c>
      <c r="C74" s="71" t="s">
        <v>34</v>
      </c>
      <c r="D74" s="46" t="s">
        <v>41</v>
      </c>
      <c r="E74" s="46" t="s">
        <v>42</v>
      </c>
      <c r="F74" s="258" t="s">
        <v>95</v>
      </c>
      <c r="G74" s="254">
        <f>SUM(H74:T74)+SUM(W74:X74)</f>
        <v>2.1820536794339672E-3</v>
      </c>
      <c r="H74" s="280">
        <f>'Novel foods, input data'!$AB$8*'Agri ing'!$AP$27</f>
        <v>4.6377389977327911E-4</v>
      </c>
      <c r="I74" s="280">
        <f>'Novel foods, input data'!$AB$8*'Agri ing'!$AQ$27</f>
        <v>1.0267471658348879E-5</v>
      </c>
      <c r="J74" s="280">
        <f>'Novel foods, input data'!$AB$8*'Agri ing'!$AR$27</f>
        <v>1.6051011476685975E-3</v>
      </c>
      <c r="K74" s="353">
        <v>0</v>
      </c>
      <c r="L74" s="280">
        <f>'Novel foods, input data'!$AB$8*'Agri ing'!$AS$27</f>
        <v>1.1009704028105891E-5</v>
      </c>
      <c r="M74" s="353">
        <v>0</v>
      </c>
      <c r="N74" s="353">
        <v>0</v>
      </c>
      <c r="O74" s="254">
        <f>'Novel foods, input data'!$D$8*'Emission factors'!$D$13+'Novel foods, input data'!$AH$8</f>
        <v>9.1901456305635909E-5</v>
      </c>
      <c r="P74" s="353">
        <v>0</v>
      </c>
      <c r="Q74" s="353">
        <v>0</v>
      </c>
      <c r="R74" s="353">
        <v>0</v>
      </c>
      <c r="S74" s="353">
        <v>0</v>
      </c>
      <c r="T74" s="353">
        <v>0</v>
      </c>
      <c r="U74" s="353">
        <v>0</v>
      </c>
      <c r="V74" s="353">
        <v>0</v>
      </c>
      <c r="W74" s="353">
        <v>0</v>
      </c>
      <c r="X74" s="353">
        <v>0</v>
      </c>
    </row>
    <row r="75" spans="1:24" ht="15.6" thickTop="1" thickBot="1">
      <c r="A75" s="260" t="s">
        <v>51</v>
      </c>
      <c r="B75" s="260" t="s">
        <v>52</v>
      </c>
      <c r="C75" s="261" t="s">
        <v>34</v>
      </c>
      <c r="D75" s="327" t="s">
        <v>41</v>
      </c>
      <c r="E75" s="327" t="s">
        <v>42</v>
      </c>
      <c r="F75" s="328" t="s">
        <v>96</v>
      </c>
      <c r="G75" s="262">
        <f>SUM(H75:X75)</f>
        <v>7.192777930010398</v>
      </c>
      <c r="H75" s="263">
        <f t="shared" ref="H75:T75" si="13">H71+H72*CF_CH4_foss+H73*CF_CH4_bio+H74*CF_N2O</f>
        <v>0.3504455112121434</v>
      </c>
      <c r="I75" s="263">
        <f t="shared" si="13"/>
        <v>0.28124751707200674</v>
      </c>
      <c r="J75" s="263">
        <f t="shared" si="13"/>
        <v>0.4381926133135271</v>
      </c>
      <c r="K75" s="263">
        <f t="shared" si="13"/>
        <v>0</v>
      </c>
      <c r="L75" s="263">
        <f t="shared" si="13"/>
        <v>0.2901451230533808</v>
      </c>
      <c r="M75" s="603">
        <f t="shared" si="13"/>
        <v>0</v>
      </c>
      <c r="N75" s="603">
        <f t="shared" si="13"/>
        <v>0</v>
      </c>
      <c r="O75" s="263">
        <f t="shared" si="13"/>
        <v>5.8327471653593399</v>
      </c>
      <c r="P75" s="263">
        <f t="shared" si="13"/>
        <v>0</v>
      </c>
      <c r="Q75" s="263">
        <f t="shared" si="13"/>
        <v>0</v>
      </c>
      <c r="R75" s="263">
        <f t="shared" si="13"/>
        <v>0</v>
      </c>
      <c r="S75" s="263">
        <f t="shared" si="13"/>
        <v>0</v>
      </c>
      <c r="T75" s="263">
        <f t="shared" si="13"/>
        <v>0</v>
      </c>
      <c r="U75" s="263"/>
      <c r="V75" s="263"/>
      <c r="W75" s="263">
        <f>W71+W72*CF_CH4_foss+W73*CF_CH4_bio+W74*CF_N2O</f>
        <v>0</v>
      </c>
      <c r="X75" s="263">
        <f>X71+X72*CF_CH4_foss+X73*CF_CH4_bio+X74*CF_N2O</f>
        <v>0</v>
      </c>
    </row>
    <row r="76" spans="1:24" ht="15" thickTop="1">
      <c r="A76" s="322" t="s">
        <v>53</v>
      </c>
      <c r="B76" s="322" t="s">
        <v>54</v>
      </c>
      <c r="C76" s="323" t="s">
        <v>34</v>
      </c>
      <c r="D76" s="324" t="s">
        <v>55</v>
      </c>
      <c r="E76" s="324" t="s">
        <v>56</v>
      </c>
      <c r="F76" s="325" t="s">
        <v>92</v>
      </c>
      <c r="G76" s="326">
        <f>SUM(H76:X76)</f>
        <v>5.8015207424309114</v>
      </c>
      <c r="H76" s="352">
        <v>0</v>
      </c>
      <c r="I76" s="352">
        <v>0</v>
      </c>
      <c r="J76" s="352">
        <v>0</v>
      </c>
      <c r="K76" s="352">
        <v>0</v>
      </c>
      <c r="L76" s="352">
        <v>0</v>
      </c>
      <c r="M76" s="352">
        <v>0</v>
      </c>
      <c r="N76" s="352">
        <v>0</v>
      </c>
      <c r="O76" s="326">
        <f>'Novel foods, input data'!$D$9*'Emission factors'!$B$10+'Novel foods, input data'!$AF$9</f>
        <v>5.8015207424309114</v>
      </c>
      <c r="P76" s="352">
        <v>0</v>
      </c>
      <c r="Q76" s="352">
        <v>0</v>
      </c>
      <c r="R76" s="352">
        <v>0</v>
      </c>
      <c r="S76" s="352">
        <v>0</v>
      </c>
      <c r="T76" s="352">
        <v>0</v>
      </c>
      <c r="U76" s="352">
        <v>0</v>
      </c>
      <c r="V76" s="352">
        <v>0</v>
      </c>
      <c r="W76" s="352">
        <v>0</v>
      </c>
      <c r="X76" s="352">
        <v>0</v>
      </c>
    </row>
    <row r="77" spans="1:24">
      <c r="A77" s="1" t="s">
        <v>53</v>
      </c>
      <c r="B77" s="1" t="s">
        <v>54</v>
      </c>
      <c r="C77" s="71" t="s">
        <v>34</v>
      </c>
      <c r="D77" s="46" t="s">
        <v>55</v>
      </c>
      <c r="E77" s="46" t="s">
        <v>56</v>
      </c>
      <c r="F77" s="1" t="s">
        <v>93</v>
      </c>
      <c r="G77" s="254">
        <f>SUM(H77:X77)</f>
        <v>1.0911699607116153E-2</v>
      </c>
      <c r="H77" s="353">
        <v>0</v>
      </c>
      <c r="I77" s="353">
        <v>0</v>
      </c>
      <c r="J77" s="353">
        <v>0</v>
      </c>
      <c r="K77" s="353">
        <v>0</v>
      </c>
      <c r="L77" s="353">
        <v>0</v>
      </c>
      <c r="M77" s="353">
        <v>0</v>
      </c>
      <c r="N77" s="353">
        <v>0</v>
      </c>
      <c r="O77" s="254">
        <f>'Novel foods, input data'!$D$9*'Emission factors'!$C$10+'Novel foods, input data'!$AG$9</f>
        <v>1.0911699607116153E-2</v>
      </c>
      <c r="P77" s="353">
        <v>0</v>
      </c>
      <c r="Q77" s="4">
        <v>0</v>
      </c>
      <c r="R77" s="4">
        <v>0</v>
      </c>
      <c r="S77" s="4">
        <v>0</v>
      </c>
      <c r="T77" s="4">
        <v>0</v>
      </c>
      <c r="U77" s="4">
        <v>0</v>
      </c>
      <c r="V77" s="4">
        <v>0</v>
      </c>
      <c r="W77" s="4">
        <v>0</v>
      </c>
      <c r="X77" s="4">
        <v>0</v>
      </c>
    </row>
    <row r="78" spans="1:24">
      <c r="A78" s="1" t="s">
        <v>53</v>
      </c>
      <c r="B78" s="1" t="s">
        <v>54</v>
      </c>
      <c r="C78" s="71" t="s">
        <v>34</v>
      </c>
      <c r="D78" s="46" t="s">
        <v>55</v>
      </c>
      <c r="E78" s="46" t="s">
        <v>56</v>
      </c>
      <c r="F78" s="1" t="s">
        <v>94</v>
      </c>
      <c r="G78" s="254">
        <f>SUM(H78:T78)+SUM(W78:X78)</f>
        <v>0</v>
      </c>
      <c r="H78" s="353">
        <v>0</v>
      </c>
      <c r="I78" s="353">
        <v>0</v>
      </c>
      <c r="J78" s="353">
        <v>0</v>
      </c>
      <c r="K78" s="353">
        <v>0</v>
      </c>
      <c r="L78" s="353">
        <v>0</v>
      </c>
      <c r="M78" s="353">
        <v>0</v>
      </c>
      <c r="N78" s="353">
        <v>0</v>
      </c>
      <c r="O78" s="4">
        <v>0</v>
      </c>
      <c r="P78" s="353">
        <v>0</v>
      </c>
      <c r="Q78" s="4">
        <v>0</v>
      </c>
      <c r="R78" s="4">
        <v>0</v>
      </c>
      <c r="S78" s="4">
        <v>0</v>
      </c>
      <c r="T78" s="4">
        <v>0</v>
      </c>
      <c r="U78" s="4">
        <v>0</v>
      </c>
      <c r="V78" s="4">
        <v>0</v>
      </c>
      <c r="W78" s="4">
        <v>0</v>
      </c>
      <c r="X78" s="4">
        <v>0</v>
      </c>
    </row>
    <row r="79" spans="1:24" ht="15" thickBot="1">
      <c r="A79" s="1" t="s">
        <v>53</v>
      </c>
      <c r="B79" s="1" t="s">
        <v>54</v>
      </c>
      <c r="C79" s="71" t="s">
        <v>34</v>
      </c>
      <c r="D79" s="46" t="s">
        <v>55</v>
      </c>
      <c r="E79" s="46" t="s">
        <v>56</v>
      </c>
      <c r="F79" s="258" t="s">
        <v>95</v>
      </c>
      <c r="G79" s="254">
        <f>SUM(H79:T79)+SUM(W79:X79)</f>
        <v>3.5032584432214499E-4</v>
      </c>
      <c r="H79" s="353">
        <v>0</v>
      </c>
      <c r="I79" s="353">
        <v>0</v>
      </c>
      <c r="J79" s="353">
        <v>0</v>
      </c>
      <c r="K79" s="353">
        <v>0</v>
      </c>
      <c r="L79" s="353">
        <v>0</v>
      </c>
      <c r="M79" s="353">
        <v>0</v>
      </c>
      <c r="N79" s="353">
        <v>0</v>
      </c>
      <c r="O79" s="254">
        <f>'Novel foods, input data'!$D$9*'Emission factors'!$D$10+'Novel foods, input data'!$AH$9</f>
        <v>3.5032584432214499E-4</v>
      </c>
      <c r="P79" s="353">
        <v>0</v>
      </c>
      <c r="Q79" s="353">
        <v>0</v>
      </c>
      <c r="R79" s="353">
        <v>0</v>
      </c>
      <c r="S79" s="353">
        <v>0</v>
      </c>
      <c r="T79" s="353">
        <v>0</v>
      </c>
      <c r="U79" s="353">
        <v>0</v>
      </c>
      <c r="V79" s="353">
        <v>0</v>
      </c>
      <c r="W79" s="353">
        <v>0</v>
      </c>
      <c r="X79" s="353">
        <v>0</v>
      </c>
    </row>
    <row r="80" spans="1:24" ht="15.6" thickTop="1" thickBot="1">
      <c r="A80" s="260" t="s">
        <v>53</v>
      </c>
      <c r="B80" s="260" t="s">
        <v>54</v>
      </c>
      <c r="C80" s="261" t="s">
        <v>34</v>
      </c>
      <c r="D80" s="327" t="s">
        <v>55</v>
      </c>
      <c r="E80" s="327" t="s">
        <v>56</v>
      </c>
      <c r="F80" s="328" t="s">
        <v>96</v>
      </c>
      <c r="G80" s="262">
        <f>SUM(H80:X80)</f>
        <v>6.2223283462229189</v>
      </c>
      <c r="H80" s="263">
        <f t="shared" ref="H80:T80" si="14">H76+H77*CF_CH4_foss+H78*CF_CH4_bio+H79*CF_N2O</f>
        <v>0</v>
      </c>
      <c r="I80" s="263">
        <f t="shared" si="14"/>
        <v>0</v>
      </c>
      <c r="J80" s="263">
        <f t="shared" si="14"/>
        <v>0</v>
      </c>
      <c r="K80" s="263">
        <f t="shared" si="14"/>
        <v>0</v>
      </c>
      <c r="L80" s="263">
        <f t="shared" si="14"/>
        <v>0</v>
      </c>
      <c r="M80" s="603">
        <f t="shared" si="14"/>
        <v>0</v>
      </c>
      <c r="N80" s="603">
        <f t="shared" si="14"/>
        <v>0</v>
      </c>
      <c r="O80" s="263">
        <f t="shared" si="14"/>
        <v>6.2223283462229189</v>
      </c>
      <c r="P80" s="263">
        <f t="shared" si="14"/>
        <v>0</v>
      </c>
      <c r="Q80" s="263">
        <f t="shared" si="14"/>
        <v>0</v>
      </c>
      <c r="R80" s="263">
        <f t="shared" si="14"/>
        <v>0</v>
      </c>
      <c r="S80" s="263">
        <f t="shared" si="14"/>
        <v>0</v>
      </c>
      <c r="T80" s="263">
        <f t="shared" si="14"/>
        <v>0</v>
      </c>
      <c r="U80" s="263"/>
      <c r="V80" s="263"/>
      <c r="W80" s="263">
        <f>W76+W77*CF_CH4_foss+W78*CF_CH4_bio+W79*CF_N2O</f>
        <v>0</v>
      </c>
      <c r="X80" s="263">
        <f>X76+X77*CF_CH4_foss+X78*CF_CH4_bio+X79*CF_N2O</f>
        <v>0</v>
      </c>
    </row>
    <row r="81" spans="1:25" ht="15" thickTop="1">
      <c r="A81" s="322" t="s">
        <v>53</v>
      </c>
      <c r="B81" s="322" t="s">
        <v>54</v>
      </c>
      <c r="C81" s="323" t="s">
        <v>34</v>
      </c>
      <c r="D81" s="324" t="s">
        <v>39</v>
      </c>
      <c r="E81" s="324" t="s">
        <v>40</v>
      </c>
      <c r="F81" s="325" t="s">
        <v>92</v>
      </c>
      <c r="G81" s="326">
        <f>SUM(H81:X81)</f>
        <v>2.0272183919206928</v>
      </c>
      <c r="H81" s="352">
        <v>0</v>
      </c>
      <c r="I81" s="352">
        <v>0</v>
      </c>
      <c r="J81" s="352">
        <v>0</v>
      </c>
      <c r="K81" s="352">
        <v>0</v>
      </c>
      <c r="L81" s="352">
        <v>0</v>
      </c>
      <c r="M81" s="352">
        <v>0</v>
      </c>
      <c r="N81" s="352">
        <v>0</v>
      </c>
      <c r="O81" s="326">
        <f>'Novel foods, input data'!$D$9*'Emission factors'!$B$11+'Novel foods, input data'!$AF$9</f>
        <v>2.0272183919206928</v>
      </c>
      <c r="P81" s="352">
        <v>0</v>
      </c>
      <c r="Q81" s="352">
        <v>0</v>
      </c>
      <c r="R81" s="352">
        <v>0</v>
      </c>
      <c r="S81" s="352">
        <v>0</v>
      </c>
      <c r="T81" s="352">
        <v>0</v>
      </c>
      <c r="U81" s="352">
        <v>0</v>
      </c>
      <c r="V81" s="352">
        <v>0</v>
      </c>
      <c r="W81" s="352">
        <v>0</v>
      </c>
      <c r="X81" s="352">
        <v>0</v>
      </c>
    </row>
    <row r="82" spans="1:25">
      <c r="A82" s="1" t="s">
        <v>53</v>
      </c>
      <c r="B82" s="1" t="s">
        <v>54</v>
      </c>
      <c r="C82" s="71" t="s">
        <v>34</v>
      </c>
      <c r="D82" s="46" t="s">
        <v>39</v>
      </c>
      <c r="E82" s="46" t="s">
        <v>40</v>
      </c>
      <c r="F82" s="1" t="s">
        <v>93</v>
      </c>
      <c r="G82" s="254">
        <f>SUM(H82:X82)</f>
        <v>1.7768270204250669E-3</v>
      </c>
      <c r="H82" s="353">
        <v>0</v>
      </c>
      <c r="I82" s="353">
        <v>0</v>
      </c>
      <c r="J82" s="353">
        <v>0</v>
      </c>
      <c r="K82" s="353">
        <v>0</v>
      </c>
      <c r="L82" s="353">
        <v>0</v>
      </c>
      <c r="M82" s="353">
        <v>0</v>
      </c>
      <c r="N82" s="353">
        <v>0</v>
      </c>
      <c r="O82" s="254">
        <f>'Novel foods, input data'!$D$9*'Emission factors'!$C$11+'Novel foods, input data'!$AG$9</f>
        <v>1.7768270204250669E-3</v>
      </c>
      <c r="P82" s="353">
        <v>0</v>
      </c>
      <c r="Q82" s="4">
        <v>0</v>
      </c>
      <c r="R82" s="4">
        <v>0</v>
      </c>
      <c r="S82" s="4">
        <v>0</v>
      </c>
      <c r="T82" s="4">
        <v>0</v>
      </c>
      <c r="U82" s="4">
        <v>0</v>
      </c>
      <c r="V82" s="4">
        <v>0</v>
      </c>
      <c r="W82" s="4">
        <v>0</v>
      </c>
      <c r="X82" s="4">
        <v>0</v>
      </c>
    </row>
    <row r="83" spans="1:25">
      <c r="A83" s="1" t="s">
        <v>53</v>
      </c>
      <c r="B83" s="1" t="s">
        <v>54</v>
      </c>
      <c r="C83" s="71" t="s">
        <v>34</v>
      </c>
      <c r="D83" s="46" t="s">
        <v>39</v>
      </c>
      <c r="E83" s="46" t="s">
        <v>40</v>
      </c>
      <c r="F83" s="1" t="s">
        <v>94</v>
      </c>
      <c r="G83" s="254">
        <f>SUM(H83:T83)+SUM(W83:X83)</f>
        <v>0</v>
      </c>
      <c r="H83" s="353">
        <v>0</v>
      </c>
      <c r="I83" s="353">
        <v>0</v>
      </c>
      <c r="J83" s="353">
        <v>0</v>
      </c>
      <c r="K83" s="353">
        <v>0</v>
      </c>
      <c r="L83" s="353">
        <v>0</v>
      </c>
      <c r="M83" s="353">
        <v>0</v>
      </c>
      <c r="N83" s="353">
        <v>0</v>
      </c>
      <c r="O83" s="4">
        <v>0</v>
      </c>
      <c r="P83" s="353">
        <v>0</v>
      </c>
      <c r="Q83" s="4">
        <v>0</v>
      </c>
      <c r="R83" s="4">
        <v>0</v>
      </c>
      <c r="S83" s="4">
        <v>0</v>
      </c>
      <c r="T83" s="4">
        <v>0</v>
      </c>
      <c r="U83" s="4">
        <v>0</v>
      </c>
      <c r="V83" s="4">
        <v>0</v>
      </c>
      <c r="W83" s="4">
        <v>0</v>
      </c>
      <c r="X83" s="4">
        <v>0</v>
      </c>
    </row>
    <row r="84" spans="1:25" ht="15" thickBot="1">
      <c r="A84" s="1" t="s">
        <v>53</v>
      </c>
      <c r="B84" s="1" t="s">
        <v>54</v>
      </c>
      <c r="C84" s="71" t="s">
        <v>34</v>
      </c>
      <c r="D84" s="46" t="s">
        <v>39</v>
      </c>
      <c r="E84" s="46" t="s">
        <v>40</v>
      </c>
      <c r="F84" s="258" t="s">
        <v>95</v>
      </c>
      <c r="G84" s="254">
        <f>SUM(H84:T84)+SUM(W84:X84)</f>
        <v>1.4775292062519E-4</v>
      </c>
      <c r="H84" s="353">
        <v>0</v>
      </c>
      <c r="I84" s="353">
        <v>0</v>
      </c>
      <c r="J84" s="353">
        <v>0</v>
      </c>
      <c r="K84" s="353">
        <v>0</v>
      </c>
      <c r="L84" s="353">
        <v>0</v>
      </c>
      <c r="M84" s="353">
        <v>0</v>
      </c>
      <c r="N84" s="353">
        <v>0</v>
      </c>
      <c r="O84" s="254">
        <f>'Novel foods, input data'!$D$9*'Emission factors'!$D$11+'Novel foods, input data'!$AH$9</f>
        <v>1.4775292062519E-4</v>
      </c>
      <c r="P84" s="353">
        <v>0</v>
      </c>
      <c r="Q84" s="353">
        <v>0</v>
      </c>
      <c r="R84" s="353">
        <v>0</v>
      </c>
      <c r="S84" s="353">
        <v>0</v>
      </c>
      <c r="T84" s="353">
        <v>0</v>
      </c>
      <c r="U84" s="353">
        <v>0</v>
      </c>
      <c r="V84" s="353">
        <v>0</v>
      </c>
      <c r="W84" s="353">
        <v>0</v>
      </c>
      <c r="X84" s="353">
        <v>0</v>
      </c>
    </row>
    <row r="85" spans="1:25" ht="15.6" thickTop="1" thickBot="1">
      <c r="A85" s="260" t="s">
        <v>53</v>
      </c>
      <c r="B85" s="260" t="s">
        <v>54</v>
      </c>
      <c r="C85" s="261" t="s">
        <v>34</v>
      </c>
      <c r="D85" s="327" t="s">
        <v>39</v>
      </c>
      <c r="E85" s="327" t="s">
        <v>40</v>
      </c>
      <c r="F85" s="328" t="s">
        <v>96</v>
      </c>
      <c r="G85" s="262">
        <f>SUM(H85:X85)</f>
        <v>2.1205043844600366</v>
      </c>
      <c r="H85" s="263">
        <f t="shared" ref="H85:T85" si="15">H81+H82*CF_CH4_foss+H83*CF_CH4_bio+H84*CF_N2O</f>
        <v>0</v>
      </c>
      <c r="I85" s="263">
        <f t="shared" si="15"/>
        <v>0</v>
      </c>
      <c r="J85" s="263">
        <f t="shared" si="15"/>
        <v>0</v>
      </c>
      <c r="K85" s="263">
        <f t="shared" si="15"/>
        <v>0</v>
      </c>
      <c r="L85" s="263">
        <f t="shared" si="15"/>
        <v>0</v>
      </c>
      <c r="M85" s="603">
        <f t="shared" si="15"/>
        <v>0</v>
      </c>
      <c r="N85" s="603">
        <f t="shared" si="15"/>
        <v>0</v>
      </c>
      <c r="O85" s="263">
        <f t="shared" si="15"/>
        <v>2.1205043844600366</v>
      </c>
      <c r="P85" s="263">
        <f t="shared" si="15"/>
        <v>0</v>
      </c>
      <c r="Q85" s="263">
        <f t="shared" si="15"/>
        <v>0</v>
      </c>
      <c r="R85" s="263">
        <f t="shared" si="15"/>
        <v>0</v>
      </c>
      <c r="S85" s="263">
        <f t="shared" si="15"/>
        <v>0</v>
      </c>
      <c r="T85" s="263">
        <f t="shared" si="15"/>
        <v>0</v>
      </c>
      <c r="U85" s="263"/>
      <c r="V85" s="263"/>
      <c r="W85" s="263">
        <f>W81+W82*CF_CH4_foss+W83*CF_CH4_bio+W84*CF_N2O</f>
        <v>0</v>
      </c>
      <c r="X85" s="263">
        <f>X81+X82*CF_CH4_foss+X83*CF_CH4_bio+X84*CF_N2O</f>
        <v>0</v>
      </c>
    </row>
    <row r="86" spans="1:25" ht="15" thickTop="1">
      <c r="A86" s="322" t="s">
        <v>57</v>
      </c>
      <c r="B86" s="322" t="s">
        <v>58</v>
      </c>
      <c r="C86" s="323" t="s">
        <v>34</v>
      </c>
      <c r="D86" s="324" t="s">
        <v>39</v>
      </c>
      <c r="E86" s="324" t="s">
        <v>40</v>
      </c>
      <c r="F86" s="325" t="s">
        <v>92</v>
      </c>
      <c r="G86" s="326">
        <f>SUM(H86:X86)</f>
        <v>1.0653230047988831</v>
      </c>
      <c r="H86" s="326">
        <f>'Novel foods, input data'!$AD$10*'Agri ing'!$AD$21+'Novel foods, input data'!$AE$10*'Agri ing'!$AF$26</f>
        <v>0.19145399096780755</v>
      </c>
      <c r="I86" s="326">
        <f>'Novel foods, input data'!$AD$10*'Agri ing'!$AE$21+'Novel foods, input data'!$AE$10*'Agri ing'!$AG$26</f>
        <v>5.9036864114772596E-2</v>
      </c>
      <c r="J86" s="352">
        <v>0</v>
      </c>
      <c r="K86" s="352">
        <v>0</v>
      </c>
      <c r="L86" s="326">
        <f>'Novel foods, input data'!$AD$10*'Agri ing'!$AF$21+'Novel foods, input data'!$AE$10*'Agri ing'!$AH$26</f>
        <v>0.16993738225017957</v>
      </c>
      <c r="M86" s="352">
        <v>0</v>
      </c>
      <c r="N86" s="352">
        <v>0</v>
      </c>
      <c r="O86" s="326">
        <f>'Novel foods, input data'!$D$10*'Emission factors'!$B$11+'Novel foods, input data'!$AF$10</f>
        <v>0.64382256750299094</v>
      </c>
      <c r="P86" s="326">
        <f>'Novel foods, input data'!$AE$10*'Agri ing'!$AI$26</f>
        <v>1.072199963132536E-3</v>
      </c>
      <c r="Q86" s="352">
        <v>0</v>
      </c>
      <c r="R86" s="352">
        <v>0</v>
      </c>
      <c r="S86" s="352">
        <v>0</v>
      </c>
      <c r="T86" s="352">
        <v>0</v>
      </c>
      <c r="U86" s="352">
        <v>0</v>
      </c>
      <c r="V86" s="352">
        <v>0</v>
      </c>
      <c r="W86" s="352">
        <v>0</v>
      </c>
      <c r="X86" s="352">
        <v>0</v>
      </c>
      <c r="Y86" t="s">
        <v>97</v>
      </c>
    </row>
    <row r="87" spans="1:25">
      <c r="A87" s="1" t="s">
        <v>57</v>
      </c>
      <c r="B87" s="1" t="s">
        <v>58</v>
      </c>
      <c r="C87" s="71" t="s">
        <v>34</v>
      </c>
      <c r="D87" s="46" t="s">
        <v>39</v>
      </c>
      <c r="E87" s="46" t="s">
        <v>40</v>
      </c>
      <c r="F87" s="1" t="s">
        <v>93</v>
      </c>
      <c r="G87" s="254">
        <f>SUM(H87:X87)</f>
        <v>2.449488630233824E-3</v>
      </c>
      <c r="H87" s="259">
        <f>'Novel foods, input data'!$AD$10*'Agri ing'!$AH$21+'Novel foods, input data'!$AE$10*'Agri ing'!$AJ$26</f>
        <v>3.4716663977775003E-4</v>
      </c>
      <c r="I87" s="259">
        <f>'Novel foods, input data'!$AD$10*'Agri ing'!$AI$21+'Novel foods, input data'!$AE$10*'Agri ing'!$AK$26</f>
        <v>2.077688003887403E-4</v>
      </c>
      <c r="J87" s="353">
        <v>0</v>
      </c>
      <c r="K87" s="353">
        <v>0</v>
      </c>
      <c r="L87" s="280">
        <f>'Novel foods, input data'!$AD$10*'Agri ing'!$AJ$21+'Novel foods, input data'!$AE$10*'Agri ing'!$AL$26</f>
        <v>1.312525785249378E-3</v>
      </c>
      <c r="M87" s="353">
        <v>0</v>
      </c>
      <c r="N87" s="353">
        <v>0</v>
      </c>
      <c r="O87" s="254">
        <f>'Novel foods, input data'!$D$10*'Emission factors'!$C$11+'Novel foods, input data'!$AG$10</f>
        <v>5.8202740481795568E-4</v>
      </c>
      <c r="P87" s="353">
        <v>0</v>
      </c>
      <c r="Q87" s="353">
        <v>0</v>
      </c>
      <c r="R87" s="353">
        <v>0</v>
      </c>
      <c r="S87" s="353">
        <v>0</v>
      </c>
      <c r="T87" s="353">
        <v>0</v>
      </c>
      <c r="U87" s="353">
        <v>0</v>
      </c>
      <c r="V87" s="353">
        <v>0</v>
      </c>
      <c r="W87" s="353">
        <v>0</v>
      </c>
      <c r="X87" s="353">
        <v>0</v>
      </c>
    </row>
    <row r="88" spans="1:25">
      <c r="A88" s="1" t="s">
        <v>57</v>
      </c>
      <c r="B88" s="1" t="s">
        <v>58</v>
      </c>
      <c r="C88" s="71" t="s">
        <v>34</v>
      </c>
      <c r="D88" s="46" t="s">
        <v>39</v>
      </c>
      <c r="E88" s="46" t="s">
        <v>40</v>
      </c>
      <c r="F88" s="1" t="s">
        <v>94</v>
      </c>
      <c r="G88" s="254">
        <f>SUM(H88:T88)+SUM(W88:X88)</f>
        <v>7.0753259076891605E-5</v>
      </c>
      <c r="H88" s="353">
        <v>0</v>
      </c>
      <c r="I88" s="353">
        <v>0</v>
      </c>
      <c r="J88" s="353">
        <v>0</v>
      </c>
      <c r="K88" s="353">
        <v>0</v>
      </c>
      <c r="L88" s="353">
        <v>0</v>
      </c>
      <c r="M88" s="353">
        <v>0</v>
      </c>
      <c r="N88" s="353">
        <v>0</v>
      </c>
      <c r="O88" s="4">
        <v>0</v>
      </c>
      <c r="P88" s="254">
        <v>0</v>
      </c>
      <c r="Q88" s="256"/>
      <c r="R88" s="256"/>
      <c r="S88" s="256"/>
      <c r="T88" s="256">
        <f>'Novel foods, input data'!$AE$10*'Agri ing'!$AO$26</f>
        <v>7.0753259076891605E-5</v>
      </c>
      <c r="U88" s="256"/>
      <c r="V88" s="256"/>
      <c r="W88" s="256"/>
      <c r="X88" s="256"/>
    </row>
    <row r="89" spans="1:25" ht="15" thickBot="1">
      <c r="A89" s="1" t="s">
        <v>57</v>
      </c>
      <c r="B89" s="1" t="s">
        <v>58</v>
      </c>
      <c r="C89" s="71" t="s">
        <v>34</v>
      </c>
      <c r="D89" s="46" t="s">
        <v>39</v>
      </c>
      <c r="E89" s="46" t="s">
        <v>40</v>
      </c>
      <c r="F89" s="258" t="s">
        <v>95</v>
      </c>
      <c r="G89" s="254">
        <f>SUM(H89:T89)+SUM(W89:X89)</f>
        <v>2.8808334278644389E-3</v>
      </c>
      <c r="H89" s="280">
        <f>'Novel foods, input data'!$AD$10*'Agri ing'!$AN$21+'Novel foods, input data'!$AE$10*'Agri ing'!$AP$26</f>
        <v>4.2016043475074321E-4</v>
      </c>
      <c r="I89" s="280">
        <f>'Novel foods, input data'!$AD$10*'Agri ing'!$AO$21+'Novel foods, input data'!$AE$10*'Agri ing'!$AQ$26</f>
        <v>2.3969761408807113E-6</v>
      </c>
      <c r="J89" s="280">
        <f>'Novel foods, input data'!$AD$10*'Agri ing'!$AP$21+'Novel foods, input data'!$AE$10*'Agri ing'!$AR$26</f>
        <v>1.1944149241007059E-3</v>
      </c>
      <c r="K89" s="353">
        <v>0</v>
      </c>
      <c r="L89" s="280">
        <f>'Novel foods, input data'!$AD$10*'Agri ing'!$AQ$21+'Novel foods, input data'!$AE$10*'Agri ing'!$AS$26</f>
        <v>1.2153693665562315E-3</v>
      </c>
      <c r="M89" s="353">
        <v>0</v>
      </c>
      <c r="N89" s="353">
        <v>0</v>
      </c>
      <c r="O89" s="254">
        <f>'Novel foods, input data'!$D$10*'Emission factors'!$D$11+'Novel foods, input data'!$AH$10</f>
        <v>4.8398773745111107E-5</v>
      </c>
      <c r="P89" s="353">
        <v>0</v>
      </c>
      <c r="Q89" s="353">
        <v>0</v>
      </c>
      <c r="R89" s="353">
        <v>0</v>
      </c>
      <c r="S89" s="353">
        <v>0</v>
      </c>
      <c r="T89" s="256">
        <f>'Novel foods, input data'!$AE$10*'Agri ing'!$AT$26</f>
        <v>9.2952570766553198E-8</v>
      </c>
      <c r="U89" s="353">
        <v>0</v>
      </c>
      <c r="V89" s="353">
        <v>0</v>
      </c>
      <c r="W89" s="353">
        <v>0</v>
      </c>
      <c r="X89" s="353">
        <v>0</v>
      </c>
    </row>
    <row r="90" spans="1:25" ht="15.6" thickTop="1" thickBot="1">
      <c r="A90" s="260" t="s">
        <v>57</v>
      </c>
      <c r="B90" s="260" t="s">
        <v>58</v>
      </c>
      <c r="C90" s="261" t="s">
        <v>34</v>
      </c>
      <c r="D90" s="327" t="s">
        <v>39</v>
      </c>
      <c r="E90" s="327" t="s">
        <v>40</v>
      </c>
      <c r="F90" s="328" t="s">
        <v>96</v>
      </c>
      <c r="G90" s="262">
        <f>SUM(H90:X90)</f>
        <v>1.9266956297819191</v>
      </c>
      <c r="H90" s="263">
        <f t="shared" ref="H90:T90" si="16">H86+H87*CF_CH4_foss+H88*CF_CH4_bio+H89*CF_N2O</f>
        <v>0.31650335552013742</v>
      </c>
      <c r="I90" s="263">
        <f t="shared" si="16"/>
        <v>6.5882748852817502E-2</v>
      </c>
      <c r="J90" s="263">
        <f t="shared" si="16"/>
        <v>0.32607527427949268</v>
      </c>
      <c r="K90" s="263">
        <f t="shared" si="16"/>
        <v>0</v>
      </c>
      <c r="L90" s="263">
        <f t="shared" si="16"/>
        <v>0.54084648772046229</v>
      </c>
      <c r="M90" s="603">
        <f t="shared" si="16"/>
        <v>0</v>
      </c>
      <c r="N90" s="603">
        <f t="shared" si="16"/>
        <v>0</v>
      </c>
      <c r="O90" s="263">
        <f t="shared" si="16"/>
        <v>0.67437984939898143</v>
      </c>
      <c r="P90" s="263">
        <f t="shared" si="16"/>
        <v>1.072199963132536E-3</v>
      </c>
      <c r="Q90" s="263">
        <f t="shared" si="16"/>
        <v>0</v>
      </c>
      <c r="R90" s="263">
        <f t="shared" si="16"/>
        <v>0</v>
      </c>
      <c r="S90" s="263">
        <f t="shared" si="16"/>
        <v>0</v>
      </c>
      <c r="T90" s="263">
        <f t="shared" si="16"/>
        <v>1.9357140468953425E-3</v>
      </c>
      <c r="U90" s="263"/>
      <c r="V90" s="263"/>
      <c r="W90" s="263">
        <f>W86+W87*CF_CH4_foss+W88*CF_CH4_bio+W89*CF_N2O</f>
        <v>0</v>
      </c>
      <c r="X90" s="263">
        <f>X86+X87*CF_CH4_foss+X88*CF_CH4_bio+X89*CF_N2O</f>
        <v>0</v>
      </c>
    </row>
    <row r="91" spans="1:25" ht="15" thickTop="1">
      <c r="A91" s="322" t="s">
        <v>57</v>
      </c>
      <c r="B91" s="322" t="s">
        <v>58</v>
      </c>
      <c r="C91" s="323" t="s">
        <v>34</v>
      </c>
      <c r="D91" s="324" t="s">
        <v>59</v>
      </c>
      <c r="E91" s="324" t="s">
        <v>60</v>
      </c>
      <c r="F91" s="325" t="s">
        <v>92</v>
      </c>
      <c r="G91" s="326">
        <f>SUM(H91:X91)</f>
        <v>1.1247855624870695</v>
      </c>
      <c r="H91" s="326">
        <f>'Novel foods, input data'!$AD$10*'Agri ing'!$AD$21+'Novel foods, input data'!$AE$10*'Agri ing'!$AF$26</f>
        <v>0.19145399096780755</v>
      </c>
      <c r="I91" s="326">
        <f>'Novel foods, input data'!$AD$10*'Agri ing'!$AE$21+'Novel foods, input data'!$AE$10*'Agri ing'!$AG$26</f>
        <v>5.9036864114772596E-2</v>
      </c>
      <c r="J91" s="352">
        <v>0</v>
      </c>
      <c r="K91" s="352">
        <v>0</v>
      </c>
      <c r="L91" s="326">
        <f>'Novel foods, input data'!$AD$10*'Agri ing'!$AF$21+'Novel foods, input data'!$AE$10*'Agri ing'!$AH$26</f>
        <v>0.16993738225017957</v>
      </c>
      <c r="M91" s="352">
        <v>0</v>
      </c>
      <c r="N91" s="352">
        <v>0</v>
      </c>
      <c r="O91" s="326">
        <f>'Novel foods, input data'!$D$10*'Emission factors'!$B$15+'Novel foods, input data'!$AF$10</f>
        <v>0.70328512519117747</v>
      </c>
      <c r="P91" s="326">
        <f>'Novel foods, input data'!$AE$10*'Agri ing'!$AI$26</f>
        <v>1.072199963132536E-3</v>
      </c>
      <c r="Q91" s="352">
        <v>0</v>
      </c>
      <c r="R91" s="352">
        <v>0</v>
      </c>
      <c r="S91" s="352">
        <v>0</v>
      </c>
      <c r="T91" s="352">
        <v>0</v>
      </c>
      <c r="U91" s="352">
        <v>0</v>
      </c>
      <c r="V91" s="352">
        <v>0</v>
      </c>
      <c r="W91" s="352">
        <v>0</v>
      </c>
      <c r="X91" s="352">
        <v>0</v>
      </c>
    </row>
    <row r="92" spans="1:25">
      <c r="A92" s="1" t="s">
        <v>57</v>
      </c>
      <c r="B92" s="1" t="s">
        <v>58</v>
      </c>
      <c r="C92" s="71" t="s">
        <v>34</v>
      </c>
      <c r="D92" s="46" t="s">
        <v>59</v>
      </c>
      <c r="E92" s="46" t="s">
        <v>60</v>
      </c>
      <c r="F92" s="1" t="s">
        <v>93</v>
      </c>
      <c r="G92" s="254">
        <f>SUM(H92:X92)</f>
        <v>2.7051407041652803E-3</v>
      </c>
      <c r="H92" s="259">
        <f>'Novel foods, input data'!$AD$10*'Agri ing'!$AH$21+'Novel foods, input data'!$AE$10*'Agri ing'!$AJ$26</f>
        <v>3.4716663977775003E-4</v>
      </c>
      <c r="I92" s="259">
        <f>'Novel foods, input data'!$AD$10*'Agri ing'!$AI$21+'Novel foods, input data'!$AE$10*'Agri ing'!$AK$26</f>
        <v>2.077688003887403E-4</v>
      </c>
      <c r="J92" s="353">
        <v>0</v>
      </c>
      <c r="K92" s="353">
        <v>0</v>
      </c>
      <c r="L92" s="280">
        <f>'Novel foods, input data'!$AD$10*'Agri ing'!$AJ$21+'Novel foods, input data'!$AE$10*'Agri ing'!$AL$26</f>
        <v>1.312525785249378E-3</v>
      </c>
      <c r="M92" s="353">
        <v>0</v>
      </c>
      <c r="N92" s="353">
        <v>0</v>
      </c>
      <c r="O92" s="254">
        <f>'Novel foods, input data'!$D$10*'Emission factors'!$C$15+'Novel foods, input data'!$AG$10</f>
        <v>8.3767947874941178E-4</v>
      </c>
      <c r="P92" s="353">
        <v>0</v>
      </c>
      <c r="Q92" s="353">
        <v>0</v>
      </c>
      <c r="R92" s="353">
        <v>0</v>
      </c>
      <c r="S92" s="353">
        <v>0</v>
      </c>
      <c r="T92" s="353">
        <v>0</v>
      </c>
      <c r="U92" s="353">
        <v>0</v>
      </c>
      <c r="V92" s="353">
        <v>0</v>
      </c>
      <c r="W92" s="353">
        <v>0</v>
      </c>
      <c r="X92" s="353">
        <v>0</v>
      </c>
    </row>
    <row r="93" spans="1:25">
      <c r="A93" s="1" t="s">
        <v>57</v>
      </c>
      <c r="B93" s="1" t="s">
        <v>58</v>
      </c>
      <c r="C93" s="71" t="s">
        <v>34</v>
      </c>
      <c r="D93" s="46" t="s">
        <v>59</v>
      </c>
      <c r="E93" s="46" t="s">
        <v>60</v>
      </c>
      <c r="F93" s="1" t="s">
        <v>94</v>
      </c>
      <c r="G93" s="254">
        <f>SUM(H93:T93)+SUM(W93:X93)</f>
        <v>7.0753259076891605E-5</v>
      </c>
      <c r="H93" s="353">
        <v>0</v>
      </c>
      <c r="I93" s="353">
        <v>0</v>
      </c>
      <c r="J93" s="353">
        <v>0</v>
      </c>
      <c r="K93" s="353">
        <v>0</v>
      </c>
      <c r="L93" s="353">
        <v>0</v>
      </c>
      <c r="M93" s="353">
        <v>0</v>
      </c>
      <c r="N93" s="353">
        <v>0</v>
      </c>
      <c r="O93" s="4">
        <v>0</v>
      </c>
      <c r="P93" s="254">
        <v>0</v>
      </c>
      <c r="Q93" s="256"/>
      <c r="R93" s="256"/>
      <c r="S93" s="256"/>
      <c r="T93" s="256">
        <f>'Novel foods, input data'!$AE$10*'Agri ing'!$AO$26</f>
        <v>7.0753259076891605E-5</v>
      </c>
      <c r="U93" s="256"/>
      <c r="V93" s="256"/>
      <c r="W93" s="256"/>
      <c r="X93" s="256"/>
    </row>
    <row r="94" spans="1:25" ht="15" thickBot="1">
      <c r="A94" s="1" t="s">
        <v>57</v>
      </c>
      <c r="B94" s="1" t="s">
        <v>58</v>
      </c>
      <c r="C94" s="71" t="s">
        <v>34</v>
      </c>
      <c r="D94" s="46" t="s">
        <v>59</v>
      </c>
      <c r="E94" s="46" t="s">
        <v>60</v>
      </c>
      <c r="F94" s="258" t="s">
        <v>95</v>
      </c>
      <c r="G94" s="254">
        <f>SUM(H94:T94)+SUM(W94:X94)</f>
        <v>2.9153335478636611E-3</v>
      </c>
      <c r="H94" s="280">
        <f>'Novel foods, input data'!$AD$10*'Agri ing'!$AN$21+'Novel foods, input data'!$AE$10*'Agri ing'!$AP$26</f>
        <v>4.2016043475074321E-4</v>
      </c>
      <c r="I94" s="280">
        <f>'Novel foods, input data'!$AD$10*'Agri ing'!$AO$21+'Novel foods, input data'!$AE$10*'Agri ing'!$AQ$26</f>
        <v>2.3969761408807113E-6</v>
      </c>
      <c r="J94" s="280">
        <f>'Novel foods, input data'!$AD$10*'Agri ing'!$AP$21+'Novel foods, input data'!$AE$10*'Agri ing'!$AR$26</f>
        <v>1.1944149241007059E-3</v>
      </c>
      <c r="K94" s="353">
        <v>0</v>
      </c>
      <c r="L94" s="280">
        <f>'Novel foods, input data'!$AD$10*'Agri ing'!$AQ$21+'Novel foods, input data'!$AE$10*'Agri ing'!$AS$26</f>
        <v>1.2153693665562315E-3</v>
      </c>
      <c r="M94" s="353">
        <v>0</v>
      </c>
      <c r="N94" s="353">
        <v>0</v>
      </c>
      <c r="O94" s="254">
        <f>'Novel foods, input data'!$D$10*'Emission factors'!$D$14+'Novel foods, input data'!$AH$10</f>
        <v>8.2898893744333334E-5</v>
      </c>
      <c r="P94" s="353">
        <v>0</v>
      </c>
      <c r="Q94" s="353">
        <v>0</v>
      </c>
      <c r="R94" s="353">
        <v>0</v>
      </c>
      <c r="S94" s="353">
        <v>0</v>
      </c>
      <c r="T94" s="256">
        <f>'Novel foods, input data'!$AE$10*'Agri ing'!$AT$26</f>
        <v>9.2952570766553198E-8</v>
      </c>
      <c r="U94" s="353">
        <v>0</v>
      </c>
      <c r="V94" s="353">
        <v>0</v>
      </c>
      <c r="W94" s="353">
        <v>0</v>
      </c>
      <c r="X94" s="353">
        <v>0</v>
      </c>
    </row>
    <row r="95" spans="1:25" ht="15.6" thickTop="1" thickBot="1">
      <c r="A95" s="260" t="s">
        <v>57</v>
      </c>
      <c r="B95" s="260" t="s">
        <v>58</v>
      </c>
      <c r="C95" s="261" t="s">
        <v>34</v>
      </c>
      <c r="D95" s="327" t="s">
        <v>59</v>
      </c>
      <c r="E95" s="327" t="s">
        <v>60</v>
      </c>
      <c r="F95" s="328" t="s">
        <v>96</v>
      </c>
      <c r="G95" s="262">
        <f>SUM(H95:X95)</f>
        <v>2.0031951520330509</v>
      </c>
      <c r="H95" s="263">
        <f t="shared" ref="H95" si="17">H91+H92*CF_CH4_foss+H93*CF_CH4_bio+H94*CF_N2O</f>
        <v>0.31650335552013742</v>
      </c>
      <c r="I95" s="263">
        <f t="shared" ref="I95" si="18">I91+I92*CF_CH4_foss+I93*CF_CH4_bio+I94*CF_N2O</f>
        <v>6.5882748852817502E-2</v>
      </c>
      <c r="J95" s="263">
        <f t="shared" ref="J95" si="19">J91+J92*CF_CH4_foss+J93*CF_CH4_bio+J94*CF_N2O</f>
        <v>0.32607527427949268</v>
      </c>
      <c r="K95" s="263">
        <f t="shared" ref="K95" si="20">K91+K92*CF_CH4_foss+K93*CF_CH4_bio+K94*CF_N2O</f>
        <v>0</v>
      </c>
      <c r="L95" s="263">
        <f t="shared" ref="L95" si="21">L91+L92*CF_CH4_foss+L93*CF_CH4_bio+L94*CF_N2O</f>
        <v>0.54084648772046229</v>
      </c>
      <c r="M95" s="603">
        <f t="shared" ref="M95" si="22">M91+M92*CF_CH4_foss+M93*CF_CH4_bio+M94*CF_N2O</f>
        <v>0</v>
      </c>
      <c r="N95" s="603">
        <f t="shared" ref="N95" si="23">N91+N92*CF_CH4_foss+N93*CF_CH4_bio+N94*CF_N2O</f>
        <v>0</v>
      </c>
      <c r="O95" s="263">
        <f>O91+O92*CF_CH4_foss+O93*CF_CH4_bio+O94*CF_N2O</f>
        <v>0.75087937165011298</v>
      </c>
      <c r="P95" s="263">
        <f t="shared" ref="P95" si="24">P91+P92*CF_CH4_foss+P93*CF_CH4_bio+P94*CF_N2O</f>
        <v>1.072199963132536E-3</v>
      </c>
      <c r="Q95" s="263">
        <f t="shared" ref="Q95" si="25">Q91+Q92*CF_CH4_foss+Q93*CF_CH4_bio+Q94*CF_N2O</f>
        <v>0</v>
      </c>
      <c r="R95" s="263">
        <f t="shared" ref="R95" si="26">R91+R92*CF_CH4_foss+R93*CF_CH4_bio+R94*CF_N2O</f>
        <v>0</v>
      </c>
      <c r="S95" s="263">
        <f t="shared" ref="S95" si="27">S91+S92*CF_CH4_foss+S93*CF_CH4_bio+S94*CF_N2O</f>
        <v>0</v>
      </c>
      <c r="T95" s="263">
        <f t="shared" ref="T95" si="28">T91+T92*CF_CH4_foss+T93*CF_CH4_bio+T94*CF_N2O</f>
        <v>1.9357140468953425E-3</v>
      </c>
      <c r="U95" s="263"/>
      <c r="V95" s="263"/>
      <c r="W95" s="263">
        <f>W91+W92*CF_CH4_foss+W93*CF_CH4_bio+W94*CF_N2O</f>
        <v>0</v>
      </c>
      <c r="X95" s="263">
        <f>X91+X92*CF_CH4_foss+X93*CF_CH4_bio+X94*CF_N2O</f>
        <v>0</v>
      </c>
    </row>
    <row r="96" spans="1:25" ht="15" thickTop="1">
      <c r="A96" s="322" t="s">
        <v>61</v>
      </c>
      <c r="B96" s="322" t="s">
        <v>62</v>
      </c>
      <c r="C96" s="323" t="s">
        <v>34</v>
      </c>
      <c r="D96" s="324" t="s">
        <v>35</v>
      </c>
      <c r="E96" s="324" t="s">
        <v>36</v>
      </c>
      <c r="F96" s="325" t="s">
        <v>92</v>
      </c>
      <c r="G96" s="326">
        <f>SUM(H96:X96)</f>
        <v>0.85944291407401696</v>
      </c>
      <c r="H96" s="352">
        <v>0</v>
      </c>
      <c r="I96" s="352">
        <v>0</v>
      </c>
      <c r="J96" s="352">
        <v>0</v>
      </c>
      <c r="K96" s="352">
        <v>0</v>
      </c>
      <c r="L96" s="352">
        <v>0</v>
      </c>
      <c r="M96" s="352">
        <v>0</v>
      </c>
      <c r="N96" s="352">
        <v>0</v>
      </c>
      <c r="O96" s="326">
        <f>'Novel foods, input data'!$D$11*'Emission factors'!$B$12+'Novel foods, input data'!$F$11*'Emission factors'!$B$12+'Novel foods, input data'!Z11*'Emission factors'!B22+'Novel foods, input data'!$AF$11</f>
        <v>0.85944291407401696</v>
      </c>
      <c r="P96" s="352">
        <v>0</v>
      </c>
      <c r="Q96" s="352">
        <v>0</v>
      </c>
      <c r="R96" s="352">
        <v>0</v>
      </c>
      <c r="S96" s="352">
        <v>0</v>
      </c>
      <c r="T96" s="352">
        <v>0</v>
      </c>
      <c r="U96" s="352">
        <v>0</v>
      </c>
      <c r="V96" s="352">
        <v>0</v>
      </c>
      <c r="W96" s="352">
        <v>0</v>
      </c>
      <c r="X96" s="352">
        <v>0</v>
      </c>
    </row>
    <row r="97" spans="1:24">
      <c r="A97" s="1" t="s">
        <v>61</v>
      </c>
      <c r="B97" s="1" t="s">
        <v>62</v>
      </c>
      <c r="C97" s="71" t="s">
        <v>34</v>
      </c>
      <c r="D97" s="46" t="s">
        <v>35</v>
      </c>
      <c r="E97" s="46" t="s">
        <v>36</v>
      </c>
      <c r="F97" s="1" t="s">
        <v>93</v>
      </c>
      <c r="G97" s="254">
        <f>SUM(H97:X97)</f>
        <v>2.0750212487514602E-3</v>
      </c>
      <c r="H97" s="353">
        <v>0</v>
      </c>
      <c r="I97" s="353">
        <v>0</v>
      </c>
      <c r="J97" s="353">
        <v>0</v>
      </c>
      <c r="K97" s="353">
        <v>0</v>
      </c>
      <c r="L97" s="353">
        <v>0</v>
      </c>
      <c r="M97" s="353">
        <v>0</v>
      </c>
      <c r="N97" s="353">
        <v>0</v>
      </c>
      <c r="O97" s="254">
        <f>'Novel foods, input data'!$D$11*'Emission factors'!$C$12+'Novel foods, input data'!$F$11*'Emission factors'!$C$12+'Novel foods, input data'!$AG$11</f>
        <v>2.0750212487514602E-3</v>
      </c>
      <c r="P97" s="353">
        <v>0</v>
      </c>
      <c r="Q97" s="4">
        <v>0</v>
      </c>
      <c r="R97" s="4">
        <v>0</v>
      </c>
      <c r="S97" s="4">
        <v>0</v>
      </c>
      <c r="T97" s="4">
        <v>0</v>
      </c>
      <c r="U97" s="4">
        <v>0</v>
      </c>
      <c r="V97" s="4">
        <v>0</v>
      </c>
      <c r="W97" s="4">
        <v>0</v>
      </c>
      <c r="X97" s="4">
        <v>0</v>
      </c>
    </row>
    <row r="98" spans="1:24">
      <c r="A98" s="1" t="s">
        <v>61</v>
      </c>
      <c r="B98" s="1" t="s">
        <v>62</v>
      </c>
      <c r="C98" s="71" t="s">
        <v>34</v>
      </c>
      <c r="D98" s="46" t="s">
        <v>35</v>
      </c>
      <c r="E98" s="46" t="s">
        <v>36</v>
      </c>
      <c r="F98" s="1" t="s">
        <v>94</v>
      </c>
      <c r="G98" s="254">
        <f>SUM(H98:T98)+SUM(W98:X98)</f>
        <v>0</v>
      </c>
      <c r="H98" s="353">
        <v>0</v>
      </c>
      <c r="I98" s="353">
        <v>0</v>
      </c>
      <c r="J98" s="353">
        <v>0</v>
      </c>
      <c r="K98" s="353">
        <v>0</v>
      </c>
      <c r="L98" s="353">
        <v>0</v>
      </c>
      <c r="M98" s="353">
        <v>0</v>
      </c>
      <c r="N98" s="353">
        <v>0</v>
      </c>
      <c r="O98" s="4">
        <v>0</v>
      </c>
      <c r="P98" s="353">
        <v>0</v>
      </c>
      <c r="Q98" s="4">
        <v>0</v>
      </c>
      <c r="R98" s="4">
        <v>0</v>
      </c>
      <c r="S98" s="4">
        <v>0</v>
      </c>
      <c r="T98" s="4">
        <v>0</v>
      </c>
      <c r="U98" s="4">
        <v>0</v>
      </c>
      <c r="V98" s="4">
        <v>0</v>
      </c>
      <c r="W98" s="4">
        <v>0</v>
      </c>
      <c r="X98" s="4">
        <v>0</v>
      </c>
    </row>
    <row r="99" spans="1:24" ht="15" thickBot="1">
      <c r="A99" s="1" t="s">
        <v>61</v>
      </c>
      <c r="B99" s="1" t="s">
        <v>62</v>
      </c>
      <c r="C99" s="71" t="s">
        <v>34</v>
      </c>
      <c r="D99" s="46" t="s">
        <v>35</v>
      </c>
      <c r="E99" s="46" t="s">
        <v>36</v>
      </c>
      <c r="F99" s="258" t="s">
        <v>95</v>
      </c>
      <c r="G99" s="254">
        <f>SUM(H99:T99)+SUM(W99:X99)</f>
        <v>4.8939118271802562E-5</v>
      </c>
      <c r="H99" s="353">
        <v>0</v>
      </c>
      <c r="I99" s="353">
        <v>0</v>
      </c>
      <c r="J99" s="353">
        <v>0</v>
      </c>
      <c r="K99" s="353">
        <v>0</v>
      </c>
      <c r="L99" s="353">
        <v>0</v>
      </c>
      <c r="M99" s="353">
        <v>0</v>
      </c>
      <c r="N99" s="353">
        <v>0</v>
      </c>
      <c r="O99" s="254">
        <f>'Novel foods, input data'!$D$11*'Emission factors'!$D$12+'Novel foods, input data'!$F$11*'Emission factors'!$D$12+'Novel foods, input data'!$AH$11</f>
        <v>4.8939118271802562E-5</v>
      </c>
      <c r="P99" s="353">
        <v>0</v>
      </c>
      <c r="Q99" s="353">
        <v>0</v>
      </c>
      <c r="R99" s="353">
        <v>0</v>
      </c>
      <c r="S99" s="353">
        <v>0</v>
      </c>
      <c r="T99" s="353">
        <v>0</v>
      </c>
      <c r="U99" s="353">
        <v>0</v>
      </c>
      <c r="V99" s="353">
        <v>0</v>
      </c>
      <c r="W99" s="353">
        <v>0</v>
      </c>
      <c r="X99" s="353">
        <v>0</v>
      </c>
    </row>
    <row r="100" spans="1:24" ht="15.6" thickTop="1" thickBot="1">
      <c r="A100" s="260" t="s">
        <v>61</v>
      </c>
      <c r="B100" s="260" t="s">
        <v>62</v>
      </c>
      <c r="C100" s="261" t="s">
        <v>34</v>
      </c>
      <c r="D100" s="327" t="s">
        <v>35</v>
      </c>
      <c r="E100" s="327" t="s">
        <v>36</v>
      </c>
      <c r="F100" s="328" t="s">
        <v>96</v>
      </c>
      <c r="G100" s="262">
        <f>SUM(H100:X100)</f>
        <v>0.93463892657501257</v>
      </c>
      <c r="H100" s="263">
        <f t="shared" ref="H100" si="29">H96+H97*CF_CH4_foss+H98*CF_CH4_bio+H99*CF_N2O</f>
        <v>0</v>
      </c>
      <c r="I100" s="263">
        <f t="shared" ref="I100" si="30">I96+I97*CF_CH4_foss+I98*CF_CH4_bio+I99*CF_N2O</f>
        <v>0</v>
      </c>
      <c r="J100" s="263">
        <f t="shared" ref="J100" si="31">J96+J97*CF_CH4_foss+J98*CF_CH4_bio+J99*CF_N2O</f>
        <v>0</v>
      </c>
      <c r="K100" s="263">
        <f t="shared" ref="K100" si="32">K96+K97*CF_CH4_foss+K98*CF_CH4_bio+K99*CF_N2O</f>
        <v>0</v>
      </c>
      <c r="L100" s="263">
        <f t="shared" ref="L100" si="33">L96+L97*CF_CH4_foss+L98*CF_CH4_bio+L99*CF_N2O</f>
        <v>0</v>
      </c>
      <c r="M100" s="603">
        <f t="shared" ref="M100" si="34">M96+M97*CF_CH4_foss+M98*CF_CH4_bio+M99*CF_N2O</f>
        <v>0</v>
      </c>
      <c r="N100" s="603">
        <f t="shared" ref="N100" si="35">N96+N97*CF_CH4_foss+N98*CF_CH4_bio+N99*CF_N2O</f>
        <v>0</v>
      </c>
      <c r="O100" s="263">
        <f t="shared" ref="O100" si="36">O96+O97*CF_CH4_foss+O98*CF_CH4_bio+O99*CF_N2O</f>
        <v>0.93463892657501257</v>
      </c>
      <c r="P100" s="263">
        <f t="shared" ref="P100" si="37">P96+P97*CF_CH4_foss+P98*CF_CH4_bio+P99*CF_N2O</f>
        <v>0</v>
      </c>
      <c r="Q100" s="263">
        <f t="shared" ref="Q100" si="38">Q96+Q97*CF_CH4_foss+Q98*CF_CH4_bio+Q99*CF_N2O</f>
        <v>0</v>
      </c>
      <c r="R100" s="263">
        <f t="shared" ref="R100" si="39">R96+R97*CF_CH4_foss+R98*CF_CH4_bio+R99*CF_N2O</f>
        <v>0</v>
      </c>
      <c r="S100" s="263">
        <f t="shared" ref="S100" si="40">S96+S97*CF_CH4_foss+S98*CF_CH4_bio+S99*CF_N2O</f>
        <v>0</v>
      </c>
      <c r="T100" s="263">
        <f t="shared" ref="T100" si="41">T96+T97*CF_CH4_foss+T98*CF_CH4_bio+T99*CF_N2O</f>
        <v>0</v>
      </c>
      <c r="U100" s="263"/>
      <c r="V100" s="263"/>
      <c r="W100" s="263">
        <f>W96+W97*CF_CH4_foss+W98*CF_CH4_bio+W99*CF_N2O</f>
        <v>0</v>
      </c>
      <c r="X100" s="263">
        <f>X96+X97*CF_CH4_foss+X98*CF_CH4_bio+X99*CF_N2O</f>
        <v>0</v>
      </c>
    </row>
    <row r="101" spans="1:24" ht="15" thickTop="1">
      <c r="A101" s="322" t="s">
        <v>61</v>
      </c>
      <c r="B101" s="322" t="s">
        <v>62</v>
      </c>
      <c r="C101" s="323" t="s">
        <v>34</v>
      </c>
      <c r="D101" s="324" t="s">
        <v>37</v>
      </c>
      <c r="E101" s="324" t="s">
        <v>38</v>
      </c>
      <c r="F101" s="325" t="s">
        <v>92</v>
      </c>
      <c r="G101" s="326">
        <f>SUM(H101:X101)</f>
        <v>0.61230843719339634</v>
      </c>
      <c r="H101" s="352">
        <v>0</v>
      </c>
      <c r="I101" s="352">
        <v>0</v>
      </c>
      <c r="J101" s="352">
        <v>0</v>
      </c>
      <c r="K101" s="352">
        <v>0</v>
      </c>
      <c r="L101" s="352">
        <v>0</v>
      </c>
      <c r="M101" s="352">
        <v>0</v>
      </c>
      <c r="N101" s="352">
        <v>0</v>
      </c>
      <c r="O101" s="326">
        <f>'Novel foods, input data'!$D$11*'Emission factors'!$B$7+'Novel foods, input data'!$F$11*'Emission factors'!$B$7+'Novel foods, input data'!Z11*'Emission factors'!B22+'Novel foods, input data'!$AF$11</f>
        <v>0.61230843719339634</v>
      </c>
      <c r="P101" s="352">
        <v>0</v>
      </c>
      <c r="Q101" s="352">
        <v>0</v>
      </c>
      <c r="R101" s="352">
        <v>0</v>
      </c>
      <c r="S101" s="352">
        <v>0</v>
      </c>
      <c r="T101" s="352">
        <v>0</v>
      </c>
      <c r="U101" s="352">
        <v>0</v>
      </c>
      <c r="V101" s="352">
        <v>0</v>
      </c>
      <c r="W101" s="352">
        <v>0</v>
      </c>
      <c r="X101" s="352">
        <v>0</v>
      </c>
    </row>
    <row r="102" spans="1:24">
      <c r="A102" s="1" t="s">
        <v>61</v>
      </c>
      <c r="B102" s="1" t="s">
        <v>62</v>
      </c>
      <c r="C102" s="71" t="s">
        <v>34</v>
      </c>
      <c r="D102" s="46" t="s">
        <v>37</v>
      </c>
      <c r="E102" s="46" t="s">
        <v>38</v>
      </c>
      <c r="F102" s="1" t="s">
        <v>93</v>
      </c>
      <c r="G102" s="254">
        <f>SUM(H102:X102)</f>
        <v>1.2547485778783779E-3</v>
      </c>
      <c r="H102" s="353">
        <v>0</v>
      </c>
      <c r="I102" s="353">
        <v>0</v>
      </c>
      <c r="J102" s="353">
        <v>0</v>
      </c>
      <c r="K102" s="353">
        <v>0</v>
      </c>
      <c r="L102" s="353">
        <v>0</v>
      </c>
      <c r="M102" s="353">
        <v>0</v>
      </c>
      <c r="N102" s="353">
        <v>0</v>
      </c>
      <c r="O102" s="254">
        <f>'Novel foods, input data'!$D$11*'Emission factors'!$C$7+'Novel foods, input data'!$F$11*'Emission factors'!$C$7+'Novel foods, input data'!$AG$11</f>
        <v>1.2547485778783779E-3</v>
      </c>
      <c r="P102" s="353">
        <v>0</v>
      </c>
      <c r="Q102" s="4">
        <v>0</v>
      </c>
      <c r="R102" s="4">
        <v>0</v>
      </c>
      <c r="S102" s="4">
        <v>0</v>
      </c>
      <c r="T102" s="4">
        <v>0</v>
      </c>
      <c r="U102" s="4">
        <v>0</v>
      </c>
      <c r="V102" s="4">
        <v>0</v>
      </c>
      <c r="W102" s="4">
        <v>0</v>
      </c>
      <c r="X102" s="4">
        <v>0</v>
      </c>
    </row>
    <row r="103" spans="1:24">
      <c r="A103" s="1" t="s">
        <v>61</v>
      </c>
      <c r="B103" s="1" t="s">
        <v>62</v>
      </c>
      <c r="C103" s="71" t="s">
        <v>34</v>
      </c>
      <c r="D103" s="46" t="s">
        <v>37</v>
      </c>
      <c r="E103" s="46" t="s">
        <v>38</v>
      </c>
      <c r="F103" s="1" t="s">
        <v>94</v>
      </c>
      <c r="G103" s="254">
        <f>SUM(H103:T103)+SUM(W103:X103)</f>
        <v>0</v>
      </c>
      <c r="H103" s="353">
        <v>0</v>
      </c>
      <c r="I103" s="353">
        <v>0</v>
      </c>
      <c r="J103" s="353">
        <v>0</v>
      </c>
      <c r="K103" s="353">
        <v>0</v>
      </c>
      <c r="L103" s="353">
        <v>0</v>
      </c>
      <c r="M103" s="353">
        <v>0</v>
      </c>
      <c r="N103" s="353">
        <v>0</v>
      </c>
      <c r="O103" s="4">
        <v>0</v>
      </c>
      <c r="P103" s="353">
        <v>0</v>
      </c>
      <c r="Q103" s="4">
        <v>0</v>
      </c>
      <c r="R103" s="4">
        <v>0</v>
      </c>
      <c r="S103" s="4">
        <v>0</v>
      </c>
      <c r="T103" s="4">
        <v>0</v>
      </c>
      <c r="U103" s="4">
        <v>0</v>
      </c>
      <c r="V103" s="4">
        <v>0</v>
      </c>
      <c r="W103" s="4">
        <v>0</v>
      </c>
      <c r="X103" s="4">
        <v>0</v>
      </c>
    </row>
    <row r="104" spans="1:24" ht="15" thickBot="1">
      <c r="A104" s="1" t="s">
        <v>61</v>
      </c>
      <c r="B104" s="1" t="s">
        <v>62</v>
      </c>
      <c r="C104" s="71" t="s">
        <v>34</v>
      </c>
      <c r="D104" s="46" t="s">
        <v>37</v>
      </c>
      <c r="E104" s="46" t="s">
        <v>38</v>
      </c>
      <c r="F104" s="258" t="s">
        <v>95</v>
      </c>
      <c r="G104" s="254">
        <f>SUM(H104:T104)+SUM(W104:X104)</f>
        <v>4.3655630465895332E-5</v>
      </c>
      <c r="H104" s="353">
        <v>0</v>
      </c>
      <c r="I104" s="353">
        <v>0</v>
      </c>
      <c r="J104" s="353">
        <v>0</v>
      </c>
      <c r="K104" s="353">
        <v>0</v>
      </c>
      <c r="L104" s="353">
        <v>0</v>
      </c>
      <c r="M104" s="353">
        <v>0</v>
      </c>
      <c r="N104" s="353">
        <v>0</v>
      </c>
      <c r="O104" s="254">
        <f>'Novel foods, input data'!$D$11*'Emission factors'!$D$7+'Novel foods, input data'!$F$11*'Emission factors'!$D$7+'Novel foods, input data'!$AH$11</f>
        <v>4.3655630465895332E-5</v>
      </c>
      <c r="P104" s="353">
        <v>0</v>
      </c>
      <c r="Q104" s="353">
        <v>0</v>
      </c>
      <c r="R104" s="353">
        <v>0</v>
      </c>
      <c r="S104" s="353">
        <v>0</v>
      </c>
      <c r="T104" s="353">
        <v>0</v>
      </c>
      <c r="U104" s="353">
        <v>0</v>
      </c>
      <c r="V104" s="353">
        <v>0</v>
      </c>
      <c r="W104" s="353">
        <v>0</v>
      </c>
      <c r="X104" s="353">
        <v>0</v>
      </c>
    </row>
    <row r="105" spans="1:24" ht="15.6" thickTop="1" thickBot="1">
      <c r="A105" s="260" t="s">
        <v>61</v>
      </c>
      <c r="B105" s="260" t="s">
        <v>62</v>
      </c>
      <c r="C105" s="261" t="s">
        <v>34</v>
      </c>
      <c r="D105" s="327" t="s">
        <v>37</v>
      </c>
      <c r="E105" s="327" t="s">
        <v>38</v>
      </c>
      <c r="F105" s="328" t="s">
        <v>96</v>
      </c>
      <c r="G105" s="262">
        <f>SUM(H105:X105)</f>
        <v>0.66161793193136142</v>
      </c>
      <c r="H105" s="263">
        <f t="shared" ref="H105" si="42">H101+H102*CF_CH4_foss+H103*CF_CH4_bio+H104*CF_N2O</f>
        <v>0</v>
      </c>
      <c r="I105" s="263">
        <f t="shared" ref="I105" si="43">I101+I102*CF_CH4_foss+I103*CF_CH4_bio+I104*CF_N2O</f>
        <v>0</v>
      </c>
      <c r="J105" s="263">
        <f t="shared" ref="J105" si="44">J101+J102*CF_CH4_foss+J103*CF_CH4_bio+J104*CF_N2O</f>
        <v>0</v>
      </c>
      <c r="K105" s="263">
        <f t="shared" ref="K105" si="45">K101+K102*CF_CH4_foss+K103*CF_CH4_bio+K104*CF_N2O</f>
        <v>0</v>
      </c>
      <c r="L105" s="263">
        <f t="shared" ref="L105" si="46">L101+L102*CF_CH4_foss+L103*CF_CH4_bio+L104*CF_N2O</f>
        <v>0</v>
      </c>
      <c r="M105" s="603">
        <f t="shared" ref="M105" si="47">M101+M102*CF_CH4_foss+M103*CF_CH4_bio+M104*CF_N2O</f>
        <v>0</v>
      </c>
      <c r="N105" s="603">
        <f t="shared" ref="N105" si="48">N101+N102*CF_CH4_foss+N103*CF_CH4_bio+N104*CF_N2O</f>
        <v>0</v>
      </c>
      <c r="O105" s="263">
        <f t="shared" ref="O105" si="49">O101+O102*CF_CH4_foss+O103*CF_CH4_bio+O104*CF_N2O</f>
        <v>0.66161793193136142</v>
      </c>
      <c r="P105" s="263">
        <f t="shared" ref="P105" si="50">P101+P102*CF_CH4_foss+P103*CF_CH4_bio+P104*CF_N2O</f>
        <v>0</v>
      </c>
      <c r="Q105" s="263">
        <f t="shared" ref="Q105" si="51">Q101+Q102*CF_CH4_foss+Q103*CF_CH4_bio+Q104*CF_N2O</f>
        <v>0</v>
      </c>
      <c r="R105" s="263">
        <f t="shared" ref="R105" si="52">R101+R102*CF_CH4_foss+R103*CF_CH4_bio+R104*CF_N2O</f>
        <v>0</v>
      </c>
      <c r="S105" s="263">
        <f t="shared" ref="S105" si="53">S101+S102*CF_CH4_foss+S103*CF_CH4_bio+S104*CF_N2O</f>
        <v>0</v>
      </c>
      <c r="T105" s="263">
        <f t="shared" ref="T105" si="54">T101+T102*CF_CH4_foss+T103*CF_CH4_bio+T104*CF_N2O</f>
        <v>0</v>
      </c>
      <c r="U105" s="263"/>
      <c r="V105" s="263"/>
      <c r="W105" s="263">
        <f>W101+W102*CF_CH4_foss+W103*CF_CH4_bio+W104*CF_N2O</f>
        <v>0</v>
      </c>
      <c r="X105" s="263">
        <f>X101+X102*CF_CH4_foss+X103*CF_CH4_bio+X104*CF_N2O</f>
        <v>0</v>
      </c>
    </row>
    <row r="106" spans="1:24" ht="15" thickTop="1">
      <c r="A106" s="322" t="s">
        <v>61</v>
      </c>
      <c r="B106" s="322" t="s">
        <v>62</v>
      </c>
      <c r="C106" s="323" t="s">
        <v>34</v>
      </c>
      <c r="D106" s="324" t="s">
        <v>39</v>
      </c>
      <c r="E106" s="324" t="s">
        <v>40</v>
      </c>
      <c r="F106" s="325" t="s">
        <v>92</v>
      </c>
      <c r="G106" s="326">
        <f>SUM(H106:X106)</f>
        <v>0.56083048434558513</v>
      </c>
      <c r="H106" s="352">
        <v>0</v>
      </c>
      <c r="I106" s="352">
        <v>0</v>
      </c>
      <c r="J106" s="352">
        <v>0</v>
      </c>
      <c r="K106" s="352">
        <v>0</v>
      </c>
      <c r="L106" s="352">
        <v>0</v>
      </c>
      <c r="M106" s="352">
        <v>0</v>
      </c>
      <c r="N106" s="352">
        <v>0</v>
      </c>
      <c r="O106" s="326">
        <f>'Novel foods, input data'!$D$11*'Emission factors'!$B$11+'Novel foods, input data'!$F$11*'Emission factors'!$B$11+'Novel foods, input data'!Z11*'Emission factors'!B22+'Novel foods, input data'!$AF$11</f>
        <v>0.56083048434558513</v>
      </c>
      <c r="P106" s="352">
        <v>0</v>
      </c>
      <c r="Q106" s="352">
        <v>0</v>
      </c>
      <c r="R106" s="352">
        <v>0</v>
      </c>
      <c r="S106" s="352">
        <v>0</v>
      </c>
      <c r="T106" s="352">
        <v>0</v>
      </c>
      <c r="U106" s="352">
        <v>0</v>
      </c>
      <c r="V106" s="352">
        <v>0</v>
      </c>
      <c r="W106" s="352">
        <v>0</v>
      </c>
      <c r="X106" s="352">
        <v>0</v>
      </c>
    </row>
    <row r="107" spans="1:24">
      <c r="A107" s="1" t="s">
        <v>61</v>
      </c>
      <c r="B107" s="1" t="s">
        <v>62</v>
      </c>
      <c r="C107" s="71" t="s">
        <v>34</v>
      </c>
      <c r="D107" s="46" t="s">
        <v>39</v>
      </c>
      <c r="E107" s="46" t="s">
        <v>40</v>
      </c>
      <c r="F107" s="1" t="s">
        <v>93</v>
      </c>
      <c r="G107" s="254">
        <f>SUM(H107:X107)</f>
        <v>1.1431393962080905E-3</v>
      </c>
      <c r="H107" s="353">
        <v>0</v>
      </c>
      <c r="I107" s="353">
        <v>0</v>
      </c>
      <c r="J107" s="353">
        <v>0</v>
      </c>
      <c r="K107" s="353">
        <v>0</v>
      </c>
      <c r="L107" s="353">
        <v>0</v>
      </c>
      <c r="M107" s="353">
        <v>0</v>
      </c>
      <c r="N107" s="353">
        <v>0</v>
      </c>
      <c r="O107" s="254">
        <f>'Novel foods, input data'!$D$11*'Emission factors'!$C$11+'Novel foods, input data'!$F$11*'Emission factors'!$C$11+'Novel foods, input data'!$AG$11</f>
        <v>1.1431393962080905E-3</v>
      </c>
      <c r="P107" s="353">
        <v>0</v>
      </c>
      <c r="Q107" s="4">
        <v>0</v>
      </c>
      <c r="R107" s="4">
        <v>0</v>
      </c>
      <c r="S107" s="4">
        <v>0</v>
      </c>
      <c r="T107" s="4">
        <v>0</v>
      </c>
      <c r="U107" s="4">
        <v>0</v>
      </c>
      <c r="V107" s="4">
        <v>0</v>
      </c>
      <c r="W107" s="4">
        <v>0</v>
      </c>
      <c r="X107" s="4">
        <v>0</v>
      </c>
    </row>
    <row r="108" spans="1:24">
      <c r="A108" s="1" t="s">
        <v>61</v>
      </c>
      <c r="B108" s="1" t="s">
        <v>62</v>
      </c>
      <c r="C108" s="71" t="s">
        <v>34</v>
      </c>
      <c r="D108" s="46" t="s">
        <v>39</v>
      </c>
      <c r="E108" s="46" t="s">
        <v>40</v>
      </c>
      <c r="F108" s="1" t="s">
        <v>94</v>
      </c>
      <c r="G108" s="254">
        <f>SUM(H108:T108)+SUM(W108:X108)</f>
        <v>0</v>
      </c>
      <c r="H108" s="353">
        <v>0</v>
      </c>
      <c r="I108" s="353">
        <v>0</v>
      </c>
      <c r="J108" s="353">
        <v>0</v>
      </c>
      <c r="K108" s="353">
        <v>0</v>
      </c>
      <c r="L108" s="353">
        <v>0</v>
      </c>
      <c r="M108" s="353">
        <v>0</v>
      </c>
      <c r="N108" s="353">
        <v>0</v>
      </c>
      <c r="O108" s="4">
        <v>0</v>
      </c>
      <c r="P108" s="353">
        <v>0</v>
      </c>
      <c r="Q108" s="4">
        <v>0</v>
      </c>
      <c r="R108" s="4">
        <v>0</v>
      </c>
      <c r="S108" s="4">
        <v>0</v>
      </c>
      <c r="T108" s="4">
        <v>0</v>
      </c>
      <c r="U108" s="4">
        <v>0</v>
      </c>
      <c r="V108" s="4">
        <v>0</v>
      </c>
      <c r="W108" s="4">
        <v>0</v>
      </c>
      <c r="X108" s="4">
        <v>0</v>
      </c>
    </row>
    <row r="109" spans="1:24" ht="15" thickBot="1">
      <c r="A109" s="1" t="s">
        <v>61</v>
      </c>
      <c r="B109" s="1" t="s">
        <v>62</v>
      </c>
      <c r="C109" s="71" t="s">
        <v>34</v>
      </c>
      <c r="D109" s="46" t="s">
        <v>39</v>
      </c>
      <c r="E109" s="46" t="s">
        <v>40</v>
      </c>
      <c r="F109" s="258" t="s">
        <v>95</v>
      </c>
      <c r="G109" s="254">
        <f>SUM(H109:T109)+SUM(W109:X109)</f>
        <v>4.2171612617167024E-5</v>
      </c>
      <c r="H109" s="353">
        <v>0</v>
      </c>
      <c r="I109" s="353">
        <v>0</v>
      </c>
      <c r="J109" s="353">
        <v>0</v>
      </c>
      <c r="K109" s="353">
        <v>0</v>
      </c>
      <c r="L109" s="353">
        <v>0</v>
      </c>
      <c r="M109" s="353">
        <v>0</v>
      </c>
      <c r="N109" s="353">
        <v>0</v>
      </c>
      <c r="O109" s="254">
        <f>'Novel foods, input data'!$D$11*'Emission factors'!$D$11+'Novel foods, input data'!$F$11*'Emission factors'!$D$11+'Novel foods, input data'!$AH$11</f>
        <v>4.2171612617167024E-5</v>
      </c>
      <c r="P109" s="353">
        <v>0</v>
      </c>
      <c r="Q109" s="353">
        <v>0</v>
      </c>
      <c r="R109" s="353">
        <v>0</v>
      </c>
      <c r="S109" s="353">
        <v>0</v>
      </c>
      <c r="T109" s="353">
        <v>0</v>
      </c>
      <c r="U109" s="353">
        <v>0</v>
      </c>
      <c r="V109" s="353">
        <v>0</v>
      </c>
      <c r="W109" s="353">
        <v>0</v>
      </c>
      <c r="X109" s="353">
        <v>0</v>
      </c>
    </row>
    <row r="110" spans="1:24" ht="15.6" thickTop="1" thickBot="1">
      <c r="A110" s="260" t="s">
        <v>61</v>
      </c>
      <c r="B110" s="260" t="s">
        <v>62</v>
      </c>
      <c r="C110" s="261" t="s">
        <v>34</v>
      </c>
      <c r="D110" s="327" t="s">
        <v>39</v>
      </c>
      <c r="E110" s="327" t="s">
        <v>40</v>
      </c>
      <c r="F110" s="328" t="s">
        <v>96</v>
      </c>
      <c r="G110" s="262">
        <f>SUM(H110:X110)</f>
        <v>0.60640888859707276</v>
      </c>
      <c r="H110" s="263">
        <f t="shared" ref="H110" si="55">H106+H107*CF_CH4_foss+H108*CF_CH4_bio+H109*CF_N2O</f>
        <v>0</v>
      </c>
      <c r="I110" s="263">
        <f t="shared" ref="I110" si="56">I106+I107*CF_CH4_foss+I108*CF_CH4_bio+I109*CF_N2O</f>
        <v>0</v>
      </c>
      <c r="J110" s="263">
        <f t="shared" ref="J110" si="57">J106+J107*CF_CH4_foss+J108*CF_CH4_bio+J109*CF_N2O</f>
        <v>0</v>
      </c>
      <c r="K110" s="263">
        <f t="shared" ref="K110" si="58">K106+K107*CF_CH4_foss+K108*CF_CH4_bio+K109*CF_N2O</f>
        <v>0</v>
      </c>
      <c r="L110" s="263">
        <f t="shared" ref="L110" si="59">L106+L107*CF_CH4_foss+L108*CF_CH4_bio+L109*CF_N2O</f>
        <v>0</v>
      </c>
      <c r="M110" s="603">
        <f t="shared" ref="M110" si="60">M106+M107*CF_CH4_foss+M108*CF_CH4_bio+M109*CF_N2O</f>
        <v>0</v>
      </c>
      <c r="N110" s="603">
        <f t="shared" ref="N110" si="61">N106+N107*CF_CH4_foss+N108*CF_CH4_bio+N109*CF_N2O</f>
        <v>0</v>
      </c>
      <c r="O110" s="263">
        <f t="shared" ref="O110" si="62">O106+O107*CF_CH4_foss+O108*CF_CH4_bio+O109*CF_N2O</f>
        <v>0.60640888859707276</v>
      </c>
      <c r="P110" s="263">
        <f t="shared" ref="P110" si="63">P106+P107*CF_CH4_foss+P108*CF_CH4_bio+P109*CF_N2O</f>
        <v>0</v>
      </c>
      <c r="Q110" s="263">
        <f t="shared" ref="Q110" si="64">Q106+Q107*CF_CH4_foss+Q108*CF_CH4_bio+Q109*CF_N2O</f>
        <v>0</v>
      </c>
      <c r="R110" s="263">
        <f t="shared" ref="R110" si="65">R106+R107*CF_CH4_foss+R108*CF_CH4_bio+R109*CF_N2O</f>
        <v>0</v>
      </c>
      <c r="S110" s="263">
        <f t="shared" ref="S110" si="66">S106+S107*CF_CH4_foss+S108*CF_CH4_bio+S109*CF_N2O</f>
        <v>0</v>
      </c>
      <c r="T110" s="263">
        <f t="shared" ref="T110" si="67">T106+T107*CF_CH4_foss+T108*CF_CH4_bio+T109*CF_N2O</f>
        <v>0</v>
      </c>
      <c r="U110" s="263"/>
      <c r="V110" s="263"/>
      <c r="W110" s="263">
        <f>W106+W107*CF_CH4_foss+W108*CF_CH4_bio+W109*CF_N2O</f>
        <v>0</v>
      </c>
      <c r="X110" s="263">
        <f>X106+X107*CF_CH4_foss+X108*CF_CH4_bio+X109*CF_N2O</f>
        <v>0</v>
      </c>
    </row>
    <row r="111" spans="1:24" ht="15" thickTop="1">
      <c r="A111" s="322" t="s">
        <v>61</v>
      </c>
      <c r="B111" s="322" t="s">
        <v>62</v>
      </c>
      <c r="C111" s="323" t="s">
        <v>34</v>
      </c>
      <c r="D111" s="324" t="s">
        <v>41</v>
      </c>
      <c r="E111" s="324" t="s">
        <v>42</v>
      </c>
      <c r="F111" s="325" t="s">
        <v>92</v>
      </c>
      <c r="G111" s="326">
        <f>SUM(H111:X111)</f>
        <v>0.61593502930711752</v>
      </c>
      <c r="H111" s="352">
        <v>0</v>
      </c>
      <c r="I111" s="352">
        <v>0</v>
      </c>
      <c r="J111" s="352">
        <v>0</v>
      </c>
      <c r="K111" s="352">
        <v>0</v>
      </c>
      <c r="L111" s="352">
        <v>0</v>
      </c>
      <c r="M111" s="352">
        <v>0</v>
      </c>
      <c r="N111" s="352">
        <v>0</v>
      </c>
      <c r="O111" s="326">
        <f>'Novel foods, input data'!$D$11*'Emission factors'!$B$13+'Novel foods, input data'!$F$11*'Emission factors'!$B$13+'Novel foods, input data'!Z11*'Emission factors'!B22+'Novel foods, input data'!$AF$11</f>
        <v>0.61593502930711752</v>
      </c>
      <c r="P111" s="352">
        <v>0</v>
      </c>
      <c r="Q111" s="352">
        <v>0</v>
      </c>
      <c r="R111" s="352">
        <v>0</v>
      </c>
      <c r="S111" s="352">
        <v>0</v>
      </c>
      <c r="T111" s="352">
        <v>0</v>
      </c>
      <c r="U111" s="352">
        <v>0</v>
      </c>
      <c r="V111" s="352">
        <v>0</v>
      </c>
      <c r="W111" s="352">
        <v>0</v>
      </c>
      <c r="X111" s="352">
        <v>0</v>
      </c>
    </row>
    <row r="112" spans="1:24">
      <c r="A112" s="1" t="s">
        <v>61</v>
      </c>
      <c r="B112" s="1" t="s">
        <v>62</v>
      </c>
      <c r="C112" s="71" t="s">
        <v>34</v>
      </c>
      <c r="D112" s="46" t="s">
        <v>41</v>
      </c>
      <c r="E112" s="46" t="s">
        <v>42</v>
      </c>
      <c r="F112" s="1" t="s">
        <v>93</v>
      </c>
      <c r="G112" s="254">
        <f>SUM(H112:X112)</f>
        <v>1.2335581322892189E-3</v>
      </c>
      <c r="H112" s="353">
        <v>0</v>
      </c>
      <c r="I112" s="353">
        <v>0</v>
      </c>
      <c r="J112" s="353">
        <v>0</v>
      </c>
      <c r="K112" s="353">
        <v>0</v>
      </c>
      <c r="L112" s="353">
        <v>0</v>
      </c>
      <c r="M112" s="353">
        <v>0</v>
      </c>
      <c r="N112" s="353">
        <v>0</v>
      </c>
      <c r="O112" s="254">
        <f>'Novel foods, input data'!$D$11*'Emission factors'!$C$13+'Novel foods, input data'!$F$11*'Emission factors'!$C$13+'Novel foods, input data'!$AG$11</f>
        <v>1.2335581322892189E-3</v>
      </c>
      <c r="P112" s="353">
        <v>0</v>
      </c>
      <c r="Q112" s="4">
        <v>0</v>
      </c>
      <c r="R112" s="4">
        <v>0</v>
      </c>
      <c r="S112" s="4">
        <v>0</v>
      </c>
      <c r="T112" s="4">
        <v>0</v>
      </c>
      <c r="U112" s="4">
        <v>0</v>
      </c>
      <c r="V112" s="4">
        <v>0</v>
      </c>
      <c r="W112" s="4">
        <v>0</v>
      </c>
      <c r="X112" s="4">
        <v>0</v>
      </c>
    </row>
    <row r="113" spans="1:24">
      <c r="A113" s="1" t="s">
        <v>61</v>
      </c>
      <c r="B113" s="1" t="s">
        <v>62</v>
      </c>
      <c r="C113" s="71" t="s">
        <v>34</v>
      </c>
      <c r="D113" s="46" t="s">
        <v>41</v>
      </c>
      <c r="E113" s="46" t="s">
        <v>42</v>
      </c>
      <c r="F113" s="1" t="s">
        <v>94</v>
      </c>
      <c r="G113" s="254">
        <f>SUM(H113:T113)+SUM(W113:X113)</f>
        <v>0</v>
      </c>
      <c r="H113" s="353">
        <v>0</v>
      </c>
      <c r="I113" s="353">
        <v>0</v>
      </c>
      <c r="J113" s="353">
        <v>0</v>
      </c>
      <c r="K113" s="353">
        <v>0</v>
      </c>
      <c r="L113" s="353">
        <v>0</v>
      </c>
      <c r="M113" s="353">
        <v>0</v>
      </c>
      <c r="N113" s="353">
        <v>0</v>
      </c>
      <c r="O113" s="4">
        <v>0</v>
      </c>
      <c r="P113" s="353">
        <v>0</v>
      </c>
      <c r="Q113" s="4">
        <v>0</v>
      </c>
      <c r="R113" s="4">
        <v>0</v>
      </c>
      <c r="S113" s="4">
        <v>0</v>
      </c>
      <c r="T113" s="4">
        <v>0</v>
      </c>
      <c r="U113" s="4">
        <v>0</v>
      </c>
      <c r="V113" s="4">
        <v>0</v>
      </c>
      <c r="W113" s="4">
        <v>0</v>
      </c>
      <c r="X113" s="4">
        <v>0</v>
      </c>
    </row>
    <row r="114" spans="1:24" ht="15" thickBot="1">
      <c r="A114" s="1" t="s">
        <v>61</v>
      </c>
      <c r="B114" s="1" t="s">
        <v>62</v>
      </c>
      <c r="C114" s="71" t="s">
        <v>34</v>
      </c>
      <c r="D114" s="46" t="s">
        <v>41</v>
      </c>
      <c r="E114" s="46" t="s">
        <v>42</v>
      </c>
      <c r="F114" s="258" t="s">
        <v>95</v>
      </c>
      <c r="G114" s="254">
        <f>SUM(H114:T114)+SUM(W114:X114)</f>
        <v>4.3010581076318799E-5</v>
      </c>
      <c r="H114" s="353">
        <v>0</v>
      </c>
      <c r="I114" s="353">
        <v>0</v>
      </c>
      <c r="J114" s="353">
        <v>0</v>
      </c>
      <c r="K114" s="353">
        <v>0</v>
      </c>
      <c r="L114" s="353">
        <v>0</v>
      </c>
      <c r="M114" s="353">
        <v>0</v>
      </c>
      <c r="N114" s="353">
        <v>0</v>
      </c>
      <c r="O114" s="254">
        <f>'Novel foods, input data'!$D$11*'Emission factors'!$D$13+'Novel foods, input data'!$F$11*'Emission factors'!$D$13+'Novel foods, input data'!$AH$11</f>
        <v>4.3010581076318799E-5</v>
      </c>
      <c r="P114" s="353">
        <v>0</v>
      </c>
      <c r="Q114" s="353">
        <v>0</v>
      </c>
      <c r="R114" s="353">
        <v>0</v>
      </c>
      <c r="S114" s="353">
        <v>0</v>
      </c>
      <c r="T114" s="353">
        <v>0</v>
      </c>
      <c r="U114" s="353">
        <v>0</v>
      </c>
      <c r="V114" s="353">
        <v>0</v>
      </c>
      <c r="W114" s="353">
        <v>0</v>
      </c>
      <c r="X114" s="353">
        <v>0</v>
      </c>
    </row>
    <row r="115" spans="1:24" ht="15.6" thickTop="1" thickBot="1">
      <c r="A115" s="260" t="s">
        <v>61</v>
      </c>
      <c r="B115" s="260" t="s">
        <v>62</v>
      </c>
      <c r="C115" s="261" t="s">
        <v>34</v>
      </c>
      <c r="D115" s="327" t="s">
        <v>41</v>
      </c>
      <c r="E115" s="327" t="s">
        <v>42</v>
      </c>
      <c r="F115" s="328" t="s">
        <v>96</v>
      </c>
      <c r="G115" s="262">
        <f>SUM(H115:X115)</f>
        <v>0.66443695028317129</v>
      </c>
      <c r="H115" s="263">
        <f t="shared" ref="H115" si="68">H111+H112*CF_CH4_foss+H113*CF_CH4_bio+H114*CF_N2O</f>
        <v>0</v>
      </c>
      <c r="I115" s="263">
        <f t="shared" ref="I115" si="69">I111+I112*CF_CH4_foss+I113*CF_CH4_bio+I114*CF_N2O</f>
        <v>0</v>
      </c>
      <c r="J115" s="263">
        <f t="shared" ref="J115" si="70">J111+J112*CF_CH4_foss+J113*CF_CH4_bio+J114*CF_N2O</f>
        <v>0</v>
      </c>
      <c r="K115" s="263">
        <f t="shared" ref="K115" si="71">K111+K112*CF_CH4_foss+K113*CF_CH4_bio+K114*CF_N2O</f>
        <v>0</v>
      </c>
      <c r="L115" s="263">
        <f t="shared" ref="L115" si="72">L111+L112*CF_CH4_foss+L113*CF_CH4_bio+L114*CF_N2O</f>
        <v>0</v>
      </c>
      <c r="M115" s="603">
        <f t="shared" ref="M115" si="73">M111+M112*CF_CH4_foss+M113*CF_CH4_bio+M114*CF_N2O</f>
        <v>0</v>
      </c>
      <c r="N115" s="603">
        <f t="shared" ref="N115" si="74">N111+N112*CF_CH4_foss+N113*CF_CH4_bio+N114*CF_N2O</f>
        <v>0</v>
      </c>
      <c r="O115" s="263">
        <f t="shared" ref="O115" si="75">O111+O112*CF_CH4_foss+O113*CF_CH4_bio+O114*CF_N2O</f>
        <v>0.66443695028317129</v>
      </c>
      <c r="P115" s="263">
        <f t="shared" ref="P115" si="76">P111+P112*CF_CH4_foss+P113*CF_CH4_bio+P114*CF_N2O</f>
        <v>0</v>
      </c>
      <c r="Q115" s="263">
        <f t="shared" ref="Q115" si="77">Q111+Q112*CF_CH4_foss+Q113*CF_CH4_bio+Q114*CF_N2O</f>
        <v>0</v>
      </c>
      <c r="R115" s="263">
        <f t="shared" ref="R115" si="78">R111+R112*CF_CH4_foss+R113*CF_CH4_bio+R114*CF_N2O</f>
        <v>0</v>
      </c>
      <c r="S115" s="263">
        <f t="shared" ref="S115" si="79">S111+S112*CF_CH4_foss+S113*CF_CH4_bio+S114*CF_N2O</f>
        <v>0</v>
      </c>
      <c r="T115" s="263">
        <f t="shared" ref="T115" si="80">T111+T112*CF_CH4_foss+T113*CF_CH4_bio+T114*CF_N2O</f>
        <v>0</v>
      </c>
      <c r="U115" s="263"/>
      <c r="V115" s="263"/>
      <c r="W115" s="263">
        <f>W111+W112*CF_CH4_foss+W113*CF_CH4_bio+W114*CF_N2O</f>
        <v>0</v>
      </c>
      <c r="X115" s="263">
        <f>X111+X112*CF_CH4_foss+X113*CF_CH4_bio+X114*CF_N2O</f>
        <v>0</v>
      </c>
    </row>
    <row r="116" spans="1:24" ht="15" thickTop="1">
      <c r="A116" s="322" t="s">
        <v>63</v>
      </c>
      <c r="B116" s="322" t="s">
        <v>64</v>
      </c>
      <c r="C116" s="323" t="s">
        <v>34</v>
      </c>
      <c r="D116" s="324" t="s">
        <v>45</v>
      </c>
      <c r="E116" s="324" t="s">
        <v>46</v>
      </c>
      <c r="F116" s="325" t="s">
        <v>92</v>
      </c>
      <c r="G116" s="326">
        <f>SUM(H116:X116)</f>
        <v>2.5190595166220859</v>
      </c>
      <c r="H116" s="326">
        <f>'Novel foods, input data'!$AB$12*'Agri ing'!$AF$27</f>
        <v>0.30232669474753149</v>
      </c>
      <c r="I116" s="326">
        <f>'Novel foods, input data'!$AB$12*'Agri ing'!$AG$27</f>
        <v>0.35781247544635925</v>
      </c>
      <c r="J116" s="352">
        <v>0</v>
      </c>
      <c r="K116" s="352">
        <v>0</v>
      </c>
      <c r="L116" s="326">
        <f>'Novel foods, input data'!$AB$12*'Agri ing'!$AH$27</f>
        <v>0.39572641214405985</v>
      </c>
      <c r="M116" s="352">
        <v>0</v>
      </c>
      <c r="N116" s="352">
        <v>0</v>
      </c>
      <c r="O116" s="326">
        <f>'Novel foods, input data'!$D$12*'Emission factors'!$B$6+'Novel foods, input data'!$F$12*'Emission factors'!$B$6+'Novel foods, input data'!$AF$12</f>
        <v>1.4631939342841351</v>
      </c>
      <c r="P116" s="352">
        <v>0</v>
      </c>
      <c r="Q116" s="352">
        <v>0</v>
      </c>
      <c r="R116" s="352">
        <v>0</v>
      </c>
      <c r="S116" s="352">
        <v>0</v>
      </c>
      <c r="T116" s="352">
        <v>0</v>
      </c>
      <c r="U116" s="352">
        <v>0</v>
      </c>
      <c r="V116" s="352">
        <v>0</v>
      </c>
      <c r="W116" s="352">
        <v>0</v>
      </c>
      <c r="X116" s="352">
        <v>0</v>
      </c>
    </row>
    <row r="117" spans="1:24">
      <c r="A117" s="1" t="s">
        <v>63</v>
      </c>
      <c r="B117" s="1" t="s">
        <v>64</v>
      </c>
      <c r="C117" s="71" t="s">
        <v>34</v>
      </c>
      <c r="D117" s="46" t="s">
        <v>45</v>
      </c>
      <c r="E117" s="46" t="s">
        <v>46</v>
      </c>
      <c r="F117" s="1" t="s">
        <v>93</v>
      </c>
      <c r="G117" s="254">
        <f>SUM(H117:X117)</f>
        <v>3.7988688930966318E-3</v>
      </c>
      <c r="H117" s="259">
        <f>'Novel foods, input data'!$AB$12*'Agri ing'!$AJ$27</f>
        <v>5.1912667863723101E-4</v>
      </c>
      <c r="I117" s="259">
        <f>'Novel foods, input data'!$AB$12*'Agri ing'!$AK$27</f>
        <v>1.2589698210149687E-3</v>
      </c>
      <c r="J117" s="353">
        <v>0</v>
      </c>
      <c r="K117" s="353">
        <v>0</v>
      </c>
      <c r="L117" s="280">
        <f>'Novel foods, input data'!$AB$12*'Agri ing'!$AL$27</f>
        <v>4.0095010106185898E-4</v>
      </c>
      <c r="M117" s="353">
        <v>0</v>
      </c>
      <c r="N117" s="353">
        <v>0</v>
      </c>
      <c r="O117" s="254">
        <f>'Novel foods, input data'!$D$12*'Emission factors'!$C$6+'Novel foods, input data'!$AG$12</f>
        <v>1.6198222923825727E-3</v>
      </c>
      <c r="P117" s="353">
        <v>0</v>
      </c>
      <c r="Q117" s="4">
        <v>0</v>
      </c>
      <c r="R117" s="4">
        <v>0</v>
      </c>
      <c r="S117" s="4">
        <v>0</v>
      </c>
      <c r="T117" s="4">
        <v>0</v>
      </c>
      <c r="U117" s="4">
        <v>0</v>
      </c>
      <c r="V117" s="4">
        <v>0</v>
      </c>
      <c r="W117" s="4">
        <v>0</v>
      </c>
      <c r="X117" s="4">
        <v>0</v>
      </c>
    </row>
    <row r="118" spans="1:24">
      <c r="A118" s="1" t="s">
        <v>63</v>
      </c>
      <c r="B118" s="1" t="s">
        <v>64</v>
      </c>
      <c r="C118" s="71" t="s">
        <v>34</v>
      </c>
      <c r="D118" s="46" t="s">
        <v>45</v>
      </c>
      <c r="E118" s="46" t="s">
        <v>46</v>
      </c>
      <c r="F118" s="1" t="s">
        <v>94</v>
      </c>
      <c r="G118" s="254">
        <f>SUM(H118:T118)+SUM(W118:X118)</f>
        <v>0</v>
      </c>
      <c r="H118" s="353">
        <v>0</v>
      </c>
      <c r="I118" s="353">
        <v>0</v>
      </c>
      <c r="J118" s="353">
        <v>0</v>
      </c>
      <c r="K118" s="353">
        <v>0</v>
      </c>
      <c r="L118" s="353">
        <v>0</v>
      </c>
      <c r="M118" s="353">
        <v>0</v>
      </c>
      <c r="N118" s="353">
        <v>0</v>
      </c>
      <c r="O118" s="4">
        <v>0</v>
      </c>
      <c r="P118" s="353">
        <v>0</v>
      </c>
      <c r="Q118" s="4">
        <v>0</v>
      </c>
      <c r="R118" s="4">
        <v>0</v>
      </c>
      <c r="S118" s="4">
        <v>0</v>
      </c>
      <c r="T118" s="4">
        <v>0</v>
      </c>
      <c r="U118" s="4">
        <v>0</v>
      </c>
      <c r="V118" s="4">
        <v>0</v>
      </c>
      <c r="W118" s="4">
        <v>0</v>
      </c>
      <c r="X118" s="4">
        <v>0</v>
      </c>
    </row>
    <row r="119" spans="1:24" ht="15" thickBot="1">
      <c r="A119" s="1" t="s">
        <v>63</v>
      </c>
      <c r="B119" s="1" t="s">
        <v>64</v>
      </c>
      <c r="C119" s="71" t="s">
        <v>34</v>
      </c>
      <c r="D119" s="46" t="s">
        <v>45</v>
      </c>
      <c r="E119" s="46" t="s">
        <v>46</v>
      </c>
      <c r="F119" s="258" t="s">
        <v>95</v>
      </c>
      <c r="G119" s="254">
        <f>SUM(H119:T119)+SUM(W119:X119)</f>
        <v>3.0279764167368967E-3</v>
      </c>
      <c r="H119" s="280">
        <f>'Novel foods, input data'!$AB$12*'Agri ing'!$AP$27</f>
        <v>6.5845665378904739E-4</v>
      </c>
      <c r="I119" s="280">
        <f>'Novel foods, input data'!$AB$12*'Agri ing'!$AQ$27</f>
        <v>1.4577545295962792E-5</v>
      </c>
      <c r="J119" s="280">
        <f>'Novel foods, input data'!$AB$12*'Agri ing'!$AR$27</f>
        <v>2.2788896296309391E-3</v>
      </c>
      <c r="K119" s="353">
        <v>0</v>
      </c>
      <c r="L119" s="280">
        <f>'Novel foods, input data'!$AB$12*'Agri ing'!$AS$27</f>
        <v>1.563135156398054E-5</v>
      </c>
      <c r="M119" s="353">
        <v>0</v>
      </c>
      <c r="N119" s="353">
        <v>0</v>
      </c>
      <c r="O119" s="610">
        <f>'Novel foods, input data'!$D$12*'Emission factors'!$D$6+'Novel foods, input data'!$AH$12</f>
        <v>6.042123645696702E-5</v>
      </c>
      <c r="P119" s="353">
        <v>0</v>
      </c>
      <c r="Q119" s="353">
        <v>0</v>
      </c>
      <c r="R119" s="353">
        <v>0</v>
      </c>
      <c r="S119" s="353">
        <v>0</v>
      </c>
      <c r="T119" s="353">
        <v>0</v>
      </c>
      <c r="U119" s="353">
        <v>0</v>
      </c>
      <c r="V119" s="353">
        <v>0</v>
      </c>
      <c r="W119" s="353">
        <v>0</v>
      </c>
      <c r="X119" s="353">
        <v>0</v>
      </c>
    </row>
    <row r="120" spans="1:24" ht="15.6" thickTop="1" thickBot="1">
      <c r="A120" s="260" t="s">
        <v>63</v>
      </c>
      <c r="B120" s="260" t="s">
        <v>64</v>
      </c>
      <c r="C120" s="261" t="s">
        <v>34</v>
      </c>
      <c r="D120" s="327" t="s">
        <v>45</v>
      </c>
      <c r="E120" s="327" t="s">
        <v>46</v>
      </c>
      <c r="F120" s="328" t="s">
        <v>96</v>
      </c>
      <c r="G120" s="262">
        <f>SUM(H120:X120)</f>
        <v>3.4589033714055382</v>
      </c>
      <c r="H120" s="263">
        <f t="shared" ref="H120" si="81">H116+H117*CF_CH4_foss+H118*CF_CH4_bio+H119*CF_N2O</f>
        <v>0.49755533625533088</v>
      </c>
      <c r="I120" s="263">
        <f t="shared" ref="I120" si="82">I116+I117*CF_CH4_foss+I118*CF_CH4_bio+I119*CF_N2O</f>
        <v>0.39930944597840318</v>
      </c>
      <c r="J120" s="263">
        <f t="shared" ref="J120" si="83">J116+J117*CF_CH4_foss+J118*CF_CH4_bio+J119*CF_N2O</f>
        <v>0.62213686888924635</v>
      </c>
      <c r="K120" s="263">
        <f t="shared" ref="K120" si="84">K116+K117*CF_CH4_foss+K118*CF_CH4_bio+K119*CF_N2O</f>
        <v>0</v>
      </c>
      <c r="L120" s="263">
        <f t="shared" ref="L120" si="85">L116+L117*CF_CH4_foss+L118*CF_CH4_bio+L119*CF_N2O</f>
        <v>0.41194208413266992</v>
      </c>
      <c r="M120" s="603">
        <f t="shared" ref="M120" si="86">M116+M117*CF_CH4_foss+M118*CF_CH4_bio+M119*CF_N2O</f>
        <v>0</v>
      </c>
      <c r="N120" s="603">
        <f t="shared" ref="N120" si="87">N116+N117*CF_CH4_foss+N118*CF_CH4_bio+N119*CF_N2O</f>
        <v>0</v>
      </c>
      <c r="O120" s="263">
        <f t="shared" ref="O120" si="88">O116+O117*CF_CH4_foss+O118*CF_CH4_bio+O119*CF_N2O</f>
        <v>1.5279596361498877</v>
      </c>
      <c r="P120" s="263">
        <f t="shared" ref="P120" si="89">P116+P117*CF_CH4_foss+P118*CF_CH4_bio+P119*CF_N2O</f>
        <v>0</v>
      </c>
      <c r="Q120" s="263">
        <f t="shared" ref="Q120" si="90">Q116+Q117*CF_CH4_foss+Q118*CF_CH4_bio+Q119*CF_N2O</f>
        <v>0</v>
      </c>
      <c r="R120" s="263">
        <f t="shared" ref="R120" si="91">R116+R117*CF_CH4_foss+R118*CF_CH4_bio+R119*CF_N2O</f>
        <v>0</v>
      </c>
      <c r="S120" s="263">
        <f t="shared" ref="S120" si="92">S116+S117*CF_CH4_foss+S118*CF_CH4_bio+S119*CF_N2O</f>
        <v>0</v>
      </c>
      <c r="T120" s="263">
        <f t="shared" ref="T120" si="93">T116+T117*CF_CH4_foss+T118*CF_CH4_bio+T119*CF_N2O</f>
        <v>0</v>
      </c>
      <c r="U120" s="263"/>
      <c r="V120" s="263"/>
      <c r="W120" s="263">
        <f>W116+W117*CF_CH4_foss+W118*CF_CH4_bio+W119*CF_N2O</f>
        <v>0</v>
      </c>
      <c r="X120" s="263">
        <f>X116+X117*CF_CH4_foss+X118*CF_CH4_bio+X119*CF_N2O</f>
        <v>0</v>
      </c>
    </row>
    <row r="121" spans="1:24" ht="15" thickTop="1">
      <c r="A121" s="322" t="s">
        <v>63</v>
      </c>
      <c r="B121" s="322" t="s">
        <v>64</v>
      </c>
      <c r="C121" s="323" t="s">
        <v>34</v>
      </c>
      <c r="D121" s="324" t="s">
        <v>47</v>
      </c>
      <c r="E121" s="324" t="s">
        <v>48</v>
      </c>
      <c r="F121" s="325" t="s">
        <v>92</v>
      </c>
      <c r="G121" s="326">
        <f>SUM(H121:X121)</f>
        <v>2.8137271401728365</v>
      </c>
      <c r="H121" s="326">
        <f>'Novel foods, input data'!$AB$12*'Agri ing'!$AF$27</f>
        <v>0.30232669474753149</v>
      </c>
      <c r="I121" s="326">
        <f>'Novel foods, input data'!$AB$12*'Agri ing'!$AG$27</f>
        <v>0.35781247544635925</v>
      </c>
      <c r="J121" s="352">
        <v>0</v>
      </c>
      <c r="K121" s="352">
        <v>0</v>
      </c>
      <c r="L121" s="326">
        <f>'Novel foods, input data'!$AB$12*'Agri ing'!$AH$27</f>
        <v>0.39572641214405985</v>
      </c>
      <c r="M121" s="352">
        <v>0</v>
      </c>
      <c r="N121" s="352">
        <v>0</v>
      </c>
      <c r="O121" s="326">
        <f>'Novel foods, input data'!$D$12*'Emission factors'!$B$8+'Novel foods, input data'!$F$12*'Emission factors'!$B$8+'Novel foods, input data'!$AF$12</f>
        <v>1.757861557834886</v>
      </c>
      <c r="P121" s="352">
        <v>0</v>
      </c>
      <c r="Q121" s="352">
        <v>0</v>
      </c>
      <c r="R121" s="352">
        <v>0</v>
      </c>
      <c r="S121" s="352">
        <v>0</v>
      </c>
      <c r="T121" s="352">
        <v>0</v>
      </c>
      <c r="U121" s="352">
        <v>0</v>
      </c>
      <c r="V121" s="352">
        <v>0</v>
      </c>
      <c r="W121" s="352">
        <v>0</v>
      </c>
      <c r="X121" s="352">
        <v>0</v>
      </c>
    </row>
    <row r="122" spans="1:24">
      <c r="A122" s="1" t="s">
        <v>63</v>
      </c>
      <c r="B122" s="1" t="s">
        <v>64</v>
      </c>
      <c r="C122" s="71" t="s">
        <v>34</v>
      </c>
      <c r="D122" s="46" t="s">
        <v>47</v>
      </c>
      <c r="E122" s="46" t="s">
        <v>48</v>
      </c>
      <c r="F122" s="1" t="s">
        <v>93</v>
      </c>
      <c r="G122" s="254">
        <f>SUM(H122:X122)</f>
        <v>4.9891750697462134E-3</v>
      </c>
      <c r="H122" s="259">
        <f>'Novel foods, input data'!$AB$12*'Agri ing'!$AJ$27</f>
        <v>5.1912667863723101E-4</v>
      </c>
      <c r="I122" s="259">
        <f>'Novel foods, input data'!$AB$12*'Agri ing'!$AK$27</f>
        <v>1.2589698210149687E-3</v>
      </c>
      <c r="J122" s="353">
        <v>0</v>
      </c>
      <c r="K122" s="353">
        <v>0</v>
      </c>
      <c r="L122" s="280">
        <f>'Novel foods, input data'!$AB$12*'Agri ing'!$AL$27</f>
        <v>4.0095010106185898E-4</v>
      </c>
      <c r="M122" s="353">
        <v>0</v>
      </c>
      <c r="N122" s="353">
        <v>0</v>
      </c>
      <c r="O122" s="254">
        <f>'Novel foods, input data'!$D$12*'Emission factors'!$C$8+'Novel foods, input data'!$AG$12</f>
        <v>2.8101284690321545E-3</v>
      </c>
      <c r="P122" s="353">
        <v>0</v>
      </c>
      <c r="Q122" s="4">
        <v>0</v>
      </c>
      <c r="R122" s="4">
        <v>0</v>
      </c>
      <c r="S122" s="4">
        <v>0</v>
      </c>
      <c r="T122" s="4">
        <v>0</v>
      </c>
      <c r="U122" s="4">
        <v>0</v>
      </c>
      <c r="V122" s="4">
        <v>0</v>
      </c>
      <c r="W122" s="4">
        <v>0</v>
      </c>
      <c r="X122" s="4">
        <v>0</v>
      </c>
    </row>
    <row r="123" spans="1:24">
      <c r="A123" s="1" t="s">
        <v>63</v>
      </c>
      <c r="B123" s="1" t="s">
        <v>64</v>
      </c>
      <c r="C123" s="71" t="s">
        <v>34</v>
      </c>
      <c r="D123" s="46" t="s">
        <v>47</v>
      </c>
      <c r="E123" s="46" t="s">
        <v>48</v>
      </c>
      <c r="F123" s="1" t="s">
        <v>94</v>
      </c>
      <c r="G123" s="254">
        <f>SUM(H123:T123)+SUM(W123:X123)</f>
        <v>0</v>
      </c>
      <c r="H123" s="353">
        <v>0</v>
      </c>
      <c r="I123" s="353">
        <v>0</v>
      </c>
      <c r="J123" s="353">
        <v>0</v>
      </c>
      <c r="K123" s="353">
        <v>0</v>
      </c>
      <c r="L123" s="353">
        <v>0</v>
      </c>
      <c r="M123" s="353">
        <v>0</v>
      </c>
      <c r="N123" s="353">
        <v>0</v>
      </c>
      <c r="O123" s="4">
        <v>0</v>
      </c>
      <c r="P123" s="353">
        <v>0</v>
      </c>
      <c r="Q123" s="4">
        <v>0</v>
      </c>
      <c r="R123" s="4">
        <v>0</v>
      </c>
      <c r="S123" s="4">
        <v>0</v>
      </c>
      <c r="T123" s="4">
        <v>0</v>
      </c>
      <c r="U123" s="4">
        <v>0</v>
      </c>
      <c r="V123" s="4">
        <v>0</v>
      </c>
      <c r="W123" s="4">
        <v>0</v>
      </c>
      <c r="X123" s="4">
        <v>0</v>
      </c>
    </row>
    <row r="124" spans="1:24" ht="15" thickBot="1">
      <c r="A124" s="1" t="s">
        <v>63</v>
      </c>
      <c r="B124" s="1" t="s">
        <v>64</v>
      </c>
      <c r="C124" s="71" t="s">
        <v>34</v>
      </c>
      <c r="D124" s="46" t="s">
        <v>47</v>
      </c>
      <c r="E124" s="46" t="s">
        <v>48</v>
      </c>
      <c r="F124" s="258" t="s">
        <v>95</v>
      </c>
      <c r="G124" s="254">
        <f>SUM(H124:T124)+SUM(W124:X124)</f>
        <v>3.0333496915484546E-3</v>
      </c>
      <c r="H124" s="280">
        <f>'Novel foods, input data'!$AB$12*'Agri ing'!$AP$27</f>
        <v>6.5845665378904739E-4</v>
      </c>
      <c r="I124" s="280">
        <f>'Novel foods, input data'!$AB$12*'Agri ing'!$AQ$27</f>
        <v>1.4577545295962792E-5</v>
      </c>
      <c r="J124" s="280">
        <f>'Novel foods, input data'!$AB$12*'Agri ing'!$AR$27</f>
        <v>2.2788896296309391E-3</v>
      </c>
      <c r="K124" s="353">
        <v>0</v>
      </c>
      <c r="L124" s="280">
        <f>'Novel foods, input data'!$AB$12*'Agri ing'!$AS$27</f>
        <v>1.563135156398054E-5</v>
      </c>
      <c r="M124" s="353">
        <v>0</v>
      </c>
      <c r="N124" s="353">
        <v>0</v>
      </c>
      <c r="O124" s="254">
        <f>'Novel foods, input data'!$D$12*'Emission factors'!$D$8+'Novel foods, input data'!$AH$12</f>
        <v>6.5794511268524926E-5</v>
      </c>
      <c r="P124" s="353">
        <v>0</v>
      </c>
      <c r="Q124" s="353">
        <v>0</v>
      </c>
      <c r="R124" s="353">
        <v>0</v>
      </c>
      <c r="S124" s="353">
        <v>0</v>
      </c>
      <c r="T124" s="353">
        <v>0</v>
      </c>
      <c r="U124" s="353">
        <v>0</v>
      </c>
      <c r="V124" s="353">
        <v>0</v>
      </c>
      <c r="W124" s="353">
        <v>0</v>
      </c>
      <c r="X124" s="353">
        <v>0</v>
      </c>
    </row>
    <row r="125" spans="1:24" ht="15.6" thickTop="1" thickBot="1">
      <c r="A125" s="260" t="s">
        <v>63</v>
      </c>
      <c r="B125" s="260" t="s">
        <v>64</v>
      </c>
      <c r="C125" s="261" t="s">
        <v>34</v>
      </c>
      <c r="D125" s="327" t="s">
        <v>47</v>
      </c>
      <c r="E125" s="327" t="s">
        <v>46</v>
      </c>
      <c r="F125" s="328" t="s">
        <v>96</v>
      </c>
      <c r="G125" s="262">
        <f>SUM(H125:X125)</f>
        <v>3.7905090230440019</v>
      </c>
      <c r="H125" s="263">
        <f t="shared" ref="H125" si="94">H121+H122*CF_CH4_foss+H123*CF_CH4_bio+H124*CF_N2O</f>
        <v>0.49755533625533088</v>
      </c>
      <c r="I125" s="263">
        <f t="shared" ref="I125" si="95">I121+I122*CF_CH4_foss+I123*CF_CH4_bio+I124*CF_N2O</f>
        <v>0.39930944597840318</v>
      </c>
      <c r="J125" s="263">
        <f t="shared" ref="J125" si="96">J121+J122*CF_CH4_foss+J123*CF_CH4_bio+J124*CF_N2O</f>
        <v>0.62213686888924635</v>
      </c>
      <c r="K125" s="263">
        <f t="shared" ref="K125" si="97">K121+K122*CF_CH4_foss+K123*CF_CH4_bio+K124*CF_N2O</f>
        <v>0</v>
      </c>
      <c r="L125" s="263">
        <f t="shared" ref="L125" si="98">L121+L122*CF_CH4_foss+L123*CF_CH4_bio+L124*CF_N2O</f>
        <v>0.41194208413266992</v>
      </c>
      <c r="M125" s="603">
        <f t="shared" ref="M125" si="99">M121+M122*CF_CH4_foss+M123*CF_CH4_bio+M124*CF_N2O</f>
        <v>0</v>
      </c>
      <c r="N125" s="603">
        <f t="shared" ref="N125" si="100">N121+N122*CF_CH4_foss+N123*CF_CH4_bio+N124*CF_N2O</f>
        <v>0</v>
      </c>
      <c r="O125" s="263">
        <f t="shared" ref="O125" si="101">O121+O122*CF_CH4_foss+O123*CF_CH4_bio+O124*CF_N2O</f>
        <v>1.8595652877883515</v>
      </c>
      <c r="P125" s="263">
        <f t="shared" ref="P125" si="102">P121+P122*CF_CH4_foss+P123*CF_CH4_bio+P124*CF_N2O</f>
        <v>0</v>
      </c>
      <c r="Q125" s="263">
        <f t="shared" ref="Q125" si="103">Q121+Q122*CF_CH4_foss+Q123*CF_CH4_bio+Q124*CF_N2O</f>
        <v>0</v>
      </c>
      <c r="R125" s="263">
        <f t="shared" ref="R125" si="104">R121+R122*CF_CH4_foss+R123*CF_CH4_bio+R124*CF_N2O</f>
        <v>0</v>
      </c>
      <c r="S125" s="263">
        <f t="shared" ref="S125" si="105">S121+S122*CF_CH4_foss+S123*CF_CH4_bio+S124*CF_N2O</f>
        <v>0</v>
      </c>
      <c r="T125" s="263">
        <f t="shared" ref="T125" si="106">T121+T122*CF_CH4_foss+T123*CF_CH4_bio+T124*CF_N2O</f>
        <v>0</v>
      </c>
      <c r="U125" s="263"/>
      <c r="V125" s="263"/>
      <c r="W125" s="263">
        <f>W121+W122*CF_CH4_foss+W123*CF_CH4_bio+W124*CF_N2O</f>
        <v>0</v>
      </c>
      <c r="X125" s="263">
        <f>X121+X122*CF_CH4_foss+X123*CF_CH4_bio+X124*CF_N2O</f>
        <v>0</v>
      </c>
    </row>
    <row r="126" spans="1:24" ht="15" thickTop="1">
      <c r="A126" s="322" t="s">
        <v>63</v>
      </c>
      <c r="B126" s="322" t="s">
        <v>64</v>
      </c>
      <c r="C126" s="323" t="s">
        <v>34</v>
      </c>
      <c r="D126" s="324" t="s">
        <v>39</v>
      </c>
      <c r="E126" s="324" t="s">
        <v>40</v>
      </c>
      <c r="F126" s="325" t="s">
        <v>92</v>
      </c>
      <c r="G126" s="326">
        <f>SUM(H126:X126)</f>
        <v>1.6250170759969644</v>
      </c>
      <c r="H126" s="326">
        <f>'Novel foods, input data'!$AB$12*'Agri ing'!$AF$27</f>
        <v>0.30232669474753149</v>
      </c>
      <c r="I126" s="326">
        <f>'Novel foods, input data'!$AB$12*'Agri ing'!$AG$27</f>
        <v>0.35781247544635925</v>
      </c>
      <c r="J126" s="352">
        <v>0</v>
      </c>
      <c r="K126" s="352">
        <v>0</v>
      </c>
      <c r="L126" s="326">
        <f>'Novel foods, input data'!$AB$12*'Agri ing'!$AH$27</f>
        <v>0.39572641214405985</v>
      </c>
      <c r="M126" s="352">
        <v>0</v>
      </c>
      <c r="N126" s="352">
        <v>0</v>
      </c>
      <c r="O126" s="326">
        <f>'Novel foods, input data'!$D$12*'Emission factors'!$B$11+'Novel foods, input data'!$F$12*'Emission factors'!$B$11+'Novel foods, input data'!$AF$12</f>
        <v>0.56915149365901385</v>
      </c>
      <c r="P126" s="352">
        <v>0</v>
      </c>
      <c r="Q126" s="352">
        <v>0</v>
      </c>
      <c r="R126" s="352">
        <v>0</v>
      </c>
      <c r="S126" s="352">
        <v>0</v>
      </c>
      <c r="T126" s="352">
        <v>0</v>
      </c>
      <c r="U126" s="352">
        <v>0</v>
      </c>
      <c r="V126" s="352">
        <v>0</v>
      </c>
      <c r="W126" s="352">
        <v>0</v>
      </c>
      <c r="X126" s="352">
        <v>0</v>
      </c>
    </row>
    <row r="127" spans="1:24">
      <c r="A127" s="1" t="s">
        <v>63</v>
      </c>
      <c r="B127" s="1" t="s">
        <v>64</v>
      </c>
      <c r="C127" s="71" t="s">
        <v>34</v>
      </c>
      <c r="D127" s="46" t="s">
        <v>39</v>
      </c>
      <c r="E127" s="46" t="s">
        <v>40</v>
      </c>
      <c r="F127" s="1" t="s">
        <v>93</v>
      </c>
      <c r="G127" s="254">
        <f>SUM(H127:X127)</f>
        <v>2.490535062757075E-3</v>
      </c>
      <c r="H127" s="259">
        <f>'Novel foods, input data'!$AB$12*'Agri ing'!$AJ$27</f>
        <v>5.1912667863723101E-4</v>
      </c>
      <c r="I127" s="259">
        <f>'Novel foods, input data'!$AB$12*'Agri ing'!$AK$27</f>
        <v>1.2589698210149687E-3</v>
      </c>
      <c r="J127" s="353">
        <v>0</v>
      </c>
      <c r="K127" s="353">
        <v>0</v>
      </c>
      <c r="L127" s="280">
        <f>'Novel foods, input data'!$AB$12*'Agri ing'!$AL$27</f>
        <v>4.0095010106185898E-4</v>
      </c>
      <c r="M127" s="353">
        <v>0</v>
      </c>
      <c r="N127" s="353">
        <v>0</v>
      </c>
      <c r="O127" s="254">
        <f>'Novel foods, input data'!$D$12*'Emission factors'!$C$11+'Novel foods, input data'!$AG$12</f>
        <v>3.1148846204301643E-4</v>
      </c>
      <c r="P127" s="353">
        <v>0</v>
      </c>
      <c r="Q127" s="4">
        <v>0</v>
      </c>
      <c r="R127" s="4">
        <v>0</v>
      </c>
      <c r="S127" s="4">
        <v>0</v>
      </c>
      <c r="T127" s="4">
        <v>0</v>
      </c>
      <c r="U127" s="4">
        <v>0</v>
      </c>
      <c r="V127" s="4">
        <v>0</v>
      </c>
      <c r="W127" s="4">
        <v>0</v>
      </c>
      <c r="X127" s="4">
        <v>0</v>
      </c>
    </row>
    <row r="128" spans="1:24">
      <c r="A128" s="1" t="s">
        <v>63</v>
      </c>
      <c r="B128" s="1" t="s">
        <v>64</v>
      </c>
      <c r="C128" s="71" t="s">
        <v>34</v>
      </c>
      <c r="D128" s="46" t="s">
        <v>39</v>
      </c>
      <c r="E128" s="46" t="s">
        <v>40</v>
      </c>
      <c r="F128" s="1" t="s">
        <v>94</v>
      </c>
      <c r="G128" s="254">
        <f>SUM(H128:T128)+SUM(W128:X128)</f>
        <v>0</v>
      </c>
      <c r="H128" s="353">
        <v>0</v>
      </c>
      <c r="I128" s="353">
        <v>0</v>
      </c>
      <c r="J128" s="353">
        <v>0</v>
      </c>
      <c r="K128" s="353">
        <v>0</v>
      </c>
      <c r="L128" s="353">
        <v>0</v>
      </c>
      <c r="M128" s="353">
        <v>0</v>
      </c>
      <c r="N128" s="353">
        <v>0</v>
      </c>
      <c r="O128" s="4">
        <v>0</v>
      </c>
      <c r="P128" s="353">
        <v>0</v>
      </c>
      <c r="Q128" s="4">
        <v>0</v>
      </c>
      <c r="R128" s="4">
        <v>0</v>
      </c>
      <c r="S128" s="4">
        <v>0</v>
      </c>
      <c r="T128" s="4">
        <v>0</v>
      </c>
      <c r="U128" s="4">
        <v>0</v>
      </c>
      <c r="V128" s="4">
        <v>0</v>
      </c>
      <c r="W128" s="4">
        <v>0</v>
      </c>
      <c r="X128" s="4">
        <v>0</v>
      </c>
    </row>
    <row r="129" spans="1:24" ht="15" thickBot="1">
      <c r="A129" s="1" t="s">
        <v>63</v>
      </c>
      <c r="B129" s="1" t="s">
        <v>64</v>
      </c>
      <c r="C129" s="71" t="s">
        <v>34</v>
      </c>
      <c r="D129" s="46" t="s">
        <v>39</v>
      </c>
      <c r="E129" s="46" t="s">
        <v>40</v>
      </c>
      <c r="F129" s="258" t="s">
        <v>95</v>
      </c>
      <c r="G129" s="254">
        <f>SUM(H129:T129)+SUM(W129:X129)</f>
        <v>2.9934571558120748E-3</v>
      </c>
      <c r="H129" s="280">
        <f>'Novel foods, input data'!$AB$12*'Agri ing'!$AP$27</f>
        <v>6.5845665378904739E-4</v>
      </c>
      <c r="I129" s="280">
        <f>'Novel foods, input data'!$AB$12*'Agri ing'!$AQ$27</f>
        <v>1.4577545295962792E-5</v>
      </c>
      <c r="J129" s="280">
        <f>'Novel foods, input data'!$AB$12*'Agri ing'!$AR$27</f>
        <v>2.2788896296309391E-3</v>
      </c>
      <c r="K129" s="353">
        <v>0</v>
      </c>
      <c r="L129" s="280">
        <f>'Novel foods, input data'!$AB$12*'Agri ing'!$AS$27</f>
        <v>1.563135156398054E-5</v>
      </c>
      <c r="M129" s="353">
        <v>0</v>
      </c>
      <c r="N129" s="353">
        <v>0</v>
      </c>
      <c r="O129" s="254">
        <f>'Novel foods, input data'!$D$12*'Emission factors'!$D$11+'Novel foods, input data'!$AH$12</f>
        <v>2.590197553214507E-5</v>
      </c>
      <c r="P129" s="353">
        <v>0</v>
      </c>
      <c r="Q129" s="353">
        <v>0</v>
      </c>
      <c r="R129" s="353">
        <v>0</v>
      </c>
      <c r="S129" s="353">
        <v>0</v>
      </c>
      <c r="T129" s="353">
        <v>0</v>
      </c>
      <c r="U129" s="353">
        <v>0</v>
      </c>
      <c r="V129" s="353">
        <v>0</v>
      </c>
      <c r="W129" s="353">
        <v>0</v>
      </c>
      <c r="X129" s="353">
        <v>0</v>
      </c>
    </row>
    <row r="130" spans="1:24" ht="15.6" thickTop="1" thickBot="1">
      <c r="A130" s="260" t="s">
        <v>63</v>
      </c>
      <c r="B130" s="260" t="s">
        <v>64</v>
      </c>
      <c r="C130" s="261" t="s">
        <v>34</v>
      </c>
      <c r="D130" s="327" t="s">
        <v>39</v>
      </c>
      <c r="E130" s="327" t="s">
        <v>40</v>
      </c>
      <c r="F130" s="328" t="s">
        <v>96</v>
      </c>
      <c r="G130" s="262">
        <f>SUM(H130:X130)</f>
        <v>2.5164488244038217</v>
      </c>
      <c r="H130" s="263">
        <f t="shared" ref="H130" si="107">H126+H127*CF_CH4_foss+H128*CF_CH4_bio+H129*CF_N2O</f>
        <v>0.49755533625533088</v>
      </c>
      <c r="I130" s="263">
        <f t="shared" ref="I130" si="108">I126+I127*CF_CH4_foss+I128*CF_CH4_bio+I129*CF_N2O</f>
        <v>0.39930944597840318</v>
      </c>
      <c r="J130" s="263">
        <f t="shared" ref="J130" si="109">J126+J127*CF_CH4_foss+J128*CF_CH4_bio+J129*CF_N2O</f>
        <v>0.62213686888924635</v>
      </c>
      <c r="K130" s="263">
        <f t="shared" ref="K130" si="110">K126+K127*CF_CH4_foss+K128*CF_CH4_bio+K129*CF_N2O</f>
        <v>0</v>
      </c>
      <c r="L130" s="263">
        <f t="shared" ref="L130" si="111">L126+L127*CF_CH4_foss+L128*CF_CH4_bio+L129*CF_N2O</f>
        <v>0.41194208413266992</v>
      </c>
      <c r="M130" s="603">
        <f t="shared" ref="M130" si="112">M126+M127*CF_CH4_foss+M128*CF_CH4_bio+M129*CF_N2O</f>
        <v>0</v>
      </c>
      <c r="N130" s="603">
        <f t="shared" ref="N130" si="113">N126+N127*CF_CH4_foss+N128*CF_CH4_bio+N129*CF_N2O</f>
        <v>0</v>
      </c>
      <c r="O130" s="263">
        <f t="shared" ref="O130" si="114">O126+O127*CF_CH4_foss+O128*CF_CH4_bio+O129*CF_N2O</f>
        <v>0.58550508914817134</v>
      </c>
      <c r="P130" s="263">
        <f t="shared" ref="P130" si="115">P126+P127*CF_CH4_foss+P128*CF_CH4_bio+P129*CF_N2O</f>
        <v>0</v>
      </c>
      <c r="Q130" s="263">
        <f t="shared" ref="Q130" si="116">Q126+Q127*CF_CH4_foss+Q128*CF_CH4_bio+Q129*CF_N2O</f>
        <v>0</v>
      </c>
      <c r="R130" s="263">
        <f t="shared" ref="R130" si="117">R126+R127*CF_CH4_foss+R128*CF_CH4_bio+R129*CF_N2O</f>
        <v>0</v>
      </c>
      <c r="S130" s="263">
        <f t="shared" ref="S130" si="118">S126+S127*CF_CH4_foss+S128*CF_CH4_bio+S129*CF_N2O</f>
        <v>0</v>
      </c>
      <c r="T130" s="263">
        <f t="shared" ref="T130" si="119">T126+T127*CF_CH4_foss+T128*CF_CH4_bio+T129*CF_N2O</f>
        <v>0</v>
      </c>
      <c r="U130" s="263"/>
      <c r="V130" s="263"/>
      <c r="W130" s="263">
        <f>W126+W127*CF_CH4_foss+W128*CF_CH4_bio+W129*CF_N2O</f>
        <v>0</v>
      </c>
      <c r="X130" s="263">
        <f>X126+X127*CF_CH4_foss+X128*CF_CH4_bio+X129*CF_N2O</f>
        <v>0</v>
      </c>
    </row>
    <row r="131" spans="1:24" ht="15" thickTop="1">
      <c r="A131" s="322" t="s">
        <v>63</v>
      </c>
      <c r="B131" s="322" t="s">
        <v>64</v>
      </c>
      <c r="C131" s="323" t="s">
        <v>34</v>
      </c>
      <c r="D131" s="324" t="s">
        <v>49</v>
      </c>
      <c r="E131" s="324" t="s">
        <v>50</v>
      </c>
      <c r="F131" s="325" t="s">
        <v>92</v>
      </c>
      <c r="G131" s="326">
        <f>SUM(H131:X131)</f>
        <v>1.6250170759969644</v>
      </c>
      <c r="H131" s="326">
        <f>'Novel foods, input data'!$AB$12*'Agri ing'!$AF$27</f>
        <v>0.30232669474753149</v>
      </c>
      <c r="I131" s="326">
        <f>'Novel foods, input data'!$AB$12*'Agri ing'!$AG$27</f>
        <v>0.35781247544635925</v>
      </c>
      <c r="J131" s="352">
        <v>0</v>
      </c>
      <c r="K131" s="352">
        <v>0</v>
      </c>
      <c r="L131" s="326">
        <f>'Novel foods, input data'!$AB$12*'Agri ing'!$AH$27</f>
        <v>0.39572641214405985</v>
      </c>
      <c r="M131" s="352">
        <v>0</v>
      </c>
      <c r="N131" s="352">
        <v>0</v>
      </c>
      <c r="O131" s="326">
        <f>'Novel foods, input data'!$D$12*'Emission factors'!$B$9+'Novel foods, input data'!$F$12*'Emission factors'!$B$9+'Novel foods, input data'!$AF$12</f>
        <v>0.56915149365901385</v>
      </c>
      <c r="P131" s="352">
        <v>0</v>
      </c>
      <c r="Q131" s="352">
        <v>0</v>
      </c>
      <c r="R131" s="352">
        <v>0</v>
      </c>
      <c r="S131" s="352">
        <v>0</v>
      </c>
      <c r="T131" s="352">
        <v>0</v>
      </c>
      <c r="U131" s="352">
        <v>0</v>
      </c>
      <c r="V131" s="352">
        <v>0</v>
      </c>
      <c r="W131" s="352">
        <v>0</v>
      </c>
      <c r="X131" s="352">
        <v>0</v>
      </c>
    </row>
    <row r="132" spans="1:24">
      <c r="A132" s="1" t="s">
        <v>63</v>
      </c>
      <c r="B132" s="1" t="s">
        <v>64</v>
      </c>
      <c r="C132" s="71" t="s">
        <v>34</v>
      </c>
      <c r="D132" s="46" t="s">
        <v>49</v>
      </c>
      <c r="E132" s="46" t="s">
        <v>50</v>
      </c>
      <c r="F132" s="1" t="s">
        <v>93</v>
      </c>
      <c r="G132" s="254">
        <f>SUM(H132:X132)</f>
        <v>2.490535062757075E-3</v>
      </c>
      <c r="H132" s="259">
        <f>'Novel foods, input data'!$AB$12*'Agri ing'!$AJ$27</f>
        <v>5.1912667863723101E-4</v>
      </c>
      <c r="I132" s="259">
        <f>'Novel foods, input data'!$AB$12*'Agri ing'!$AK$27</f>
        <v>1.2589698210149687E-3</v>
      </c>
      <c r="J132" s="353">
        <v>0</v>
      </c>
      <c r="K132" s="353">
        <v>0</v>
      </c>
      <c r="L132" s="280">
        <f>'Novel foods, input data'!$AB$12*'Agri ing'!$AL$27</f>
        <v>4.0095010106185898E-4</v>
      </c>
      <c r="M132" s="353">
        <v>0</v>
      </c>
      <c r="N132" s="353">
        <v>0</v>
      </c>
      <c r="O132" s="254">
        <f>'Novel foods, input data'!$D$12*'Emission factors'!$C$9+'Novel foods, input data'!$AG$12</f>
        <v>3.1148846204301643E-4</v>
      </c>
      <c r="P132" s="353">
        <v>0</v>
      </c>
      <c r="Q132" s="4">
        <v>0</v>
      </c>
      <c r="R132" s="4">
        <v>0</v>
      </c>
      <c r="S132" s="4">
        <v>0</v>
      </c>
      <c r="T132" s="4">
        <v>0</v>
      </c>
      <c r="U132" s="4">
        <v>0</v>
      </c>
      <c r="V132" s="4">
        <v>0</v>
      </c>
      <c r="W132" s="4">
        <v>0</v>
      </c>
      <c r="X132" s="4">
        <v>0</v>
      </c>
    </row>
    <row r="133" spans="1:24">
      <c r="A133" s="1" t="s">
        <v>63</v>
      </c>
      <c r="B133" s="1" t="s">
        <v>64</v>
      </c>
      <c r="C133" s="71" t="s">
        <v>34</v>
      </c>
      <c r="D133" s="46" t="s">
        <v>49</v>
      </c>
      <c r="E133" s="46" t="s">
        <v>50</v>
      </c>
      <c r="F133" s="1" t="s">
        <v>94</v>
      </c>
      <c r="G133" s="254">
        <f>SUM(H133:T133)+SUM(W133:X133)</f>
        <v>0</v>
      </c>
      <c r="H133" s="353">
        <v>0</v>
      </c>
      <c r="I133" s="353">
        <v>0</v>
      </c>
      <c r="J133" s="353">
        <v>0</v>
      </c>
      <c r="K133" s="353">
        <v>0</v>
      </c>
      <c r="L133" s="353">
        <v>0</v>
      </c>
      <c r="M133" s="353">
        <v>0</v>
      </c>
      <c r="N133" s="353">
        <v>0</v>
      </c>
      <c r="O133" s="4">
        <v>0</v>
      </c>
      <c r="P133" s="353">
        <v>0</v>
      </c>
      <c r="Q133" s="4">
        <v>0</v>
      </c>
      <c r="R133" s="4">
        <v>0</v>
      </c>
      <c r="S133" s="4">
        <v>0</v>
      </c>
      <c r="T133" s="4">
        <v>0</v>
      </c>
      <c r="U133" s="4">
        <v>0</v>
      </c>
      <c r="V133" s="4">
        <v>0</v>
      </c>
      <c r="W133" s="4">
        <v>0</v>
      </c>
      <c r="X133" s="4">
        <v>0</v>
      </c>
    </row>
    <row r="134" spans="1:24" ht="15" thickBot="1">
      <c r="A134" s="1" t="s">
        <v>63</v>
      </c>
      <c r="B134" s="1" t="s">
        <v>64</v>
      </c>
      <c r="C134" s="71" t="s">
        <v>34</v>
      </c>
      <c r="D134" s="46" t="s">
        <v>49</v>
      </c>
      <c r="E134" s="46" t="s">
        <v>50</v>
      </c>
      <c r="F134" s="258" t="s">
        <v>95</v>
      </c>
      <c r="G134" s="254">
        <f>SUM(H134:T134)+SUM(W134:X134)</f>
        <v>2.9934571558120748E-3</v>
      </c>
      <c r="H134" s="280">
        <f>'Novel foods, input data'!$AB$12*'Agri ing'!$AP$27</f>
        <v>6.5845665378904739E-4</v>
      </c>
      <c r="I134" s="280">
        <f>'Novel foods, input data'!$AB$12*'Agri ing'!$AQ$27</f>
        <v>1.4577545295962792E-5</v>
      </c>
      <c r="J134" s="280">
        <f>'Novel foods, input data'!$AB$12*'Agri ing'!$AR$27</f>
        <v>2.2788896296309391E-3</v>
      </c>
      <c r="K134" s="353">
        <v>0</v>
      </c>
      <c r="L134" s="280">
        <f>'Novel foods, input data'!$AB$12*'Agri ing'!$AS$27</f>
        <v>1.563135156398054E-5</v>
      </c>
      <c r="M134" s="353">
        <v>0</v>
      </c>
      <c r="N134" s="353">
        <v>0</v>
      </c>
      <c r="O134" s="254">
        <f>'Novel foods, input data'!$D$12*'Emission factors'!$D$9+'Novel foods, input data'!$AH$12</f>
        <v>2.590197553214507E-5</v>
      </c>
      <c r="P134" s="353">
        <v>0</v>
      </c>
      <c r="Q134" s="353">
        <v>0</v>
      </c>
      <c r="R134" s="353">
        <v>0</v>
      </c>
      <c r="S134" s="353">
        <v>0</v>
      </c>
      <c r="T134" s="353">
        <v>0</v>
      </c>
      <c r="U134" s="353">
        <v>0</v>
      </c>
      <c r="V134" s="353">
        <v>0</v>
      </c>
      <c r="W134" s="353">
        <v>0</v>
      </c>
      <c r="X134" s="353">
        <v>0</v>
      </c>
    </row>
    <row r="135" spans="1:24" ht="15.6" thickTop="1" thickBot="1">
      <c r="A135" s="260" t="s">
        <v>63</v>
      </c>
      <c r="B135" s="260" t="s">
        <v>64</v>
      </c>
      <c r="C135" s="261" t="s">
        <v>34</v>
      </c>
      <c r="D135" s="327" t="s">
        <v>49</v>
      </c>
      <c r="E135" s="327" t="s">
        <v>50</v>
      </c>
      <c r="F135" s="328" t="s">
        <v>96</v>
      </c>
      <c r="G135" s="262">
        <f>SUM(H135:X135)</f>
        <v>2.5164488244038217</v>
      </c>
      <c r="H135" s="263">
        <f t="shared" ref="H135" si="120">H131+H132*CF_CH4_foss+H133*CF_CH4_bio+H134*CF_N2O</f>
        <v>0.49755533625533088</v>
      </c>
      <c r="I135" s="263">
        <f t="shared" ref="I135" si="121">I131+I132*CF_CH4_foss+I133*CF_CH4_bio+I134*CF_N2O</f>
        <v>0.39930944597840318</v>
      </c>
      <c r="J135" s="263">
        <f t="shared" ref="J135" si="122">J131+J132*CF_CH4_foss+J133*CF_CH4_bio+J134*CF_N2O</f>
        <v>0.62213686888924635</v>
      </c>
      <c r="K135" s="263">
        <f t="shared" ref="K135" si="123">K131+K132*CF_CH4_foss+K133*CF_CH4_bio+K134*CF_N2O</f>
        <v>0</v>
      </c>
      <c r="L135" s="263">
        <f t="shared" ref="L135" si="124">L131+L132*CF_CH4_foss+L133*CF_CH4_bio+L134*CF_N2O</f>
        <v>0.41194208413266992</v>
      </c>
      <c r="M135" s="603">
        <f t="shared" ref="M135" si="125">M131+M132*CF_CH4_foss+M133*CF_CH4_bio+M134*CF_N2O</f>
        <v>0</v>
      </c>
      <c r="N135" s="603">
        <f t="shared" ref="N135" si="126">N131+N132*CF_CH4_foss+N133*CF_CH4_bio+N134*CF_N2O</f>
        <v>0</v>
      </c>
      <c r="O135" s="263">
        <f t="shared" ref="O135" si="127">O131+O132*CF_CH4_foss+O133*CF_CH4_bio+O134*CF_N2O</f>
        <v>0.58550508914817134</v>
      </c>
      <c r="P135" s="263">
        <f t="shared" ref="P135" si="128">P131+P132*CF_CH4_foss+P133*CF_CH4_bio+P134*CF_N2O</f>
        <v>0</v>
      </c>
      <c r="Q135" s="263">
        <f t="shared" ref="Q135" si="129">Q131+Q132*CF_CH4_foss+Q133*CF_CH4_bio+Q134*CF_N2O</f>
        <v>0</v>
      </c>
      <c r="R135" s="263">
        <f t="shared" ref="R135" si="130">R131+R132*CF_CH4_foss+R133*CF_CH4_bio+R134*CF_N2O</f>
        <v>0</v>
      </c>
      <c r="S135" s="263">
        <f t="shared" ref="S135" si="131">S131+S132*CF_CH4_foss+S133*CF_CH4_bio+S134*CF_N2O</f>
        <v>0</v>
      </c>
      <c r="T135" s="263">
        <f t="shared" ref="T135" si="132">T131+T132*CF_CH4_foss+T133*CF_CH4_bio+T134*CF_N2O</f>
        <v>0</v>
      </c>
      <c r="U135" s="263"/>
      <c r="V135" s="263"/>
      <c r="W135" s="263">
        <f>W131+W132*CF_CH4_foss+W133*CF_CH4_bio+W134*CF_N2O</f>
        <v>0</v>
      </c>
      <c r="X135" s="263">
        <f>X131+X132*CF_CH4_foss+X133*CF_CH4_bio+X134*CF_N2O</f>
        <v>0</v>
      </c>
    </row>
    <row r="136" spans="1:24" ht="15" thickTop="1">
      <c r="A136" s="322" t="s">
        <v>63</v>
      </c>
      <c r="B136" s="322" t="s">
        <v>64</v>
      </c>
      <c r="C136" s="323" t="s">
        <v>34</v>
      </c>
      <c r="D136" s="324" t="s">
        <v>41</v>
      </c>
      <c r="E136" s="324" t="s">
        <v>42</v>
      </c>
      <c r="F136" s="325" t="s">
        <v>92</v>
      </c>
      <c r="G136" s="326">
        <f>SUM(H136:X136)</f>
        <v>3.0102064181343025</v>
      </c>
      <c r="H136" s="326">
        <f>'Novel foods, input data'!$AB$12*'Agri ing'!$AF$27</f>
        <v>0.30232669474753149</v>
      </c>
      <c r="I136" s="326">
        <f>'Novel foods, input data'!$AB$12*'Agri ing'!$AG$27</f>
        <v>0.35781247544635925</v>
      </c>
      <c r="J136" s="352">
        <v>0</v>
      </c>
      <c r="K136" s="352">
        <v>0</v>
      </c>
      <c r="L136" s="326">
        <f>'Novel foods, input data'!$AB$12*'Agri ing'!$AH$27</f>
        <v>0.39572641214405985</v>
      </c>
      <c r="M136" s="352">
        <v>0</v>
      </c>
      <c r="N136" s="352">
        <v>0</v>
      </c>
      <c r="O136" s="326">
        <f>'Novel foods, input data'!$D$12*'Emission factors'!$B$13+'Novel foods, input data'!$F$12*'Emission factors'!$B$13+'Novel foods, input data'!$AF$12</f>
        <v>1.9543408357963521</v>
      </c>
      <c r="P136" s="352">
        <v>0</v>
      </c>
      <c r="Q136" s="352">
        <v>0</v>
      </c>
      <c r="R136" s="352">
        <v>0</v>
      </c>
      <c r="S136" s="352">
        <v>0</v>
      </c>
      <c r="T136" s="352">
        <v>0</v>
      </c>
      <c r="U136" s="352">
        <v>0</v>
      </c>
      <c r="V136" s="352">
        <v>0</v>
      </c>
      <c r="W136" s="352">
        <v>0</v>
      </c>
      <c r="X136" s="352">
        <v>0</v>
      </c>
    </row>
    <row r="137" spans="1:24">
      <c r="A137" s="1" t="s">
        <v>63</v>
      </c>
      <c r="B137" s="1" t="s">
        <v>64</v>
      </c>
      <c r="C137" s="71" t="s">
        <v>34</v>
      </c>
      <c r="D137" s="46" t="s">
        <v>41</v>
      </c>
      <c r="E137" s="46" t="s">
        <v>42</v>
      </c>
      <c r="F137" s="1" t="s">
        <v>93</v>
      </c>
      <c r="G137" s="254">
        <f>SUM(H137:X137)</f>
        <v>4.7634341427974028E-3</v>
      </c>
      <c r="H137" s="259">
        <f>'Novel foods, input data'!$AB$12*'Agri ing'!$AJ$27</f>
        <v>5.1912667863723101E-4</v>
      </c>
      <c r="I137" s="259">
        <f>'Novel foods, input data'!$AB$12*'Agri ing'!$AK$27</f>
        <v>1.2589698210149687E-3</v>
      </c>
      <c r="J137" s="353">
        <v>0</v>
      </c>
      <c r="K137" s="353">
        <v>0</v>
      </c>
      <c r="L137" s="280">
        <f>'Novel foods, input data'!$AB$12*'Agri ing'!$AL$27</f>
        <v>4.0095010106185898E-4</v>
      </c>
      <c r="M137" s="353">
        <v>0</v>
      </c>
      <c r="N137" s="353">
        <v>0</v>
      </c>
      <c r="O137" s="254">
        <f>'Novel foods, input data'!$D$12*'Emission factors'!$C$13+'Novel foods, input data'!$AG$12</f>
        <v>2.5843875420833444E-3</v>
      </c>
      <c r="P137" s="353">
        <v>0</v>
      </c>
      <c r="Q137" s="4">
        <v>0</v>
      </c>
      <c r="R137" s="4">
        <v>0</v>
      </c>
      <c r="S137" s="4">
        <v>0</v>
      </c>
      <c r="T137" s="4">
        <v>0</v>
      </c>
      <c r="U137" s="4">
        <v>0</v>
      </c>
      <c r="V137" s="4">
        <v>0</v>
      </c>
      <c r="W137" s="4">
        <v>0</v>
      </c>
      <c r="X137" s="4">
        <v>0</v>
      </c>
    </row>
    <row r="138" spans="1:24">
      <c r="A138" s="1" t="s">
        <v>63</v>
      </c>
      <c r="B138" s="1" t="s">
        <v>64</v>
      </c>
      <c r="C138" s="71" t="s">
        <v>34</v>
      </c>
      <c r="D138" s="46" t="s">
        <v>41</v>
      </c>
      <c r="E138" s="46" t="s">
        <v>42</v>
      </c>
      <c r="F138" s="1" t="s">
        <v>94</v>
      </c>
      <c r="G138" s="254">
        <f>SUM(H138:T138)+SUM(W138:X138)</f>
        <v>0</v>
      </c>
      <c r="H138" s="353">
        <v>0</v>
      </c>
      <c r="I138" s="353">
        <v>0</v>
      </c>
      <c r="J138" s="353">
        <v>0</v>
      </c>
      <c r="K138" s="353">
        <v>0</v>
      </c>
      <c r="L138" s="353">
        <v>0</v>
      </c>
      <c r="M138" s="353">
        <v>0</v>
      </c>
      <c r="N138" s="353">
        <v>0</v>
      </c>
      <c r="O138" s="4">
        <v>0</v>
      </c>
      <c r="P138" s="353">
        <v>0</v>
      </c>
      <c r="Q138" s="4">
        <v>0</v>
      </c>
      <c r="R138" s="4">
        <v>0</v>
      </c>
      <c r="S138" s="4">
        <v>0</v>
      </c>
      <c r="T138" s="4">
        <v>0</v>
      </c>
      <c r="U138" s="4">
        <v>0</v>
      </c>
      <c r="V138" s="4">
        <v>0</v>
      </c>
      <c r="W138" s="4">
        <v>0</v>
      </c>
      <c r="X138" s="4">
        <v>0</v>
      </c>
    </row>
    <row r="139" spans="1:24" ht="15" thickBot="1">
      <c r="A139" s="1" t="s">
        <v>63</v>
      </c>
      <c r="B139" s="1" t="s">
        <v>64</v>
      </c>
      <c r="C139" s="71" t="s">
        <v>34</v>
      </c>
      <c r="D139" s="46" t="s">
        <v>41</v>
      </c>
      <c r="E139" s="46" t="s">
        <v>42</v>
      </c>
      <c r="F139" s="258" t="s">
        <v>95</v>
      </c>
      <c r="G139" s="254">
        <f>SUM(H139:T139)+SUM(W139:X139)</f>
        <v>3.0145467078411805E-3</v>
      </c>
      <c r="H139" s="280">
        <f>'Novel foods, input data'!$AB$12*'Agri ing'!$AP$27</f>
        <v>6.5845665378904739E-4</v>
      </c>
      <c r="I139" s="280">
        <f>'Novel foods, input data'!$AB$12*'Agri ing'!$AQ$27</f>
        <v>1.4577545295962792E-5</v>
      </c>
      <c r="J139" s="280">
        <f>'Novel foods, input data'!$AB$12*'Agri ing'!$AR$27</f>
        <v>2.2788896296309391E-3</v>
      </c>
      <c r="K139" s="353">
        <v>0</v>
      </c>
      <c r="L139" s="280">
        <f>'Novel foods, input data'!$AB$12*'Agri ing'!$AS$27</f>
        <v>1.563135156398054E-5</v>
      </c>
      <c r="M139" s="353">
        <v>0</v>
      </c>
      <c r="N139" s="353">
        <v>0</v>
      </c>
      <c r="O139" s="254">
        <f>'Novel foods, input data'!$D$12*'Emission factors'!$D$13+'Novel foods, input data'!$AH$12</f>
        <v>4.6991527561250691E-5</v>
      </c>
      <c r="P139" s="353">
        <v>0</v>
      </c>
      <c r="Q139" s="353">
        <v>0</v>
      </c>
      <c r="R139" s="353">
        <v>0</v>
      </c>
      <c r="S139" s="353">
        <v>0</v>
      </c>
      <c r="T139" s="353">
        <v>0</v>
      </c>
      <c r="U139" s="353">
        <v>0</v>
      </c>
      <c r="V139" s="353">
        <v>0</v>
      </c>
      <c r="W139" s="353">
        <v>0</v>
      </c>
      <c r="X139" s="353">
        <v>0</v>
      </c>
    </row>
    <row r="140" spans="1:24" ht="15.6" thickTop="1" thickBot="1">
      <c r="A140" s="260" t="s">
        <v>63</v>
      </c>
      <c r="B140" s="260" t="s">
        <v>64</v>
      </c>
      <c r="C140" s="261" t="s">
        <v>34</v>
      </c>
      <c r="D140" s="327" t="s">
        <v>41</v>
      </c>
      <c r="E140" s="327" t="s">
        <v>42</v>
      </c>
      <c r="F140" s="328" t="s">
        <v>96</v>
      </c>
      <c r="G140" s="262">
        <f>SUM(H140:X140)</f>
        <v>3.9751280068303076</v>
      </c>
      <c r="H140" s="263">
        <f t="shared" ref="H140" si="133">H136+H137*CF_CH4_foss+H138*CF_CH4_bio+H139*CF_N2O</f>
        <v>0.49755533625533088</v>
      </c>
      <c r="I140" s="263">
        <f t="shared" ref="I140" si="134">I136+I137*CF_CH4_foss+I138*CF_CH4_bio+I139*CF_N2O</f>
        <v>0.39930944597840318</v>
      </c>
      <c r="J140" s="263">
        <f t="shared" ref="J140" si="135">J136+J137*CF_CH4_foss+J138*CF_CH4_bio+J139*CF_N2O</f>
        <v>0.62213686888924635</v>
      </c>
      <c r="K140" s="263">
        <f t="shared" ref="K140" si="136">K136+K137*CF_CH4_foss+K138*CF_CH4_bio+K139*CF_N2O</f>
        <v>0</v>
      </c>
      <c r="L140" s="263">
        <f t="shared" ref="L140" si="137">L136+L137*CF_CH4_foss+L138*CF_CH4_bio+L139*CF_N2O</f>
        <v>0.41194208413266992</v>
      </c>
      <c r="M140" s="603">
        <f t="shared" ref="M140" si="138">M136+M137*CF_CH4_foss+M138*CF_CH4_bio+M139*CF_N2O</f>
        <v>0</v>
      </c>
      <c r="N140" s="603">
        <f t="shared" ref="N140" si="139">N136+N137*CF_CH4_foss+N138*CF_CH4_bio+N139*CF_N2O</f>
        <v>0</v>
      </c>
      <c r="O140" s="263">
        <f t="shared" ref="O140" si="140">O136+O137*CF_CH4_foss+O138*CF_CH4_bio+O139*CF_N2O</f>
        <v>2.044184271574657</v>
      </c>
      <c r="P140" s="263">
        <f t="shared" ref="P140" si="141">P136+P137*CF_CH4_foss+P138*CF_CH4_bio+P139*CF_N2O</f>
        <v>0</v>
      </c>
      <c r="Q140" s="263">
        <f t="shared" ref="Q140" si="142">Q136+Q137*CF_CH4_foss+Q138*CF_CH4_bio+Q139*CF_N2O</f>
        <v>0</v>
      </c>
      <c r="R140" s="263">
        <f t="shared" ref="R140" si="143">R136+R137*CF_CH4_foss+R138*CF_CH4_bio+R139*CF_N2O</f>
        <v>0</v>
      </c>
      <c r="S140" s="263">
        <f t="shared" ref="S140" si="144">S136+S137*CF_CH4_foss+S138*CF_CH4_bio+S139*CF_N2O</f>
        <v>0</v>
      </c>
      <c r="T140" s="263">
        <f t="shared" ref="T140" si="145">T136+T137*CF_CH4_foss+T138*CF_CH4_bio+T139*CF_N2O</f>
        <v>0</v>
      </c>
      <c r="U140" s="263"/>
      <c r="V140" s="263"/>
      <c r="W140" s="263">
        <f>W136+W137*CF_CH4_foss+W138*CF_CH4_bio+W139*CF_N2O</f>
        <v>0</v>
      </c>
      <c r="X140" s="263">
        <f>X136+X137*CF_CH4_foss+X138*CF_CH4_bio+X139*CF_N2O</f>
        <v>0</v>
      </c>
    </row>
    <row r="141" spans="1:24" ht="15" thickTop="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8E7AF-BF0B-4AB7-A22F-69B89DDF8618}">
  <sheetPr>
    <tabColor theme="8" tint="0.59999389629810485"/>
  </sheetPr>
  <dimension ref="A2:AH14"/>
  <sheetViews>
    <sheetView workbookViewId="0">
      <pane xSplit="3" ySplit="5" topLeftCell="D6" activePane="bottomRight" state="frozen"/>
      <selection pane="topRight" activeCell="D1" sqref="D1"/>
      <selection pane="bottomLeft" activeCell="A6" sqref="A6"/>
      <selection pane="bottomRight" activeCell="B12" sqref="B12"/>
    </sheetView>
  </sheetViews>
  <sheetFormatPr defaultRowHeight="14.4"/>
  <cols>
    <col min="2" max="2" width="24.33203125" customWidth="1"/>
    <col min="3" max="3" width="12.5546875" customWidth="1"/>
    <col min="6" max="6" width="24.109375" customWidth="1"/>
    <col min="7" max="7" width="14" customWidth="1"/>
    <col min="8" max="8" width="9.44140625" customWidth="1"/>
    <col min="9" max="9" width="12.44140625" customWidth="1"/>
    <col min="10" max="13" width="10.5546875" customWidth="1"/>
    <col min="14" max="14" width="20.33203125" customWidth="1"/>
    <col min="15" max="15" width="10.5546875" customWidth="1"/>
    <col min="19" max="19" width="13.88671875" customWidth="1"/>
    <col min="28" max="28" width="9.5546875" customWidth="1"/>
    <col min="31" max="31" width="9.5546875" customWidth="1"/>
    <col min="32" max="32" width="11.33203125" customWidth="1"/>
    <col min="33" max="33" width="9.33203125" customWidth="1"/>
    <col min="34" max="34" width="14.6640625" customWidth="1"/>
  </cols>
  <sheetData>
    <row r="2" spans="1:34" ht="21">
      <c r="A2" s="163" t="s">
        <v>98</v>
      </c>
      <c r="B2" s="71"/>
      <c r="C2" s="71"/>
      <c r="D2" s="170"/>
      <c r="E2" s="170"/>
      <c r="F2" s="170"/>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384" t="s">
        <v>99</v>
      </c>
      <c r="AG2" s="164"/>
      <c r="AH2" s="164"/>
    </row>
    <row r="3" spans="1:34">
      <c r="A3" s="165"/>
      <c r="B3" s="165"/>
      <c r="C3" s="165"/>
      <c r="D3" s="166"/>
      <c r="E3" s="166"/>
      <c r="F3" s="166"/>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row>
    <row r="4" spans="1:34">
      <c r="A4" s="167" t="s">
        <v>0</v>
      </c>
      <c r="B4" s="168"/>
      <c r="C4" s="168"/>
      <c r="D4" s="265" t="s">
        <v>100</v>
      </c>
      <c r="E4" s="266"/>
      <c r="F4" s="266"/>
      <c r="G4" s="266"/>
      <c r="H4" s="266"/>
      <c r="I4" s="266"/>
      <c r="J4" s="266"/>
      <c r="K4" s="266"/>
      <c r="L4" s="266"/>
      <c r="M4" s="266"/>
      <c r="N4" s="266"/>
      <c r="O4" s="266"/>
      <c r="P4" s="266"/>
      <c r="Q4" s="266"/>
      <c r="R4" s="266"/>
      <c r="S4" s="266"/>
      <c r="T4" s="266"/>
      <c r="U4" s="266"/>
      <c r="V4" s="266"/>
      <c r="W4" s="266"/>
      <c r="X4" s="266"/>
      <c r="Y4" s="266"/>
      <c r="Z4" s="266"/>
      <c r="AA4" s="267"/>
      <c r="AB4" s="229" t="s">
        <v>101</v>
      </c>
      <c r="AC4" s="229"/>
      <c r="AD4" s="229"/>
      <c r="AE4" s="229"/>
      <c r="AF4" s="228" t="s">
        <v>102</v>
      </c>
      <c r="AG4" s="229"/>
      <c r="AH4" s="226"/>
    </row>
    <row r="5" spans="1:34" s="277" customFormat="1" ht="115.2">
      <c r="A5" s="230" t="s">
        <v>13</v>
      </c>
      <c r="B5" s="233" t="s">
        <v>103</v>
      </c>
      <c r="C5" s="233" t="s">
        <v>14</v>
      </c>
      <c r="D5" s="268" t="s">
        <v>104</v>
      </c>
      <c r="E5" s="232" t="s">
        <v>105</v>
      </c>
      <c r="F5" s="232" t="s">
        <v>106</v>
      </c>
      <c r="G5" s="264" t="s">
        <v>107</v>
      </c>
      <c r="H5" s="264" t="s">
        <v>108</v>
      </c>
      <c r="I5" s="264" t="s">
        <v>109</v>
      </c>
      <c r="J5" s="232" t="s">
        <v>110</v>
      </c>
      <c r="K5" s="232" t="s">
        <v>111</v>
      </c>
      <c r="L5" s="232" t="s">
        <v>112</v>
      </c>
      <c r="M5" s="232" t="s">
        <v>113</v>
      </c>
      <c r="N5" s="269" t="s">
        <v>114</v>
      </c>
      <c r="O5" s="269" t="s">
        <v>115</v>
      </c>
      <c r="P5" s="232" t="s">
        <v>116</v>
      </c>
      <c r="Q5" s="232" t="s">
        <v>117</v>
      </c>
      <c r="R5" s="232" t="s">
        <v>118</v>
      </c>
      <c r="S5" s="232" t="s">
        <v>119</v>
      </c>
      <c r="T5" s="232" t="s">
        <v>120</v>
      </c>
      <c r="U5" s="232" t="s">
        <v>121</v>
      </c>
      <c r="V5" s="232" t="s">
        <v>122</v>
      </c>
      <c r="W5" s="232" t="s">
        <v>123</v>
      </c>
      <c r="X5" s="232" t="s">
        <v>124</v>
      </c>
      <c r="Y5" s="232" t="s">
        <v>125</v>
      </c>
      <c r="Z5" s="232" t="s">
        <v>126</v>
      </c>
      <c r="AA5" s="270" t="s">
        <v>127</v>
      </c>
      <c r="AB5" s="225" t="s">
        <v>128</v>
      </c>
      <c r="AC5" s="225" t="s">
        <v>129</v>
      </c>
      <c r="AD5" s="225" t="s">
        <v>130</v>
      </c>
      <c r="AE5" s="333" t="s">
        <v>131</v>
      </c>
      <c r="AF5" s="227" t="s">
        <v>92</v>
      </c>
      <c r="AG5" s="225" t="s">
        <v>132</v>
      </c>
      <c r="AH5" s="169" t="s">
        <v>95</v>
      </c>
    </row>
    <row r="6" spans="1:34">
      <c r="A6" s="295" t="s">
        <v>32</v>
      </c>
      <c r="B6" s="296" t="s">
        <v>33</v>
      </c>
      <c r="C6" s="296" t="s">
        <v>34</v>
      </c>
      <c r="D6" s="329">
        <f>F6+G6+H6+I6</f>
        <v>21.542999999999999</v>
      </c>
      <c r="E6" s="294"/>
      <c r="F6" s="376">
        <f>'Inputs - Cultured Meat'!B10</f>
        <v>4.0570000000000004</v>
      </c>
      <c r="G6" s="377">
        <f>'Inputs - Cultured Meat'!B7</f>
        <v>8.407</v>
      </c>
      <c r="H6" s="377">
        <f>'Inputs - Cultured Meat'!B8</f>
        <v>0.84799999999999998</v>
      </c>
      <c r="I6" s="377">
        <f>'Inputs - Cultured Meat'!B9</f>
        <v>8.2309999999999999</v>
      </c>
      <c r="J6" s="376"/>
      <c r="K6" s="376"/>
      <c r="L6" s="376"/>
      <c r="M6" s="376"/>
      <c r="N6" s="376"/>
      <c r="O6" s="376"/>
      <c r="P6" s="376"/>
      <c r="Q6" s="376"/>
      <c r="R6" s="376"/>
      <c r="S6" s="376"/>
      <c r="T6" s="376"/>
      <c r="U6" s="376"/>
      <c r="V6" s="376"/>
      <c r="W6" s="376"/>
      <c r="X6" s="376"/>
      <c r="Y6" s="376"/>
      <c r="Z6" s="376"/>
      <c r="AA6" s="376"/>
      <c r="AB6" s="387">
        <f>'Inputs - Cultured Meat'!F7</f>
        <v>1.8140399999999999</v>
      </c>
      <c r="AC6" s="376"/>
      <c r="AD6" s="376"/>
      <c r="AE6" s="376"/>
      <c r="AF6" s="293"/>
      <c r="AG6" s="294"/>
      <c r="AH6" s="392"/>
    </row>
    <row r="7" spans="1:34">
      <c r="A7" s="297" t="s">
        <v>43</v>
      </c>
      <c r="B7" s="1" t="s">
        <v>44</v>
      </c>
      <c r="C7" s="1" t="s">
        <v>34</v>
      </c>
      <c r="D7" s="330">
        <f>SUM(J7:M7)</f>
        <v>4.9783000000000008</v>
      </c>
      <c r="F7" s="56"/>
      <c r="G7" s="56"/>
      <c r="H7" s="56"/>
      <c r="I7" s="56"/>
      <c r="J7" s="56">
        <f>'Inputs - Microbial Milk'!B8</f>
        <v>7.1999999999999998E-3</v>
      </c>
      <c r="K7" s="56">
        <f>'Inputs - Microbial Milk'!B9</f>
        <v>7.0919999999999997E-2</v>
      </c>
      <c r="L7" s="56">
        <f>'Inputs - Microbial Milk'!B10</f>
        <v>4.9000000000000004</v>
      </c>
      <c r="M7" s="56">
        <f>'Inputs - Microbial Milk'!B11</f>
        <v>1.8000000000000001E-4</v>
      </c>
      <c r="N7" s="56"/>
      <c r="O7" s="56"/>
      <c r="P7" s="56"/>
      <c r="Q7" s="56"/>
      <c r="R7" s="56"/>
      <c r="S7" s="56"/>
      <c r="T7" s="56"/>
      <c r="U7" s="56"/>
      <c r="V7" s="56"/>
      <c r="W7" s="56"/>
      <c r="X7" s="56"/>
      <c r="Y7" s="56"/>
      <c r="Z7" s="56"/>
      <c r="AA7" s="56"/>
      <c r="AB7" s="388">
        <f>'Inputs - Microbial Milk'!F8</f>
        <v>0.91666666666666685</v>
      </c>
      <c r="AC7" s="56"/>
      <c r="AD7" s="56"/>
      <c r="AE7" s="56"/>
      <c r="AF7" s="271">
        <f>'Inputs - Microbial Milk'!J25</f>
        <v>0.25</v>
      </c>
      <c r="AG7">
        <v>0</v>
      </c>
      <c r="AH7" s="393">
        <v>0</v>
      </c>
    </row>
    <row r="8" spans="1:34">
      <c r="A8" s="297" t="s">
        <v>51</v>
      </c>
      <c r="B8" s="1" t="s">
        <v>52</v>
      </c>
      <c r="C8" s="1" t="s">
        <v>34</v>
      </c>
      <c r="D8" s="330">
        <f>SUM(G8:H8)</f>
        <v>22.314571999999998</v>
      </c>
      <c r="F8" s="56"/>
      <c r="G8" s="56">
        <v>20.605571999999999</v>
      </c>
      <c r="H8" s="56">
        <v>1.7090000000000001</v>
      </c>
      <c r="I8" s="56"/>
      <c r="J8" s="56"/>
      <c r="K8" s="56"/>
      <c r="L8" s="56"/>
      <c r="M8" s="56"/>
      <c r="N8" s="56"/>
      <c r="O8" s="56"/>
      <c r="P8" s="56"/>
      <c r="Q8" s="56"/>
      <c r="R8" s="56"/>
      <c r="S8" s="56"/>
      <c r="T8" s="56"/>
      <c r="U8" s="56"/>
      <c r="V8" s="56"/>
      <c r="W8" s="56"/>
      <c r="X8" s="56"/>
      <c r="Y8" s="56"/>
      <c r="Z8" s="56"/>
      <c r="AA8" s="56"/>
      <c r="AB8" s="388">
        <f>'Input - Microbial Ovalbumin'!F7</f>
        <v>2.3368000000000002</v>
      </c>
      <c r="AC8" s="56"/>
      <c r="AD8" s="56"/>
      <c r="AE8" s="56"/>
      <c r="AF8" s="388">
        <f>'Input - Microbial Ovalbumin'!J28</f>
        <v>2.3997628682535646</v>
      </c>
      <c r="AG8">
        <v>0</v>
      </c>
      <c r="AH8" s="393">
        <v>0</v>
      </c>
    </row>
    <row r="9" spans="1:34">
      <c r="A9" s="297" t="s">
        <v>53</v>
      </c>
      <c r="B9" s="1" t="s">
        <v>54</v>
      </c>
      <c r="C9" s="1" t="s">
        <v>34</v>
      </c>
      <c r="D9" s="330">
        <f>SUM(G9:O9)</f>
        <v>65.086200000000005</v>
      </c>
      <c r="F9" s="56"/>
      <c r="G9" s="56"/>
      <c r="H9" s="56">
        <f>0.0795*3.6</f>
        <v>0.28620000000000001</v>
      </c>
      <c r="I9" s="56"/>
      <c r="J9" s="56"/>
      <c r="K9" s="56"/>
      <c r="L9" s="378">
        <f>0.12*3.6</f>
        <v>0.432</v>
      </c>
      <c r="M9" s="56"/>
      <c r="N9" s="378">
        <f>17.83*3.6</f>
        <v>64.188000000000002</v>
      </c>
      <c r="O9" s="378">
        <f>0.05*3.6</f>
        <v>0.18000000000000002</v>
      </c>
      <c r="P9" s="378"/>
      <c r="Q9" s="378"/>
      <c r="R9" s="378"/>
      <c r="S9" s="378"/>
      <c r="T9" s="378"/>
      <c r="U9" s="378"/>
      <c r="V9" s="378"/>
      <c r="W9" s="378"/>
      <c r="X9" s="378"/>
      <c r="Y9" s="56"/>
      <c r="Z9" s="56"/>
      <c r="AA9" s="56"/>
      <c r="AB9" s="388"/>
      <c r="AC9" s="56"/>
      <c r="AD9" s="56"/>
      <c r="AE9" s="56"/>
      <c r="AF9" s="596">
        <f>'Input - Microbial Protein'!J36</f>
        <v>0.4280804748</v>
      </c>
      <c r="AG9" s="73">
        <v>0</v>
      </c>
      <c r="AH9" s="394">
        <v>0</v>
      </c>
    </row>
    <row r="10" spans="1:34">
      <c r="A10" s="297" t="s">
        <v>57</v>
      </c>
      <c r="B10" s="1" t="s">
        <v>58</v>
      </c>
      <c r="C10" s="1" t="s">
        <v>34</v>
      </c>
      <c r="D10" s="330">
        <f>SUM(G10:O10)</f>
        <v>21.32</v>
      </c>
      <c r="F10" s="56"/>
      <c r="G10" s="56"/>
      <c r="H10" s="56"/>
      <c r="I10" s="56"/>
      <c r="J10" s="56"/>
      <c r="K10" s="56"/>
      <c r="L10" s="56"/>
      <c r="M10" s="56"/>
      <c r="N10" s="378">
        <f>'Input - Mycoprotein'!B7</f>
        <v>21.32</v>
      </c>
      <c r="O10" s="56"/>
      <c r="P10" s="56"/>
      <c r="Q10" s="56"/>
      <c r="R10" s="56"/>
      <c r="S10" s="56"/>
      <c r="T10" s="56"/>
      <c r="U10" s="56"/>
      <c r="V10" s="56"/>
      <c r="W10" s="56"/>
      <c r="X10" s="56"/>
      <c r="Y10" s="56"/>
      <c r="Z10" s="56"/>
      <c r="AA10" s="56"/>
      <c r="AB10" s="388"/>
      <c r="AC10" s="56"/>
      <c r="AD10" s="56">
        <v>2.1</v>
      </c>
      <c r="AE10" s="56">
        <f>'Input - Mycoprotein'!F8</f>
        <v>0.04</v>
      </c>
      <c r="AF10" s="597">
        <f>'Input - Mycoprotein'!J20</f>
        <v>0.12</v>
      </c>
      <c r="AG10" s="140">
        <v>0</v>
      </c>
      <c r="AH10" s="395">
        <v>0</v>
      </c>
    </row>
    <row r="11" spans="1:34" s="71" customFormat="1">
      <c r="A11" s="73" t="s">
        <v>61</v>
      </c>
      <c r="B11" s="73" t="s">
        <v>62</v>
      </c>
      <c r="C11" s="73" t="s">
        <v>34</v>
      </c>
      <c r="D11" s="331">
        <f>Z11*'Emission factors'!E22</f>
        <v>0.45390400000000003</v>
      </c>
      <c r="E11" s="140"/>
      <c r="F11" s="378"/>
      <c r="G11" s="72"/>
      <c r="H11" s="72"/>
      <c r="I11" s="72"/>
      <c r="J11" s="72"/>
      <c r="K11" s="72"/>
      <c r="L11" s="72"/>
      <c r="M11" s="72"/>
      <c r="N11" s="379"/>
      <c r="O11" s="379"/>
      <c r="P11" s="379"/>
      <c r="Q11" s="72"/>
      <c r="R11" s="379"/>
      <c r="S11" s="379"/>
      <c r="T11" s="72"/>
      <c r="U11" s="72"/>
      <c r="V11" s="72"/>
      <c r="W11" s="379"/>
      <c r="X11" s="72"/>
      <c r="Y11" s="72"/>
      <c r="Z11" s="378">
        <f>'Input - Yeast Microb. Fat'!B10</f>
        <v>1.2895E-2</v>
      </c>
      <c r="AA11" s="378"/>
      <c r="AB11" s="389"/>
      <c r="AC11" s="72"/>
      <c r="AD11" s="72"/>
      <c r="AE11" s="72"/>
      <c r="AF11" s="596">
        <f>'Input - Yeast Microb. Fat'!Q14</f>
        <v>0.5486992839999999</v>
      </c>
      <c r="AG11" s="599">
        <f>'Input - Yeast Microb. Fat'!R14</f>
        <v>1.130748E-3</v>
      </c>
      <c r="AH11" s="600">
        <f>'Input - Yeast Microb. Fat'!S14</f>
        <v>4.1141199999999998E-5</v>
      </c>
    </row>
    <row r="12" spans="1:34">
      <c r="A12" s="142" t="s">
        <v>63</v>
      </c>
      <c r="B12" s="142" t="s">
        <v>64</v>
      </c>
      <c r="C12" s="313" t="s">
        <v>34</v>
      </c>
      <c r="D12" s="332">
        <f>SUM(N12,O12,R12,S12,W12)</f>
        <v>11.410002271</v>
      </c>
      <c r="E12" s="142"/>
      <c r="F12" s="380"/>
      <c r="G12" s="380"/>
      <c r="H12" s="380"/>
      <c r="I12" s="380"/>
      <c r="J12" s="380"/>
      <c r="K12" s="380"/>
      <c r="L12" s="380"/>
      <c r="M12" s="380"/>
      <c r="N12" s="381">
        <f>'Input - Algae Microb. Fat'!B9</f>
        <v>0.42666983600000002</v>
      </c>
      <c r="O12" s="381">
        <f>'Input - Algae Microb. Fat'!B8+'Input - Algae Microb. Fat'!B10</f>
        <v>0.54275062799999996</v>
      </c>
      <c r="P12" s="382"/>
      <c r="Q12" s="382"/>
      <c r="R12" s="381">
        <f>'Input - Algae Microb. Fat'!B10</f>
        <v>0.33375062799999999</v>
      </c>
      <c r="S12" s="381">
        <f>'Input - Algae Microb. Fat'!B7</f>
        <v>10</v>
      </c>
      <c r="T12" s="382"/>
      <c r="U12" s="382"/>
      <c r="V12" s="382"/>
      <c r="W12" s="383">
        <f>'Input - Algae Microb. Fat'!B11</f>
        <v>0.106831179</v>
      </c>
      <c r="X12" s="380"/>
      <c r="Y12" s="380"/>
      <c r="Z12" s="380"/>
      <c r="AA12" s="380"/>
      <c r="AB12" s="390">
        <f>'Input - Algae Microb. Fat'!F7</f>
        <v>3.3177406260387814</v>
      </c>
      <c r="AC12" s="380"/>
      <c r="AD12" s="380"/>
      <c r="AE12" s="380"/>
      <c r="AF12" s="598">
        <f>'Input - Algae Microb. Fat'!J27</f>
        <v>0.28881299999999999</v>
      </c>
      <c r="AG12" s="396">
        <v>0</v>
      </c>
      <c r="AH12" s="397">
        <v>0</v>
      </c>
    </row>
    <row r="14" spans="1:34">
      <c r="J14" s="140"/>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380-1294-4AB7-BBE2-D0DDCE51AEDF}">
  <sheetPr>
    <tabColor theme="4" tint="0.79998168889431442"/>
  </sheetPr>
  <dimension ref="A2:BJ27"/>
  <sheetViews>
    <sheetView tabSelected="1" topLeftCell="A10" workbookViewId="0">
      <selection activeCell="A30" sqref="A30"/>
    </sheetView>
  </sheetViews>
  <sheetFormatPr defaultRowHeight="14.4"/>
  <cols>
    <col min="1" max="1" width="15" customWidth="1"/>
    <col min="2" max="2" width="12.109375" customWidth="1"/>
    <col min="3" max="3" width="16.109375" customWidth="1"/>
    <col min="4" max="4" width="9.33203125" customWidth="1"/>
    <col min="5" max="5" width="14.44140625" customWidth="1"/>
    <col min="6" max="6" width="16.88671875" customWidth="1"/>
    <col min="7" max="7" width="12" customWidth="1"/>
    <col min="8" max="8" width="11.33203125" customWidth="1"/>
    <col min="9" max="9" width="12.6640625" customWidth="1"/>
    <col min="10" max="10" width="10.44140625" customWidth="1"/>
    <col min="11" max="11" width="11.88671875" customWidth="1"/>
    <col min="12" max="12" width="10.44140625" customWidth="1"/>
    <col min="13" max="13" width="10.6640625" customWidth="1"/>
    <col min="14" max="14" width="16.44140625" customWidth="1"/>
  </cols>
  <sheetData>
    <row r="2" spans="1:46" ht="21">
      <c r="A2" s="2" t="s">
        <v>133</v>
      </c>
    </row>
    <row r="4" spans="1:46" ht="18">
      <c r="A4" s="238" t="s">
        <v>134</v>
      </c>
    </row>
    <row r="6" spans="1:46" s="30" customFormat="1" ht="72">
      <c r="A6" s="604" t="s">
        <v>135</v>
      </c>
      <c r="B6" s="604" t="s">
        <v>136</v>
      </c>
      <c r="C6" s="604" t="s">
        <v>137</v>
      </c>
      <c r="D6" s="604" t="s">
        <v>138</v>
      </c>
      <c r="E6" s="604" t="s">
        <v>139</v>
      </c>
      <c r="F6" s="604" t="s">
        <v>14</v>
      </c>
      <c r="G6" s="604" t="s">
        <v>140</v>
      </c>
      <c r="H6" s="604" t="s">
        <v>16</v>
      </c>
      <c r="I6" s="604" t="s">
        <v>141</v>
      </c>
      <c r="J6" s="604" t="s">
        <v>142</v>
      </c>
      <c r="K6" s="604" t="s">
        <v>143</v>
      </c>
      <c r="L6" s="604" t="s">
        <v>144</v>
      </c>
      <c r="M6" s="604" t="s">
        <v>145</v>
      </c>
      <c r="N6" s="604" t="s">
        <v>3</v>
      </c>
      <c r="O6" s="604" t="s">
        <v>146</v>
      </c>
      <c r="P6" s="604" t="s">
        <v>147</v>
      </c>
      <c r="Q6" s="604" t="s">
        <v>6</v>
      </c>
      <c r="R6" s="604" t="s">
        <v>7</v>
      </c>
      <c r="S6" s="604" t="s">
        <v>8</v>
      </c>
      <c r="T6" s="604" t="s">
        <v>9</v>
      </c>
      <c r="U6" s="604" t="s">
        <v>11</v>
      </c>
      <c r="V6" s="604" t="s">
        <v>148</v>
      </c>
      <c r="W6" s="604" t="s">
        <v>149</v>
      </c>
      <c r="X6" s="604" t="s">
        <v>150</v>
      </c>
      <c r="Y6" s="604" t="s">
        <v>151</v>
      </c>
      <c r="Z6" s="604" t="s">
        <v>152</v>
      </c>
      <c r="AA6" s="604" t="s">
        <v>153</v>
      </c>
      <c r="AB6" s="604" t="s">
        <v>154</v>
      </c>
      <c r="AC6" s="604" t="s">
        <v>155</v>
      </c>
      <c r="AD6" s="605" t="s">
        <v>156</v>
      </c>
      <c r="AE6" s="605" t="s">
        <v>157</v>
      </c>
      <c r="AF6" s="605" t="s">
        <v>158</v>
      </c>
      <c r="AG6" s="605" t="s">
        <v>159</v>
      </c>
      <c r="AH6" s="605" t="s">
        <v>160</v>
      </c>
      <c r="AI6" s="605" t="s">
        <v>161</v>
      </c>
      <c r="AJ6" s="605" t="s">
        <v>162</v>
      </c>
      <c r="AK6" s="605" t="s">
        <v>163</v>
      </c>
      <c r="AL6" s="605" t="s">
        <v>164</v>
      </c>
      <c r="AM6" s="605" t="s">
        <v>165</v>
      </c>
      <c r="AN6" s="605" t="s">
        <v>166</v>
      </c>
      <c r="AO6" s="605" t="s">
        <v>167</v>
      </c>
      <c r="AP6" s="605" t="s">
        <v>168</v>
      </c>
      <c r="AQ6" s="605" t="s">
        <v>169</v>
      </c>
      <c r="AR6" s="605" t="s">
        <v>170</v>
      </c>
      <c r="AS6" s="605"/>
      <c r="AT6" s="605"/>
    </row>
    <row r="7" spans="1:46">
      <c r="A7" t="s">
        <v>171</v>
      </c>
      <c r="B7" t="s">
        <v>172</v>
      </c>
      <c r="C7" t="s">
        <v>173</v>
      </c>
      <c r="D7">
        <v>111</v>
      </c>
      <c r="E7" t="s">
        <v>174</v>
      </c>
      <c r="F7" t="s">
        <v>175</v>
      </c>
      <c r="G7" t="s">
        <v>190</v>
      </c>
      <c r="H7" t="s">
        <v>191</v>
      </c>
      <c r="I7">
        <v>0.35858384672860899</v>
      </c>
      <c r="J7">
        <v>0.21240207679659301</v>
      </c>
      <c r="K7" s="45">
        <v>3.3073111023843201E-4</v>
      </c>
      <c r="L7">
        <v>0</v>
      </c>
      <c r="M7" s="45">
        <v>4.9936257453080904E-4</v>
      </c>
      <c r="N7">
        <v>2.8117689400755799</v>
      </c>
      <c r="O7" s="45">
        <v>2.3505914887079399E-2</v>
      </c>
      <c r="P7" s="45">
        <v>2.1508680288830802E-3</v>
      </c>
      <c r="Q7" s="45">
        <v>4.7600961702642601E-2</v>
      </c>
      <c r="R7">
        <v>0.21934758155230499</v>
      </c>
      <c r="S7" s="45">
        <v>1.92120744955968E-12</v>
      </c>
      <c r="T7" s="45">
        <v>1.42903275662829E-3</v>
      </c>
      <c r="W7">
        <v>0.15101916051112901</v>
      </c>
      <c r="X7" s="45">
        <v>3.01313E-2</v>
      </c>
      <c r="Y7">
        <v>8.03416330340639E-2</v>
      </c>
      <c r="Z7">
        <v>9.7091753183415994E-2</v>
      </c>
      <c r="AA7">
        <v>0</v>
      </c>
      <c r="AD7" s="45">
        <v>9.0958864790748897E-2</v>
      </c>
      <c r="AE7" s="45">
        <v>2.7E-2</v>
      </c>
      <c r="AF7">
        <v>9.4443212005844504E-2</v>
      </c>
      <c r="AH7" s="45">
        <v>1.7394359364198301E-4</v>
      </c>
      <c r="AI7" s="45">
        <v>9.5000000000000005E-5</v>
      </c>
      <c r="AJ7" s="45">
        <v>6.17875165964491E-5</v>
      </c>
      <c r="AN7" s="45">
        <v>2.0101383380897301E-4</v>
      </c>
      <c r="AO7" s="45">
        <v>1.1000000000000001E-6</v>
      </c>
      <c r="AP7">
        <v>2.9429169609547203E-4</v>
      </c>
      <c r="AQ7" s="45">
        <v>2.9570446263635301E-6</v>
      </c>
    </row>
    <row r="8" spans="1:46">
      <c r="A8" t="s">
        <v>171</v>
      </c>
      <c r="B8" t="s">
        <v>172</v>
      </c>
      <c r="C8" t="s">
        <v>173</v>
      </c>
      <c r="D8">
        <v>111</v>
      </c>
      <c r="E8" t="s">
        <v>174</v>
      </c>
      <c r="F8" t="s">
        <v>175</v>
      </c>
      <c r="G8" t="s">
        <v>188</v>
      </c>
      <c r="H8" t="s">
        <v>189</v>
      </c>
      <c r="I8">
        <v>0.37848192682031401</v>
      </c>
      <c r="J8">
        <v>0.23180503989832801</v>
      </c>
      <c r="K8" s="45">
        <v>3.4268733626070601E-4</v>
      </c>
      <c r="L8">
        <v>0</v>
      </c>
      <c r="M8" s="45">
        <v>4.9987107802716799E-4</v>
      </c>
      <c r="N8">
        <v>3.48196689345877</v>
      </c>
      <c r="O8" s="45">
        <v>2.3505914887079399E-2</v>
      </c>
      <c r="P8" s="45">
        <v>2.1508680288830802E-3</v>
      </c>
      <c r="Q8" s="45">
        <v>2.88183040755794E-2</v>
      </c>
      <c r="R8">
        <v>9.7309933818965896E-2</v>
      </c>
      <c r="S8" s="45">
        <v>1.63935282213524E-12</v>
      </c>
      <c r="T8" s="45">
        <v>1.42903275662829E-3</v>
      </c>
      <c r="W8">
        <v>0.15101916051112901</v>
      </c>
      <c r="X8" s="45">
        <v>3.01313E-2</v>
      </c>
      <c r="Y8">
        <v>8.03416330340639E-2</v>
      </c>
      <c r="Z8">
        <v>0.11698983327512</v>
      </c>
      <c r="AA8">
        <v>0</v>
      </c>
      <c r="AD8" s="45">
        <v>9.0958864790748897E-2</v>
      </c>
      <c r="AE8" s="45">
        <v>2.7E-2</v>
      </c>
      <c r="AF8">
        <v>0.113846175107579</v>
      </c>
      <c r="AH8" s="45">
        <v>1.7394359364198301E-4</v>
      </c>
      <c r="AI8" s="45">
        <v>9.5000000000000005E-5</v>
      </c>
      <c r="AJ8" s="45">
        <v>7.3743742618722499E-5</v>
      </c>
      <c r="AN8" s="45">
        <v>2.0101383380897301E-4</v>
      </c>
      <c r="AO8" s="45">
        <v>1.1000000000000001E-6</v>
      </c>
      <c r="AP8">
        <v>2.9429169609547203E-4</v>
      </c>
      <c r="AQ8" s="45">
        <v>3.46554812272296E-6</v>
      </c>
    </row>
    <row r="9" spans="1:46">
      <c r="A9" t="s">
        <v>171</v>
      </c>
      <c r="B9" t="s">
        <v>172</v>
      </c>
      <c r="C9" t="s">
        <v>173</v>
      </c>
      <c r="D9">
        <v>111</v>
      </c>
      <c r="E9" t="s">
        <v>174</v>
      </c>
      <c r="F9" t="s">
        <v>175</v>
      </c>
      <c r="G9" t="s">
        <v>186</v>
      </c>
      <c r="H9" t="s">
        <v>187</v>
      </c>
      <c r="I9">
        <v>0.35454063511449302</v>
      </c>
      <c r="J9">
        <v>0.20809208200187901</v>
      </c>
      <c r="K9" s="45">
        <v>3.40652801510117E-4</v>
      </c>
      <c r="L9">
        <v>0</v>
      </c>
      <c r="M9" s="45">
        <v>4.9925677519271796E-4</v>
      </c>
      <c r="N9">
        <v>2.5320814722534499</v>
      </c>
      <c r="O9" s="45">
        <v>2.3505914887079399E-2</v>
      </c>
      <c r="P9" s="45">
        <v>2.1508680288830802E-3</v>
      </c>
      <c r="Q9" s="45">
        <v>1.6090387365381601E-2</v>
      </c>
      <c r="R9">
        <v>0.104036719620602</v>
      </c>
      <c r="S9" s="45">
        <v>1.3625920499466801E-12</v>
      </c>
      <c r="T9" s="45">
        <v>1.42903275662829E-3</v>
      </c>
      <c r="W9">
        <v>0.15101916051112901</v>
      </c>
      <c r="X9" s="45">
        <v>3.01313E-2</v>
      </c>
      <c r="Y9">
        <v>8.03416330340639E-2</v>
      </c>
      <c r="Z9">
        <v>9.3048541569299398E-2</v>
      </c>
      <c r="AA9">
        <v>0</v>
      </c>
      <c r="AD9" s="45">
        <v>9.0958864790748897E-2</v>
      </c>
      <c r="AE9" s="45">
        <v>2.7E-2</v>
      </c>
      <c r="AF9">
        <v>9.0133217211130406E-2</v>
      </c>
      <c r="AH9" s="45">
        <v>1.7394359364198301E-4</v>
      </c>
      <c r="AI9" s="45">
        <v>9.5000000000000005E-5</v>
      </c>
      <c r="AJ9" s="45">
        <v>7.1709207868133894E-5</v>
      </c>
      <c r="AN9" s="45">
        <v>2.0101383380897301E-4</v>
      </c>
      <c r="AO9" s="45">
        <v>1.1000000000000001E-6</v>
      </c>
      <c r="AP9">
        <v>2.9429169609547203E-4</v>
      </c>
      <c r="AQ9" s="45">
        <v>2.8512452882729901E-6</v>
      </c>
    </row>
    <row r="10" spans="1:46">
      <c r="A10" t="s">
        <v>171</v>
      </c>
      <c r="B10" t="s">
        <v>172</v>
      </c>
      <c r="C10" t="s">
        <v>173</v>
      </c>
      <c r="D10">
        <v>111</v>
      </c>
      <c r="E10" t="s">
        <v>174</v>
      </c>
      <c r="F10" t="s">
        <v>175</v>
      </c>
      <c r="G10" t="s">
        <v>184</v>
      </c>
      <c r="H10" t="s">
        <v>185</v>
      </c>
      <c r="I10">
        <v>0.34480681168338301</v>
      </c>
      <c r="J10">
        <v>0.19946099652461699</v>
      </c>
      <c r="K10" s="45">
        <v>3.0775188322238899E-4</v>
      </c>
      <c r="L10">
        <v>0</v>
      </c>
      <c r="M10" s="45">
        <v>4.9880882431772204E-4</v>
      </c>
      <c r="N10">
        <v>1.94776104867454</v>
      </c>
      <c r="O10" s="45">
        <v>2.3505914887079399E-2</v>
      </c>
      <c r="P10" s="45">
        <v>2.1508680288830802E-3</v>
      </c>
      <c r="Q10" s="45">
        <v>2.76440031636036E-5</v>
      </c>
      <c r="R10">
        <v>0.178703633202838</v>
      </c>
      <c r="S10" s="45">
        <v>3.5470211231084302E-13</v>
      </c>
      <c r="T10" s="45">
        <v>1.42903275662829E-3</v>
      </c>
      <c r="W10">
        <v>0.15101916051112901</v>
      </c>
      <c r="X10" s="45">
        <v>3.01313E-2</v>
      </c>
      <c r="Y10">
        <v>8.03416330340639E-2</v>
      </c>
      <c r="Z10">
        <v>8.3314718138189706E-2</v>
      </c>
      <c r="AA10">
        <v>0</v>
      </c>
      <c r="AD10" s="45">
        <v>9.0958864790748897E-2</v>
      </c>
      <c r="AE10" s="45">
        <v>2.7E-2</v>
      </c>
      <c r="AF10">
        <v>8.1502131733868999E-2</v>
      </c>
      <c r="AH10" s="45">
        <v>1.7394359364198301E-4</v>
      </c>
      <c r="AI10" s="45">
        <v>9.5000000000000005E-5</v>
      </c>
      <c r="AJ10" s="45">
        <v>3.8808289580405897E-5</v>
      </c>
      <c r="AN10" s="45">
        <v>2.0101383380897301E-4</v>
      </c>
      <c r="AO10" s="45">
        <v>1.1000000000000001E-6</v>
      </c>
      <c r="AP10">
        <v>2.9429169609547203E-4</v>
      </c>
      <c r="AQ10" s="45">
        <v>2.4032944132768801E-6</v>
      </c>
    </row>
    <row r="11" spans="1:46">
      <c r="A11" t="s">
        <v>171</v>
      </c>
      <c r="B11" t="s">
        <v>172</v>
      </c>
      <c r="C11" t="s">
        <v>173</v>
      </c>
      <c r="D11">
        <v>111</v>
      </c>
      <c r="E11" t="s">
        <v>174</v>
      </c>
      <c r="F11" t="s">
        <v>175</v>
      </c>
      <c r="G11" t="s">
        <v>182</v>
      </c>
      <c r="H11" t="s">
        <v>183</v>
      </c>
      <c r="I11">
        <v>0.340406764162205</v>
      </c>
      <c r="J11">
        <v>0.19470709271397199</v>
      </c>
      <c r="K11" s="45">
        <v>3.1949298860677597E-4</v>
      </c>
      <c r="L11">
        <v>0</v>
      </c>
      <c r="M11" s="45">
        <v>4.9882337138370397E-4</v>
      </c>
      <c r="N11">
        <v>1.8354416439683701</v>
      </c>
      <c r="O11" s="45">
        <v>2.3505914887079399E-2</v>
      </c>
      <c r="P11" s="45">
        <v>2.1508680288830802E-3</v>
      </c>
      <c r="Q11" s="45">
        <v>1.8303202859960401E-3</v>
      </c>
      <c r="R11">
        <v>0.17803783946493201</v>
      </c>
      <c r="S11" s="45">
        <v>2.30490477634365E-13</v>
      </c>
      <c r="T11" s="45">
        <v>1.42903275662829E-3</v>
      </c>
      <c r="W11">
        <v>0.15101916051112901</v>
      </c>
      <c r="X11" s="45">
        <v>3.01313E-2</v>
      </c>
      <c r="Y11">
        <v>8.03416330340639E-2</v>
      </c>
      <c r="Z11">
        <v>7.8914670617012198E-2</v>
      </c>
      <c r="AA11">
        <v>0</v>
      </c>
      <c r="AD11" s="45">
        <v>9.0958864790748897E-2</v>
      </c>
      <c r="AE11" s="45">
        <v>2.7E-2</v>
      </c>
      <c r="AF11">
        <v>7.67482279232235E-2</v>
      </c>
      <c r="AH11" s="45">
        <v>1.7394359364198301E-4</v>
      </c>
      <c r="AI11" s="45">
        <v>9.5000000000000005E-5</v>
      </c>
      <c r="AJ11" s="45">
        <v>5.0549394964793198E-5</v>
      </c>
      <c r="AN11" s="45">
        <v>2.0101383380897301E-4</v>
      </c>
      <c r="AO11" s="45">
        <v>1.1000000000000001E-6</v>
      </c>
      <c r="AP11">
        <v>2.9429169609547203E-4</v>
      </c>
      <c r="AQ11" s="45">
        <v>2.41784147925957E-6</v>
      </c>
    </row>
    <row r="12" spans="1:46">
      <c r="A12" t="s">
        <v>171</v>
      </c>
      <c r="B12" t="s">
        <v>172</v>
      </c>
      <c r="C12" t="s">
        <v>173</v>
      </c>
      <c r="D12">
        <v>111</v>
      </c>
      <c r="E12" t="s">
        <v>174</v>
      </c>
      <c r="F12" t="s">
        <v>175</v>
      </c>
      <c r="G12" t="s">
        <v>180</v>
      </c>
      <c r="H12" t="s">
        <v>181</v>
      </c>
      <c r="I12">
        <v>0.40512465867533498</v>
      </c>
      <c r="J12">
        <v>0.17977536253787799</v>
      </c>
      <c r="K12" s="45">
        <v>2.9952406482561901E-4</v>
      </c>
      <c r="L12">
        <v>0</v>
      </c>
      <c r="M12" s="45">
        <v>7.9275999635770498E-4</v>
      </c>
      <c r="N12">
        <v>1.41349548953589</v>
      </c>
      <c r="O12" s="45">
        <v>2.3505914887079399E-2</v>
      </c>
      <c r="P12" s="45">
        <v>2.1508680288830802E-3</v>
      </c>
      <c r="Q12" s="45">
        <v>1.33006336197129E-3</v>
      </c>
      <c r="R12">
        <v>0.26546110252853</v>
      </c>
      <c r="S12" s="45">
        <v>1.69922519995714E-13</v>
      </c>
      <c r="T12" s="45">
        <v>1.42903275662829E-3</v>
      </c>
      <c r="W12">
        <v>0.15101916051112901</v>
      </c>
      <c r="X12" s="45">
        <v>3.01313E-2</v>
      </c>
      <c r="Y12">
        <v>0.16068326606812799</v>
      </c>
      <c r="Z12">
        <v>6.3290932096078195E-2</v>
      </c>
      <c r="AA12">
        <v>0</v>
      </c>
      <c r="AD12" s="45">
        <v>9.0958864790748897E-2</v>
      </c>
      <c r="AE12" s="45">
        <v>2.7E-2</v>
      </c>
      <c r="AF12">
        <v>6.1816497747129898E-2</v>
      </c>
      <c r="AH12" s="45">
        <v>1.7394359364198301E-4</v>
      </c>
      <c r="AI12" s="45">
        <v>9.5000000000000005E-5</v>
      </c>
      <c r="AJ12" s="45">
        <v>3.0580471183636001E-5</v>
      </c>
      <c r="AN12" s="45">
        <v>2.0101383380897301E-4</v>
      </c>
      <c r="AO12" s="45">
        <v>1.1000000000000001E-6</v>
      </c>
      <c r="AP12">
        <v>5.8858339219094405E-4</v>
      </c>
      <c r="AQ12" s="45">
        <v>2.0627703577874102E-6</v>
      </c>
    </row>
    <row r="13" spans="1:46">
      <c r="A13" t="s">
        <v>171</v>
      </c>
      <c r="B13" t="s">
        <v>172</v>
      </c>
      <c r="C13" t="s">
        <v>173</v>
      </c>
      <c r="D13">
        <v>111</v>
      </c>
      <c r="E13" t="s">
        <v>174</v>
      </c>
      <c r="F13" t="s">
        <v>175</v>
      </c>
      <c r="G13" t="s">
        <v>47</v>
      </c>
      <c r="H13" t="s">
        <v>48</v>
      </c>
      <c r="I13">
        <v>0.41183560339145298</v>
      </c>
      <c r="J13">
        <v>0.18608857697359599</v>
      </c>
      <c r="K13" s="45">
        <v>3.1088174748302702E-4</v>
      </c>
      <c r="L13">
        <v>0</v>
      </c>
      <c r="M13" s="45">
        <v>7.9297710748301505E-4</v>
      </c>
      <c r="N13">
        <v>1.35738990210504</v>
      </c>
      <c r="O13" s="45">
        <v>2.3505914887079399E-2</v>
      </c>
      <c r="P13" s="45">
        <v>2.1508680288830802E-3</v>
      </c>
      <c r="Q13">
        <v>1.0074338835282899E-9</v>
      </c>
      <c r="R13">
        <v>0.258978472497013</v>
      </c>
      <c r="S13" s="45">
        <v>1.2449839343316701E-13</v>
      </c>
      <c r="T13" s="45">
        <v>1.42903275662829E-3</v>
      </c>
      <c r="W13">
        <v>0.15101916051112901</v>
      </c>
      <c r="X13" s="45">
        <v>3.01313E-2</v>
      </c>
      <c r="Y13">
        <v>0.16068326606812799</v>
      </c>
      <c r="Z13">
        <v>7.0001876812196301E-2</v>
      </c>
      <c r="AA13">
        <v>0</v>
      </c>
      <c r="AD13" s="45">
        <v>9.0958864790748897E-2</v>
      </c>
      <c r="AE13" s="45">
        <v>2.7E-2</v>
      </c>
      <c r="AF13">
        <v>6.8129712182847496E-2</v>
      </c>
      <c r="AH13" s="45">
        <v>1.7394359364198301E-4</v>
      </c>
      <c r="AI13" s="45">
        <v>9.5000000000000005E-5</v>
      </c>
      <c r="AJ13" s="45">
        <v>4.1938153841043499E-5</v>
      </c>
      <c r="AN13" s="45">
        <v>2.0101383380897301E-4</v>
      </c>
      <c r="AO13" s="45">
        <v>1.1000000000000001E-6</v>
      </c>
      <c r="AP13">
        <v>5.8858339219094405E-4</v>
      </c>
      <c r="AQ13" s="45">
        <v>2.2798814830975501E-6</v>
      </c>
    </row>
    <row r="14" spans="1:46">
      <c r="A14" t="s">
        <v>171</v>
      </c>
      <c r="B14" t="s">
        <v>172</v>
      </c>
      <c r="C14" t="s">
        <v>173</v>
      </c>
      <c r="D14">
        <v>111</v>
      </c>
      <c r="E14" t="s">
        <v>174</v>
      </c>
      <c r="F14" t="s">
        <v>175</v>
      </c>
      <c r="G14" t="s">
        <v>37</v>
      </c>
      <c r="H14" t="s">
        <v>38</v>
      </c>
      <c r="I14">
        <v>0.45626276721754699</v>
      </c>
      <c r="J14">
        <v>0.18377756297853201</v>
      </c>
      <c r="K14" s="45">
        <v>3.1454820616409301E-4</v>
      </c>
      <c r="L14">
        <v>0</v>
      </c>
      <c r="M14" s="45">
        <v>9.6377900254697804E-4</v>
      </c>
      <c r="N14">
        <v>1.14520514059683</v>
      </c>
      <c r="O14" s="45">
        <v>2.3505914887079399E-2</v>
      </c>
      <c r="P14" s="45">
        <v>2.1508680288830802E-3</v>
      </c>
      <c r="Q14" s="45">
        <v>0</v>
      </c>
      <c r="R14" s="45">
        <v>0.25898128480566002</v>
      </c>
      <c r="S14" s="45">
        <v>9.2731182508831403E-14</v>
      </c>
      <c r="T14" s="45">
        <v>1.42903275662829E-3</v>
      </c>
      <c r="W14">
        <v>0.15101916051112901</v>
      </c>
      <c r="X14" s="45">
        <v>3.01313E-2</v>
      </c>
      <c r="Y14">
        <v>0.207334371993005</v>
      </c>
      <c r="Z14">
        <v>6.7777934713413104E-2</v>
      </c>
      <c r="AA14">
        <v>0</v>
      </c>
      <c r="AD14" s="45">
        <v>9.0958864790748897E-2</v>
      </c>
      <c r="AE14" s="45">
        <v>2.7E-2</v>
      </c>
      <c r="AF14">
        <v>6.5818698187783395E-2</v>
      </c>
      <c r="AH14" s="45">
        <v>1.7394359364198301E-4</v>
      </c>
      <c r="AI14" s="45">
        <v>9.5000000000000005E-5</v>
      </c>
      <c r="AJ14" s="45">
        <v>4.5604612522109597E-5</v>
      </c>
      <c r="AN14" s="45">
        <v>2.0101383380897301E-4</v>
      </c>
      <c r="AO14" s="45">
        <v>1.1000000000000001E-6</v>
      </c>
      <c r="AP14">
        <v>7.5946656407693998E-4</v>
      </c>
      <c r="AQ14" s="45">
        <v>2.1986046610654399E-6</v>
      </c>
    </row>
    <row r="15" spans="1:46">
      <c r="A15" t="s">
        <v>171</v>
      </c>
      <c r="B15" t="s">
        <v>172</v>
      </c>
      <c r="C15" t="s">
        <v>173</v>
      </c>
      <c r="D15">
        <v>111</v>
      </c>
      <c r="E15" t="s">
        <v>174</v>
      </c>
      <c r="F15" t="s">
        <v>175</v>
      </c>
      <c r="G15" t="s">
        <v>176</v>
      </c>
      <c r="H15" t="s">
        <v>177</v>
      </c>
      <c r="I15">
        <v>0.43778024046733399</v>
      </c>
      <c r="J15">
        <v>0.21115428629341301</v>
      </c>
      <c r="K15" s="45">
        <v>3.3730489548740701E-4</v>
      </c>
      <c r="L15">
        <v>0</v>
      </c>
      <c r="M15" s="45">
        <v>7.9331233805273295E-4</v>
      </c>
      <c r="N15">
        <v>2.1388178326075602</v>
      </c>
      <c r="O15" s="45">
        <v>2.3505914887079399E-2</v>
      </c>
      <c r="P15" s="45">
        <v>2.1508680288830802E-3</v>
      </c>
      <c r="Q15" s="45">
        <v>3.9847055114357799E-4</v>
      </c>
      <c r="R15">
        <v>0.247829734123798</v>
      </c>
      <c r="S15" s="45">
        <v>8.51970358809935E-14</v>
      </c>
      <c r="T15" s="45">
        <v>1.42903275662829E-3</v>
      </c>
      <c r="W15">
        <v>0.15101916051112901</v>
      </c>
      <c r="X15" s="45">
        <v>3.01313E-2</v>
      </c>
      <c r="Y15">
        <v>0.16068326606812799</v>
      </c>
      <c r="Z15">
        <v>9.5946513888076998E-2</v>
      </c>
      <c r="AA15">
        <v>0</v>
      </c>
      <c r="AD15" s="45">
        <v>9.0958864790748897E-2</v>
      </c>
      <c r="AE15" s="45">
        <v>2.7E-2</v>
      </c>
      <c r="AF15">
        <v>9.3195421502664702E-2</v>
      </c>
      <c r="AH15" s="45">
        <v>1.7394359364198301E-4</v>
      </c>
      <c r="AI15" s="45">
        <v>9.5000000000000005E-5</v>
      </c>
      <c r="AJ15" s="45">
        <v>6.8361301845424E-5</v>
      </c>
      <c r="AN15" s="45">
        <v>2.0101383380897301E-4</v>
      </c>
      <c r="AO15" s="45">
        <v>1.1000000000000001E-6</v>
      </c>
      <c r="AP15">
        <v>5.8858339219094503E-4</v>
      </c>
      <c r="AQ15" s="45">
        <v>2.6151120528155702E-6</v>
      </c>
    </row>
    <row r="16" spans="1:46">
      <c r="A16" t="s">
        <v>171</v>
      </c>
      <c r="B16" t="s">
        <v>172</v>
      </c>
      <c r="C16" t="s">
        <v>173</v>
      </c>
      <c r="D16">
        <v>111</v>
      </c>
      <c r="E16" t="s">
        <v>174</v>
      </c>
      <c r="F16" t="s">
        <v>175</v>
      </c>
      <c r="G16" t="s">
        <v>59</v>
      </c>
      <c r="H16" t="s">
        <v>60</v>
      </c>
      <c r="I16">
        <v>0.45494275982031301</v>
      </c>
      <c r="J16">
        <v>0.18281150246332201</v>
      </c>
      <c r="K16" s="45">
        <v>3.0362931287188701E-4</v>
      </c>
      <c r="L16">
        <v>0</v>
      </c>
      <c r="M16" s="45">
        <v>9.63674373016148E-4</v>
      </c>
      <c r="N16">
        <v>1.2579755650826201</v>
      </c>
      <c r="O16" s="45">
        <v>2.3505914887079399E-2</v>
      </c>
      <c r="P16" s="45">
        <v>2.1508680288830802E-3</v>
      </c>
      <c r="Q16" s="45">
        <v>1.2489644331326901E-4</v>
      </c>
      <c r="R16">
        <v>0.53529283216783197</v>
      </c>
      <c r="S16" s="45">
        <v>5.34154471045466E-14</v>
      </c>
      <c r="T16" s="45">
        <v>1.42903275662829E-3</v>
      </c>
      <c r="W16">
        <v>0.15101916051112901</v>
      </c>
      <c r="X16" s="45">
        <v>3.01313E-2</v>
      </c>
      <c r="Y16">
        <v>0.207334371993005</v>
      </c>
      <c r="Z16">
        <v>6.6457927316178902E-2</v>
      </c>
      <c r="AA16">
        <v>0</v>
      </c>
      <c r="AD16" s="45">
        <v>9.0958864790748897E-2</v>
      </c>
      <c r="AE16" s="45">
        <v>2.7E-2</v>
      </c>
      <c r="AF16">
        <v>6.4852637672573404E-2</v>
      </c>
      <c r="AH16" s="45">
        <v>1.7394359364198301E-4</v>
      </c>
      <c r="AI16" s="45">
        <v>9.5000000000000005E-5</v>
      </c>
      <c r="AJ16" s="45">
        <v>3.4685719229903903E-5</v>
      </c>
      <c r="AN16" s="45">
        <v>2.0101383380897301E-4</v>
      </c>
      <c r="AO16" s="45">
        <v>1.1000000000000001E-6</v>
      </c>
      <c r="AP16">
        <v>7.5946656407693998E-4</v>
      </c>
      <c r="AQ16" s="45">
        <v>2.0939751302359198E-6</v>
      </c>
    </row>
    <row r="17" spans="1:62">
      <c r="A17" t="s">
        <v>171</v>
      </c>
      <c r="B17" t="s">
        <v>172</v>
      </c>
      <c r="C17" t="s">
        <v>173</v>
      </c>
      <c r="D17">
        <v>111</v>
      </c>
      <c r="E17" t="s">
        <v>174</v>
      </c>
      <c r="F17" t="s">
        <v>175</v>
      </c>
      <c r="G17" t="s">
        <v>178</v>
      </c>
      <c r="H17" t="s">
        <v>179</v>
      </c>
      <c r="I17">
        <v>0.45161565202489201</v>
      </c>
      <c r="J17">
        <v>0.179632162972338</v>
      </c>
      <c r="K17" s="45">
        <v>2.9937003916657198E-4</v>
      </c>
      <c r="L17">
        <v>0</v>
      </c>
      <c r="M17" s="45">
        <v>9.6359802888421205E-4</v>
      </c>
      <c r="N17">
        <v>1.0926167515629801</v>
      </c>
      <c r="O17" s="45">
        <v>2.3505914887079399E-2</v>
      </c>
      <c r="P17" s="45">
        <v>2.1508680288830802E-3</v>
      </c>
      <c r="Q17" s="45">
        <v>0</v>
      </c>
      <c r="R17">
        <v>0.53535264256903903</v>
      </c>
      <c r="S17" s="45">
        <v>4.8031404240001998E-14</v>
      </c>
      <c r="T17" s="45">
        <v>1.42903275662829E-3</v>
      </c>
      <c r="W17">
        <v>0.15101916051112901</v>
      </c>
      <c r="X17" s="45">
        <v>3.01313E-2</v>
      </c>
      <c r="Y17">
        <v>0.207334371993005</v>
      </c>
      <c r="Z17">
        <v>6.3130819520757803E-2</v>
      </c>
      <c r="AA17">
        <v>0</v>
      </c>
      <c r="AD17" s="45">
        <v>9.0958864790748897E-2</v>
      </c>
      <c r="AE17" s="45">
        <v>2.7E-2</v>
      </c>
      <c r="AF17">
        <v>6.1673298181589301E-2</v>
      </c>
      <c r="AH17" s="45">
        <v>1.7394359364198301E-4</v>
      </c>
      <c r="AI17" s="45">
        <v>9.5000000000000005E-5</v>
      </c>
      <c r="AJ17" s="45">
        <v>3.0426445524588501E-5</v>
      </c>
      <c r="AN17" s="45">
        <v>2.0101383380897301E-4</v>
      </c>
      <c r="AO17" s="45">
        <v>1.1000000000000001E-6</v>
      </c>
      <c r="AP17">
        <v>7.5946656407693998E-4</v>
      </c>
      <c r="AQ17" s="45">
        <v>2.0176309982992698E-6</v>
      </c>
    </row>
    <row r="18" spans="1:62">
      <c r="A18" t="s">
        <v>171</v>
      </c>
      <c r="B18" t="s">
        <v>172</v>
      </c>
      <c r="C18" t="s">
        <v>173</v>
      </c>
      <c r="D18">
        <v>111</v>
      </c>
      <c r="E18" t="s">
        <v>174</v>
      </c>
      <c r="F18" t="s">
        <v>175</v>
      </c>
      <c r="G18" t="s">
        <v>45</v>
      </c>
      <c r="H18" t="s">
        <v>46</v>
      </c>
      <c r="I18">
        <v>0.42374026786194802</v>
      </c>
      <c r="J18">
        <v>0.166515715669901</v>
      </c>
      <c r="K18" s="45">
        <v>2.23065852447967E-4</v>
      </c>
      <c r="L18">
        <v>0</v>
      </c>
      <c r="M18" s="45">
        <v>9.1786516406263102E-4</v>
      </c>
      <c r="N18">
        <v>1.3114960497738899</v>
      </c>
      <c r="O18" s="45">
        <v>2.3505914887079399E-2</v>
      </c>
      <c r="P18" s="45">
        <v>2.1508680288830802E-3</v>
      </c>
      <c r="Q18" s="45">
        <v>6.3497346233092004E-3</v>
      </c>
      <c r="R18">
        <v>0.118297741588569</v>
      </c>
      <c r="S18" s="45">
        <v>4.6761367216966203E-14</v>
      </c>
      <c r="T18" s="45">
        <v>1.42903275662829E-3</v>
      </c>
      <c r="W18">
        <v>0.118837159162804</v>
      </c>
      <c r="X18" s="45">
        <v>3.01313E-2</v>
      </c>
      <c r="Y18">
        <v>0.207334371993005</v>
      </c>
      <c r="Z18">
        <v>6.7437436706140302E-2</v>
      </c>
      <c r="AA18">
        <v>0</v>
      </c>
      <c r="AD18" s="45">
        <v>7.3741076533864705E-2</v>
      </c>
      <c r="AE18" s="45">
        <v>2.7E-2</v>
      </c>
      <c r="AF18">
        <v>6.57746391360364E-2</v>
      </c>
      <c r="AH18" s="45">
        <v>9.2769916609057894E-5</v>
      </c>
      <c r="AI18" s="45">
        <v>9.5000000000000005E-5</v>
      </c>
      <c r="AJ18" s="45">
        <v>3.5295935838909702E-5</v>
      </c>
      <c r="AN18" s="45">
        <v>1.55060582835126E-4</v>
      </c>
      <c r="AO18" s="45">
        <v>1.1000000000000001E-6</v>
      </c>
      <c r="AP18">
        <v>7.5946656407693998E-4</v>
      </c>
      <c r="AQ18" s="45">
        <v>2.2380171505653701E-6</v>
      </c>
    </row>
    <row r="19" spans="1:62">
      <c r="A19" t="s">
        <v>171</v>
      </c>
      <c r="B19" t="s">
        <v>172</v>
      </c>
      <c r="C19" t="s">
        <v>173</v>
      </c>
      <c r="D19">
        <v>111</v>
      </c>
      <c r="E19" t="s">
        <v>174</v>
      </c>
      <c r="F19" t="s">
        <v>175</v>
      </c>
      <c r="G19" t="s">
        <v>39</v>
      </c>
      <c r="H19" t="s">
        <v>40</v>
      </c>
      <c r="I19">
        <v>0.42153794927943</v>
      </c>
      <c r="J19">
        <v>0.16484003368588199</v>
      </c>
      <c r="K19" s="45">
        <v>2.15695942548955E-4</v>
      </c>
      <c r="L19">
        <v>0</v>
      </c>
      <c r="M19" s="45">
        <v>9.16740573280544E-4</v>
      </c>
      <c r="N19">
        <v>1.5363343063450601</v>
      </c>
      <c r="O19" s="45">
        <v>2.3505914887079399E-2</v>
      </c>
      <c r="P19" s="45">
        <v>2.1508680288830802E-3</v>
      </c>
      <c r="Q19" s="45">
        <v>0</v>
      </c>
      <c r="R19">
        <v>0.113688738669534</v>
      </c>
      <c r="S19" s="45">
        <v>3.1435368362994797E-14</v>
      </c>
      <c r="T19" s="45">
        <v>1.42903275662829E-3</v>
      </c>
      <c r="W19">
        <v>0.118837159162804</v>
      </c>
      <c r="X19" s="45">
        <v>3.01313E-2</v>
      </c>
      <c r="Y19">
        <v>0.20705890305730501</v>
      </c>
      <c r="Z19">
        <v>6.5510587059321002E-2</v>
      </c>
      <c r="AA19">
        <v>0</v>
      </c>
      <c r="AD19" s="45">
        <v>7.3741076533864705E-2</v>
      </c>
      <c r="AE19" s="45">
        <v>2.7E-2</v>
      </c>
      <c r="AF19">
        <v>6.4098957152017993E-2</v>
      </c>
      <c r="AH19" s="45">
        <v>9.2769916609057894E-5</v>
      </c>
      <c r="AI19" s="45">
        <v>9.5000000000000005E-5</v>
      </c>
      <c r="AJ19" s="45">
        <v>2.7926025939897101E-5</v>
      </c>
      <c r="AN19" s="45">
        <v>1.55060582835126E-4</v>
      </c>
      <c r="AO19" s="45">
        <v>1.1000000000000001E-6</v>
      </c>
      <c r="AP19">
        <v>7.5845752035642996E-4</v>
      </c>
      <c r="AQ19" s="45">
        <v>2.12247008898919E-6</v>
      </c>
    </row>
    <row r="21" spans="1:62">
      <c r="A21" s="355" t="s">
        <v>192</v>
      </c>
      <c r="B21" s="355"/>
      <c r="C21" s="355"/>
      <c r="D21" s="355"/>
      <c r="E21" s="355"/>
      <c r="F21" s="355"/>
      <c r="G21" s="355"/>
      <c r="H21" s="355"/>
      <c r="I21" s="355">
        <f>AVERAGE(I7:I19)</f>
        <v>0.40305076024978892</v>
      </c>
      <c r="J21" s="355">
        <f t="shared" ref="J21:AQ21" si="0">AVERAGE(J7:J19)</f>
        <v>0.19238942242386547</v>
      </c>
      <c r="K21" s="355">
        <f t="shared" si="0"/>
        <v>3.0348739852568827E-4</v>
      </c>
      <c r="L21" s="355">
        <f t="shared" si="0"/>
        <v>0</v>
      </c>
      <c r="M21" s="355">
        <f t="shared" si="0"/>
        <v>7.3852532362585275E-4</v>
      </c>
      <c r="N21" s="355">
        <f t="shared" si="0"/>
        <v>1.8355654643108137</v>
      </c>
      <c r="O21" s="355">
        <f t="shared" si="0"/>
        <v>2.3505914887079402E-2</v>
      </c>
      <c r="P21" s="355">
        <f t="shared" si="0"/>
        <v>2.1508680288830802E-3</v>
      </c>
      <c r="Q21" s="355">
        <f t="shared" si="0"/>
        <v>7.8900602630718828E-3</v>
      </c>
      <c r="R21" s="355">
        <f t="shared" si="0"/>
        <v>0.23933217358535522</v>
      </c>
      <c r="S21" s="355">
        <f t="shared" si="0"/>
        <v>4.7387212541000178E-13</v>
      </c>
      <c r="T21" s="355">
        <f t="shared" si="0"/>
        <v>1.4290327566282902E-3</v>
      </c>
      <c r="U21" s="355"/>
      <c r="V21" s="355"/>
      <c r="W21" s="355">
        <f t="shared" si="0"/>
        <v>0.1460680833806175</v>
      </c>
      <c r="X21" s="355">
        <f t="shared" si="0"/>
        <v>3.0131299999999989E-2</v>
      </c>
      <c r="Y21" s="355">
        <f t="shared" si="0"/>
        <v>0.14770418110800218</v>
      </c>
      <c r="Z21" s="355">
        <f t="shared" si="0"/>
        <v>7.9147195761169215E-2</v>
      </c>
      <c r="AA21" s="355">
        <f t="shared" si="0"/>
        <v>0</v>
      </c>
      <c r="AB21" s="355"/>
      <c r="AC21" s="355"/>
      <c r="AD21" s="355">
        <f t="shared" si="0"/>
        <v>8.8309974289689785E-2</v>
      </c>
      <c r="AE21" s="355">
        <f t="shared" si="0"/>
        <v>2.7000000000000007E-2</v>
      </c>
      <c r="AF21" s="355">
        <f t="shared" si="0"/>
        <v>7.7079448134176082E-2</v>
      </c>
      <c r="AG21" s="355"/>
      <c r="AH21" s="355">
        <f t="shared" si="0"/>
        <v>1.6145533563691761E-4</v>
      </c>
      <c r="AI21" s="355">
        <f t="shared" si="0"/>
        <v>9.5000000000000019E-5</v>
      </c>
      <c r="AJ21" s="355">
        <f t="shared" si="0"/>
        <v>4.7032062888770532E-5</v>
      </c>
      <c r="AK21" s="355"/>
      <c r="AL21" s="355"/>
      <c r="AM21" s="355"/>
      <c r="AN21" s="355">
        <f t="shared" si="0"/>
        <v>1.9394410288991958E-4</v>
      </c>
      <c r="AO21" s="355">
        <f t="shared" si="0"/>
        <v>1.0999999999999998E-6</v>
      </c>
      <c r="AP21" s="355">
        <f t="shared" si="0"/>
        <v>5.4104095643956786E-4</v>
      </c>
      <c r="AQ21" s="355">
        <f t="shared" si="0"/>
        <v>2.4402642963655115E-6</v>
      </c>
      <c r="AR21" s="355"/>
    </row>
    <row r="23" spans="1:62" ht="18">
      <c r="A23" s="238" t="s">
        <v>193</v>
      </c>
    </row>
    <row r="25" spans="1:62">
      <c r="A25" s="601" t="s">
        <v>13</v>
      </c>
      <c r="B25" s="601" t="s">
        <v>194</v>
      </c>
      <c r="C25" s="601" t="s">
        <v>195</v>
      </c>
      <c r="D25" s="601" t="s">
        <v>196</v>
      </c>
      <c r="E25" s="601" t="s">
        <v>197</v>
      </c>
      <c r="F25" s="601" t="s">
        <v>198</v>
      </c>
      <c r="G25" s="601" t="s">
        <v>199</v>
      </c>
      <c r="H25" s="601" t="s">
        <v>200</v>
      </c>
      <c r="I25" s="601" t="s">
        <v>201</v>
      </c>
      <c r="J25" s="601" t="s">
        <v>202</v>
      </c>
      <c r="K25" s="601" t="s">
        <v>203</v>
      </c>
      <c r="L25" s="601" t="s">
        <v>204</v>
      </c>
      <c r="M25" s="601" t="s">
        <v>205</v>
      </c>
      <c r="N25" s="601" t="s">
        <v>206</v>
      </c>
      <c r="O25" s="601" t="s">
        <v>207</v>
      </c>
      <c r="P25" s="601" t="s">
        <v>208</v>
      </c>
      <c r="Q25" s="601" t="s">
        <v>209</v>
      </c>
      <c r="R25" s="601" t="s">
        <v>210</v>
      </c>
      <c r="S25" s="601" t="s">
        <v>211</v>
      </c>
      <c r="T25" s="601" t="s">
        <v>212</v>
      </c>
      <c r="U25" s="601" t="s">
        <v>213</v>
      </c>
      <c r="V25" s="601" t="s">
        <v>214</v>
      </c>
      <c r="W25" s="601" t="s">
        <v>215</v>
      </c>
      <c r="X25" s="601" t="s">
        <v>216</v>
      </c>
      <c r="Y25" s="601" t="s">
        <v>217</v>
      </c>
      <c r="Z25" s="601" t="s">
        <v>218</v>
      </c>
      <c r="AA25" s="601" t="s">
        <v>219</v>
      </c>
      <c r="AB25" s="601" t="s">
        <v>220</v>
      </c>
      <c r="AC25" s="601" t="s">
        <v>221</v>
      </c>
      <c r="AD25" s="601" t="s">
        <v>222</v>
      </c>
      <c r="AE25" s="601" t="s">
        <v>223</v>
      </c>
      <c r="AF25" s="602" t="s">
        <v>224</v>
      </c>
      <c r="AG25" s="602" t="s">
        <v>225</v>
      </c>
      <c r="AH25" s="602" t="s">
        <v>226</v>
      </c>
      <c r="AI25" s="602" t="s">
        <v>227</v>
      </c>
      <c r="AJ25" s="602" t="s">
        <v>228</v>
      </c>
      <c r="AK25" s="602" t="s">
        <v>229</v>
      </c>
      <c r="AL25" s="602" t="s">
        <v>230</v>
      </c>
      <c r="AM25" s="602" t="s">
        <v>231</v>
      </c>
      <c r="AN25" s="602" t="s">
        <v>232</v>
      </c>
      <c r="AO25" s="602" t="s">
        <v>233</v>
      </c>
      <c r="AP25" s="602" t="s">
        <v>234</v>
      </c>
      <c r="AQ25" s="602" t="s">
        <v>235</v>
      </c>
      <c r="AR25" s="602" t="s">
        <v>236</v>
      </c>
      <c r="AS25" s="602" t="s">
        <v>237</v>
      </c>
      <c r="AT25" s="602" t="s">
        <v>238</v>
      </c>
      <c r="AU25" s="601" t="s">
        <v>239</v>
      </c>
      <c r="AV25" s="601" t="s">
        <v>240</v>
      </c>
      <c r="AW25" s="601" t="s">
        <v>241</v>
      </c>
      <c r="AX25" s="601" t="s">
        <v>242</v>
      </c>
      <c r="AY25" s="601" t="s">
        <v>243</v>
      </c>
      <c r="AZ25" s="601" t="s">
        <v>244</v>
      </c>
      <c r="BA25" s="601" t="s">
        <v>245</v>
      </c>
      <c r="BB25" s="601" t="s">
        <v>246</v>
      </c>
      <c r="BC25" s="601" t="s">
        <v>247</v>
      </c>
      <c r="BD25" s="601" t="s">
        <v>248</v>
      </c>
      <c r="BE25" s="601" t="s">
        <v>249</v>
      </c>
      <c r="BF25" s="601" t="s">
        <v>250</v>
      </c>
      <c r="BG25" s="601" t="s">
        <v>251</v>
      </c>
      <c r="BH25" s="601" t="s">
        <v>252</v>
      </c>
      <c r="BI25" s="601" t="s">
        <v>253</v>
      </c>
      <c r="BJ25" s="601" t="s">
        <v>254</v>
      </c>
    </row>
    <row r="26" spans="1:62">
      <c r="A26" t="s">
        <v>255</v>
      </c>
      <c r="B26" t="s">
        <v>256</v>
      </c>
      <c r="C26" t="s">
        <v>257</v>
      </c>
      <c r="D26" t="s">
        <v>258</v>
      </c>
      <c r="E26">
        <v>1000</v>
      </c>
      <c r="F26">
        <v>1.1009929809024701</v>
      </c>
      <c r="G26">
        <v>0.53410034010127805</v>
      </c>
      <c r="H26">
        <v>9.7095782082076503E-4</v>
      </c>
      <c r="I26">
        <v>1.7762317060436099E-3</v>
      </c>
      <c r="J26">
        <v>1.7948712149361201E-3</v>
      </c>
      <c r="K26">
        <v>0.98803448326548904</v>
      </c>
      <c r="L26">
        <v>0.43539274180578702</v>
      </c>
      <c r="M26">
        <v>5.3944689841354295E-4</v>
      </c>
      <c r="N26">
        <v>1.7688314769222901E-3</v>
      </c>
      <c r="O26">
        <v>1.79050466670357E-3</v>
      </c>
      <c r="P26">
        <v>4.1347097949832703</v>
      </c>
      <c r="Q26">
        <v>5.1102372527595599E-2</v>
      </c>
      <c r="R26">
        <v>5.6513558900544297E-3</v>
      </c>
      <c r="S26">
        <v>1.86528336924301E-2</v>
      </c>
      <c r="T26">
        <v>0.316225523393867</v>
      </c>
      <c r="U26" s="45">
        <v>3.0792990989721398E-13</v>
      </c>
      <c r="V26">
        <v>2.9296108312262801E-3</v>
      </c>
      <c r="W26">
        <v>7.30108771482056</v>
      </c>
      <c r="X26">
        <v>0.20668482357981299</v>
      </c>
      <c r="Y26">
        <v>0.24400951052099101</v>
      </c>
      <c r="Z26">
        <v>6.5175471320436898E-2</v>
      </c>
      <c r="AA26">
        <v>0.39741234881721199</v>
      </c>
      <c r="AB26">
        <v>0.20623930235615101</v>
      </c>
      <c r="AC26">
        <v>2.68049990783134E-2</v>
      </c>
      <c r="AD26">
        <v>0</v>
      </c>
      <c r="AE26">
        <v>4.8392851172383601E-2</v>
      </c>
      <c r="AF26">
        <v>0.15007612398647499</v>
      </c>
      <c r="AG26">
        <v>5.8421602869314603E-2</v>
      </c>
      <c r="AH26">
        <v>0.20176352921024501</v>
      </c>
      <c r="AI26">
        <v>2.68049990783134E-2</v>
      </c>
      <c r="AJ26">
        <v>2.0276087350557599E-4</v>
      </c>
      <c r="AK26">
        <v>2.06720009718506E-4</v>
      </c>
      <c r="AL26">
        <v>3.0343961329573999E-2</v>
      </c>
      <c r="AM26">
        <v>0</v>
      </c>
      <c r="AN26">
        <v>0</v>
      </c>
      <c r="AO26">
        <v>1.7688314769222901E-3</v>
      </c>
      <c r="AP26">
        <v>3.2194546704780198E-4</v>
      </c>
      <c r="AQ26">
        <v>2.17440352201779E-6</v>
      </c>
      <c r="AR26">
        <v>1.45572288944033E-3</v>
      </c>
      <c r="AS26">
        <v>3.0256120288346601E-2</v>
      </c>
      <c r="AT26">
        <v>2.3238142691638298E-6</v>
      </c>
      <c r="AU26">
        <v>0</v>
      </c>
      <c r="AV26">
        <v>0</v>
      </c>
      <c r="AW26">
        <v>0</v>
      </c>
      <c r="AX26">
        <v>0</v>
      </c>
      <c r="AY26">
        <v>8.9016251185130305E-2</v>
      </c>
      <c r="AZ26">
        <v>7.5751878252498198E-2</v>
      </c>
      <c r="BA26">
        <v>4.1101278056551201E-4</v>
      </c>
      <c r="BB26">
        <v>7.4002291213207298E-6</v>
      </c>
      <c r="BC26">
        <v>2.99042448902646E-6</v>
      </c>
      <c r="BD26">
        <v>2.39422464518575E-2</v>
      </c>
      <c r="BE26">
        <v>2.2955720042992199E-2</v>
      </c>
      <c r="BF26">
        <v>2.0498141841709499E-5</v>
      </c>
      <c r="BG26">
        <v>1.37612374352492E-6</v>
      </c>
      <c r="BI26" t="s">
        <v>259</v>
      </c>
    </row>
    <row r="27" spans="1:62">
      <c r="A27" t="s">
        <v>260</v>
      </c>
      <c r="B27" t="s">
        <v>128</v>
      </c>
      <c r="C27" t="s">
        <v>261</v>
      </c>
      <c r="D27" t="s">
        <v>262</v>
      </c>
      <c r="E27">
        <v>1000</v>
      </c>
      <c r="F27">
        <v>1.2340466185972301</v>
      </c>
      <c r="G27">
        <v>0.943955275499196</v>
      </c>
      <c r="H27">
        <v>1.2874373265194001E-3</v>
      </c>
      <c r="I27">
        <v>3.1812082281144701E-6</v>
      </c>
      <c r="J27">
        <v>9.2175757562491995E-4</v>
      </c>
      <c r="K27">
        <v>0.582005633623357</v>
      </c>
      <c r="L27">
        <v>0.31824838085628299</v>
      </c>
      <c r="M27">
        <v>6.5678630318842599E-4</v>
      </c>
      <c r="N27">
        <v>0</v>
      </c>
      <c r="O27">
        <v>8.9445062612475803E-4</v>
      </c>
      <c r="P27">
        <v>1.8475515611295199</v>
      </c>
      <c r="Q27">
        <v>2.5189284859272201E-2</v>
      </c>
      <c r="R27">
        <v>8.2428109712370402E-3</v>
      </c>
      <c r="S27">
        <v>9.39103772948119E-2</v>
      </c>
      <c r="T27">
        <v>0.47361802607982401</v>
      </c>
      <c r="U27" s="45">
        <v>1.72217042180495E-13</v>
      </c>
      <c r="V27">
        <v>1.5313725652825901E-3</v>
      </c>
      <c r="W27">
        <v>0</v>
      </c>
      <c r="X27">
        <v>0</v>
      </c>
      <c r="Y27">
        <v>0.14996812359300901</v>
      </c>
      <c r="Z27">
        <v>0.120355835789116</v>
      </c>
      <c r="AA27">
        <v>0.187518235755532</v>
      </c>
      <c r="AB27">
        <v>0.124163438485699</v>
      </c>
      <c r="AC27">
        <v>0</v>
      </c>
      <c r="AD27">
        <v>0</v>
      </c>
      <c r="AE27">
        <v>0</v>
      </c>
      <c r="AF27">
        <v>9.1124270648153302E-2</v>
      </c>
      <c r="AG27">
        <v>0.10784823642876799</v>
      </c>
      <c r="AH27">
        <v>0.119275873779361</v>
      </c>
      <c r="AI27">
        <v>0</v>
      </c>
      <c r="AJ27">
        <v>1.5646994058635699E-4</v>
      </c>
      <c r="AK27">
        <v>3.7946601706418401E-4</v>
      </c>
      <c r="AL27">
        <v>1.20850345537883E-4</v>
      </c>
      <c r="AM27">
        <v>0</v>
      </c>
      <c r="AN27">
        <v>0</v>
      </c>
      <c r="AO27">
        <v>0</v>
      </c>
      <c r="AP27">
        <v>1.98465379909825E-4</v>
      </c>
      <c r="AQ27">
        <v>4.3938170396905502E-6</v>
      </c>
      <c r="AR27">
        <v>6.8687998445249798E-4</v>
      </c>
      <c r="AS27">
        <v>4.7114447227430204E-6</v>
      </c>
      <c r="AT27">
        <v>0</v>
      </c>
      <c r="AU27">
        <v>0.52974367106236298</v>
      </c>
      <c r="AV27">
        <v>0.51218173968164404</v>
      </c>
      <c r="AW27">
        <v>3.9643834091765298E-4</v>
      </c>
      <c r="AX27">
        <v>2.10551971478854E-5</v>
      </c>
      <c r="AY27">
        <v>3.4386004094036499E-2</v>
      </c>
      <c r="AZ27">
        <v>2.9270132390677599E-2</v>
      </c>
      <c r="BA27">
        <v>1.5928616652637501E-4</v>
      </c>
      <c r="BB27">
        <v>3.1812082281144701E-6</v>
      </c>
      <c r="BC27">
        <v>1.03755061799943E-6</v>
      </c>
      <c r="BD27">
        <v>8.7911309817480202E-2</v>
      </c>
      <c r="BE27">
        <v>8.4255022570591295E-2</v>
      </c>
      <c r="BF27">
        <v>7.4926515886952806E-5</v>
      </c>
      <c r="BG27">
        <v>5.2142017342771404E-6</v>
      </c>
      <c r="BH27" t="s">
        <v>263</v>
      </c>
      <c r="BI27" t="s">
        <v>264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33A1-704C-46B8-AB16-CAA0FB654848}">
  <dimension ref="A1:K31"/>
  <sheetViews>
    <sheetView workbookViewId="0">
      <selection activeCell="D16" sqref="D16"/>
    </sheetView>
  </sheetViews>
  <sheetFormatPr defaultRowHeight="14.4"/>
  <cols>
    <col min="1" max="1" width="18.33203125" customWidth="1"/>
    <col min="2" max="2" width="25.6640625" customWidth="1"/>
    <col min="3" max="3" width="15.6640625" customWidth="1"/>
    <col min="4" max="4" width="30" customWidth="1"/>
    <col min="5" max="5" width="24.33203125" customWidth="1"/>
  </cols>
  <sheetData>
    <row r="1" spans="1:11" ht="21">
      <c r="A1" s="171" t="s">
        <v>265</v>
      </c>
      <c r="B1" s="62"/>
      <c r="C1" s="62"/>
      <c r="D1" s="62"/>
      <c r="E1" s="62"/>
      <c r="F1" s="62"/>
      <c r="G1" s="62"/>
    </row>
    <row r="2" spans="1:11" ht="23.4">
      <c r="A2" s="172"/>
      <c r="B2" s="62"/>
      <c r="C2" s="62"/>
      <c r="D2" s="62"/>
      <c r="E2" s="62"/>
      <c r="F2" s="62"/>
      <c r="G2" s="62"/>
    </row>
    <row r="3" spans="1:11" ht="15.6">
      <c r="A3" s="173" t="s">
        <v>266</v>
      </c>
      <c r="B3" s="50"/>
      <c r="C3" s="50"/>
      <c r="D3" s="62"/>
      <c r="E3" s="62"/>
      <c r="F3" s="174"/>
      <c r="G3" s="62"/>
    </row>
    <row r="4" spans="1:11">
      <c r="A4" s="62"/>
      <c r="B4" s="62"/>
      <c r="C4" s="62"/>
      <c r="D4" s="62"/>
      <c r="E4" s="62"/>
      <c r="F4" s="62"/>
      <c r="G4" s="62"/>
      <c r="K4" s="1"/>
    </row>
    <row r="5" spans="1:11">
      <c r="A5" s="104"/>
      <c r="B5" s="105" t="s">
        <v>267</v>
      </c>
      <c r="C5" s="105" t="s">
        <v>268</v>
      </c>
      <c r="D5" s="105" t="s">
        <v>269</v>
      </c>
      <c r="E5" s="175" t="s">
        <v>270</v>
      </c>
      <c r="F5" s="62"/>
      <c r="G5" s="176"/>
      <c r="K5" s="1"/>
    </row>
    <row r="6" spans="1:11">
      <c r="A6" s="106" t="s">
        <v>271</v>
      </c>
      <c r="B6" s="346">
        <v>0.10292556534094445</v>
      </c>
      <c r="C6" s="349">
        <v>1.4196511568622219E-4</v>
      </c>
      <c r="D6" s="349">
        <v>5.2954622638888886E-6</v>
      </c>
      <c r="E6" s="177"/>
      <c r="F6" s="62"/>
      <c r="G6" s="176"/>
      <c r="K6" s="1"/>
    </row>
    <row r="7" spans="1:11">
      <c r="A7" s="106" t="s">
        <v>272</v>
      </c>
      <c r="B7" s="350">
        <v>0.13798108144761106</v>
      </c>
      <c r="C7" s="351">
        <v>2.7318679253405555E-4</v>
      </c>
      <c r="D7" s="351">
        <v>5.5395644583333336E-6</v>
      </c>
      <c r="E7" s="177"/>
      <c r="F7" s="62"/>
      <c r="G7" s="176"/>
      <c r="K7" s="1"/>
    </row>
    <row r="8" spans="1:11">
      <c r="A8" s="106" t="s">
        <v>273</v>
      </c>
      <c r="B8" s="350">
        <v>0.12875094350933333</v>
      </c>
      <c r="C8" s="351">
        <v>2.4628640751233331E-4</v>
      </c>
      <c r="D8" s="351">
        <v>5.7663889722222231E-6</v>
      </c>
      <c r="E8" s="177"/>
      <c r="F8" s="62"/>
      <c r="G8" s="176"/>
      <c r="K8" s="1"/>
    </row>
    <row r="9" spans="1:11">
      <c r="A9" s="106" t="s">
        <v>274</v>
      </c>
      <c r="B9" s="347">
        <v>2.4569538813461113E-2</v>
      </c>
      <c r="C9" s="348">
        <v>2.7299596848872216E-5</v>
      </c>
      <c r="D9" s="348">
        <v>2.2701113388888886E-6</v>
      </c>
      <c r="E9" s="177"/>
      <c r="F9" s="174" t="s">
        <v>275</v>
      </c>
      <c r="G9" s="176"/>
      <c r="K9" s="1"/>
    </row>
    <row r="10" spans="1:11">
      <c r="A10" s="106" t="s">
        <v>276</v>
      </c>
      <c r="B10" s="350">
        <v>8.2558826104933328E-2</v>
      </c>
      <c r="C10" s="351">
        <v>1.67649971992775E-4</v>
      </c>
      <c r="D10" s="351">
        <v>5.3824903638888887E-6</v>
      </c>
      <c r="E10" s="177"/>
      <c r="F10" s="62"/>
      <c r="G10" s="176"/>
      <c r="K10" s="1"/>
    </row>
    <row r="11" spans="1:11">
      <c r="A11" s="106" t="s">
        <v>277</v>
      </c>
      <c r="B11" s="350">
        <v>2.4569538813461113E-2</v>
      </c>
      <c r="C11" s="351">
        <v>2.7299596848872216E-5</v>
      </c>
      <c r="D11" s="351">
        <v>2.2701113388888886E-6</v>
      </c>
      <c r="E11" s="177"/>
      <c r="F11" s="62"/>
      <c r="G11" s="176"/>
      <c r="K11" s="1"/>
    </row>
    <row r="12" spans="1:11">
      <c r="A12" s="106" t="s">
        <v>278</v>
      </c>
      <c r="B12" s="350">
        <v>0.68244527845980008</v>
      </c>
      <c r="C12" s="351">
        <v>2.0803369187128999E-3</v>
      </c>
      <c r="D12" s="351">
        <v>1.717966414E-5</v>
      </c>
      <c r="E12" s="177"/>
      <c r="F12" s="62"/>
      <c r="G12" s="176"/>
      <c r="K12" s="1"/>
    </row>
    <row r="13" spans="1:11">
      <c r="A13" s="106" t="s">
        <v>279</v>
      </c>
      <c r="B13" s="350">
        <v>0.14597085927226386</v>
      </c>
      <c r="C13" s="351">
        <v>2.2650193056068888E-4</v>
      </c>
      <c r="D13" s="351">
        <v>4.1184503250000006E-6</v>
      </c>
      <c r="E13" s="177"/>
      <c r="F13" s="62"/>
      <c r="G13" s="176"/>
      <c r="K13" s="1"/>
    </row>
    <row r="14" spans="1:11">
      <c r="A14" s="106" t="s">
        <v>280</v>
      </c>
      <c r="B14" s="350">
        <v>0.10943435744674998</v>
      </c>
      <c r="C14" s="351">
        <v>1.5716312922127776E-4</v>
      </c>
      <c r="D14" s="351">
        <v>3.8883158416666665E-6</v>
      </c>
      <c r="E14" s="177"/>
      <c r="F14" s="62"/>
      <c r="G14" s="176"/>
      <c r="K14" s="1"/>
    </row>
    <row r="15" spans="1:11">
      <c r="A15" s="106" t="s">
        <v>281</v>
      </c>
      <c r="B15" s="606">
        <f>0.10943435744675*0.25</f>
        <v>2.7358589361687499E-2</v>
      </c>
      <c r="C15" s="358">
        <f>0.000157163129221278*0.25</f>
        <v>3.9290782305319501E-5</v>
      </c>
      <c r="D15" s="358">
        <f>3.88831584166667E-06*0.25</f>
        <v>9.7207896041666746E-7</v>
      </c>
      <c r="E15" s="177"/>
      <c r="F15" s="607" t="s">
        <v>282</v>
      </c>
      <c r="G15" s="176"/>
      <c r="K15" s="1"/>
    </row>
    <row r="16" spans="1:11">
      <c r="A16" s="106" t="s">
        <v>283</v>
      </c>
      <c r="B16" s="178">
        <v>8.0560000000000007E-2</v>
      </c>
      <c r="C16" s="179">
        <v>3.0600000000000005E-5</v>
      </c>
      <c r="D16" s="180">
        <v>2.8526E-6</v>
      </c>
      <c r="E16" s="181">
        <v>41</v>
      </c>
      <c r="F16" s="62"/>
      <c r="G16" s="176"/>
      <c r="K16" s="1"/>
    </row>
    <row r="17" spans="1:11">
      <c r="A17" s="106" t="s">
        <v>284</v>
      </c>
      <c r="B17" s="178">
        <v>6.2E-2</v>
      </c>
      <c r="C17" s="179">
        <v>2.8000000000000003E-4</v>
      </c>
      <c r="D17" s="180">
        <v>1.9999999999999999E-6</v>
      </c>
      <c r="E17" s="182"/>
      <c r="F17" s="62"/>
      <c r="G17" s="62"/>
      <c r="K17" s="1"/>
    </row>
    <row r="18" spans="1:11" ht="27.6">
      <c r="A18" s="106" t="s">
        <v>285</v>
      </c>
      <c r="B18" s="178">
        <v>7.0999999999999994E-2</v>
      </c>
      <c r="C18" s="179">
        <v>1.55E-4</v>
      </c>
      <c r="D18" s="180">
        <v>1.325E-6</v>
      </c>
      <c r="E18" s="182"/>
      <c r="F18" s="183" t="s">
        <v>286</v>
      </c>
      <c r="G18" s="62"/>
      <c r="K18" s="1"/>
    </row>
    <row r="19" spans="1:11">
      <c r="A19" s="106" t="s">
        <v>287</v>
      </c>
      <c r="B19" s="178">
        <v>1.6999999999999999E-3</v>
      </c>
      <c r="C19" s="179">
        <v>2.8666666666666696E-6</v>
      </c>
      <c r="D19" s="180">
        <v>6.7666666666666703E-7</v>
      </c>
      <c r="E19" s="182"/>
      <c r="F19" s="62"/>
      <c r="G19" s="62"/>
      <c r="K19" s="1"/>
    </row>
    <row r="20" spans="1:11">
      <c r="A20" s="106" t="s">
        <v>288</v>
      </c>
      <c r="B20" s="178">
        <v>3.65E-3</v>
      </c>
      <c r="C20" s="179">
        <v>1.7500000000000002E-5</v>
      </c>
      <c r="D20" s="180">
        <v>7.7999999999999999E-6</v>
      </c>
      <c r="E20" s="182"/>
      <c r="F20" s="62"/>
      <c r="G20" s="62"/>
      <c r="K20" s="1"/>
    </row>
    <row r="21" spans="1:11" ht="27.6">
      <c r="A21" s="106" t="s">
        <v>289</v>
      </c>
      <c r="B21" s="178">
        <v>2.6749999999999999E-3</v>
      </c>
      <c r="C21" s="179">
        <v>1.0183333333333299E-5</v>
      </c>
      <c r="D21" s="180">
        <v>4.2383333333333297E-6</v>
      </c>
      <c r="E21" s="182"/>
      <c r="F21" s="183" t="s">
        <v>290</v>
      </c>
      <c r="G21" s="62"/>
      <c r="K21" s="1"/>
    </row>
    <row r="22" spans="1:11">
      <c r="A22" s="106" t="s">
        <v>291</v>
      </c>
      <c r="B22" s="178">
        <v>7.5920000000000001E-2</v>
      </c>
      <c r="C22" s="179">
        <v>3.3630000000000002E-5</v>
      </c>
      <c r="D22" s="180">
        <v>2.04E-6</v>
      </c>
      <c r="E22" s="182">
        <v>35.200000000000003</v>
      </c>
      <c r="F22" s="62"/>
      <c r="G22" s="62"/>
      <c r="K22" s="1"/>
    </row>
    <row r="23" spans="1:11">
      <c r="A23" s="184" t="s">
        <v>292</v>
      </c>
      <c r="B23" s="185">
        <v>2.4611111111111111E-2</v>
      </c>
      <c r="C23" s="186">
        <v>0</v>
      </c>
      <c r="D23" s="186">
        <v>0</v>
      </c>
      <c r="E23" s="187"/>
      <c r="F23" s="183" t="s">
        <v>293</v>
      </c>
      <c r="G23" s="62"/>
      <c r="K23" s="1"/>
    </row>
    <row r="24" spans="1:11">
      <c r="A24" s="62"/>
      <c r="B24" s="50"/>
      <c r="C24" s="50"/>
      <c r="D24" s="50"/>
      <c r="E24" s="62"/>
      <c r="F24" s="62"/>
      <c r="G24" s="62"/>
      <c r="K24" s="1"/>
    </row>
    <row r="25" spans="1:11">
      <c r="A25" s="62"/>
      <c r="B25" s="50"/>
      <c r="C25" s="50"/>
      <c r="D25" s="50"/>
      <c r="E25" s="62"/>
      <c r="F25" s="62"/>
      <c r="G25" s="62"/>
      <c r="K25" s="1"/>
    </row>
    <row r="26" spans="1:11" ht="15.6">
      <c r="A26" s="188" t="s">
        <v>294</v>
      </c>
      <c r="B26" s="62"/>
      <c r="C26" s="62"/>
      <c r="D26" s="189"/>
      <c r="E26" s="62"/>
      <c r="F26" s="62"/>
      <c r="G26" s="62"/>
      <c r="K26" s="1"/>
    </row>
    <row r="27" spans="1:11">
      <c r="A27" s="62"/>
      <c r="B27" s="62"/>
      <c r="C27" s="62"/>
      <c r="D27" s="62"/>
      <c r="E27" s="62"/>
      <c r="F27" s="62"/>
      <c r="G27" s="190"/>
      <c r="K27" s="1"/>
    </row>
    <row r="28" spans="1:11">
      <c r="A28" s="191"/>
      <c r="B28" s="192" t="s">
        <v>295</v>
      </c>
      <c r="C28" s="192" t="s">
        <v>296</v>
      </c>
      <c r="D28" s="192" t="s">
        <v>297</v>
      </c>
      <c r="E28" s="193" t="s">
        <v>298</v>
      </c>
      <c r="F28" s="194" t="s">
        <v>299</v>
      </c>
      <c r="G28" s="195"/>
    </row>
    <row r="29" spans="1:11" ht="27.6">
      <c r="A29" s="196" t="s">
        <v>300</v>
      </c>
      <c r="B29" s="197">
        <v>2.2999999999999998</v>
      </c>
      <c r="C29" s="198">
        <v>0</v>
      </c>
      <c r="D29" s="198">
        <v>4.3624161073825508E-3</v>
      </c>
      <c r="E29" s="199">
        <v>0.6</v>
      </c>
      <c r="F29" s="200" t="s">
        <v>301</v>
      </c>
      <c r="G29" s="201"/>
    </row>
    <row r="30" spans="1:11">
      <c r="A30" s="202" t="s">
        <v>302</v>
      </c>
      <c r="B30" s="203">
        <v>4.3928213588059704</v>
      </c>
      <c r="C30" s="204">
        <v>9.8666566537313431E-3</v>
      </c>
      <c r="D30" s="204">
        <v>9.948031617910448E-3</v>
      </c>
      <c r="E30" s="113">
        <v>0.4</v>
      </c>
      <c r="F30" s="205" t="s">
        <v>303</v>
      </c>
      <c r="G30" s="201"/>
    </row>
    <row r="31" spans="1:11">
      <c r="A31" s="206" t="s">
        <v>304</v>
      </c>
      <c r="B31" s="62"/>
      <c r="C31" s="62"/>
      <c r="D31" s="62"/>
      <c r="E31" s="62"/>
      <c r="F31" s="205"/>
      <c r="G31" s="20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83506-A6C9-4A1C-BD28-34F1C97D3095}">
  <dimension ref="A1:G8"/>
  <sheetViews>
    <sheetView workbookViewId="0">
      <selection activeCell="B5" sqref="B5"/>
    </sheetView>
  </sheetViews>
  <sheetFormatPr defaultRowHeight="14.4"/>
  <sheetData>
    <row r="1" spans="1:7">
      <c r="A1" s="62"/>
      <c r="B1" s="62"/>
      <c r="C1" s="62"/>
      <c r="D1" s="62"/>
      <c r="E1" s="62"/>
      <c r="F1" s="62"/>
      <c r="G1" s="62"/>
    </row>
    <row r="2" spans="1:7" ht="21">
      <c r="A2" s="171" t="s">
        <v>305</v>
      </c>
      <c r="B2" s="62"/>
      <c r="C2" s="62"/>
      <c r="D2" s="62"/>
      <c r="E2" s="62"/>
      <c r="F2" s="62"/>
      <c r="G2" s="62"/>
    </row>
    <row r="3" spans="1:7" ht="23.4">
      <c r="A3" s="172"/>
      <c r="B3" s="62"/>
      <c r="C3" s="62"/>
      <c r="D3" s="62"/>
      <c r="E3" s="62"/>
      <c r="F3" s="62"/>
      <c r="G3" s="62"/>
    </row>
    <row r="4" spans="1:7" ht="55.2">
      <c r="A4" s="222"/>
      <c r="B4" s="109" t="s">
        <v>306</v>
      </c>
      <c r="C4" s="109" t="s">
        <v>307</v>
      </c>
      <c r="D4" s="110" t="s">
        <v>308</v>
      </c>
      <c r="E4" s="109" t="s">
        <v>309</v>
      </c>
      <c r="F4" s="111" t="s">
        <v>310</v>
      </c>
      <c r="G4" s="62" t="s">
        <v>299</v>
      </c>
    </row>
    <row r="5" spans="1:7" ht="15.6">
      <c r="A5" s="223"/>
      <c r="B5" s="112">
        <v>1</v>
      </c>
      <c r="C5" s="112">
        <v>27</v>
      </c>
      <c r="D5" s="112">
        <v>29.8</v>
      </c>
      <c r="E5" s="112">
        <v>273</v>
      </c>
      <c r="F5" s="113">
        <v>1960</v>
      </c>
      <c r="G5" s="88" t="s">
        <v>311</v>
      </c>
    </row>
    <row r="6" spans="1:7">
      <c r="A6" s="62"/>
      <c r="B6" s="62"/>
      <c r="C6" s="62"/>
      <c r="D6" s="62"/>
      <c r="E6" s="62"/>
      <c r="F6" s="62"/>
      <c r="G6" s="62"/>
    </row>
    <row r="7" spans="1:7">
      <c r="A7" s="62"/>
      <c r="B7" s="62"/>
      <c r="C7" s="62"/>
      <c r="D7" s="62"/>
      <c r="E7" s="62"/>
      <c r="F7" s="62"/>
      <c r="G7" s="62"/>
    </row>
    <row r="8" spans="1:7">
      <c r="A8" s="62"/>
      <c r="B8" s="62"/>
      <c r="C8" s="62"/>
      <c r="D8" s="62"/>
      <c r="E8" s="62"/>
      <c r="F8" s="62"/>
      <c r="G8"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A223-687A-4FE9-B79B-584008042E65}">
  <dimension ref="A1:L72"/>
  <sheetViews>
    <sheetView topLeftCell="A22" workbookViewId="0">
      <selection activeCell="D68" sqref="D68:D71"/>
    </sheetView>
  </sheetViews>
  <sheetFormatPr defaultRowHeight="14.4"/>
  <cols>
    <col min="1" max="1" width="28.6640625" customWidth="1"/>
    <col min="2" max="2" width="16.33203125" customWidth="1"/>
    <col min="3" max="3" width="58.44140625" customWidth="1"/>
    <col min="7" max="7" width="15.33203125" customWidth="1"/>
    <col min="8" max="8" width="21.44140625" customWidth="1"/>
    <col min="9" max="9" width="22.5546875" customWidth="1"/>
    <col min="10" max="10" width="21.6640625" customWidth="1"/>
    <col min="11" max="11" width="35.6640625" customWidth="1"/>
    <col min="12" max="12" width="18.33203125" customWidth="1"/>
  </cols>
  <sheetData>
    <row r="1" spans="1:11">
      <c r="A1" s="119" t="s">
        <v>312</v>
      </c>
    </row>
    <row r="2" spans="1:11">
      <c r="G2" t="s">
        <v>313</v>
      </c>
    </row>
    <row r="3" spans="1:11" ht="43.2">
      <c r="A3" s="614" t="s">
        <v>314</v>
      </c>
      <c r="B3" s="615"/>
      <c r="C3" s="616"/>
      <c r="G3" s="143" t="s">
        <v>315</v>
      </c>
      <c r="H3" s="3" t="s">
        <v>316</v>
      </c>
      <c r="I3" s="3" t="s">
        <v>317</v>
      </c>
      <c r="J3" s="3" t="s">
        <v>318</v>
      </c>
      <c r="K3" s="3" t="s">
        <v>319</v>
      </c>
    </row>
    <row r="4" spans="1:11">
      <c r="A4" s="120" t="s">
        <v>320</v>
      </c>
      <c r="B4" s="125" t="s">
        <v>321</v>
      </c>
      <c r="C4" s="114" t="s">
        <v>322</v>
      </c>
      <c r="G4" s="619" t="s">
        <v>323</v>
      </c>
      <c r="H4" s="619"/>
      <c r="I4" s="619"/>
      <c r="J4" s="619"/>
      <c r="K4" s="619"/>
    </row>
    <row r="5" spans="1:11">
      <c r="A5" s="275" t="s">
        <v>324</v>
      </c>
      <c r="B5" s="126" t="s">
        <v>325</v>
      </c>
      <c r="C5" s="121" t="s">
        <v>326</v>
      </c>
      <c r="G5" s="156" t="s">
        <v>327</v>
      </c>
      <c r="H5" t="s">
        <v>328</v>
      </c>
      <c r="I5" t="s">
        <v>324</v>
      </c>
      <c r="J5" t="s">
        <v>329</v>
      </c>
      <c r="K5" t="s">
        <v>330</v>
      </c>
    </row>
    <row r="6" spans="1:11">
      <c r="A6" s="122" t="s">
        <v>328</v>
      </c>
      <c r="B6" s="127" t="s">
        <v>331</v>
      </c>
      <c r="C6" s="115" t="s">
        <v>332</v>
      </c>
      <c r="G6" s="156" t="s">
        <v>333</v>
      </c>
      <c r="H6" s="139" t="s">
        <v>334</v>
      </c>
      <c r="I6" s="139" t="s">
        <v>324</v>
      </c>
      <c r="J6" s="139" t="s">
        <v>329</v>
      </c>
      <c r="K6" t="s">
        <v>335</v>
      </c>
    </row>
    <row r="7" spans="1:11">
      <c r="A7" s="122" t="s">
        <v>334</v>
      </c>
      <c r="B7" s="127" t="s">
        <v>331</v>
      </c>
      <c r="C7" s="115" t="s">
        <v>336</v>
      </c>
      <c r="G7" s="156" t="s">
        <v>333</v>
      </c>
      <c r="H7" s="139" t="s">
        <v>337</v>
      </c>
      <c r="I7" s="139" t="s">
        <v>338</v>
      </c>
      <c r="J7" s="139" t="s">
        <v>329</v>
      </c>
      <c r="K7" s="32" t="s">
        <v>339</v>
      </c>
    </row>
    <row r="8" spans="1:11">
      <c r="A8" s="122" t="s">
        <v>340</v>
      </c>
      <c r="B8" s="127" t="s">
        <v>341</v>
      </c>
      <c r="C8" s="115" t="s">
        <v>342</v>
      </c>
      <c r="G8" s="156" t="s">
        <v>327</v>
      </c>
      <c r="H8" t="s">
        <v>337</v>
      </c>
      <c r="I8" t="s">
        <v>343</v>
      </c>
      <c r="J8" t="s">
        <v>344</v>
      </c>
      <c r="K8" t="s">
        <v>345</v>
      </c>
    </row>
    <row r="9" spans="1:11">
      <c r="A9" s="122" t="s">
        <v>346</v>
      </c>
      <c r="B9" s="127" t="s">
        <v>341</v>
      </c>
      <c r="C9" s="115" t="s">
        <v>347</v>
      </c>
      <c r="G9" s="156" t="s">
        <v>327</v>
      </c>
      <c r="H9" t="s">
        <v>131</v>
      </c>
      <c r="I9" t="s">
        <v>343</v>
      </c>
      <c r="J9" t="s">
        <v>348</v>
      </c>
      <c r="K9" t="s">
        <v>349</v>
      </c>
    </row>
    <row r="10" spans="1:11">
      <c r="A10" s="122" t="s">
        <v>350</v>
      </c>
      <c r="B10" s="127" t="s">
        <v>331</v>
      </c>
      <c r="C10" s="115" t="s">
        <v>351</v>
      </c>
      <c r="G10" s="156" t="s">
        <v>327</v>
      </c>
      <c r="H10" t="s">
        <v>352</v>
      </c>
      <c r="I10" t="s">
        <v>324</v>
      </c>
      <c r="J10" t="s">
        <v>353</v>
      </c>
      <c r="K10" t="s">
        <v>354</v>
      </c>
    </row>
    <row r="11" spans="1:11">
      <c r="A11" s="123" t="s">
        <v>355</v>
      </c>
      <c r="B11" s="128" t="s">
        <v>353</v>
      </c>
      <c r="C11" s="116" t="s">
        <v>356</v>
      </c>
      <c r="G11" s="156" t="s">
        <v>327</v>
      </c>
      <c r="H11" t="s">
        <v>357</v>
      </c>
      <c r="I11" t="s">
        <v>358</v>
      </c>
      <c r="J11" t="s">
        <v>348</v>
      </c>
      <c r="K11" t="s">
        <v>359</v>
      </c>
    </row>
    <row r="12" spans="1:11">
      <c r="A12" s="124"/>
      <c r="B12" s="129"/>
      <c r="C12" s="117" t="s">
        <v>360</v>
      </c>
      <c r="G12" s="156" t="s">
        <v>333</v>
      </c>
      <c r="H12" s="139" t="s">
        <v>350</v>
      </c>
      <c r="I12" s="139" t="s">
        <v>324</v>
      </c>
      <c r="J12" s="139" t="s">
        <v>329</v>
      </c>
      <c r="K12" t="s">
        <v>361</v>
      </c>
    </row>
    <row r="13" spans="1:11">
      <c r="A13" s="275" t="s">
        <v>338</v>
      </c>
      <c r="B13" s="126" t="s">
        <v>325</v>
      </c>
      <c r="C13" s="132" t="s">
        <v>362</v>
      </c>
      <c r="G13" s="156" t="s">
        <v>327</v>
      </c>
      <c r="H13" t="s">
        <v>350</v>
      </c>
      <c r="I13" t="s">
        <v>358</v>
      </c>
      <c r="J13" t="s">
        <v>363</v>
      </c>
      <c r="K13" t="s">
        <v>364</v>
      </c>
    </row>
    <row r="14" spans="1:11">
      <c r="A14" s="122" t="s">
        <v>365</v>
      </c>
      <c r="B14" s="127" t="s">
        <v>331</v>
      </c>
      <c r="C14" s="115" t="s">
        <v>366</v>
      </c>
      <c r="G14" s="612" t="s">
        <v>367</v>
      </c>
      <c r="H14" s="612"/>
      <c r="I14" s="612"/>
      <c r="J14" s="612"/>
      <c r="K14" s="612"/>
    </row>
    <row r="15" spans="1:11" ht="24">
      <c r="A15" s="122" t="s">
        <v>337</v>
      </c>
      <c r="B15" s="127" t="s">
        <v>344</v>
      </c>
      <c r="C15" s="118" t="s">
        <v>368</v>
      </c>
      <c r="G15" s="156" t="s">
        <v>327</v>
      </c>
      <c r="H15" t="s">
        <v>369</v>
      </c>
      <c r="I15" t="s">
        <v>370</v>
      </c>
      <c r="J15" t="s">
        <v>329</v>
      </c>
      <c r="K15" t="s">
        <v>371</v>
      </c>
    </row>
    <row r="16" spans="1:11">
      <c r="A16" s="122" t="s">
        <v>337</v>
      </c>
      <c r="B16" s="127" t="s">
        <v>331</v>
      </c>
      <c r="C16" s="115" t="s">
        <v>372</v>
      </c>
      <c r="G16" s="612" t="s">
        <v>373</v>
      </c>
      <c r="H16" s="612"/>
      <c r="I16" s="612"/>
      <c r="J16" s="612"/>
      <c r="K16" s="612"/>
    </row>
    <row r="17" spans="1:11">
      <c r="A17" s="122" t="s">
        <v>374</v>
      </c>
      <c r="B17" s="127" t="s">
        <v>331</v>
      </c>
      <c r="C17" s="115" t="s">
        <v>375</v>
      </c>
      <c r="G17" s="156" t="s">
        <v>333</v>
      </c>
      <c r="H17" t="s">
        <v>376</v>
      </c>
      <c r="I17" t="s">
        <v>377</v>
      </c>
      <c r="J17" t="s">
        <v>341</v>
      </c>
      <c r="K17" t="s">
        <v>378</v>
      </c>
    </row>
    <row r="18" spans="1:11" ht="24">
      <c r="A18" s="122" t="s">
        <v>131</v>
      </c>
      <c r="B18" s="127" t="s">
        <v>348</v>
      </c>
      <c r="C18" s="118" t="s">
        <v>379</v>
      </c>
      <c r="G18" s="156" t="s">
        <v>333</v>
      </c>
      <c r="H18" t="s">
        <v>380</v>
      </c>
      <c r="I18" t="s">
        <v>377</v>
      </c>
      <c r="J18" t="s">
        <v>381</v>
      </c>
      <c r="K18" t="s">
        <v>378</v>
      </c>
    </row>
    <row r="19" spans="1:11">
      <c r="A19" s="122" t="s">
        <v>350</v>
      </c>
      <c r="B19" s="127" t="s">
        <v>344</v>
      </c>
      <c r="C19" s="115" t="s">
        <v>382</v>
      </c>
      <c r="G19" s="613" t="s">
        <v>383</v>
      </c>
      <c r="H19" s="613"/>
      <c r="I19" s="613"/>
      <c r="J19" s="613"/>
      <c r="K19" s="613"/>
    </row>
    <row r="20" spans="1:11">
      <c r="A20" s="123" t="s">
        <v>384</v>
      </c>
      <c r="B20" s="128" t="s">
        <v>353</v>
      </c>
      <c r="C20" s="116" t="s">
        <v>385</v>
      </c>
    </row>
    <row r="21" spans="1:11">
      <c r="A21" s="124"/>
      <c r="B21" s="129"/>
      <c r="C21" s="117" t="s">
        <v>386</v>
      </c>
      <c r="I21" t="s">
        <v>387</v>
      </c>
    </row>
    <row r="22" spans="1:11">
      <c r="A22" s="276" t="s">
        <v>388</v>
      </c>
      <c r="B22" s="133"/>
      <c r="C22" s="134"/>
      <c r="I22" t="s">
        <v>389</v>
      </c>
    </row>
    <row r="23" spans="1:11">
      <c r="A23" s="130" t="s">
        <v>390</v>
      </c>
      <c r="B23" s="129" t="s">
        <v>348</v>
      </c>
      <c r="C23" s="131" t="s">
        <v>391</v>
      </c>
      <c r="I23" t="s">
        <v>392</v>
      </c>
    </row>
    <row r="24" spans="1:11">
      <c r="A24" s="617" t="s">
        <v>393</v>
      </c>
      <c r="B24" s="615"/>
      <c r="C24" s="616"/>
      <c r="I24" t="s">
        <v>394</v>
      </c>
    </row>
    <row r="25" spans="1:11">
      <c r="I25" s="135" t="s">
        <v>395</v>
      </c>
    </row>
    <row r="26" spans="1:11">
      <c r="C26" s="160" t="s">
        <v>396</v>
      </c>
    </row>
    <row r="27" spans="1:11">
      <c r="C27" s="618" t="s">
        <v>336</v>
      </c>
    </row>
    <row r="28" spans="1:11">
      <c r="C28" s="618"/>
      <c r="D28" s="3" t="s">
        <v>397</v>
      </c>
    </row>
    <row r="29" spans="1:11">
      <c r="C29" s="618"/>
      <c r="D29" s="135" t="s">
        <v>398</v>
      </c>
    </row>
    <row r="30" spans="1:11">
      <c r="C30" s="28" t="s">
        <v>399</v>
      </c>
      <c r="D30" s="135" t="s">
        <v>400</v>
      </c>
    </row>
    <row r="31" spans="1:11">
      <c r="D31" s="135" t="s">
        <v>401</v>
      </c>
    </row>
    <row r="32" spans="1:11">
      <c r="D32" s="135" t="s">
        <v>402</v>
      </c>
    </row>
    <row r="39" spans="1:12">
      <c r="A39" s="1"/>
      <c r="D39" s="1"/>
    </row>
    <row r="40" spans="1:12" ht="43.2">
      <c r="A40" s="1"/>
      <c r="D40" s="1"/>
      <c r="G40" s="277" t="s">
        <v>403</v>
      </c>
      <c r="H40" s="143" t="s">
        <v>404</v>
      </c>
      <c r="I40" s="143" t="s">
        <v>405</v>
      </c>
      <c r="J40" s="278" t="s">
        <v>406</v>
      </c>
      <c r="K40" s="278" t="s">
        <v>407</v>
      </c>
      <c r="L40" s="278" t="s">
        <v>408</v>
      </c>
    </row>
    <row r="41" spans="1:12" ht="57.6">
      <c r="G41" s="277" t="s">
        <v>409</v>
      </c>
      <c r="H41" s="30" t="s">
        <v>410</v>
      </c>
      <c r="I41" s="30" t="s">
        <v>411</v>
      </c>
      <c r="J41" s="277" t="s">
        <v>412</v>
      </c>
      <c r="K41" s="30" t="s">
        <v>413</v>
      </c>
      <c r="L41" s="30" t="s">
        <v>414</v>
      </c>
    </row>
    <row r="42" spans="1:12">
      <c r="G42" s="277"/>
      <c r="H42" s="277"/>
      <c r="I42" s="277"/>
      <c r="J42" s="277"/>
      <c r="K42" s="277"/>
    </row>
    <row r="43" spans="1:12" ht="28.8">
      <c r="G43" s="30" t="s">
        <v>415</v>
      </c>
      <c r="H43" s="30" t="s">
        <v>416</v>
      </c>
      <c r="I43" s="30" t="s">
        <v>417</v>
      </c>
      <c r="J43" s="277" t="s">
        <v>418</v>
      </c>
      <c r="K43" s="277" t="s">
        <v>419</v>
      </c>
      <c r="L43" s="30" t="s">
        <v>417</v>
      </c>
    </row>
    <row r="45" spans="1:12">
      <c r="A45" s="1"/>
      <c r="D45" s="1"/>
    </row>
    <row r="46" spans="1:12">
      <c r="A46" s="1"/>
      <c r="D46" s="1"/>
    </row>
    <row r="48" spans="1:12">
      <c r="A48" s="1"/>
      <c r="B48" s="1"/>
      <c r="C48" s="1"/>
      <c r="D48" s="1"/>
    </row>
    <row r="49" spans="1:4">
      <c r="A49" s="1"/>
      <c r="B49" s="1"/>
      <c r="C49" s="1"/>
      <c r="D49" s="1"/>
    </row>
    <row r="50" spans="1:4">
      <c r="A50" s="1"/>
      <c r="B50" s="1"/>
      <c r="C50" s="1"/>
      <c r="D50" s="1"/>
    </row>
    <row r="51" spans="1:4">
      <c r="A51" s="3" t="s">
        <v>420</v>
      </c>
      <c r="B51" s="3" t="s">
        <v>317</v>
      </c>
      <c r="C51" s="3" t="s">
        <v>421</v>
      </c>
      <c r="D51" s="3" t="s">
        <v>319</v>
      </c>
    </row>
    <row r="52" spans="1:4" ht="15" customHeight="1">
      <c r="A52" s="619" t="s">
        <v>422</v>
      </c>
      <c r="B52" s="619"/>
      <c r="C52" s="619"/>
      <c r="D52" s="619"/>
    </row>
    <row r="53" spans="1:4">
      <c r="A53" t="s">
        <v>423</v>
      </c>
      <c r="B53" t="s">
        <v>324</v>
      </c>
      <c r="C53" t="s">
        <v>329</v>
      </c>
      <c r="D53" t="s">
        <v>330</v>
      </c>
    </row>
    <row r="54" spans="1:4">
      <c r="A54" t="s">
        <v>334</v>
      </c>
      <c r="B54" t="s">
        <v>324</v>
      </c>
      <c r="C54" t="s">
        <v>329</v>
      </c>
      <c r="D54" t="s">
        <v>335</v>
      </c>
    </row>
    <row r="55" spans="1:4">
      <c r="A55" t="s">
        <v>337</v>
      </c>
      <c r="B55" t="s">
        <v>343</v>
      </c>
      <c r="C55" t="s">
        <v>344</v>
      </c>
      <c r="D55" t="s">
        <v>345</v>
      </c>
    </row>
    <row r="56" spans="1:4">
      <c r="A56" t="s">
        <v>131</v>
      </c>
      <c r="B56" t="s">
        <v>343</v>
      </c>
      <c r="C56" t="s">
        <v>348</v>
      </c>
      <c r="D56" t="s">
        <v>349</v>
      </c>
    </row>
    <row r="57" spans="1:4">
      <c r="A57" t="s">
        <v>352</v>
      </c>
      <c r="B57" t="s">
        <v>324</v>
      </c>
      <c r="C57" t="s">
        <v>353</v>
      </c>
      <c r="D57" t="s">
        <v>354</v>
      </c>
    </row>
    <row r="58" spans="1:4">
      <c r="A58" t="s">
        <v>350</v>
      </c>
      <c r="B58" t="s">
        <v>324</v>
      </c>
      <c r="C58" t="s">
        <v>329</v>
      </c>
      <c r="D58" t="s">
        <v>361</v>
      </c>
    </row>
    <row r="59" spans="1:4">
      <c r="A59" t="s">
        <v>350</v>
      </c>
      <c r="B59" t="s">
        <v>343</v>
      </c>
      <c r="C59" t="s">
        <v>363</v>
      </c>
      <c r="D59" t="s">
        <v>364</v>
      </c>
    </row>
    <row r="60" spans="1:4">
      <c r="A60" s="140" t="s">
        <v>340</v>
      </c>
      <c r="B60" t="s">
        <v>324</v>
      </c>
      <c r="C60" t="s">
        <v>424</v>
      </c>
    </row>
    <row r="61" spans="1:4">
      <c r="A61" s="140" t="s">
        <v>425</v>
      </c>
      <c r="B61" t="s">
        <v>324</v>
      </c>
      <c r="C61" t="s">
        <v>424</v>
      </c>
    </row>
    <row r="62" spans="1:4">
      <c r="A62" s="612" t="s">
        <v>426</v>
      </c>
      <c r="B62" s="612"/>
      <c r="C62" s="612"/>
      <c r="D62" s="612"/>
    </row>
    <row r="63" spans="1:4">
      <c r="A63" t="s">
        <v>369</v>
      </c>
      <c r="B63" t="s">
        <v>370</v>
      </c>
      <c r="C63" t="s">
        <v>329</v>
      </c>
      <c r="D63" t="s">
        <v>371</v>
      </c>
    </row>
    <row r="64" spans="1:4">
      <c r="A64" t="s">
        <v>58</v>
      </c>
      <c r="B64" t="s">
        <v>358</v>
      </c>
      <c r="C64" t="s">
        <v>348</v>
      </c>
      <c r="D64" t="s">
        <v>359</v>
      </c>
    </row>
    <row r="65" spans="1:4">
      <c r="A65" s="140" t="s">
        <v>427</v>
      </c>
      <c r="B65" t="s">
        <v>358</v>
      </c>
      <c r="C65" t="s">
        <v>341</v>
      </c>
      <c r="D65" t="s">
        <v>428</v>
      </c>
    </row>
    <row r="66" spans="1:4">
      <c r="A66" s="140" t="s">
        <v>429</v>
      </c>
      <c r="B66" t="s">
        <v>358</v>
      </c>
      <c r="C66" t="s">
        <v>341</v>
      </c>
      <c r="D66" t="s">
        <v>428</v>
      </c>
    </row>
    <row r="67" spans="1:4">
      <c r="A67" s="140" t="s">
        <v>430</v>
      </c>
      <c r="B67" t="s">
        <v>370</v>
      </c>
      <c r="C67" t="s">
        <v>341</v>
      </c>
      <c r="D67" t="s">
        <v>428</v>
      </c>
    </row>
    <row r="68" spans="1:4">
      <c r="A68" s="140" t="s">
        <v>431</v>
      </c>
      <c r="B68" t="s">
        <v>370</v>
      </c>
      <c r="C68" t="s">
        <v>341</v>
      </c>
      <c r="D68" t="s">
        <v>432</v>
      </c>
    </row>
    <row r="69" spans="1:4">
      <c r="A69" s="140" t="s">
        <v>433</v>
      </c>
      <c r="B69" t="s">
        <v>370</v>
      </c>
      <c r="C69" t="s">
        <v>341</v>
      </c>
      <c r="D69" t="s">
        <v>432</v>
      </c>
    </row>
    <row r="70" spans="1:4">
      <c r="A70" s="140" t="s">
        <v>434</v>
      </c>
      <c r="B70" t="s">
        <v>370</v>
      </c>
      <c r="C70" t="s">
        <v>341</v>
      </c>
      <c r="D70" t="s">
        <v>432</v>
      </c>
    </row>
    <row r="71" spans="1:4">
      <c r="A71" s="140" t="s">
        <v>435</v>
      </c>
      <c r="B71" t="s">
        <v>370</v>
      </c>
      <c r="C71" t="s">
        <v>341</v>
      </c>
      <c r="D71" t="s">
        <v>432</v>
      </c>
    </row>
    <row r="72" spans="1:4">
      <c r="A72" s="613" t="s">
        <v>436</v>
      </c>
      <c r="B72" s="613"/>
      <c r="C72" s="613"/>
      <c r="D72" s="613"/>
    </row>
  </sheetData>
  <mergeCells count="10">
    <mergeCell ref="G19:K19"/>
    <mergeCell ref="G14:K14"/>
    <mergeCell ref="G16:K16"/>
    <mergeCell ref="G4:K4"/>
    <mergeCell ref="A52:D52"/>
    <mergeCell ref="A62:D62"/>
    <mergeCell ref="A72:D72"/>
    <mergeCell ref="A3:C3"/>
    <mergeCell ref="A24:C24"/>
    <mergeCell ref="C27:C29"/>
  </mergeCells>
  <hyperlinks>
    <hyperlink ref="I25" r:id="rId1" location=":~:text=The%20main%20distinction%20between%20precision%20fermentation%20and%20general%20fermentation%20is,create%20a%20particular%20end%20product." xr:uid="{1C26714C-7D5A-4B11-B5BF-8D5C1EF091B4}"/>
    <hyperlink ref="D32" r:id="rId2" xr:uid="{164C8F1A-9D5D-4B08-9C51-262ACF706ED2}"/>
    <hyperlink ref="D29" r:id="rId3" xr:uid="{AB1D6298-77DA-4993-8C94-2B35855DE341}"/>
    <hyperlink ref="D30" r:id="rId4" display="Reis, G. G., Heidemann, M. S., Goes, H. A. A., &amp; Molento, C. F. M. (2021). Can radical innovation mitigate environmental and animal welfare misconduct in global value chains? The case of cell-based tuna. Technological Forecasting and Social Change, 169, 120845." xr:uid="{94C8FBC8-17D2-4B0E-B9D2-EA30AD616BC6}"/>
    <hyperlink ref="D31" r:id="rId5" xr:uid="{14B848EF-CAAE-4A0C-B9E9-1C622D75CFAA}"/>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14D6-8FC6-4065-B81F-D203D63D82FF}">
  <dimension ref="A2:AN523"/>
  <sheetViews>
    <sheetView workbookViewId="0">
      <selection activeCell="D7" sqref="D7"/>
    </sheetView>
  </sheetViews>
  <sheetFormatPr defaultRowHeight="14.4"/>
  <cols>
    <col min="1" max="1" width="26.6640625" customWidth="1"/>
    <col min="2" max="2" width="26.44140625" customWidth="1"/>
    <col min="3" max="3" width="28.6640625" customWidth="1"/>
    <col min="4" max="4" width="24.44140625" customWidth="1"/>
    <col min="5" max="5" width="29.33203125" customWidth="1"/>
    <col min="6" max="6" width="17.6640625" customWidth="1"/>
    <col min="7" max="7" width="17" customWidth="1"/>
    <col min="8" max="9" width="9.6640625" customWidth="1"/>
    <col min="10" max="11" width="15" customWidth="1"/>
    <col min="12" max="12" width="16.5546875" customWidth="1"/>
    <col min="14" max="14" width="31.33203125" customWidth="1"/>
    <col min="15" max="15" width="15.5546875" customWidth="1"/>
  </cols>
  <sheetData>
    <row r="2" spans="1:14" ht="20.399999999999999" thickBot="1">
      <c r="A2" s="33" t="s">
        <v>437</v>
      </c>
    </row>
    <row r="3" spans="1:14" ht="15" thickTop="1">
      <c r="C3" s="3" t="s">
        <v>438</v>
      </c>
      <c r="D3" t="s">
        <v>439</v>
      </c>
      <c r="J3" s="290"/>
      <c r="K3" s="290"/>
      <c r="L3" s="290"/>
      <c r="M3" s="290"/>
      <c r="N3" s="290"/>
    </row>
    <row r="4" spans="1:14">
      <c r="J4" s="290"/>
      <c r="K4" s="290" t="s">
        <v>440</v>
      </c>
      <c r="L4" s="290"/>
      <c r="M4" s="290"/>
      <c r="N4" s="290"/>
    </row>
    <row r="5" spans="1:14">
      <c r="A5" s="3" t="s">
        <v>252</v>
      </c>
      <c r="E5" s="3" t="s">
        <v>441</v>
      </c>
      <c r="J5" s="290"/>
      <c r="K5" s="291" t="s">
        <v>442</v>
      </c>
      <c r="L5" s="290"/>
      <c r="M5" s="290"/>
      <c r="N5" s="290"/>
    </row>
    <row r="6" spans="1:14">
      <c r="A6" t="s">
        <v>194</v>
      </c>
      <c r="B6" t="s">
        <v>443</v>
      </c>
      <c r="C6" t="s">
        <v>444</v>
      </c>
      <c r="E6" t="s">
        <v>445</v>
      </c>
      <c r="F6" t="s">
        <v>443</v>
      </c>
      <c r="G6" t="s">
        <v>444</v>
      </c>
      <c r="J6" s="290"/>
      <c r="K6" s="290" t="s">
        <v>446</v>
      </c>
      <c r="L6" s="290" t="s">
        <v>443</v>
      </c>
      <c r="M6" s="290" t="s">
        <v>444</v>
      </c>
      <c r="N6" s="290"/>
    </row>
    <row r="7" spans="1:14">
      <c r="A7" s="398" t="s">
        <v>447</v>
      </c>
      <c r="B7" s="398">
        <v>8.407</v>
      </c>
      <c r="C7" s="140" t="s">
        <v>448</v>
      </c>
      <c r="E7" s="79" t="s">
        <v>128</v>
      </c>
      <c r="F7" s="79">
        <f>F21</f>
        <v>1.8140399999999999</v>
      </c>
      <c r="G7" s="79" t="s">
        <v>449</v>
      </c>
      <c r="J7" s="290"/>
      <c r="K7" s="292" t="s">
        <v>450</v>
      </c>
      <c r="L7" s="292" t="s">
        <v>451</v>
      </c>
      <c r="M7" s="292" t="s">
        <v>449</v>
      </c>
      <c r="N7" s="290"/>
    </row>
    <row r="8" spans="1:14">
      <c r="A8" s="398" t="s">
        <v>452</v>
      </c>
      <c r="B8" s="398">
        <v>0.84799999999999998</v>
      </c>
      <c r="C8" s="140" t="s">
        <v>448</v>
      </c>
      <c r="J8" s="290"/>
      <c r="K8" s="292" t="s">
        <v>453</v>
      </c>
      <c r="L8" s="292" t="s">
        <v>454</v>
      </c>
      <c r="M8" s="292" t="s">
        <v>449</v>
      </c>
      <c r="N8" s="290"/>
    </row>
    <row r="9" spans="1:14">
      <c r="A9" s="398" t="s">
        <v>455</v>
      </c>
      <c r="B9" s="398">
        <v>8.2309999999999999</v>
      </c>
      <c r="C9" s="140" t="s">
        <v>448</v>
      </c>
      <c r="J9" s="290"/>
      <c r="K9" s="292" t="s">
        <v>456</v>
      </c>
      <c r="L9" s="292" t="s">
        <v>457</v>
      </c>
      <c r="M9" s="292" t="s">
        <v>458</v>
      </c>
      <c r="N9" s="290"/>
    </row>
    <row r="10" spans="1:14">
      <c r="A10" s="398" t="s">
        <v>459</v>
      </c>
      <c r="B10" s="398">
        <v>4.0570000000000004</v>
      </c>
      <c r="C10" s="140" t="s">
        <v>448</v>
      </c>
      <c r="J10" s="290"/>
      <c r="K10" s="292" t="s">
        <v>460</v>
      </c>
      <c r="L10" s="292" t="s">
        <v>461</v>
      </c>
      <c r="M10" s="290" t="s">
        <v>449</v>
      </c>
      <c r="N10" s="290"/>
    </row>
    <row r="11" spans="1:14">
      <c r="A11" s="140" t="s">
        <v>462</v>
      </c>
      <c r="B11" s="140">
        <v>21.542999999999999</v>
      </c>
      <c r="C11" s="140"/>
      <c r="J11" s="290"/>
      <c r="K11" s="292"/>
      <c r="L11" s="292"/>
      <c r="M11" s="292"/>
      <c r="N11" s="290"/>
    </row>
    <row r="12" spans="1:14">
      <c r="A12" s="140"/>
      <c r="B12" s="140"/>
      <c r="C12" s="140"/>
      <c r="J12" s="290"/>
      <c r="K12" s="292"/>
      <c r="L12" s="292"/>
      <c r="M12" s="292"/>
      <c r="N12" s="290"/>
    </row>
    <row r="13" spans="1:14">
      <c r="A13" s="398" t="s">
        <v>463</v>
      </c>
      <c r="B13" s="140"/>
      <c r="C13" s="140"/>
      <c r="J13" s="290"/>
      <c r="K13" s="292"/>
      <c r="L13" s="292"/>
      <c r="M13" s="292"/>
      <c r="N13" s="290"/>
    </row>
    <row r="14" spans="1:14">
      <c r="A14" s="140"/>
      <c r="B14" s="140"/>
      <c r="C14" s="140"/>
      <c r="J14" s="290"/>
      <c r="K14" s="292"/>
      <c r="L14" s="292"/>
      <c r="M14" s="292"/>
      <c r="N14" s="290"/>
    </row>
    <row r="15" spans="1:14">
      <c r="J15" s="290"/>
      <c r="K15" s="292"/>
      <c r="L15" s="292"/>
      <c r="M15" s="290"/>
      <c r="N15" s="290"/>
    </row>
    <row r="16" spans="1:14">
      <c r="A16" s="285" t="s">
        <v>464</v>
      </c>
      <c r="J16" s="290"/>
      <c r="K16" s="290"/>
      <c r="L16" s="290"/>
      <c r="M16" s="290"/>
      <c r="N16" s="290"/>
    </row>
    <row r="17" spans="1:23">
      <c r="A17" s="285" t="s">
        <v>465</v>
      </c>
      <c r="J17" s="290"/>
      <c r="K17" s="399" t="s">
        <v>466</v>
      </c>
      <c r="L17" s="290"/>
      <c r="M17" s="292" t="s">
        <v>467</v>
      </c>
      <c r="N17" s="290"/>
    </row>
    <row r="18" spans="1:23">
      <c r="A18" s="285" t="s">
        <v>468</v>
      </c>
      <c r="J18" s="290"/>
      <c r="K18" s="292" t="s">
        <v>469</v>
      </c>
      <c r="L18" s="292" t="s">
        <v>470</v>
      </c>
      <c r="M18" s="290">
        <v>95</v>
      </c>
      <c r="N18" s="290"/>
    </row>
    <row r="19" spans="1:23">
      <c r="A19" s="285" t="s">
        <v>471</v>
      </c>
      <c r="E19" s="74" t="s">
        <v>472</v>
      </c>
      <c r="F19" s="74" t="s">
        <v>443</v>
      </c>
      <c r="G19" s="74" t="s">
        <v>444</v>
      </c>
      <c r="J19" s="290"/>
      <c r="K19" s="292" t="s">
        <v>469</v>
      </c>
      <c r="L19" s="290"/>
      <c r="M19" s="290"/>
      <c r="N19" s="290"/>
    </row>
    <row r="20" spans="1:23">
      <c r="A20" s="285" t="s">
        <v>473</v>
      </c>
      <c r="E20" s="153" t="s">
        <v>474</v>
      </c>
      <c r="F20" s="153">
        <f>C74</f>
        <v>403.12</v>
      </c>
      <c r="G20" s="153" t="s">
        <v>449</v>
      </c>
      <c r="J20" s="290"/>
      <c r="K20" s="290"/>
      <c r="L20" s="290"/>
      <c r="M20" s="290"/>
      <c r="N20" s="290"/>
      <c r="R20" s="140"/>
      <c r="S20" s="231"/>
      <c r="T20" s="140"/>
      <c r="U20" s="140"/>
      <c r="V20" s="140"/>
      <c r="W20" s="140"/>
    </row>
    <row r="21" spans="1:23">
      <c r="A21" s="285" t="s">
        <v>475</v>
      </c>
      <c r="E21" s="153" t="s">
        <v>476</v>
      </c>
      <c r="F21" s="153">
        <f>F20*0.0045</f>
        <v>1.8140399999999999</v>
      </c>
      <c r="G21" s="153" t="s">
        <v>477</v>
      </c>
      <c r="J21" s="25"/>
      <c r="K21" s="25"/>
      <c r="L21" s="25"/>
      <c r="M21" s="25"/>
      <c r="N21" s="25"/>
      <c r="R21" s="140"/>
      <c r="S21" s="231"/>
      <c r="T21" s="140"/>
      <c r="U21" s="140"/>
      <c r="V21" s="140"/>
      <c r="W21" s="140"/>
    </row>
    <row r="22" spans="1:23">
      <c r="A22" s="285" t="s">
        <v>478</v>
      </c>
      <c r="J22" s="140"/>
      <c r="K22" s="400" t="s">
        <v>479</v>
      </c>
      <c r="L22" s="25">
        <f>L23*(M18/100)</f>
        <v>4.6360000000000001</v>
      </c>
      <c r="M22" s="25" t="s">
        <v>480</v>
      </c>
      <c r="N22" s="25"/>
    </row>
    <row r="23" spans="1:23">
      <c r="D23" s="284"/>
      <c r="E23" s="284"/>
      <c r="F23" s="284"/>
      <c r="G23" s="284"/>
      <c r="H23" s="284"/>
      <c r="I23" s="284"/>
      <c r="J23" s="140"/>
      <c r="K23" s="400" t="s">
        <v>481</v>
      </c>
      <c r="L23" s="401">
        <v>4.88</v>
      </c>
      <c r="M23" s="25" t="s">
        <v>480</v>
      </c>
      <c r="N23" s="25"/>
      <c r="W23" s="140"/>
    </row>
    <row r="24" spans="1:23">
      <c r="D24" s="284"/>
      <c r="E24" s="284"/>
      <c r="F24" s="284"/>
      <c r="G24" s="284"/>
      <c r="H24" s="284"/>
      <c r="I24" s="284"/>
      <c r="J24" s="25"/>
      <c r="K24" s="25"/>
      <c r="L24" s="25"/>
      <c r="M24" s="25"/>
      <c r="N24" s="25"/>
      <c r="V24" s="140"/>
    </row>
    <row r="25" spans="1:23">
      <c r="D25" s="284"/>
      <c r="E25" s="284"/>
      <c r="F25" s="284"/>
      <c r="G25" s="284"/>
      <c r="H25" s="284"/>
      <c r="I25" s="284"/>
      <c r="J25" s="25"/>
      <c r="K25" s="25"/>
      <c r="L25" s="25"/>
      <c r="M25" s="25"/>
      <c r="N25" s="25"/>
      <c r="V25" s="140"/>
    </row>
    <row r="26" spans="1:23">
      <c r="A26" s="398" t="s">
        <v>482</v>
      </c>
      <c r="D26" s="284"/>
      <c r="E26" s="284"/>
      <c r="F26" s="284"/>
      <c r="G26" s="284"/>
      <c r="H26" s="284"/>
      <c r="I26" s="284"/>
      <c r="J26" s="25"/>
      <c r="K26" s="25"/>
      <c r="L26" s="25"/>
      <c r="M26" s="25"/>
      <c r="N26" s="25"/>
      <c r="V26" s="140"/>
    </row>
    <row r="27" spans="1:23">
      <c r="D27" s="284"/>
      <c r="E27" s="284"/>
      <c r="F27" s="284"/>
      <c r="G27" s="284"/>
      <c r="H27" s="284"/>
      <c r="I27" s="284"/>
      <c r="J27" s="25"/>
      <c r="K27" s="25"/>
      <c r="L27" s="25"/>
      <c r="M27" s="25"/>
      <c r="N27" s="25"/>
      <c r="V27" s="140"/>
    </row>
    <row r="28" spans="1:23">
      <c r="D28" s="284"/>
      <c r="E28" s="284"/>
      <c r="F28" s="284"/>
      <c r="G28" s="284"/>
      <c r="H28" s="284"/>
      <c r="I28" s="284"/>
      <c r="J28" s="25"/>
      <c r="K28" s="25"/>
      <c r="L28" s="25"/>
      <c r="M28" s="25"/>
      <c r="N28" s="25"/>
      <c r="V28" s="140"/>
    </row>
    <row r="29" spans="1:23">
      <c r="D29" s="284"/>
      <c r="E29" s="284"/>
      <c r="F29" s="284"/>
      <c r="G29" s="284"/>
      <c r="H29" s="284"/>
      <c r="I29" s="284"/>
      <c r="J29" s="290"/>
      <c r="K29" s="290"/>
      <c r="L29" s="290"/>
      <c r="M29" s="290"/>
      <c r="N29" s="290"/>
      <c r="V29" s="140"/>
    </row>
    <row r="30" spans="1:23">
      <c r="D30" s="284"/>
      <c r="E30" s="284"/>
      <c r="F30" s="284"/>
      <c r="G30" s="284"/>
      <c r="H30" s="284"/>
      <c r="I30" s="284"/>
      <c r="J30" s="290"/>
      <c r="K30" s="290"/>
      <c r="L30" s="290"/>
      <c r="M30" s="290"/>
      <c r="N30" s="290"/>
      <c r="V30" s="140"/>
    </row>
    <row r="31" spans="1:23">
      <c r="D31" s="284"/>
      <c r="E31" s="284"/>
      <c r="F31" s="284"/>
      <c r="G31" s="284"/>
      <c r="H31" s="284"/>
      <c r="I31" s="284"/>
      <c r="J31" s="290"/>
      <c r="K31" s="290"/>
      <c r="L31" s="290"/>
      <c r="M31" s="290"/>
      <c r="N31" s="290"/>
      <c r="V31" s="140"/>
    </row>
    <row r="32" spans="1:23">
      <c r="D32" s="284"/>
      <c r="E32" s="284"/>
      <c r="F32" s="284"/>
      <c r="G32" s="284"/>
      <c r="H32" s="284"/>
      <c r="I32" s="284"/>
      <c r="J32" s="290"/>
      <c r="K32" s="290"/>
      <c r="L32" s="290"/>
      <c r="M32" s="290"/>
      <c r="N32" s="290"/>
      <c r="V32" s="140"/>
    </row>
    <row r="33" spans="1:22">
      <c r="D33" s="284"/>
      <c r="E33" s="284"/>
      <c r="F33" s="284"/>
      <c r="G33" s="284"/>
      <c r="H33" s="284"/>
      <c r="I33" s="284"/>
      <c r="J33" s="290"/>
      <c r="K33" s="290"/>
      <c r="L33" s="290"/>
      <c r="M33" s="290"/>
      <c r="N33" s="290"/>
      <c r="V33" s="140"/>
    </row>
    <row r="34" spans="1:22">
      <c r="D34" s="284"/>
      <c r="E34" s="284"/>
      <c r="F34" s="284"/>
      <c r="G34" s="284"/>
      <c r="H34" s="284"/>
      <c r="I34" s="284"/>
      <c r="J34" s="284"/>
      <c r="V34" s="140"/>
    </row>
    <row r="35" spans="1:22">
      <c r="D35" s="284"/>
      <c r="E35" s="284"/>
      <c r="F35" s="284"/>
      <c r="G35" s="284"/>
      <c r="H35" s="284"/>
      <c r="I35" s="284"/>
      <c r="J35" s="284"/>
      <c r="V35" s="140"/>
    </row>
    <row r="36" spans="1:22">
      <c r="D36" s="284"/>
      <c r="E36" s="284"/>
      <c r="F36" s="284"/>
      <c r="G36" s="284"/>
      <c r="H36" s="284"/>
      <c r="I36" s="284"/>
      <c r="J36" s="284"/>
      <c r="V36" s="140"/>
    </row>
    <row r="37" spans="1:22">
      <c r="D37" s="284"/>
      <c r="E37" s="284"/>
      <c r="F37" s="284"/>
      <c r="G37" s="284"/>
      <c r="H37" s="284"/>
      <c r="I37" s="284"/>
      <c r="J37" s="284"/>
      <c r="V37" s="140"/>
    </row>
    <row r="38" spans="1:22">
      <c r="D38" s="284"/>
      <c r="E38" s="284"/>
      <c r="F38" s="284"/>
      <c r="G38" s="284"/>
      <c r="H38" s="284"/>
      <c r="I38" s="284"/>
      <c r="J38" s="284"/>
      <c r="V38" s="140"/>
    </row>
    <row r="39" spans="1:22">
      <c r="D39" s="284"/>
      <c r="E39" s="284"/>
      <c r="F39" s="284"/>
      <c r="G39" s="284"/>
      <c r="H39" s="284"/>
      <c r="I39" s="284"/>
      <c r="J39" s="284"/>
      <c r="V39" s="140"/>
    </row>
    <row r="40" spans="1:22">
      <c r="D40" s="284"/>
      <c r="E40" s="284"/>
      <c r="F40" s="284"/>
      <c r="G40" s="284"/>
      <c r="H40" s="284"/>
      <c r="I40" s="284"/>
      <c r="J40" s="284"/>
      <c r="V40" s="140"/>
    </row>
    <row r="41" spans="1:22">
      <c r="A41" s="290" t="s">
        <v>440</v>
      </c>
      <c r="D41" s="284"/>
      <c r="E41" s="284"/>
      <c r="F41" s="284"/>
      <c r="G41" s="284"/>
      <c r="H41" s="284"/>
      <c r="I41" s="284"/>
      <c r="J41" s="284"/>
      <c r="V41" s="140"/>
    </row>
    <row r="42" spans="1:22" s="403" customFormat="1" ht="17.399999999999999">
      <c r="A42" s="402" t="s">
        <v>483</v>
      </c>
      <c r="V42" s="404"/>
    </row>
    <row r="43" spans="1:22" s="403" customFormat="1" ht="15" thickTop="1">
      <c r="A43" s="405" t="s">
        <v>484</v>
      </c>
    </row>
    <row r="44" spans="1:22" s="403" customFormat="1"/>
    <row r="45" spans="1:22" s="403" customFormat="1">
      <c r="A45" s="405" t="s">
        <v>485</v>
      </c>
    </row>
    <row r="46" spans="1:22" s="403" customFormat="1" ht="15.6">
      <c r="A46" s="406" t="s">
        <v>486</v>
      </c>
      <c r="M46" s="407" t="s">
        <v>487</v>
      </c>
    </row>
    <row r="47" spans="1:22" s="403" customFormat="1"/>
    <row r="48" spans="1:22" s="403" customFormat="1"/>
    <row r="49" spans="1:18" s="403" customFormat="1">
      <c r="A49" s="405" t="s">
        <v>488</v>
      </c>
    </row>
    <row r="50" spans="1:18" s="403" customFormat="1"/>
    <row r="51" spans="1:18" s="403" customFormat="1">
      <c r="A51" s="403" t="s">
        <v>489</v>
      </c>
    </row>
    <row r="52" spans="1:18" s="403" customFormat="1">
      <c r="A52" s="403" t="s">
        <v>490</v>
      </c>
    </row>
    <row r="53" spans="1:18" s="403" customFormat="1"/>
    <row r="54" spans="1:18" s="403" customFormat="1"/>
    <row r="55" spans="1:18" s="403" customFormat="1"/>
    <row r="56" spans="1:18" s="403" customFormat="1">
      <c r="A56" s="403" t="s">
        <v>491</v>
      </c>
    </row>
    <row r="57" spans="1:18" s="403" customFormat="1"/>
    <row r="58" spans="1:18" s="403" customFormat="1">
      <c r="A58" s="403" t="s">
        <v>492</v>
      </c>
    </row>
    <row r="59" spans="1:18" s="403" customFormat="1"/>
    <row r="60" spans="1:18" s="403" customFormat="1">
      <c r="A60" s="405" t="s">
        <v>493</v>
      </c>
    </row>
    <row r="61" spans="1:18" s="403" customFormat="1"/>
    <row r="62" spans="1:18" s="403" customFormat="1">
      <c r="A62" s="408"/>
      <c r="B62" s="409"/>
      <c r="C62" s="408"/>
      <c r="D62" s="409"/>
      <c r="E62" s="409"/>
      <c r="F62" s="409"/>
      <c r="G62" s="409"/>
      <c r="H62" s="409"/>
      <c r="I62" s="409"/>
      <c r="J62" s="409"/>
      <c r="K62" s="409"/>
      <c r="L62" s="409"/>
      <c r="M62" s="409"/>
      <c r="N62" s="409"/>
      <c r="O62" s="409"/>
      <c r="P62" s="409"/>
      <c r="Q62" s="409"/>
    </row>
    <row r="63" spans="1:18" s="403" customFormat="1">
      <c r="A63" s="410" t="s">
        <v>494</v>
      </c>
      <c r="B63" s="410" t="s">
        <v>495</v>
      </c>
      <c r="C63" s="410" t="s">
        <v>496</v>
      </c>
      <c r="D63" s="410" t="s">
        <v>497</v>
      </c>
      <c r="E63" s="410" t="s">
        <v>438</v>
      </c>
      <c r="F63" s="410" t="s">
        <v>498</v>
      </c>
      <c r="G63" s="410" t="s">
        <v>499</v>
      </c>
      <c r="H63" s="410" t="s">
        <v>500</v>
      </c>
      <c r="I63" s="410"/>
      <c r="J63" s="410" t="s">
        <v>501</v>
      </c>
      <c r="K63" s="410" t="s">
        <v>502</v>
      </c>
      <c r="L63" s="410" t="s">
        <v>503</v>
      </c>
      <c r="M63" s="410" t="s">
        <v>504</v>
      </c>
      <c r="N63" s="410" t="s">
        <v>505</v>
      </c>
      <c r="O63" s="410" t="s">
        <v>506</v>
      </c>
      <c r="P63" s="410" t="s">
        <v>507</v>
      </c>
      <c r="Q63" s="410" t="s">
        <v>508</v>
      </c>
      <c r="R63" s="403" t="s">
        <v>509</v>
      </c>
    </row>
    <row r="64" spans="1:18" s="403" customFormat="1">
      <c r="A64" s="405" t="s">
        <v>510</v>
      </c>
      <c r="B64" s="405"/>
      <c r="C64" s="405"/>
      <c r="D64" s="405"/>
      <c r="E64" s="405"/>
      <c r="F64" s="405"/>
      <c r="G64" s="405"/>
      <c r="H64" s="405"/>
      <c r="I64" s="405"/>
      <c r="J64" s="405"/>
      <c r="K64" s="405"/>
      <c r="L64" s="405"/>
      <c r="M64" s="405"/>
      <c r="N64" s="405"/>
      <c r="O64" s="405"/>
      <c r="P64" s="405"/>
      <c r="Q64" s="405"/>
    </row>
    <row r="65" spans="1:18" s="403" customFormat="1">
      <c r="A65" s="403" t="s">
        <v>511</v>
      </c>
      <c r="B65" s="403" t="s">
        <v>512</v>
      </c>
      <c r="C65" s="403">
        <v>0</v>
      </c>
      <c r="D65" s="403">
        <v>0</v>
      </c>
      <c r="E65" s="403">
        <v>0</v>
      </c>
      <c r="F65" s="403">
        <v>1</v>
      </c>
      <c r="K65" s="403">
        <v>0</v>
      </c>
      <c r="L65" s="403">
        <v>0</v>
      </c>
      <c r="N65" s="403">
        <v>0</v>
      </c>
      <c r="O65" s="403">
        <v>0</v>
      </c>
      <c r="P65" s="403">
        <v>0</v>
      </c>
      <c r="Q65" s="403">
        <v>0</v>
      </c>
      <c r="R65" s="403" t="s">
        <v>513</v>
      </c>
    </row>
    <row r="66" spans="1:18" s="403" customFormat="1">
      <c r="A66" s="403" t="s">
        <v>107</v>
      </c>
      <c r="B66" s="403" t="s">
        <v>448</v>
      </c>
      <c r="C66" s="403">
        <v>19.245000000000001</v>
      </c>
      <c r="D66" s="403">
        <v>8.407</v>
      </c>
      <c r="E66" s="403">
        <v>0</v>
      </c>
      <c r="F66" s="403">
        <v>19.245000000000001</v>
      </c>
      <c r="G66" s="403">
        <v>19.245000000000001</v>
      </c>
      <c r="H66" s="403">
        <v>6.3230000000000004</v>
      </c>
      <c r="J66" s="403">
        <v>17.844999999999999</v>
      </c>
      <c r="K66" s="403">
        <v>19.12</v>
      </c>
      <c r="L66" s="403">
        <v>19.245000000000001</v>
      </c>
      <c r="M66" s="403">
        <v>23.815999999999999</v>
      </c>
      <c r="N66" s="403">
        <v>0</v>
      </c>
      <c r="O66" s="403">
        <v>19.245000000000001</v>
      </c>
      <c r="P66" s="403">
        <v>19.245000000000001</v>
      </c>
      <c r="Q66" s="403">
        <v>0</v>
      </c>
      <c r="R66" s="403" t="s">
        <v>514</v>
      </c>
    </row>
    <row r="67" spans="1:18" s="403" customFormat="1">
      <c r="A67" s="403" t="s">
        <v>515</v>
      </c>
      <c r="B67" s="403" t="s">
        <v>448</v>
      </c>
      <c r="C67" s="403">
        <v>0</v>
      </c>
      <c r="D67" s="403">
        <v>0</v>
      </c>
      <c r="E67" s="403">
        <v>0</v>
      </c>
      <c r="F67" s="403">
        <v>0</v>
      </c>
      <c r="G67" s="403">
        <v>0</v>
      </c>
      <c r="K67" s="403">
        <v>0</v>
      </c>
      <c r="L67" s="403">
        <v>0</v>
      </c>
      <c r="N67" s="403">
        <v>19.245000000000001</v>
      </c>
      <c r="O67" s="403">
        <v>0</v>
      </c>
      <c r="P67" s="403">
        <v>0</v>
      </c>
      <c r="Q67" s="403">
        <v>0</v>
      </c>
      <c r="R67" s="403" t="s">
        <v>516</v>
      </c>
    </row>
    <row r="68" spans="1:18" s="403" customFormat="1">
      <c r="A68" s="403" t="s">
        <v>517</v>
      </c>
      <c r="B68" s="403" t="s">
        <v>448</v>
      </c>
      <c r="C68" s="403">
        <v>0</v>
      </c>
      <c r="D68" s="403">
        <v>0</v>
      </c>
      <c r="E68" s="403">
        <v>8.407</v>
      </c>
      <c r="F68" s="403">
        <v>0</v>
      </c>
      <c r="G68" s="403">
        <v>0</v>
      </c>
      <c r="K68" s="403">
        <v>0</v>
      </c>
      <c r="L68" s="403">
        <v>0</v>
      </c>
      <c r="N68" s="403">
        <v>0</v>
      </c>
      <c r="O68" s="403">
        <v>0</v>
      </c>
      <c r="P68" s="403">
        <v>0</v>
      </c>
      <c r="Q68" s="403">
        <v>19.245000000000001</v>
      </c>
      <c r="R68" s="403" t="s">
        <v>518</v>
      </c>
    </row>
    <row r="69" spans="1:18" s="403" customFormat="1">
      <c r="A69" s="403" t="s">
        <v>519</v>
      </c>
      <c r="B69" s="403" t="s">
        <v>512</v>
      </c>
      <c r="C69" s="403">
        <v>1</v>
      </c>
      <c r="D69" s="403">
        <v>0</v>
      </c>
      <c r="E69" s="403">
        <v>0</v>
      </c>
      <c r="F69" s="403">
        <v>1</v>
      </c>
      <c r="G69" s="403">
        <v>1</v>
      </c>
      <c r="H69" s="403">
        <v>1</v>
      </c>
      <c r="J69" s="403">
        <v>1</v>
      </c>
      <c r="K69" s="403">
        <v>1</v>
      </c>
      <c r="L69" s="403">
        <v>1</v>
      </c>
      <c r="M69" s="403">
        <v>1</v>
      </c>
      <c r="N69" s="403">
        <v>0</v>
      </c>
      <c r="O69" s="403">
        <v>1</v>
      </c>
      <c r="P69" s="403">
        <v>1</v>
      </c>
      <c r="Q69" s="403">
        <v>0</v>
      </c>
      <c r="R69" s="403" t="s">
        <v>520</v>
      </c>
    </row>
    <row r="70" spans="1:18" s="403" customFormat="1">
      <c r="A70" s="403" t="s">
        <v>521</v>
      </c>
      <c r="B70" s="403" t="s">
        <v>512</v>
      </c>
      <c r="C70" s="403">
        <v>0</v>
      </c>
      <c r="D70" s="403">
        <v>1</v>
      </c>
      <c r="E70" s="403">
        <v>0</v>
      </c>
      <c r="F70" s="403">
        <v>0</v>
      </c>
      <c r="G70" s="403">
        <v>0</v>
      </c>
      <c r="K70" s="403">
        <v>0</v>
      </c>
      <c r="L70" s="403">
        <v>0</v>
      </c>
      <c r="N70" s="403">
        <v>0</v>
      </c>
      <c r="O70" s="403">
        <v>0</v>
      </c>
      <c r="P70" s="403">
        <v>0</v>
      </c>
      <c r="Q70" s="403">
        <v>0</v>
      </c>
      <c r="R70" s="403" t="s">
        <v>520</v>
      </c>
    </row>
    <row r="71" spans="1:18" s="403" customFormat="1">
      <c r="A71" s="403" t="s">
        <v>522</v>
      </c>
      <c r="B71" s="403" t="s">
        <v>512</v>
      </c>
      <c r="C71" s="403">
        <v>0</v>
      </c>
      <c r="D71" s="403">
        <v>0</v>
      </c>
      <c r="E71" s="403">
        <v>0</v>
      </c>
      <c r="F71" s="403">
        <v>0</v>
      </c>
      <c r="G71" s="403">
        <v>0</v>
      </c>
      <c r="K71" s="403">
        <v>0</v>
      </c>
      <c r="L71" s="403">
        <v>0</v>
      </c>
      <c r="N71" s="403">
        <v>1</v>
      </c>
      <c r="O71" s="403">
        <v>0</v>
      </c>
      <c r="P71" s="403">
        <v>0</v>
      </c>
      <c r="Q71" s="403">
        <v>0</v>
      </c>
      <c r="R71" s="403" t="s">
        <v>520</v>
      </c>
    </row>
    <row r="72" spans="1:18" s="403" customFormat="1">
      <c r="A72" s="403" t="s">
        <v>523</v>
      </c>
      <c r="B72" s="403" t="s">
        <v>512</v>
      </c>
      <c r="C72" s="403">
        <v>0</v>
      </c>
      <c r="D72" s="403">
        <v>0</v>
      </c>
      <c r="E72" s="403">
        <v>0</v>
      </c>
      <c r="F72" s="403">
        <v>0</v>
      </c>
      <c r="G72" s="403">
        <v>0</v>
      </c>
      <c r="K72" s="403">
        <v>0</v>
      </c>
      <c r="L72" s="403">
        <v>0</v>
      </c>
      <c r="N72" s="403">
        <v>0</v>
      </c>
      <c r="O72" s="403">
        <v>0</v>
      </c>
      <c r="P72" s="403">
        <v>0</v>
      </c>
      <c r="Q72" s="403">
        <v>1</v>
      </c>
      <c r="R72" s="403" t="s">
        <v>520</v>
      </c>
    </row>
    <row r="73" spans="1:18" s="403" customFormat="1">
      <c r="A73" s="403" t="s">
        <v>524</v>
      </c>
      <c r="B73" s="403" t="s">
        <v>512</v>
      </c>
      <c r="C73" s="403">
        <v>0</v>
      </c>
      <c r="D73" s="403">
        <v>0</v>
      </c>
      <c r="E73" s="403">
        <v>1</v>
      </c>
      <c r="F73" s="403">
        <v>0</v>
      </c>
      <c r="G73" s="403">
        <v>0</v>
      </c>
      <c r="K73" s="403">
        <v>0</v>
      </c>
      <c r="L73" s="403">
        <v>0</v>
      </c>
      <c r="N73" s="403">
        <v>0</v>
      </c>
      <c r="O73" s="403">
        <v>0</v>
      </c>
      <c r="P73" s="403">
        <v>0</v>
      </c>
      <c r="Q73" s="403">
        <v>0</v>
      </c>
      <c r="R73" s="403" t="s">
        <v>520</v>
      </c>
    </row>
    <row r="74" spans="1:18" s="403" customFormat="1">
      <c r="A74" s="403" t="s">
        <v>525</v>
      </c>
      <c r="B74" s="403" t="s">
        <v>449</v>
      </c>
      <c r="C74" s="403">
        <v>403.12</v>
      </c>
      <c r="D74" s="403">
        <v>176.9</v>
      </c>
      <c r="E74" s="403">
        <v>0</v>
      </c>
      <c r="F74" s="403">
        <v>0</v>
      </c>
      <c r="G74" s="403">
        <v>403.12</v>
      </c>
      <c r="H74" s="403">
        <v>130.6</v>
      </c>
      <c r="J74" s="403">
        <v>367.08</v>
      </c>
      <c r="K74" s="403">
        <v>403.12</v>
      </c>
      <c r="L74" s="403">
        <v>0</v>
      </c>
      <c r="N74" s="403">
        <v>0</v>
      </c>
      <c r="O74" s="403">
        <v>403.12</v>
      </c>
      <c r="P74" s="403">
        <v>403.12</v>
      </c>
      <c r="Q74" s="403">
        <v>0</v>
      </c>
      <c r="R74" s="403" t="s">
        <v>526</v>
      </c>
    </row>
    <row r="75" spans="1:18" s="403" customFormat="1">
      <c r="A75" s="403" t="s">
        <v>527</v>
      </c>
      <c r="B75" s="403" t="s">
        <v>449</v>
      </c>
      <c r="C75" s="403">
        <v>0</v>
      </c>
      <c r="D75" s="403">
        <v>0</v>
      </c>
      <c r="E75" s="403">
        <v>0</v>
      </c>
      <c r="F75" s="403">
        <v>0</v>
      </c>
      <c r="G75" s="403">
        <v>0</v>
      </c>
      <c r="K75" s="403">
        <v>0</v>
      </c>
      <c r="L75" s="403">
        <v>0</v>
      </c>
      <c r="N75" s="403">
        <v>403.12</v>
      </c>
      <c r="O75" s="403">
        <v>0</v>
      </c>
      <c r="P75" s="403">
        <v>0</v>
      </c>
      <c r="Q75" s="403">
        <v>0</v>
      </c>
      <c r="R75" s="403" t="s">
        <v>526</v>
      </c>
    </row>
    <row r="76" spans="1:18" s="403" customFormat="1">
      <c r="A76" s="403" t="s">
        <v>528</v>
      </c>
      <c r="B76" s="403" t="s">
        <v>449</v>
      </c>
      <c r="C76" s="403">
        <v>0</v>
      </c>
      <c r="D76" s="403">
        <v>0</v>
      </c>
      <c r="E76" s="403">
        <v>0</v>
      </c>
      <c r="F76" s="403">
        <v>0</v>
      </c>
      <c r="G76" s="403">
        <v>0</v>
      </c>
      <c r="K76" s="403">
        <v>0</v>
      </c>
      <c r="L76" s="403">
        <v>0</v>
      </c>
      <c r="N76" s="403">
        <v>0</v>
      </c>
      <c r="O76" s="403">
        <v>0</v>
      </c>
      <c r="P76" s="403">
        <v>0</v>
      </c>
      <c r="Q76" s="403">
        <v>403.12</v>
      </c>
      <c r="R76" s="403" t="s">
        <v>526</v>
      </c>
    </row>
    <row r="77" spans="1:18" s="403" customFormat="1">
      <c r="A77" s="403" t="s">
        <v>529</v>
      </c>
      <c r="B77" s="403" t="s">
        <v>449</v>
      </c>
      <c r="C77" s="403">
        <v>0</v>
      </c>
      <c r="D77" s="403">
        <v>0</v>
      </c>
      <c r="E77" s="403">
        <v>0</v>
      </c>
      <c r="F77" s="403">
        <v>403.12</v>
      </c>
      <c r="G77" s="403">
        <v>0</v>
      </c>
      <c r="K77" s="403">
        <v>0</v>
      </c>
      <c r="L77" s="403">
        <v>0</v>
      </c>
      <c r="N77" s="403">
        <v>0</v>
      </c>
      <c r="O77" s="403">
        <v>0</v>
      </c>
      <c r="P77" s="403">
        <v>0</v>
      </c>
      <c r="Q77" s="403">
        <v>0</v>
      </c>
      <c r="R77" s="403" t="s">
        <v>530</v>
      </c>
    </row>
    <row r="78" spans="1:18" s="403" customFormat="1">
      <c r="A78" s="403" t="s">
        <v>531</v>
      </c>
      <c r="B78" s="403" t="s">
        <v>449</v>
      </c>
      <c r="C78" s="403">
        <v>0</v>
      </c>
      <c r="D78" s="403">
        <v>0</v>
      </c>
      <c r="E78" s="403">
        <v>0</v>
      </c>
      <c r="F78" s="403">
        <v>0</v>
      </c>
      <c r="G78" s="403">
        <v>0</v>
      </c>
      <c r="K78" s="403">
        <v>0</v>
      </c>
      <c r="L78" s="403">
        <v>426.1</v>
      </c>
      <c r="M78" s="403">
        <v>544.70000000000005</v>
      </c>
      <c r="N78" s="403">
        <v>0</v>
      </c>
      <c r="O78" s="403">
        <v>0</v>
      </c>
      <c r="P78" s="403">
        <v>0</v>
      </c>
      <c r="Q78" s="403">
        <v>0</v>
      </c>
      <c r="R78" s="403" t="s">
        <v>532</v>
      </c>
    </row>
    <row r="79" spans="1:18" s="403" customFormat="1">
      <c r="A79" s="403" t="s">
        <v>533</v>
      </c>
      <c r="B79" s="403" t="s">
        <v>449</v>
      </c>
      <c r="C79" s="403">
        <v>0</v>
      </c>
      <c r="D79" s="403">
        <v>0</v>
      </c>
      <c r="E79" s="403">
        <v>187</v>
      </c>
      <c r="F79" s="403">
        <v>0</v>
      </c>
      <c r="G79" s="403">
        <v>0</v>
      </c>
      <c r="K79" s="403">
        <v>0</v>
      </c>
      <c r="L79" s="403">
        <v>0</v>
      </c>
      <c r="N79" s="403">
        <v>0</v>
      </c>
      <c r="O79" s="403">
        <v>0</v>
      </c>
      <c r="P79" s="403">
        <v>0</v>
      </c>
      <c r="Q79" s="403">
        <v>0</v>
      </c>
      <c r="R79" s="403" t="s">
        <v>532</v>
      </c>
    </row>
    <row r="80" spans="1:18" s="403" customFormat="1">
      <c r="A80" s="403" t="s">
        <v>534</v>
      </c>
      <c r="B80" s="403" t="s">
        <v>449</v>
      </c>
      <c r="C80" s="403">
        <v>0.19059999999999999</v>
      </c>
      <c r="D80" s="403">
        <v>8.3769999999999997E-2</v>
      </c>
      <c r="E80" s="403">
        <v>0</v>
      </c>
      <c r="F80" s="403">
        <v>0.19059999999999999</v>
      </c>
      <c r="G80" s="403">
        <v>0.19059999999999999</v>
      </c>
      <c r="H80" s="403">
        <v>6.1545000000000002E-2</v>
      </c>
      <c r="J80" s="403">
        <v>0.15740000000000001</v>
      </c>
      <c r="K80" s="403">
        <v>0.19059999999999999</v>
      </c>
      <c r="L80" s="403">
        <v>0</v>
      </c>
      <c r="N80" s="403">
        <v>0.19059999999999999</v>
      </c>
      <c r="O80" s="403">
        <v>0.19059999999999999</v>
      </c>
      <c r="P80" s="403">
        <v>0.19059999999999999</v>
      </c>
      <c r="Q80" s="403">
        <v>0.19059999999999999</v>
      </c>
      <c r="R80" s="403" t="s">
        <v>535</v>
      </c>
    </row>
    <row r="81" spans="1:18" s="403" customFormat="1">
      <c r="A81" s="403" t="s">
        <v>536</v>
      </c>
      <c r="B81" s="403" t="s">
        <v>449</v>
      </c>
      <c r="C81" s="403">
        <v>0.1008</v>
      </c>
      <c r="D81" s="403">
        <v>4.4400000000000002E-2</v>
      </c>
      <c r="E81" s="403">
        <v>0</v>
      </c>
      <c r="F81" s="403">
        <v>0</v>
      </c>
      <c r="G81" s="403">
        <v>0.1008</v>
      </c>
      <c r="H81" s="403">
        <v>2.8799999999999999E-2</v>
      </c>
      <c r="J81" s="403">
        <v>8.48E-2</v>
      </c>
      <c r="K81" s="403">
        <v>0.1008</v>
      </c>
      <c r="L81" s="403">
        <v>0</v>
      </c>
      <c r="M81" s="403">
        <v>0.14680000000000001</v>
      </c>
      <c r="N81" s="403">
        <v>0</v>
      </c>
      <c r="O81" s="403">
        <v>0.1008</v>
      </c>
      <c r="P81" s="403">
        <v>0.1008</v>
      </c>
      <c r="Q81" s="403">
        <v>0</v>
      </c>
      <c r="R81" s="403" t="s">
        <v>537</v>
      </c>
    </row>
    <row r="82" spans="1:18" s="403" customFormat="1">
      <c r="A82" s="403" t="s">
        <v>538</v>
      </c>
      <c r="B82" s="403" t="s">
        <v>449</v>
      </c>
      <c r="C82" s="403">
        <v>0</v>
      </c>
      <c r="D82" s="403">
        <v>0</v>
      </c>
      <c r="E82" s="403">
        <v>0</v>
      </c>
      <c r="F82" s="403">
        <v>0</v>
      </c>
      <c r="G82" s="403">
        <v>0</v>
      </c>
      <c r="K82" s="403">
        <v>0</v>
      </c>
      <c r="L82" s="403">
        <v>0</v>
      </c>
      <c r="N82" s="403">
        <v>0.1008</v>
      </c>
      <c r="O82" s="403">
        <v>0</v>
      </c>
      <c r="P82" s="403">
        <v>0</v>
      </c>
      <c r="Q82" s="403">
        <v>0</v>
      </c>
      <c r="R82" s="403" t="s">
        <v>537</v>
      </c>
    </row>
    <row r="83" spans="1:18" s="403" customFormat="1">
      <c r="A83" s="403" t="s">
        <v>539</v>
      </c>
      <c r="B83" s="403" t="s">
        <v>449</v>
      </c>
      <c r="C83" s="403">
        <v>0</v>
      </c>
      <c r="D83" s="403">
        <v>0</v>
      </c>
      <c r="E83" s="403">
        <v>4.4400000000000002E-2</v>
      </c>
      <c r="F83" s="403">
        <v>0</v>
      </c>
      <c r="G83" s="403">
        <v>0</v>
      </c>
      <c r="K83" s="403">
        <v>0</v>
      </c>
      <c r="L83" s="403">
        <v>0</v>
      </c>
      <c r="N83" s="403">
        <v>0</v>
      </c>
      <c r="O83" s="403">
        <v>0</v>
      </c>
      <c r="P83" s="403">
        <v>0</v>
      </c>
      <c r="Q83" s="403">
        <v>0.1008</v>
      </c>
      <c r="R83" s="403" t="s">
        <v>537</v>
      </c>
    </row>
    <row r="84" spans="1:18" s="403" customFormat="1">
      <c r="A84" s="403" t="s">
        <v>450</v>
      </c>
      <c r="B84" s="403" t="s">
        <v>449</v>
      </c>
      <c r="C84" s="403">
        <v>0.55600000000000005</v>
      </c>
      <c r="D84" s="403">
        <v>0.24399999999999999</v>
      </c>
      <c r="E84" s="403">
        <v>0.24399999999999999</v>
      </c>
      <c r="F84" s="403">
        <v>0.55600000000000005</v>
      </c>
      <c r="G84" s="403">
        <v>0.55600000000000005</v>
      </c>
      <c r="H84" s="403">
        <v>0.55586000000000002</v>
      </c>
      <c r="J84" s="403">
        <v>0.52600000000000002</v>
      </c>
      <c r="K84" s="403">
        <v>0.55600000000000005</v>
      </c>
      <c r="L84" s="403">
        <v>0.55600000000000005</v>
      </c>
      <c r="M84" s="403">
        <v>0.56399999999999995</v>
      </c>
      <c r="N84" s="403">
        <v>0.55600000000000005</v>
      </c>
      <c r="O84" s="403">
        <v>0.55600000000000005</v>
      </c>
      <c r="P84" s="403">
        <v>0.55600000000000005</v>
      </c>
      <c r="Q84" s="403">
        <v>0.55600000000000005</v>
      </c>
      <c r="R84" s="403" t="s">
        <v>540</v>
      </c>
    </row>
    <row r="85" spans="1:18" s="403" customFormat="1">
      <c r="A85" s="403" t="s">
        <v>453</v>
      </c>
      <c r="B85" s="403" t="s">
        <v>449</v>
      </c>
      <c r="C85" s="403">
        <v>0.1007</v>
      </c>
      <c r="D85" s="403">
        <v>4.7300000000000002E-2</v>
      </c>
      <c r="E85" s="403">
        <v>0.1007</v>
      </c>
      <c r="F85" s="403">
        <v>0.1007</v>
      </c>
      <c r="G85" s="403">
        <v>0.1007</v>
      </c>
      <c r="H85" s="403">
        <v>0.1007</v>
      </c>
      <c r="J85" s="403">
        <v>0.1007</v>
      </c>
      <c r="K85" s="403">
        <v>0.1007</v>
      </c>
      <c r="L85" s="403">
        <v>0.1007</v>
      </c>
      <c r="M85" s="403">
        <v>0.1007</v>
      </c>
      <c r="N85" s="403">
        <v>0.1007</v>
      </c>
      <c r="O85" s="403">
        <v>0.1007</v>
      </c>
      <c r="P85" s="403">
        <v>0.1007</v>
      </c>
      <c r="Q85" s="403">
        <v>0.1007</v>
      </c>
      <c r="R85" s="403" t="s">
        <v>541</v>
      </c>
    </row>
    <row r="86" spans="1:18" s="403" customFormat="1">
      <c r="A86" s="403" t="s">
        <v>542</v>
      </c>
      <c r="B86" s="403" t="s">
        <v>449</v>
      </c>
      <c r="C86" s="403">
        <v>0</v>
      </c>
      <c r="D86" s="403">
        <v>0</v>
      </c>
      <c r="E86" s="403">
        <v>0</v>
      </c>
      <c r="F86" s="403">
        <v>0</v>
      </c>
      <c r="G86" s="403">
        <v>1.089</v>
      </c>
      <c r="K86" s="403">
        <v>0</v>
      </c>
      <c r="L86" s="403">
        <v>0</v>
      </c>
      <c r="N86" s="403">
        <v>0</v>
      </c>
      <c r="O86" s="403">
        <v>0</v>
      </c>
      <c r="P86" s="403">
        <v>0</v>
      </c>
      <c r="Q86" s="403">
        <v>0</v>
      </c>
      <c r="R86" s="403" t="s">
        <v>543</v>
      </c>
    </row>
    <row r="87" spans="1:18" s="403" customFormat="1">
      <c r="A87" s="403" t="s">
        <v>456</v>
      </c>
      <c r="B87" s="403" t="s">
        <v>458</v>
      </c>
      <c r="C87" s="403">
        <v>403.12</v>
      </c>
      <c r="D87" s="403">
        <v>176.9</v>
      </c>
      <c r="E87" s="403">
        <v>43.96</v>
      </c>
      <c r="F87" s="403">
        <v>403.12</v>
      </c>
      <c r="G87" s="403">
        <f>403.12+8.7</f>
        <v>411.82</v>
      </c>
      <c r="H87" s="403">
        <v>130.6</v>
      </c>
      <c r="J87" s="403">
        <v>367.08</v>
      </c>
      <c r="K87" s="403">
        <v>403.12</v>
      </c>
      <c r="L87" s="403">
        <v>426.1</v>
      </c>
      <c r="M87" s="403">
        <v>544.70000000000005</v>
      </c>
      <c r="N87" s="403">
        <v>403.12</v>
      </c>
      <c r="O87" s="403">
        <v>403.12</v>
      </c>
      <c r="P87" s="403">
        <v>100.18</v>
      </c>
      <c r="Q87" s="403">
        <v>403.12</v>
      </c>
      <c r="R87" s="403" t="s">
        <v>544</v>
      </c>
    </row>
    <row r="88" spans="1:18" s="403" customFormat="1">
      <c r="A88" s="403" t="s">
        <v>506</v>
      </c>
      <c r="B88" s="403" t="s">
        <v>458</v>
      </c>
      <c r="O88" s="403">
        <v>3.0870000000000002</v>
      </c>
      <c r="R88" s="403" t="s">
        <v>545</v>
      </c>
    </row>
    <row r="89" spans="1:18" s="403" customFormat="1">
      <c r="A89" s="403" t="s">
        <v>546</v>
      </c>
      <c r="B89" s="403" t="s">
        <v>448</v>
      </c>
      <c r="C89" s="403">
        <v>15.456</v>
      </c>
      <c r="D89" s="403">
        <v>6.78</v>
      </c>
      <c r="E89" s="403">
        <v>0</v>
      </c>
      <c r="F89" s="403">
        <v>15.456</v>
      </c>
      <c r="G89" s="403">
        <v>0</v>
      </c>
      <c r="H89" s="403">
        <v>5.0069999999999997</v>
      </c>
      <c r="J89" s="403">
        <v>15.456</v>
      </c>
      <c r="K89" s="403">
        <v>15.456</v>
      </c>
      <c r="L89" s="403">
        <v>15.456</v>
      </c>
      <c r="M89" s="403">
        <v>15.456</v>
      </c>
      <c r="N89" s="403">
        <v>0</v>
      </c>
      <c r="O89" s="403">
        <v>15.456</v>
      </c>
      <c r="P89" s="403">
        <v>3.8410000000000002</v>
      </c>
      <c r="Q89" s="403">
        <v>0</v>
      </c>
      <c r="R89" s="403" t="s">
        <v>514</v>
      </c>
    </row>
    <row r="90" spans="1:18" s="403" customFormat="1">
      <c r="A90" s="403" t="s">
        <v>547</v>
      </c>
      <c r="B90" s="403" t="s">
        <v>448</v>
      </c>
      <c r="C90" s="403">
        <v>0</v>
      </c>
      <c r="D90" s="403">
        <v>0</v>
      </c>
      <c r="E90" s="403">
        <v>0</v>
      </c>
      <c r="F90" s="403">
        <v>0</v>
      </c>
      <c r="G90" s="403">
        <v>0</v>
      </c>
      <c r="K90" s="403">
        <v>0</v>
      </c>
      <c r="L90" s="403">
        <v>0</v>
      </c>
      <c r="N90" s="403">
        <v>15.456</v>
      </c>
      <c r="O90" s="403">
        <v>0</v>
      </c>
      <c r="P90" s="403">
        <v>0</v>
      </c>
      <c r="Q90" s="403">
        <v>0</v>
      </c>
      <c r="R90" s="403" t="s">
        <v>516</v>
      </c>
    </row>
    <row r="91" spans="1:18" s="403" customFormat="1">
      <c r="A91" s="411" t="s">
        <v>548</v>
      </c>
      <c r="B91" s="411" t="s">
        <v>448</v>
      </c>
      <c r="C91" s="411">
        <v>0</v>
      </c>
      <c r="D91" s="411">
        <v>0</v>
      </c>
      <c r="E91" s="411">
        <v>1.6857</v>
      </c>
      <c r="F91" s="411">
        <v>0</v>
      </c>
      <c r="G91" s="411">
        <v>0</v>
      </c>
      <c r="H91" s="411"/>
      <c r="I91" s="411"/>
      <c r="J91" s="411"/>
      <c r="K91" s="411">
        <v>0</v>
      </c>
      <c r="L91" s="411">
        <v>0</v>
      </c>
      <c r="M91" s="411"/>
      <c r="N91" s="411">
        <v>0</v>
      </c>
      <c r="O91" s="411">
        <v>0</v>
      </c>
      <c r="P91" s="411">
        <v>0</v>
      </c>
      <c r="Q91" s="411">
        <v>15.456</v>
      </c>
      <c r="R91" s="411" t="s">
        <v>518</v>
      </c>
    </row>
    <row r="92" spans="1:18" s="403" customFormat="1">
      <c r="A92" s="405" t="s">
        <v>549</v>
      </c>
    </row>
    <row r="93" spans="1:18" s="403" customFormat="1">
      <c r="A93" s="403" t="s">
        <v>550</v>
      </c>
      <c r="B93" s="403" t="s">
        <v>449</v>
      </c>
      <c r="C93" s="403">
        <v>1</v>
      </c>
      <c r="D93" s="403">
        <v>1</v>
      </c>
      <c r="E93" s="403">
        <v>1</v>
      </c>
      <c r="F93" s="403">
        <v>1</v>
      </c>
      <c r="G93" s="403">
        <v>1</v>
      </c>
      <c r="H93" s="403">
        <v>1</v>
      </c>
      <c r="J93" s="403">
        <v>1</v>
      </c>
      <c r="K93" s="403">
        <v>1</v>
      </c>
      <c r="L93" s="403">
        <v>1</v>
      </c>
      <c r="M93" s="403">
        <v>1</v>
      </c>
      <c r="N93" s="403">
        <v>1</v>
      </c>
      <c r="O93" s="403">
        <v>1</v>
      </c>
      <c r="P93" s="403">
        <v>1</v>
      </c>
    </row>
    <row r="94" spans="1:18" s="403" customFormat="1">
      <c r="A94" s="403" t="s">
        <v>551</v>
      </c>
      <c r="B94" s="403" t="s">
        <v>449</v>
      </c>
      <c r="C94" s="403">
        <v>1.74</v>
      </c>
      <c r="D94" s="403">
        <v>0.77</v>
      </c>
      <c r="E94" s="403">
        <v>0.77</v>
      </c>
      <c r="F94" s="403">
        <v>1.74</v>
      </c>
      <c r="G94" s="403">
        <v>1.74</v>
      </c>
      <c r="H94" s="403">
        <v>1.22</v>
      </c>
      <c r="J94" s="403">
        <v>1.74</v>
      </c>
      <c r="K94" s="403">
        <v>1.74</v>
      </c>
      <c r="L94" s="403">
        <v>1.74</v>
      </c>
      <c r="M94" s="403">
        <v>1.74</v>
      </c>
      <c r="N94" s="403">
        <v>1.74</v>
      </c>
      <c r="O94" s="403">
        <v>1.74</v>
      </c>
      <c r="P94" s="403">
        <v>1.74</v>
      </c>
      <c r="Q94" s="403">
        <v>1.74</v>
      </c>
    </row>
    <row r="95" spans="1:18" s="403" customFormat="1">
      <c r="A95" s="403" t="s">
        <v>9</v>
      </c>
      <c r="B95" s="403" t="s">
        <v>552</v>
      </c>
      <c r="C95" s="403">
        <v>2.2000000000000002</v>
      </c>
      <c r="D95" s="403">
        <v>1</v>
      </c>
      <c r="E95" s="403">
        <v>1</v>
      </c>
      <c r="F95" s="403">
        <v>1</v>
      </c>
      <c r="G95" s="403">
        <v>1</v>
      </c>
      <c r="H95" s="403">
        <v>1</v>
      </c>
      <c r="J95" s="403">
        <v>1</v>
      </c>
      <c r="K95" s="403">
        <v>1</v>
      </c>
      <c r="L95" s="403">
        <v>1</v>
      </c>
      <c r="M95" s="403">
        <v>1</v>
      </c>
      <c r="N95" s="403">
        <v>1</v>
      </c>
      <c r="O95" s="403">
        <v>1</v>
      </c>
      <c r="P95" s="403">
        <v>1</v>
      </c>
      <c r="Q95" s="403">
        <v>1</v>
      </c>
    </row>
    <row r="96" spans="1:18" s="403" customFormat="1">
      <c r="A96" s="403" t="s">
        <v>553</v>
      </c>
      <c r="B96" s="403" t="s">
        <v>458</v>
      </c>
      <c r="C96" s="403">
        <v>420.803</v>
      </c>
      <c r="D96" s="403">
        <v>185.131</v>
      </c>
      <c r="E96" s="403">
        <v>52.191000000000003</v>
      </c>
      <c r="F96" s="403">
        <v>420.803</v>
      </c>
      <c r="G96" s="403">
        <f>420.803+8.7</f>
        <v>429.50299999999999</v>
      </c>
      <c r="H96" s="403">
        <v>148.28299999999999</v>
      </c>
      <c r="J96" s="403">
        <v>384.76299999999998</v>
      </c>
      <c r="K96" s="403">
        <v>420.803</v>
      </c>
      <c r="L96" s="403">
        <v>420.803</v>
      </c>
      <c r="M96" s="403">
        <v>562.38300000000004</v>
      </c>
      <c r="N96" s="403">
        <v>420.803</v>
      </c>
      <c r="O96" s="403">
        <v>420.803</v>
      </c>
      <c r="P96" s="403">
        <v>117.863</v>
      </c>
      <c r="Q96" s="403">
        <v>420.803</v>
      </c>
      <c r="R96" s="403" t="s">
        <v>554</v>
      </c>
    </row>
    <row r="97" spans="1:22" s="403" customFormat="1"/>
    <row r="98" spans="1:22" s="403" customFormat="1"/>
    <row r="99" spans="1:22" s="403" customFormat="1"/>
    <row r="100" spans="1:22" s="403" customFormat="1">
      <c r="A100" s="405" t="s">
        <v>555</v>
      </c>
      <c r="N100" s="405" t="s">
        <v>556</v>
      </c>
      <c r="P100" s="405" t="s">
        <v>557</v>
      </c>
    </row>
    <row r="101" spans="1:22" s="403" customFormat="1">
      <c r="A101" s="403" t="s">
        <v>558</v>
      </c>
      <c r="O101" s="403">
        <f>4500/O108</f>
        <v>2.8019925280199254</v>
      </c>
    </row>
    <row r="102" spans="1:22" s="403" customFormat="1">
      <c r="Q102" s="403" t="s">
        <v>559</v>
      </c>
    </row>
    <row r="103" spans="1:22" s="403" customFormat="1">
      <c r="N103" s="403" t="s">
        <v>560</v>
      </c>
      <c r="S103" s="405" t="s">
        <v>561</v>
      </c>
    </row>
    <row r="104" spans="1:22" s="403" customFormat="1">
      <c r="N104" s="403" t="s">
        <v>562</v>
      </c>
    </row>
    <row r="105" spans="1:22" s="403" customFormat="1">
      <c r="A105" s="403" t="s">
        <v>563</v>
      </c>
      <c r="N105" s="403" t="s">
        <v>564</v>
      </c>
      <c r="S105" s="403" t="s">
        <v>565</v>
      </c>
    </row>
    <row r="106" spans="1:22" s="403" customFormat="1">
      <c r="A106" s="403" t="s">
        <v>566</v>
      </c>
      <c r="C106" s="403" t="s">
        <v>443</v>
      </c>
      <c r="D106" s="403" t="s">
        <v>495</v>
      </c>
      <c r="E106" s="403" t="s">
        <v>567</v>
      </c>
      <c r="S106" s="412">
        <v>0</v>
      </c>
      <c r="T106" s="405"/>
      <c r="U106" s="412">
        <v>1.28</v>
      </c>
      <c r="V106" s="412"/>
    </row>
    <row r="107" spans="1:22" s="403" customFormat="1">
      <c r="A107" s="403" t="s">
        <v>568</v>
      </c>
      <c r="C107" s="403">
        <v>869.8</v>
      </c>
      <c r="D107" s="403" t="s">
        <v>569</v>
      </c>
      <c r="E107" s="403" t="s">
        <v>568</v>
      </c>
      <c r="F107" s="403" t="s">
        <v>570</v>
      </c>
      <c r="N107" s="413" t="s">
        <v>571</v>
      </c>
      <c r="O107" s="413" t="s">
        <v>572</v>
      </c>
      <c r="P107" s="413" t="s">
        <v>573</v>
      </c>
      <c r="Q107" s="413" t="s">
        <v>574</v>
      </c>
      <c r="R107" s="413" t="s">
        <v>575</v>
      </c>
      <c r="S107" s="414"/>
      <c r="T107" s="414" t="s">
        <v>40</v>
      </c>
      <c r="U107" s="414"/>
      <c r="V107" s="414" t="s">
        <v>40</v>
      </c>
    </row>
    <row r="108" spans="1:22" s="403" customFormat="1">
      <c r="A108" s="403" t="s">
        <v>576</v>
      </c>
      <c r="C108" s="403">
        <v>200</v>
      </c>
      <c r="D108" s="403" t="s">
        <v>569</v>
      </c>
      <c r="E108" s="403" t="s">
        <v>577</v>
      </c>
      <c r="F108" s="403" t="s">
        <v>578</v>
      </c>
      <c r="N108" s="413" t="s">
        <v>579</v>
      </c>
      <c r="O108" s="415">
        <f>SUM(O109:O123)</f>
        <v>1606</v>
      </c>
      <c r="P108" s="415"/>
      <c r="Q108" s="415"/>
      <c r="R108" s="415"/>
      <c r="S108" s="403">
        <v>0.64741072</v>
      </c>
      <c r="T108" s="403">
        <v>0.12379047999999999</v>
      </c>
      <c r="U108" s="403">
        <v>0.28410139999999995</v>
      </c>
      <c r="V108" s="403">
        <v>5.4347040000000006E-2</v>
      </c>
    </row>
    <row r="109" spans="1:22" s="403" customFormat="1">
      <c r="A109" s="403" t="s">
        <v>580</v>
      </c>
      <c r="C109" s="403">
        <v>4500</v>
      </c>
      <c r="D109" s="403" t="s">
        <v>569</v>
      </c>
      <c r="E109" s="403" t="s">
        <v>581</v>
      </c>
      <c r="F109" s="403" t="s">
        <v>578</v>
      </c>
      <c r="N109" s="416" t="s">
        <v>582</v>
      </c>
      <c r="O109" s="417">
        <v>30</v>
      </c>
      <c r="P109" s="416" t="s">
        <v>568</v>
      </c>
      <c r="Q109" s="416" t="s">
        <v>583</v>
      </c>
      <c r="R109" s="415" t="s">
        <v>584</v>
      </c>
      <c r="S109" s="403">
        <v>1.2093600000000001E-2</v>
      </c>
      <c r="T109" s="403">
        <v>2.3124E-3</v>
      </c>
      <c r="U109" s="403">
        <v>5.3069999999999992E-3</v>
      </c>
      <c r="V109" s="403">
        <v>1.0152E-3</v>
      </c>
    </row>
    <row r="110" spans="1:22" s="403" customFormat="1">
      <c r="A110" s="403" t="s">
        <v>536</v>
      </c>
      <c r="C110" s="403">
        <v>585</v>
      </c>
      <c r="D110" s="403" t="s">
        <v>569</v>
      </c>
      <c r="E110" s="403" t="s">
        <v>585</v>
      </c>
      <c r="F110" s="403" t="s">
        <v>536</v>
      </c>
      <c r="N110" s="416" t="s">
        <v>586</v>
      </c>
      <c r="O110" s="417">
        <v>584</v>
      </c>
      <c r="P110" s="416" t="s">
        <v>587</v>
      </c>
      <c r="Q110" s="416" t="s">
        <v>588</v>
      </c>
      <c r="R110" s="415" t="s">
        <v>589</v>
      </c>
      <c r="S110" s="403">
        <v>0.23542208000000001</v>
      </c>
      <c r="T110" s="403">
        <v>4.5014720000000001E-2</v>
      </c>
      <c r="U110" s="403">
        <v>0.10330959999999999</v>
      </c>
      <c r="V110" s="403">
        <v>1.9762560000000002E-2</v>
      </c>
    </row>
    <row r="111" spans="1:22" s="403" customFormat="1">
      <c r="A111" s="403" t="s">
        <v>590</v>
      </c>
      <c r="C111" s="403">
        <v>27.2</v>
      </c>
      <c r="D111" s="403" t="s">
        <v>569</v>
      </c>
      <c r="E111" s="403" t="s">
        <v>591</v>
      </c>
      <c r="F111" s="403" t="s">
        <v>570</v>
      </c>
      <c r="N111" s="416" t="s">
        <v>592</v>
      </c>
      <c r="O111" s="417">
        <v>84</v>
      </c>
      <c r="P111" s="416" t="s">
        <v>568</v>
      </c>
      <c r="Q111" s="416" t="s">
        <v>583</v>
      </c>
      <c r="R111" s="415" t="s">
        <v>584</v>
      </c>
      <c r="S111" s="403">
        <v>3.3862080000000003E-2</v>
      </c>
      <c r="T111" s="403">
        <v>6.4747200000000006E-3</v>
      </c>
      <c r="U111" s="403">
        <v>1.4859599999999999E-2</v>
      </c>
      <c r="V111" s="403">
        <v>2.8425600000000005E-3</v>
      </c>
    </row>
    <row r="112" spans="1:22" s="403" customFormat="1">
      <c r="A112" s="403" t="s">
        <v>593</v>
      </c>
      <c r="C112" s="403">
        <v>0.1</v>
      </c>
      <c r="D112" s="403" t="s">
        <v>569</v>
      </c>
      <c r="E112" s="403" t="s">
        <v>594</v>
      </c>
      <c r="F112" s="403" t="s">
        <v>578</v>
      </c>
      <c r="N112" s="416" t="s">
        <v>595</v>
      </c>
      <c r="O112" s="417">
        <v>63</v>
      </c>
      <c r="P112" s="416" t="s">
        <v>568</v>
      </c>
      <c r="Q112" s="416" t="s">
        <v>583</v>
      </c>
      <c r="R112" s="415" t="s">
        <v>584</v>
      </c>
      <c r="S112" s="403">
        <v>2.5396560000000002E-2</v>
      </c>
      <c r="T112" s="403">
        <v>4.8560399999999998E-3</v>
      </c>
      <c r="U112" s="403">
        <v>1.1144699999999999E-2</v>
      </c>
      <c r="V112" s="403">
        <v>2.1319200000000003E-3</v>
      </c>
    </row>
    <row r="113" spans="1:22" s="403" customFormat="1">
      <c r="A113" s="403" t="s">
        <v>596</v>
      </c>
      <c r="C113" s="403">
        <v>146</v>
      </c>
      <c r="D113" s="403" t="s">
        <v>569</v>
      </c>
      <c r="E113" s="403" t="s">
        <v>597</v>
      </c>
      <c r="F113" s="403" t="s">
        <v>570</v>
      </c>
      <c r="N113" s="416" t="s">
        <v>598</v>
      </c>
      <c r="O113" s="417">
        <v>42</v>
      </c>
      <c r="P113" s="416" t="s">
        <v>568</v>
      </c>
      <c r="Q113" s="416" t="s">
        <v>583</v>
      </c>
      <c r="R113" s="415" t="s">
        <v>584</v>
      </c>
      <c r="S113" s="403">
        <v>1.6931040000000001E-2</v>
      </c>
      <c r="T113" s="403">
        <v>3.2373600000000003E-3</v>
      </c>
      <c r="U113" s="403">
        <v>7.4297999999999994E-3</v>
      </c>
      <c r="V113" s="403">
        <v>1.4212800000000002E-3</v>
      </c>
    </row>
    <row r="114" spans="1:22" s="403" customFormat="1">
      <c r="A114" s="403" t="s">
        <v>599</v>
      </c>
      <c r="C114" s="403">
        <v>95</v>
      </c>
      <c r="D114" s="403" t="s">
        <v>569</v>
      </c>
      <c r="E114" s="403" t="s">
        <v>600</v>
      </c>
      <c r="F114" s="403" t="s">
        <v>570</v>
      </c>
      <c r="N114" s="416" t="s">
        <v>601</v>
      </c>
      <c r="O114" s="417">
        <v>105</v>
      </c>
      <c r="P114" s="416" t="s">
        <v>568</v>
      </c>
      <c r="Q114" s="416" t="s">
        <v>583</v>
      </c>
      <c r="R114" s="415" t="s">
        <v>584</v>
      </c>
      <c r="S114" s="403">
        <v>4.23276E-2</v>
      </c>
      <c r="T114" s="403">
        <v>8.0933999999999989E-3</v>
      </c>
      <c r="U114" s="403">
        <v>1.8574499999999997E-2</v>
      </c>
      <c r="V114" s="403">
        <v>3.5532000000000003E-3</v>
      </c>
    </row>
    <row r="115" spans="1:22" s="403" customFormat="1">
      <c r="A115" s="403" t="s">
        <v>602</v>
      </c>
      <c r="C115" s="403">
        <v>97.67</v>
      </c>
      <c r="D115" s="403" t="s">
        <v>569</v>
      </c>
      <c r="E115" s="403" t="s">
        <v>603</v>
      </c>
      <c r="F115" s="403" t="s">
        <v>578</v>
      </c>
      <c r="N115" s="416" t="s">
        <v>604</v>
      </c>
      <c r="O115" s="417">
        <v>105</v>
      </c>
      <c r="P115" s="416" t="s">
        <v>568</v>
      </c>
      <c r="Q115" s="416" t="s">
        <v>583</v>
      </c>
      <c r="R115" s="415" t="s">
        <v>584</v>
      </c>
      <c r="S115" s="403">
        <v>4.23276E-2</v>
      </c>
      <c r="T115" s="403">
        <v>8.0933999999999989E-3</v>
      </c>
      <c r="U115" s="403">
        <v>1.8574499999999997E-2</v>
      </c>
      <c r="V115" s="403">
        <v>3.5532000000000003E-3</v>
      </c>
    </row>
    <row r="116" spans="1:22" s="403" customFormat="1">
      <c r="A116" s="403" t="s">
        <v>605</v>
      </c>
      <c r="C116" s="403">
        <v>30</v>
      </c>
      <c r="D116" s="403" t="s">
        <v>569</v>
      </c>
      <c r="E116" s="403" t="s">
        <v>606</v>
      </c>
      <c r="F116" s="403" t="s">
        <v>570</v>
      </c>
      <c r="N116" s="416" t="s">
        <v>607</v>
      </c>
      <c r="O116" s="417">
        <v>146</v>
      </c>
      <c r="P116" s="416" t="s">
        <v>596</v>
      </c>
      <c r="Q116" s="415" t="s">
        <v>559</v>
      </c>
      <c r="R116" s="415" t="s">
        <v>584</v>
      </c>
      <c r="S116" s="403">
        <v>5.8855520000000001E-2</v>
      </c>
      <c r="T116" s="403">
        <v>1.125368E-2</v>
      </c>
      <c r="U116" s="403">
        <v>2.5827399999999997E-2</v>
      </c>
      <c r="V116" s="403">
        <v>4.9406400000000005E-3</v>
      </c>
    </row>
    <row r="117" spans="1:22" s="403" customFormat="1">
      <c r="A117" s="403" t="s">
        <v>608</v>
      </c>
      <c r="C117" s="403">
        <v>400</v>
      </c>
      <c r="D117" s="403" t="s">
        <v>569</v>
      </c>
      <c r="E117" s="403" t="s">
        <v>609</v>
      </c>
      <c r="F117" s="403" t="s">
        <v>578</v>
      </c>
      <c r="N117" s="416" t="s">
        <v>610</v>
      </c>
      <c r="O117" s="417">
        <v>30</v>
      </c>
      <c r="P117" s="416" t="s">
        <v>611</v>
      </c>
      <c r="Q117" s="415" t="s">
        <v>559</v>
      </c>
      <c r="R117" s="415" t="s">
        <v>584</v>
      </c>
      <c r="S117" s="403">
        <v>1.2093600000000001E-2</v>
      </c>
      <c r="T117" s="403">
        <v>2.3124E-3</v>
      </c>
      <c r="U117" s="403">
        <v>5.3069999999999992E-3</v>
      </c>
      <c r="V117" s="403">
        <v>1.0152E-3</v>
      </c>
    </row>
    <row r="118" spans="1:22" s="403" customFormat="1">
      <c r="A118" s="403" t="s">
        <v>612</v>
      </c>
      <c r="C118" s="403">
        <v>3700</v>
      </c>
      <c r="D118" s="403" t="s">
        <v>569</v>
      </c>
      <c r="E118" s="403" t="s">
        <v>613</v>
      </c>
      <c r="F118" s="403" t="s">
        <v>578</v>
      </c>
      <c r="N118" s="416" t="s">
        <v>614</v>
      </c>
      <c r="O118" s="417">
        <v>66</v>
      </c>
      <c r="P118" s="416" t="s">
        <v>568</v>
      </c>
      <c r="Q118" s="416" t="s">
        <v>583</v>
      </c>
      <c r="R118" s="415" t="s">
        <v>584</v>
      </c>
      <c r="S118" s="403">
        <v>2.6605920000000002E-2</v>
      </c>
      <c r="T118" s="403">
        <v>5.0872799999999996E-3</v>
      </c>
      <c r="U118" s="403">
        <v>1.1675399999999997E-2</v>
      </c>
      <c r="V118" s="403">
        <v>2.2334400000000002E-3</v>
      </c>
    </row>
    <row r="119" spans="1:22" s="403" customFormat="1">
      <c r="A119" s="403" t="s">
        <v>615</v>
      </c>
      <c r="C119" s="403">
        <v>6400</v>
      </c>
      <c r="D119" s="403" t="s">
        <v>569</v>
      </c>
      <c r="E119" s="403" t="s">
        <v>616</v>
      </c>
      <c r="F119" s="403" t="s">
        <v>578</v>
      </c>
      <c r="N119" s="416" t="s">
        <v>617</v>
      </c>
      <c r="O119" s="417">
        <v>42</v>
      </c>
      <c r="P119" s="416" t="s">
        <v>568</v>
      </c>
      <c r="Q119" s="416" t="s">
        <v>583</v>
      </c>
      <c r="R119" s="415" t="s">
        <v>584</v>
      </c>
      <c r="S119" s="403">
        <v>1.6931040000000001E-2</v>
      </c>
      <c r="T119" s="403">
        <v>3.2373600000000003E-3</v>
      </c>
      <c r="U119" s="403">
        <v>7.4297999999999994E-3</v>
      </c>
      <c r="V119" s="403">
        <v>1.4212800000000002E-3</v>
      </c>
    </row>
    <row r="120" spans="1:22" s="403" customFormat="1">
      <c r="A120" s="403" t="s">
        <v>618</v>
      </c>
      <c r="C120" s="403">
        <v>109</v>
      </c>
      <c r="D120" s="403" t="s">
        <v>569</v>
      </c>
      <c r="E120" s="403" t="s">
        <v>619</v>
      </c>
      <c r="F120" s="403" t="s">
        <v>578</v>
      </c>
      <c r="N120" s="416" t="s">
        <v>600</v>
      </c>
      <c r="O120" s="417">
        <v>95</v>
      </c>
      <c r="P120" s="416" t="s">
        <v>600</v>
      </c>
      <c r="Q120" s="415" t="s">
        <v>559</v>
      </c>
      <c r="R120" s="415" t="s">
        <v>584</v>
      </c>
      <c r="S120" s="403">
        <v>3.8296400000000001E-2</v>
      </c>
      <c r="T120" s="403">
        <v>7.3225999999999994E-3</v>
      </c>
      <c r="U120" s="403">
        <v>1.6805499999999998E-2</v>
      </c>
      <c r="V120" s="403">
        <v>3.2148000000000003E-3</v>
      </c>
    </row>
    <row r="121" spans="1:22" s="403" customFormat="1">
      <c r="N121" s="416" t="s">
        <v>620</v>
      </c>
      <c r="O121" s="417">
        <v>16</v>
      </c>
      <c r="P121" s="416" t="s">
        <v>568</v>
      </c>
      <c r="Q121" s="416" t="s">
        <v>583</v>
      </c>
      <c r="R121" s="415" t="s">
        <v>584</v>
      </c>
      <c r="S121" s="403">
        <v>6.4499200000000005E-3</v>
      </c>
      <c r="T121" s="403">
        <v>1.23328E-3</v>
      </c>
      <c r="U121" s="403">
        <v>2.8303999999999998E-3</v>
      </c>
      <c r="V121" s="403">
        <v>5.4144000000000002E-4</v>
      </c>
    </row>
    <row r="122" spans="1:22" s="403" customFormat="1">
      <c r="N122" s="416" t="s">
        <v>621</v>
      </c>
      <c r="O122" s="417">
        <v>104</v>
      </c>
      <c r="P122" s="416" t="s">
        <v>568</v>
      </c>
      <c r="Q122" s="416" t="s">
        <v>583</v>
      </c>
      <c r="R122" s="415" t="s">
        <v>584</v>
      </c>
      <c r="S122" s="403">
        <v>4.192448E-2</v>
      </c>
      <c r="T122" s="403">
        <v>8.0163200000000004E-3</v>
      </c>
      <c r="U122" s="403">
        <v>1.83976E-2</v>
      </c>
      <c r="V122" s="403">
        <v>3.5193600000000005E-3</v>
      </c>
    </row>
    <row r="123" spans="1:22" s="403" customFormat="1">
      <c r="A123" s="403" t="s">
        <v>622</v>
      </c>
      <c r="N123" s="416" t="s">
        <v>623</v>
      </c>
      <c r="O123" s="417">
        <v>94</v>
      </c>
      <c r="P123" s="416" t="s">
        <v>568</v>
      </c>
      <c r="Q123" s="416" t="s">
        <v>583</v>
      </c>
      <c r="R123" s="415" t="s">
        <v>584</v>
      </c>
      <c r="S123" s="403">
        <v>3.7893280000000001E-2</v>
      </c>
      <c r="T123" s="403">
        <v>7.2455199999999992E-3</v>
      </c>
      <c r="U123" s="403">
        <v>1.6628599999999997E-2</v>
      </c>
      <c r="V123" s="403">
        <v>3.1809600000000005E-3</v>
      </c>
    </row>
    <row r="124" spans="1:22" s="403" customFormat="1">
      <c r="A124" s="403" t="s">
        <v>566</v>
      </c>
      <c r="C124" s="403" t="s">
        <v>443</v>
      </c>
      <c r="D124" s="403" t="s">
        <v>495</v>
      </c>
      <c r="E124" s="403" t="s">
        <v>567</v>
      </c>
      <c r="N124" s="413" t="s">
        <v>624</v>
      </c>
      <c r="O124" s="415"/>
      <c r="P124" s="415"/>
      <c r="Q124" s="415"/>
      <c r="R124" s="415"/>
      <c r="S124" s="403">
        <v>0</v>
      </c>
      <c r="T124" s="403">
        <v>0</v>
      </c>
      <c r="U124" s="403">
        <v>0</v>
      </c>
      <c r="V124" s="403">
        <v>0</v>
      </c>
    </row>
    <row r="125" spans="1:22" s="403" customFormat="1">
      <c r="A125" s="403" t="s">
        <v>568</v>
      </c>
      <c r="C125" s="403">
        <v>869.8</v>
      </c>
      <c r="D125" s="403" t="s">
        <v>569</v>
      </c>
      <c r="E125" s="403" t="s">
        <v>625</v>
      </c>
      <c r="F125" s="403" t="s">
        <v>570</v>
      </c>
      <c r="N125" s="416" t="s">
        <v>626</v>
      </c>
      <c r="O125" s="417">
        <v>4</v>
      </c>
      <c r="P125" s="416" t="s">
        <v>590</v>
      </c>
      <c r="Q125" s="416" t="s">
        <v>627</v>
      </c>
      <c r="R125" s="415" t="s">
        <v>584</v>
      </c>
      <c r="S125" s="403">
        <v>1.6124800000000001E-3</v>
      </c>
      <c r="T125" s="403">
        <v>3.0832E-4</v>
      </c>
      <c r="U125" s="403">
        <v>7.0759999999999996E-4</v>
      </c>
      <c r="V125" s="403">
        <v>1.3536000000000001E-4</v>
      </c>
    </row>
    <row r="126" spans="1:22" s="403" customFormat="1">
      <c r="A126" s="403" t="s">
        <v>576</v>
      </c>
      <c r="C126" s="403">
        <v>200</v>
      </c>
      <c r="D126" s="403" t="s">
        <v>569</v>
      </c>
      <c r="E126" s="403" t="s">
        <v>577</v>
      </c>
      <c r="F126" s="403" t="s">
        <v>578</v>
      </c>
      <c r="N126" s="416" t="s">
        <v>628</v>
      </c>
      <c r="O126" s="417">
        <v>4</v>
      </c>
      <c r="P126" s="416" t="s">
        <v>590</v>
      </c>
      <c r="Q126" s="416" t="s">
        <v>627</v>
      </c>
      <c r="R126" s="415" t="s">
        <v>584</v>
      </c>
      <c r="S126" s="403">
        <v>1.6124800000000001E-3</v>
      </c>
      <c r="T126" s="403">
        <v>3.0832E-4</v>
      </c>
      <c r="U126" s="403">
        <v>7.0759999999999996E-4</v>
      </c>
      <c r="V126" s="403">
        <v>1.3536000000000001E-4</v>
      </c>
    </row>
    <row r="127" spans="1:22" s="403" customFormat="1">
      <c r="A127" s="403" t="s">
        <v>580</v>
      </c>
      <c r="C127" s="403">
        <v>4500</v>
      </c>
      <c r="D127" s="403" t="s">
        <v>569</v>
      </c>
      <c r="E127" s="403" t="s">
        <v>581</v>
      </c>
      <c r="F127" s="403" t="s">
        <v>578</v>
      </c>
      <c r="N127" s="416" t="s">
        <v>629</v>
      </c>
      <c r="O127" s="417">
        <v>4</v>
      </c>
      <c r="P127" s="416" t="s">
        <v>568</v>
      </c>
      <c r="Q127" s="416" t="s">
        <v>583</v>
      </c>
      <c r="R127" s="415" t="s">
        <v>584</v>
      </c>
      <c r="S127" s="403">
        <v>1.6124800000000001E-3</v>
      </c>
      <c r="T127" s="403">
        <v>3.0832E-4</v>
      </c>
      <c r="U127" s="403">
        <v>7.0759999999999996E-4</v>
      </c>
      <c r="V127" s="403">
        <v>1.3536000000000001E-4</v>
      </c>
    </row>
    <row r="128" spans="1:22" s="403" customFormat="1">
      <c r="A128" s="403" t="s">
        <v>536</v>
      </c>
      <c r="C128" s="403">
        <v>585</v>
      </c>
      <c r="D128" s="403" t="s">
        <v>569</v>
      </c>
      <c r="E128" s="403" t="s">
        <v>630</v>
      </c>
      <c r="F128" s="403" t="s">
        <v>536</v>
      </c>
      <c r="N128" s="416" t="s">
        <v>631</v>
      </c>
      <c r="O128" s="417">
        <v>4</v>
      </c>
      <c r="P128" s="416" t="s">
        <v>590</v>
      </c>
      <c r="Q128" s="416" t="s">
        <v>627</v>
      </c>
      <c r="R128" s="415" t="s">
        <v>584</v>
      </c>
      <c r="S128" s="403">
        <v>1.6124800000000001E-3</v>
      </c>
      <c r="T128" s="403">
        <v>3.0832E-4</v>
      </c>
      <c r="U128" s="403">
        <v>7.0759999999999996E-4</v>
      </c>
      <c r="V128" s="403">
        <v>1.3536000000000001E-4</v>
      </c>
    </row>
    <row r="129" spans="1:22" s="403" customFormat="1">
      <c r="A129" s="403" t="s">
        <v>590</v>
      </c>
      <c r="C129" s="403">
        <v>27.2</v>
      </c>
      <c r="D129" s="403" t="s">
        <v>569</v>
      </c>
      <c r="E129" s="403" t="s">
        <v>632</v>
      </c>
      <c r="F129" s="403" t="s">
        <v>570</v>
      </c>
      <c r="N129" s="416" t="s">
        <v>633</v>
      </c>
      <c r="O129" s="417">
        <v>4</v>
      </c>
      <c r="P129" s="416" t="str">
        <f>P128</f>
        <v>Hydrolysis product</v>
      </c>
      <c r="Q129" s="416" t="s">
        <v>627</v>
      </c>
      <c r="R129" s="415" t="s">
        <v>584</v>
      </c>
      <c r="S129" s="403">
        <v>1.6124800000000001E-3</v>
      </c>
      <c r="T129" s="403">
        <v>3.0832E-4</v>
      </c>
      <c r="U129" s="403">
        <v>7.0759999999999996E-4</v>
      </c>
      <c r="V129" s="403">
        <v>1.3536000000000001E-4</v>
      </c>
    </row>
    <row r="130" spans="1:22" s="403" customFormat="1">
      <c r="A130" s="403" t="s">
        <v>593</v>
      </c>
      <c r="C130" s="403">
        <v>0.1</v>
      </c>
      <c r="D130" s="403" t="s">
        <v>569</v>
      </c>
      <c r="E130" s="403" t="s">
        <v>594</v>
      </c>
      <c r="F130" s="403" t="s">
        <v>578</v>
      </c>
      <c r="N130" s="416" t="s">
        <v>634</v>
      </c>
      <c r="O130" s="417">
        <v>0.4</v>
      </c>
      <c r="P130" s="416" t="s">
        <v>568</v>
      </c>
      <c r="Q130" s="416" t="s">
        <v>583</v>
      </c>
      <c r="R130" s="415" t="s">
        <v>584</v>
      </c>
      <c r="S130" s="403">
        <v>1.6124800000000001E-4</v>
      </c>
      <c r="T130" s="403">
        <v>3.0831999999999999E-5</v>
      </c>
      <c r="U130" s="403">
        <v>7.0759999999999993E-5</v>
      </c>
      <c r="V130" s="403">
        <v>1.3536000000000002E-5</v>
      </c>
    </row>
    <row r="131" spans="1:22" s="403" customFormat="1">
      <c r="A131" s="403" t="s">
        <v>596</v>
      </c>
      <c r="C131" s="403">
        <v>146</v>
      </c>
      <c r="D131" s="403" t="s">
        <v>569</v>
      </c>
      <c r="E131" s="403" t="s">
        <v>635</v>
      </c>
      <c r="F131" s="403" t="s">
        <v>570</v>
      </c>
      <c r="N131" s="416" t="s">
        <v>636</v>
      </c>
      <c r="O131" s="417">
        <v>4</v>
      </c>
      <c r="P131" s="416" t="s">
        <v>590</v>
      </c>
      <c r="Q131" s="416" t="s">
        <v>627</v>
      </c>
      <c r="R131" s="415" t="s">
        <v>584</v>
      </c>
      <c r="S131" s="403">
        <v>1.6124800000000001E-3</v>
      </c>
      <c r="T131" s="403">
        <v>3.0832E-4</v>
      </c>
      <c r="U131" s="403">
        <v>7.0759999999999996E-4</v>
      </c>
      <c r="V131" s="403">
        <v>1.3536000000000001E-4</v>
      </c>
    </row>
    <row r="132" spans="1:22" s="403" customFormat="1">
      <c r="A132" s="403" t="s">
        <v>599</v>
      </c>
      <c r="C132" s="403">
        <v>95</v>
      </c>
      <c r="D132" s="403" t="s">
        <v>569</v>
      </c>
      <c r="E132" s="403" t="s">
        <v>637</v>
      </c>
      <c r="F132" s="403" t="s">
        <v>570</v>
      </c>
      <c r="N132" s="416" t="s">
        <v>638</v>
      </c>
      <c r="O132" s="417">
        <v>7.2</v>
      </c>
      <c r="P132" s="416" t="s">
        <v>590</v>
      </c>
      <c r="Q132" s="416" t="s">
        <v>627</v>
      </c>
      <c r="R132" s="415" t="s">
        <v>584</v>
      </c>
      <c r="S132" s="403">
        <v>2.902464E-3</v>
      </c>
      <c r="T132" s="403">
        <v>5.5497599999999999E-4</v>
      </c>
      <c r="U132" s="403">
        <v>1.2736799999999999E-3</v>
      </c>
      <c r="V132" s="403">
        <v>2.4364800000000004E-4</v>
      </c>
    </row>
    <row r="133" spans="1:22" s="403" customFormat="1">
      <c r="A133" s="403" t="s">
        <v>602</v>
      </c>
      <c r="C133" s="403">
        <v>97.67</v>
      </c>
      <c r="D133" s="403" t="s">
        <v>569</v>
      </c>
      <c r="E133" s="403" t="s">
        <v>603</v>
      </c>
      <c r="F133" s="403" t="s">
        <v>578</v>
      </c>
      <c r="N133" s="413" t="s">
        <v>639</v>
      </c>
      <c r="O133" s="415"/>
      <c r="P133" s="415"/>
      <c r="Q133" s="415"/>
      <c r="R133" s="415"/>
      <c r="S133" s="403">
        <v>0</v>
      </c>
      <c r="T133" s="403">
        <v>0</v>
      </c>
      <c r="U133" s="403">
        <v>0</v>
      </c>
      <c r="V133" s="403">
        <v>0</v>
      </c>
    </row>
    <row r="134" spans="1:22" s="403" customFormat="1">
      <c r="A134" s="403" t="s">
        <v>605</v>
      </c>
      <c r="C134" s="403">
        <v>30</v>
      </c>
      <c r="D134" s="403" t="s">
        <v>569</v>
      </c>
      <c r="E134" s="403" t="s">
        <v>606</v>
      </c>
      <c r="F134" s="403" t="s">
        <v>570</v>
      </c>
      <c r="N134" s="416" t="s">
        <v>640</v>
      </c>
      <c r="O134" s="417">
        <v>200</v>
      </c>
      <c r="P134" s="415" t="s">
        <v>577</v>
      </c>
      <c r="Q134" s="416" t="s">
        <v>578</v>
      </c>
      <c r="R134" s="415"/>
      <c r="S134" s="403">
        <v>8.0624000000000001E-2</v>
      </c>
      <c r="T134" s="403">
        <v>1.5415999999999999E-2</v>
      </c>
      <c r="U134" s="403">
        <v>3.5379999999999995E-2</v>
      </c>
      <c r="V134" s="403">
        <v>6.7680000000000006E-3</v>
      </c>
    </row>
    <row r="135" spans="1:22" s="403" customFormat="1">
      <c r="A135" s="403" t="s">
        <v>608</v>
      </c>
      <c r="C135" s="403">
        <v>400</v>
      </c>
      <c r="D135" s="403" t="s">
        <v>569</v>
      </c>
      <c r="E135" s="403" t="s">
        <v>609</v>
      </c>
      <c r="F135" s="403" t="s">
        <v>578</v>
      </c>
      <c r="N135" s="416" t="s">
        <v>641</v>
      </c>
      <c r="O135" s="417">
        <v>0.1</v>
      </c>
      <c r="P135" s="415" t="s">
        <v>594</v>
      </c>
      <c r="Q135" s="416" t="s">
        <v>578</v>
      </c>
      <c r="R135" s="415"/>
      <c r="S135" s="403">
        <v>4.0312000000000003E-5</v>
      </c>
      <c r="T135" s="403">
        <v>7.7079999999999997E-6</v>
      </c>
      <c r="U135" s="403">
        <v>1.7689999999999998E-5</v>
      </c>
      <c r="V135" s="403">
        <v>3.3840000000000005E-6</v>
      </c>
    </row>
    <row r="136" spans="1:22" s="403" customFormat="1">
      <c r="A136" s="403" t="s">
        <v>612</v>
      </c>
      <c r="C136" s="403">
        <v>3700</v>
      </c>
      <c r="D136" s="403" t="s">
        <v>569</v>
      </c>
      <c r="E136" s="403" t="s">
        <v>613</v>
      </c>
      <c r="F136" s="403" t="s">
        <v>578</v>
      </c>
      <c r="N136" s="416" t="s">
        <v>642</v>
      </c>
      <c r="O136" s="417">
        <v>97.67</v>
      </c>
      <c r="P136" s="415" t="s">
        <v>603</v>
      </c>
      <c r="Q136" s="416" t="s">
        <v>578</v>
      </c>
      <c r="R136" s="415"/>
      <c r="S136" s="403">
        <v>3.93727304E-2</v>
      </c>
      <c r="T136" s="403">
        <v>7.5284035999999997E-3</v>
      </c>
      <c r="U136" s="403">
        <v>1.7277822999999998E-2</v>
      </c>
      <c r="V136" s="403">
        <v>3.3051528000000003E-3</v>
      </c>
    </row>
    <row r="137" spans="1:22" s="403" customFormat="1">
      <c r="A137" s="403" t="s">
        <v>618</v>
      </c>
      <c r="C137" s="403">
        <v>109</v>
      </c>
      <c r="D137" s="403" t="s">
        <v>569</v>
      </c>
      <c r="E137" s="403" t="s">
        <v>619</v>
      </c>
      <c r="F137" s="403" t="s">
        <v>578</v>
      </c>
      <c r="N137" s="416" t="s">
        <v>643</v>
      </c>
      <c r="O137" s="417">
        <v>400</v>
      </c>
      <c r="P137" s="415" t="s">
        <v>609</v>
      </c>
      <c r="Q137" s="416" t="s">
        <v>578</v>
      </c>
      <c r="R137" s="415"/>
      <c r="S137" s="403">
        <v>0.161248</v>
      </c>
      <c r="T137" s="403">
        <v>3.0831999999999998E-2</v>
      </c>
      <c r="U137" s="403">
        <v>7.075999999999999E-2</v>
      </c>
      <c r="V137" s="403">
        <v>1.3536000000000001E-2</v>
      </c>
    </row>
    <row r="138" spans="1:22" s="403" customFormat="1">
      <c r="A138" s="403" t="s">
        <v>615</v>
      </c>
      <c r="C138" s="403">
        <v>6400</v>
      </c>
      <c r="D138" s="403" t="s">
        <v>569</v>
      </c>
      <c r="E138" s="403" t="s">
        <v>616</v>
      </c>
      <c r="F138" s="403" t="s">
        <v>578</v>
      </c>
      <c r="N138" s="416" t="s">
        <v>644</v>
      </c>
      <c r="O138" s="417">
        <v>3700</v>
      </c>
      <c r="P138" s="415" t="s">
        <v>613</v>
      </c>
      <c r="Q138" s="416" t="s">
        <v>578</v>
      </c>
      <c r="R138" s="415"/>
      <c r="S138" s="403">
        <v>1.491544</v>
      </c>
      <c r="T138" s="403">
        <v>0.28519600000000001</v>
      </c>
      <c r="U138" s="403">
        <v>0.65452999999999983</v>
      </c>
      <c r="V138" s="403">
        <v>0.12520800000000001</v>
      </c>
    </row>
    <row r="139" spans="1:22" s="403" customFormat="1">
      <c r="N139" s="416" t="s">
        <v>645</v>
      </c>
      <c r="O139" s="417">
        <v>6400</v>
      </c>
      <c r="P139" s="415" t="s">
        <v>616</v>
      </c>
      <c r="Q139" s="416" t="s">
        <v>578</v>
      </c>
      <c r="R139" s="415"/>
      <c r="S139" s="403">
        <v>2.579968</v>
      </c>
      <c r="T139" s="403">
        <v>0.49331199999999997</v>
      </c>
      <c r="U139" s="403">
        <v>1.1321599999999998</v>
      </c>
      <c r="V139" s="403">
        <v>0.21657600000000002</v>
      </c>
    </row>
    <row r="140" spans="1:22" s="403" customFormat="1">
      <c r="A140" s="403" t="s">
        <v>646</v>
      </c>
      <c r="N140" s="416" t="s">
        <v>647</v>
      </c>
      <c r="O140" s="417">
        <v>109</v>
      </c>
      <c r="P140" s="415" t="s">
        <v>619</v>
      </c>
      <c r="Q140" s="416" t="s">
        <v>578</v>
      </c>
      <c r="R140" s="415"/>
      <c r="S140" s="403">
        <v>4.3940079999999999E-2</v>
      </c>
      <c r="T140" s="403">
        <v>8.4017199999999997E-3</v>
      </c>
      <c r="U140" s="403">
        <v>1.92821E-2</v>
      </c>
      <c r="V140" s="403">
        <v>3.6885600000000004E-3</v>
      </c>
    </row>
    <row r="141" spans="1:22" s="403" customFormat="1">
      <c r="A141" s="403" t="s">
        <v>566</v>
      </c>
      <c r="C141" s="403" t="s">
        <v>443</v>
      </c>
      <c r="D141" s="403" t="s">
        <v>495</v>
      </c>
      <c r="E141" s="403" t="s">
        <v>567</v>
      </c>
      <c r="N141" s="413" t="s">
        <v>648</v>
      </c>
      <c r="O141" s="415"/>
      <c r="P141" s="415"/>
      <c r="Q141" s="415"/>
      <c r="R141" s="415"/>
      <c r="S141" s="403">
        <v>0</v>
      </c>
      <c r="T141" s="403">
        <v>0</v>
      </c>
      <c r="U141" s="403">
        <v>0</v>
      </c>
      <c r="V141" s="403">
        <v>0</v>
      </c>
    </row>
    <row r="142" spans="1:22" s="403" customFormat="1">
      <c r="A142" s="403" t="s">
        <v>568</v>
      </c>
      <c r="C142" s="403">
        <v>869.8</v>
      </c>
      <c r="D142" s="403" t="s">
        <v>569</v>
      </c>
      <c r="E142" s="403" t="s">
        <v>649</v>
      </c>
      <c r="F142" s="403" t="s">
        <v>570</v>
      </c>
      <c r="N142" s="416" t="s">
        <v>650</v>
      </c>
      <c r="O142" s="417">
        <v>4500</v>
      </c>
      <c r="P142" s="415" t="s">
        <v>581</v>
      </c>
      <c r="Q142" s="416" t="s">
        <v>578</v>
      </c>
      <c r="R142" s="415"/>
      <c r="S142" s="403">
        <v>1.8140400000000001</v>
      </c>
      <c r="T142" s="403">
        <v>0.34686</v>
      </c>
      <c r="U142" s="403">
        <v>0.79604999999999992</v>
      </c>
      <c r="V142" s="403">
        <v>0.15228000000000003</v>
      </c>
    </row>
    <row r="143" spans="1:22" s="403" customFormat="1">
      <c r="A143" s="403" t="s">
        <v>576</v>
      </c>
      <c r="C143" s="403">
        <v>200</v>
      </c>
      <c r="D143" s="403" t="s">
        <v>569</v>
      </c>
      <c r="E143" s="403" t="s">
        <v>577</v>
      </c>
      <c r="F143" s="403" t="s">
        <v>578</v>
      </c>
      <c r="N143" s="416" t="s">
        <v>651</v>
      </c>
      <c r="O143" s="417">
        <v>15.9</v>
      </c>
      <c r="P143" s="415"/>
      <c r="Q143" s="416"/>
      <c r="R143" s="416" t="s">
        <v>652</v>
      </c>
      <c r="S143" s="403">
        <v>6.4096079999999998E-3</v>
      </c>
      <c r="T143" s="403">
        <v>1.2255719999999999E-3</v>
      </c>
      <c r="U143" s="403">
        <v>2.8127099999999995E-3</v>
      </c>
      <c r="V143" s="403">
        <v>5.3805600000000008E-4</v>
      </c>
    </row>
    <row r="144" spans="1:22" s="403" customFormat="1">
      <c r="A144" s="403" t="s">
        <v>580</v>
      </c>
      <c r="C144" s="403">
        <v>4500</v>
      </c>
      <c r="D144" s="403" t="s">
        <v>569</v>
      </c>
      <c r="E144" s="403" t="s">
        <v>581</v>
      </c>
      <c r="F144" s="403" t="s">
        <v>578</v>
      </c>
      <c r="N144" s="416" t="s">
        <v>653</v>
      </c>
      <c r="O144" s="417">
        <v>110</v>
      </c>
      <c r="P144" s="416" t="s">
        <v>568</v>
      </c>
      <c r="Q144" s="416" t="s">
        <v>583</v>
      </c>
      <c r="R144" s="416" t="s">
        <v>654</v>
      </c>
      <c r="S144" s="403">
        <v>4.4343199999999999E-2</v>
      </c>
      <c r="T144" s="403">
        <v>8.4787999999999999E-3</v>
      </c>
      <c r="U144" s="403">
        <v>1.9458999999999997E-2</v>
      </c>
      <c r="V144" s="403">
        <v>3.7224000000000007E-3</v>
      </c>
    </row>
    <row r="145" spans="1:22" s="403" customFormat="1">
      <c r="A145" s="403" t="s">
        <v>536</v>
      </c>
      <c r="C145" s="403">
        <v>585</v>
      </c>
      <c r="D145" s="403" t="s">
        <v>569</v>
      </c>
      <c r="E145" s="403" t="s">
        <v>655</v>
      </c>
      <c r="F145" s="403" t="s">
        <v>536</v>
      </c>
      <c r="N145" s="416" t="s">
        <v>656</v>
      </c>
      <c r="O145" s="417">
        <v>1</v>
      </c>
      <c r="P145" s="416"/>
      <c r="Q145" s="416"/>
      <c r="R145" s="415"/>
      <c r="S145" s="403">
        <v>4.0312000000000003E-4</v>
      </c>
      <c r="T145" s="403">
        <v>7.7080000000000001E-5</v>
      </c>
      <c r="U145" s="403">
        <v>1.7689999999999999E-4</v>
      </c>
      <c r="V145" s="403">
        <v>3.3840000000000001E-5</v>
      </c>
    </row>
    <row r="146" spans="1:22" s="403" customFormat="1">
      <c r="A146" s="403" t="s">
        <v>590</v>
      </c>
      <c r="C146" s="403">
        <v>27.2</v>
      </c>
      <c r="D146" s="403" t="s">
        <v>569</v>
      </c>
      <c r="E146" s="403" t="s">
        <v>657</v>
      </c>
      <c r="F146" s="403" t="s">
        <v>570</v>
      </c>
      <c r="N146" s="416" t="s">
        <v>658</v>
      </c>
      <c r="O146" s="415">
        <f>SUM(O109:O144)</f>
        <v>17170.27</v>
      </c>
      <c r="P146" s="415"/>
      <c r="Q146" s="415"/>
      <c r="R146" s="415"/>
      <c r="S146" s="403">
        <v>6.9216792423999998</v>
      </c>
      <c r="T146" s="403">
        <v>1.3234844116</v>
      </c>
      <c r="U146" s="403">
        <v>3.0374207629999996</v>
      </c>
      <c r="V146" s="403">
        <v>0.58104193680000005</v>
      </c>
    </row>
    <row r="147" spans="1:22" s="403" customFormat="1">
      <c r="A147" s="403" t="s">
        <v>593</v>
      </c>
      <c r="C147" s="403">
        <v>0.1</v>
      </c>
      <c r="D147" s="403" t="s">
        <v>569</v>
      </c>
      <c r="E147" s="403" t="s">
        <v>594</v>
      </c>
      <c r="F147" s="403" t="s">
        <v>578</v>
      </c>
      <c r="N147" s="416" t="s">
        <v>659</v>
      </c>
      <c r="O147" s="415">
        <f>O146/10^6*100</f>
        <v>1.7170270000000001</v>
      </c>
      <c r="P147" s="415"/>
      <c r="Q147" s="415"/>
      <c r="R147" s="415"/>
      <c r="S147" s="403">
        <v>6.9216792424000001E-4</v>
      </c>
      <c r="T147" s="403">
        <v>1.3234844115999998E-4</v>
      </c>
      <c r="U147" s="403">
        <v>3.0374207629999998E-4</v>
      </c>
      <c r="V147" s="403">
        <v>5.8104193680000008E-5</v>
      </c>
    </row>
    <row r="148" spans="1:22" s="403" customFormat="1">
      <c r="A148" s="403" t="s">
        <v>596</v>
      </c>
      <c r="C148" s="403">
        <v>146</v>
      </c>
      <c r="D148" s="403" t="s">
        <v>569</v>
      </c>
      <c r="E148" s="403" t="s">
        <v>660</v>
      </c>
      <c r="F148" s="403" t="s">
        <v>570</v>
      </c>
      <c r="N148" s="416" t="s">
        <v>449</v>
      </c>
      <c r="O148" s="415">
        <f>O146/10^6</f>
        <v>1.7170270000000001E-2</v>
      </c>
      <c r="P148" s="415"/>
      <c r="Q148" s="415"/>
      <c r="R148" s="415"/>
      <c r="S148" s="403">
        <v>6.9216792424000003E-6</v>
      </c>
      <c r="T148" s="403">
        <v>1.3234844116E-6</v>
      </c>
      <c r="U148" s="403">
        <v>3.0374207629999995E-6</v>
      </c>
      <c r="V148" s="403">
        <v>5.8104193680000017E-7</v>
      </c>
    </row>
    <row r="149" spans="1:22" s="403" customFormat="1">
      <c r="A149" s="403" t="s">
        <v>599</v>
      </c>
      <c r="C149" s="403">
        <v>95</v>
      </c>
      <c r="D149" s="403" t="s">
        <v>569</v>
      </c>
      <c r="E149" s="403" t="s">
        <v>661</v>
      </c>
      <c r="F149" s="403" t="s">
        <v>570</v>
      </c>
      <c r="N149" s="416" t="s">
        <v>662</v>
      </c>
      <c r="O149" s="415">
        <f>SUM(O109:O123)/O146*100</f>
        <v>9.3533765048540296</v>
      </c>
      <c r="P149" s="415"/>
      <c r="Q149" s="415"/>
      <c r="R149" s="415"/>
      <c r="S149" s="403">
        <v>3.7705331366367566E-3</v>
      </c>
      <c r="T149" s="403">
        <v>7.2095826099414855E-4</v>
      </c>
      <c r="U149" s="403">
        <v>1.6546123037086777E-3</v>
      </c>
      <c r="V149" s="403">
        <v>3.165182609242604E-4</v>
      </c>
    </row>
    <row r="150" spans="1:22" s="403" customFormat="1">
      <c r="A150" s="403" t="s">
        <v>602</v>
      </c>
      <c r="C150" s="403">
        <v>97.67</v>
      </c>
      <c r="D150" s="403" t="s">
        <v>569</v>
      </c>
      <c r="E150" s="403" t="s">
        <v>603</v>
      </c>
      <c r="F150" s="403" t="s">
        <v>578</v>
      </c>
      <c r="N150" s="416" t="s">
        <v>663</v>
      </c>
      <c r="O150" s="415">
        <f>O142/O146</f>
        <v>0.26208091078358114</v>
      </c>
      <c r="P150" s="415"/>
      <c r="Q150" s="415"/>
      <c r="R150" s="415"/>
      <c r="S150" s="403">
        <v>1.0565005675507723E-4</v>
      </c>
      <c r="T150" s="403">
        <v>2.0201196603198431E-5</v>
      </c>
      <c r="U150" s="403">
        <v>4.6362113117615502E-5</v>
      </c>
      <c r="V150" s="403">
        <v>8.8688180209163857E-6</v>
      </c>
    </row>
    <row r="151" spans="1:22" s="403" customFormat="1">
      <c r="A151" s="403" t="s">
        <v>605</v>
      </c>
      <c r="C151" s="403">
        <v>30</v>
      </c>
      <c r="D151" s="403" t="s">
        <v>569</v>
      </c>
      <c r="E151" s="403" t="s">
        <v>606</v>
      </c>
      <c r="F151" s="403" t="s">
        <v>570</v>
      </c>
      <c r="N151" s="416" t="s">
        <v>664</v>
      </c>
      <c r="O151" s="415">
        <f>(O109+O111+O112+O113+O114+O115+O118+O119+O121+O122+O123+O127+O130)</f>
        <v>755.4</v>
      </c>
      <c r="P151" s="415"/>
      <c r="Q151" s="415"/>
      <c r="R151" s="415"/>
      <c r="S151" s="403">
        <v>0.30451684800000001</v>
      </c>
      <c r="T151" s="403">
        <v>5.8226231999999996E-2</v>
      </c>
      <c r="U151" s="403">
        <v>0.13363025999999997</v>
      </c>
      <c r="V151" s="403">
        <v>2.5562735999999999E-2</v>
      </c>
    </row>
    <row r="152" spans="1:22" s="403" customFormat="1">
      <c r="A152" s="403" t="s">
        <v>608</v>
      </c>
      <c r="C152" s="403">
        <v>400</v>
      </c>
      <c r="D152" s="403" t="s">
        <v>569</v>
      </c>
      <c r="E152" s="403" t="s">
        <v>609</v>
      </c>
      <c r="F152" s="403" t="s">
        <v>578</v>
      </c>
      <c r="N152" s="416" t="s">
        <v>665</v>
      </c>
      <c r="O152" s="415">
        <f>O125+O126+O128+O129+O131+O132</f>
        <v>27.2</v>
      </c>
      <c r="P152" s="415"/>
      <c r="Q152" s="415"/>
      <c r="R152" s="415"/>
      <c r="S152" s="403">
        <v>1.0964864E-2</v>
      </c>
      <c r="T152" s="403">
        <v>2.0965760000000002E-3</v>
      </c>
      <c r="U152" s="403">
        <v>4.8116799999999996E-3</v>
      </c>
      <c r="V152" s="403">
        <v>9.2044800000000014E-4</v>
      </c>
    </row>
    <row r="153" spans="1:22" s="403" customFormat="1">
      <c r="A153" s="403" t="s">
        <v>612</v>
      </c>
      <c r="C153" s="403">
        <v>3700</v>
      </c>
      <c r="D153" s="403" t="s">
        <v>569</v>
      </c>
      <c r="E153" s="403" t="s">
        <v>613</v>
      </c>
      <c r="F153" s="403" t="s">
        <v>578</v>
      </c>
      <c r="N153" s="416" t="s">
        <v>666</v>
      </c>
      <c r="O153" s="415">
        <f>O127+O130+O144</f>
        <v>114.4</v>
      </c>
      <c r="P153" s="415"/>
      <c r="Q153" s="415"/>
      <c r="R153" s="415"/>
      <c r="S153" s="403">
        <v>4.6116928000000001E-2</v>
      </c>
      <c r="T153" s="403">
        <v>8.8179520000000004E-3</v>
      </c>
      <c r="U153" s="403">
        <v>2.0237359999999996E-2</v>
      </c>
      <c r="V153" s="403">
        <v>3.8712960000000006E-3</v>
      </c>
    </row>
    <row r="154" spans="1:22" s="403" customFormat="1">
      <c r="A154" s="403" t="s">
        <v>618</v>
      </c>
      <c r="C154" s="403">
        <v>109</v>
      </c>
      <c r="D154" s="403" t="s">
        <v>569</v>
      </c>
      <c r="E154" s="403" t="s">
        <v>619</v>
      </c>
      <c r="F154" s="403" t="s">
        <v>578</v>
      </c>
    </row>
    <row r="155" spans="1:22" s="403" customFormat="1">
      <c r="A155" s="403" t="s">
        <v>615</v>
      </c>
      <c r="C155" s="403">
        <v>6400</v>
      </c>
      <c r="D155" s="403" t="s">
        <v>569</v>
      </c>
      <c r="E155" s="403" t="s">
        <v>616</v>
      </c>
      <c r="F155" s="403" t="s">
        <v>578</v>
      </c>
    </row>
    <row r="156" spans="1:22" s="403" customFormat="1"/>
    <row r="157" spans="1:22" s="403" customFormat="1">
      <c r="A157" s="403" t="s">
        <v>667</v>
      </c>
    </row>
    <row r="158" spans="1:22" s="403" customFormat="1">
      <c r="A158" s="403" t="s">
        <v>566</v>
      </c>
      <c r="C158" s="403" t="s">
        <v>443</v>
      </c>
      <c r="D158" s="403" t="s">
        <v>495</v>
      </c>
      <c r="E158" s="403" t="s">
        <v>567</v>
      </c>
    </row>
    <row r="159" spans="1:22" s="403" customFormat="1">
      <c r="A159" s="403" t="s">
        <v>568</v>
      </c>
      <c r="C159" s="403">
        <v>114.4</v>
      </c>
      <c r="D159" s="403" t="s">
        <v>569</v>
      </c>
      <c r="E159" s="403" t="s">
        <v>568</v>
      </c>
      <c r="F159" s="403" t="s">
        <v>570</v>
      </c>
    </row>
    <row r="160" spans="1:22" s="403" customFormat="1">
      <c r="A160" s="403" t="s">
        <v>576</v>
      </c>
      <c r="C160" s="403">
        <v>200</v>
      </c>
      <c r="D160" s="403" t="s">
        <v>569</v>
      </c>
      <c r="E160" s="403" t="s">
        <v>577</v>
      </c>
      <c r="F160" s="403" t="s">
        <v>578</v>
      </c>
    </row>
    <row r="161" spans="1:6" s="403" customFormat="1">
      <c r="A161" s="403" t="s">
        <v>580</v>
      </c>
      <c r="C161" s="403">
        <v>4500</v>
      </c>
      <c r="D161" s="403" t="s">
        <v>569</v>
      </c>
      <c r="E161" s="403" t="s">
        <v>581</v>
      </c>
      <c r="F161" s="403" t="s">
        <v>578</v>
      </c>
    </row>
    <row r="162" spans="1:6" s="403" customFormat="1">
      <c r="A162" s="403" t="s">
        <v>590</v>
      </c>
      <c r="C162" s="403">
        <v>27.2</v>
      </c>
      <c r="D162" s="403" t="s">
        <v>569</v>
      </c>
      <c r="E162" s="403" t="s">
        <v>591</v>
      </c>
      <c r="F162" s="403" t="s">
        <v>570</v>
      </c>
    </row>
    <row r="163" spans="1:6" s="403" customFormat="1">
      <c r="A163" s="403" t="s">
        <v>593</v>
      </c>
      <c r="C163" s="403">
        <v>0.1</v>
      </c>
      <c r="D163" s="403" t="s">
        <v>569</v>
      </c>
      <c r="E163" s="403" t="s">
        <v>594</v>
      </c>
      <c r="F163" s="403" t="s">
        <v>578</v>
      </c>
    </row>
    <row r="164" spans="1:6" s="403" customFormat="1">
      <c r="A164" s="403" t="s">
        <v>602</v>
      </c>
      <c r="C164" s="403">
        <v>97.67</v>
      </c>
      <c r="D164" s="403" t="s">
        <v>569</v>
      </c>
      <c r="E164" s="403" t="s">
        <v>603</v>
      </c>
      <c r="F164" s="403" t="s">
        <v>578</v>
      </c>
    </row>
    <row r="165" spans="1:6" s="403" customFormat="1">
      <c r="A165" s="403" t="s">
        <v>608</v>
      </c>
      <c r="C165" s="403">
        <v>400</v>
      </c>
      <c r="D165" s="403" t="s">
        <v>569</v>
      </c>
      <c r="E165" s="403" t="s">
        <v>609</v>
      </c>
      <c r="F165" s="403" t="s">
        <v>578</v>
      </c>
    </row>
    <row r="166" spans="1:6" s="403" customFormat="1">
      <c r="A166" s="403" t="s">
        <v>612</v>
      </c>
      <c r="C166" s="403">
        <v>3700</v>
      </c>
      <c r="D166" s="403" t="s">
        <v>569</v>
      </c>
      <c r="E166" s="403" t="s">
        <v>613</v>
      </c>
      <c r="F166" s="403" t="s">
        <v>578</v>
      </c>
    </row>
    <row r="167" spans="1:6" s="403" customFormat="1">
      <c r="A167" s="403" t="s">
        <v>618</v>
      </c>
      <c r="C167" s="403">
        <v>109</v>
      </c>
      <c r="D167" s="403" t="s">
        <v>569</v>
      </c>
      <c r="E167" s="403" t="s">
        <v>619</v>
      </c>
      <c r="F167" s="403" t="s">
        <v>578</v>
      </c>
    </row>
    <row r="168" spans="1:6" s="403" customFormat="1">
      <c r="A168" s="403" t="s">
        <v>615</v>
      </c>
      <c r="C168" s="403">
        <v>6400</v>
      </c>
      <c r="D168" s="403" t="s">
        <v>569</v>
      </c>
      <c r="E168" s="403" t="s">
        <v>616</v>
      </c>
      <c r="F168" s="403" t="s">
        <v>578</v>
      </c>
    </row>
    <row r="169" spans="1:6" s="403" customFormat="1"/>
    <row r="170" spans="1:6" s="403" customFormat="1">
      <c r="A170" s="403" t="s">
        <v>668</v>
      </c>
    </row>
    <row r="171" spans="1:6" s="403" customFormat="1">
      <c r="A171" s="403" t="s">
        <v>566</v>
      </c>
      <c r="C171" s="403" t="s">
        <v>443</v>
      </c>
      <c r="D171" s="403" t="s">
        <v>495</v>
      </c>
      <c r="E171" s="403" t="s">
        <v>567</v>
      </c>
    </row>
    <row r="172" spans="1:6" s="403" customFormat="1">
      <c r="A172" s="403" t="s">
        <v>568</v>
      </c>
      <c r="C172" s="403">
        <v>114.4</v>
      </c>
      <c r="D172" s="403" t="s">
        <v>569</v>
      </c>
      <c r="E172" s="403" t="s">
        <v>625</v>
      </c>
      <c r="F172" s="403" t="s">
        <v>570</v>
      </c>
    </row>
    <row r="173" spans="1:6" s="403" customFormat="1">
      <c r="A173" s="403" t="s">
        <v>576</v>
      </c>
      <c r="C173" s="403">
        <v>200</v>
      </c>
      <c r="D173" s="403" t="s">
        <v>569</v>
      </c>
      <c r="E173" s="403" t="s">
        <v>577</v>
      </c>
      <c r="F173" s="403" t="s">
        <v>578</v>
      </c>
    </row>
    <row r="174" spans="1:6" s="403" customFormat="1">
      <c r="A174" s="403" t="s">
        <v>580</v>
      </c>
      <c r="C174" s="403">
        <v>4500</v>
      </c>
      <c r="D174" s="403" t="s">
        <v>569</v>
      </c>
      <c r="E174" s="403" t="s">
        <v>581</v>
      </c>
      <c r="F174" s="403" t="s">
        <v>578</v>
      </c>
    </row>
    <row r="175" spans="1:6" s="403" customFormat="1">
      <c r="A175" s="403" t="s">
        <v>590</v>
      </c>
      <c r="C175" s="403">
        <v>27.2</v>
      </c>
      <c r="D175" s="403" t="s">
        <v>569</v>
      </c>
      <c r="E175" s="403" t="s">
        <v>632</v>
      </c>
      <c r="F175" s="403" t="s">
        <v>570</v>
      </c>
    </row>
    <row r="176" spans="1:6" s="403" customFormat="1">
      <c r="A176" s="403" t="s">
        <v>593</v>
      </c>
      <c r="C176" s="403">
        <v>0.1</v>
      </c>
      <c r="D176" s="403" t="s">
        <v>569</v>
      </c>
      <c r="E176" s="403" t="s">
        <v>594</v>
      </c>
      <c r="F176" s="403" t="s">
        <v>578</v>
      </c>
    </row>
    <row r="177" spans="1:6" s="403" customFormat="1">
      <c r="A177" s="403" t="s">
        <v>602</v>
      </c>
      <c r="C177" s="403">
        <v>97.67</v>
      </c>
      <c r="D177" s="403" t="s">
        <v>569</v>
      </c>
      <c r="E177" s="403" t="s">
        <v>603</v>
      </c>
      <c r="F177" s="403" t="s">
        <v>578</v>
      </c>
    </row>
    <row r="178" spans="1:6" s="403" customFormat="1">
      <c r="A178" s="403" t="s">
        <v>608</v>
      </c>
      <c r="C178" s="403">
        <v>400</v>
      </c>
      <c r="D178" s="403" t="s">
        <v>569</v>
      </c>
      <c r="E178" s="403" t="s">
        <v>609</v>
      </c>
      <c r="F178" s="403" t="s">
        <v>578</v>
      </c>
    </row>
    <row r="179" spans="1:6" s="403" customFormat="1">
      <c r="A179" s="403" t="s">
        <v>612</v>
      </c>
      <c r="C179" s="403">
        <v>3700</v>
      </c>
      <c r="D179" s="403" t="s">
        <v>569</v>
      </c>
      <c r="E179" s="403" t="s">
        <v>613</v>
      </c>
      <c r="F179" s="403" t="s">
        <v>578</v>
      </c>
    </row>
    <row r="180" spans="1:6" s="403" customFormat="1">
      <c r="A180" s="403" t="s">
        <v>618</v>
      </c>
      <c r="C180" s="403">
        <v>109</v>
      </c>
      <c r="D180" s="403" t="s">
        <v>569</v>
      </c>
      <c r="E180" s="403" t="s">
        <v>619</v>
      </c>
      <c r="F180" s="403" t="s">
        <v>578</v>
      </c>
    </row>
    <row r="181" spans="1:6" s="403" customFormat="1">
      <c r="A181" s="403" t="s">
        <v>615</v>
      </c>
      <c r="C181" s="403">
        <v>6400</v>
      </c>
      <c r="D181" s="403" t="s">
        <v>569</v>
      </c>
      <c r="E181" s="403" t="s">
        <v>616</v>
      </c>
      <c r="F181" s="403" t="s">
        <v>578</v>
      </c>
    </row>
    <row r="182" spans="1:6" s="403" customFormat="1"/>
    <row r="183" spans="1:6" s="403" customFormat="1">
      <c r="A183" s="403" t="s">
        <v>669</v>
      </c>
    </row>
    <row r="184" spans="1:6" s="403" customFormat="1">
      <c r="A184" s="403" t="s">
        <v>566</v>
      </c>
      <c r="C184" s="403" t="s">
        <v>443</v>
      </c>
      <c r="D184" s="403" t="s">
        <v>495</v>
      </c>
      <c r="E184" s="403" t="s">
        <v>567</v>
      </c>
    </row>
    <row r="185" spans="1:6" s="403" customFormat="1">
      <c r="A185" s="403" t="s">
        <v>568</v>
      </c>
      <c r="C185" s="403">
        <v>114.4</v>
      </c>
      <c r="D185" s="403" t="s">
        <v>569</v>
      </c>
      <c r="E185" s="403" t="s">
        <v>649</v>
      </c>
      <c r="F185" s="403" t="s">
        <v>570</v>
      </c>
    </row>
    <row r="186" spans="1:6" s="403" customFormat="1">
      <c r="A186" s="403" t="s">
        <v>576</v>
      </c>
      <c r="C186" s="403">
        <v>200</v>
      </c>
      <c r="D186" s="403" t="s">
        <v>569</v>
      </c>
      <c r="E186" s="403" t="s">
        <v>577</v>
      </c>
      <c r="F186" s="403" t="s">
        <v>578</v>
      </c>
    </row>
    <row r="187" spans="1:6" s="403" customFormat="1">
      <c r="A187" s="403" t="s">
        <v>580</v>
      </c>
      <c r="C187" s="403">
        <v>4500</v>
      </c>
      <c r="D187" s="403" t="s">
        <v>569</v>
      </c>
      <c r="E187" s="403" t="s">
        <v>581</v>
      </c>
      <c r="F187" s="403" t="s">
        <v>578</v>
      </c>
    </row>
    <row r="188" spans="1:6" s="403" customFormat="1">
      <c r="A188" s="403" t="s">
        <v>590</v>
      </c>
      <c r="C188" s="403">
        <v>27.2</v>
      </c>
      <c r="D188" s="403" t="s">
        <v>569</v>
      </c>
      <c r="E188" s="403" t="s">
        <v>657</v>
      </c>
      <c r="F188" s="403" t="s">
        <v>570</v>
      </c>
    </row>
    <row r="189" spans="1:6" s="403" customFormat="1">
      <c r="A189" s="403" t="s">
        <v>593</v>
      </c>
      <c r="C189" s="403">
        <v>0.1</v>
      </c>
      <c r="D189" s="403" t="s">
        <v>569</v>
      </c>
      <c r="E189" s="403" t="s">
        <v>594</v>
      </c>
      <c r="F189" s="403" t="s">
        <v>578</v>
      </c>
    </row>
    <row r="190" spans="1:6" s="403" customFormat="1">
      <c r="A190" s="403" t="s">
        <v>602</v>
      </c>
      <c r="C190" s="403">
        <v>97.67</v>
      </c>
      <c r="D190" s="403" t="s">
        <v>569</v>
      </c>
      <c r="E190" s="403" t="s">
        <v>603</v>
      </c>
      <c r="F190" s="403" t="s">
        <v>578</v>
      </c>
    </row>
    <row r="191" spans="1:6" s="403" customFormat="1">
      <c r="A191" s="403" t="s">
        <v>608</v>
      </c>
      <c r="C191" s="403">
        <v>400</v>
      </c>
      <c r="D191" s="403" t="s">
        <v>569</v>
      </c>
      <c r="E191" s="403" t="s">
        <v>609</v>
      </c>
      <c r="F191" s="403" t="s">
        <v>578</v>
      </c>
    </row>
    <row r="192" spans="1:6" s="403" customFormat="1">
      <c r="A192" s="403" t="s">
        <v>612</v>
      </c>
      <c r="C192" s="403">
        <v>3700</v>
      </c>
      <c r="D192" s="403" t="s">
        <v>569</v>
      </c>
      <c r="E192" s="403" t="s">
        <v>613</v>
      </c>
      <c r="F192" s="403" t="s">
        <v>578</v>
      </c>
    </row>
    <row r="193" spans="1:6" s="403" customFormat="1">
      <c r="A193" s="403" t="s">
        <v>618</v>
      </c>
      <c r="C193" s="403">
        <v>109</v>
      </c>
      <c r="D193" s="403" t="s">
        <v>569</v>
      </c>
      <c r="E193" s="403" t="s">
        <v>619</v>
      </c>
      <c r="F193" s="403" t="s">
        <v>578</v>
      </c>
    </row>
    <row r="194" spans="1:6" s="403" customFormat="1">
      <c r="A194" s="403" t="s">
        <v>615</v>
      </c>
      <c r="C194" s="403">
        <v>6400</v>
      </c>
      <c r="D194" s="403" t="s">
        <v>569</v>
      </c>
      <c r="E194" s="403" t="s">
        <v>616</v>
      </c>
      <c r="F194" s="403" t="s">
        <v>578</v>
      </c>
    </row>
    <row r="195" spans="1:6" s="403" customFormat="1"/>
    <row r="196" spans="1:6" s="403" customFormat="1"/>
    <row r="197" spans="1:6" s="403" customFormat="1">
      <c r="A197" s="405" t="s">
        <v>670</v>
      </c>
    </row>
    <row r="198" spans="1:6" s="403" customFormat="1">
      <c r="A198" s="403" t="s">
        <v>671</v>
      </c>
    </row>
    <row r="199" spans="1:6" s="403" customFormat="1">
      <c r="B199" s="405" t="s">
        <v>672</v>
      </c>
      <c r="C199" s="405">
        <v>50</v>
      </c>
      <c r="D199" s="405" t="s">
        <v>449</v>
      </c>
    </row>
    <row r="200" spans="1:6" s="403" customFormat="1"/>
    <row r="201" spans="1:6" s="403" customFormat="1">
      <c r="A201" s="418" t="s">
        <v>673</v>
      </c>
      <c r="B201" s="419"/>
      <c r="C201" s="420"/>
      <c r="D201" s="420"/>
    </row>
    <row r="202" spans="1:6" s="403" customFormat="1">
      <c r="B202" s="421" t="s">
        <v>674</v>
      </c>
      <c r="C202" s="422">
        <v>0</v>
      </c>
      <c r="D202" s="422">
        <v>1.28</v>
      </c>
    </row>
    <row r="203" spans="1:6" s="403" customFormat="1">
      <c r="B203" s="423" t="s">
        <v>675</v>
      </c>
      <c r="C203" s="424">
        <v>589.43948979591846</v>
      </c>
      <c r="D203" s="424">
        <v>274.36609201575362</v>
      </c>
    </row>
    <row r="204" spans="1:6" s="403" customFormat="1">
      <c r="B204" s="423" t="s">
        <v>676</v>
      </c>
      <c r="C204" s="424">
        <v>294.71974489795923</v>
      </c>
      <c r="D204" s="424">
        <v>137.18304600787681</v>
      </c>
    </row>
    <row r="205" spans="1:6" s="403" customFormat="1">
      <c r="B205" s="404" t="s">
        <v>677</v>
      </c>
      <c r="C205" s="425">
        <v>2.9471974489795922</v>
      </c>
      <c r="D205" s="425">
        <v>1.3718304600787681</v>
      </c>
    </row>
    <row r="206" spans="1:6" s="403" customFormat="1">
      <c r="B206" s="426" t="s">
        <v>678</v>
      </c>
      <c r="C206" s="427">
        <v>67.133680194765319</v>
      </c>
      <c r="D206" s="427">
        <v>31.248679120651449</v>
      </c>
    </row>
    <row r="207" spans="1:6" s="403" customFormat="1"/>
    <row r="208" spans="1:6" s="403" customFormat="1"/>
    <row r="209" spans="1:4" s="403" customFormat="1">
      <c r="A209" s="418" t="s">
        <v>679</v>
      </c>
      <c r="B209" s="428"/>
      <c r="C209" s="428"/>
      <c r="D209" s="428"/>
    </row>
    <row r="210" spans="1:4" s="403" customFormat="1">
      <c r="B210" s="429" t="s">
        <v>674</v>
      </c>
      <c r="C210" s="422">
        <v>0</v>
      </c>
      <c r="D210" s="422">
        <v>1.28</v>
      </c>
    </row>
    <row r="211" spans="1:4" s="403" customFormat="1">
      <c r="B211" s="430" t="s">
        <v>680</v>
      </c>
      <c r="C211" s="431">
        <v>18312.392919696402</v>
      </c>
      <c r="D211" s="431">
        <v>11133.085587115016</v>
      </c>
    </row>
    <row r="212" spans="1:4" s="403" customFormat="1"/>
    <row r="213" spans="1:4" s="403" customFormat="1"/>
    <row r="214" spans="1:4" s="403" customFormat="1"/>
    <row r="215" spans="1:4" s="403" customFormat="1">
      <c r="B215" s="405" t="s">
        <v>681</v>
      </c>
      <c r="C215" s="432"/>
      <c r="D215" s="432"/>
    </row>
    <row r="216" spans="1:4" s="403" customFormat="1"/>
    <row r="217" spans="1:4" s="403" customFormat="1">
      <c r="A217" s="418" t="s">
        <v>682</v>
      </c>
      <c r="B217" s="419"/>
      <c r="C217" s="420"/>
      <c r="D217" s="420"/>
    </row>
    <row r="218" spans="1:4" s="403" customFormat="1">
      <c r="B218" s="421" t="s">
        <v>674</v>
      </c>
      <c r="C218" s="422">
        <v>0</v>
      </c>
      <c r="D218" s="422">
        <v>1.28</v>
      </c>
    </row>
    <row r="219" spans="1:4" s="403" customFormat="1">
      <c r="B219" s="423" t="s">
        <v>675</v>
      </c>
      <c r="C219" s="433">
        <f t="shared" ref="C219:D222" si="0">C203/50</f>
        <v>11.788789795918369</v>
      </c>
      <c r="D219" s="433">
        <f t="shared" si="0"/>
        <v>5.4873218403150723</v>
      </c>
    </row>
    <row r="220" spans="1:4" s="403" customFormat="1">
      <c r="B220" s="423" t="s">
        <v>676</v>
      </c>
      <c r="C220" s="433">
        <f t="shared" si="0"/>
        <v>5.8943948979591845</v>
      </c>
      <c r="D220" s="433">
        <f t="shared" si="0"/>
        <v>2.7436609201575362</v>
      </c>
    </row>
    <row r="221" spans="1:4" s="403" customFormat="1">
      <c r="B221" s="404" t="s">
        <v>677</v>
      </c>
      <c r="C221" s="433">
        <f t="shared" si="0"/>
        <v>5.8943948979591848E-2</v>
      </c>
      <c r="D221" s="433">
        <f t="shared" si="0"/>
        <v>2.7436609201575361E-2</v>
      </c>
    </row>
    <row r="222" spans="1:4" s="403" customFormat="1">
      <c r="B222" s="426" t="s">
        <v>678</v>
      </c>
      <c r="C222" s="433">
        <f t="shared" si="0"/>
        <v>1.3426736038953064</v>
      </c>
      <c r="D222" s="433">
        <f t="shared" si="0"/>
        <v>0.62497358241302903</v>
      </c>
    </row>
    <row r="223" spans="1:4" s="403" customFormat="1"/>
    <row r="224" spans="1:4" s="403" customFormat="1"/>
    <row r="225" spans="1:8" s="403" customFormat="1">
      <c r="A225" s="418" t="s">
        <v>683</v>
      </c>
      <c r="B225" s="428"/>
      <c r="C225" s="428"/>
      <c r="D225" s="428"/>
    </row>
    <row r="226" spans="1:8" s="403" customFormat="1">
      <c r="B226" s="429" t="s">
        <v>674</v>
      </c>
      <c r="C226" s="422">
        <v>0</v>
      </c>
      <c r="D226" s="422">
        <v>1.28</v>
      </c>
    </row>
    <row r="227" spans="1:8" s="403" customFormat="1">
      <c r="B227" s="430" t="s">
        <v>680</v>
      </c>
      <c r="C227" s="431">
        <f>C211/50</f>
        <v>366.24785839392803</v>
      </c>
      <c r="D227" s="431">
        <f>D211/50</f>
        <v>222.66171174230033</v>
      </c>
    </row>
    <row r="228" spans="1:8" s="403" customFormat="1">
      <c r="B228" s="434"/>
      <c r="C228" s="424"/>
      <c r="D228" s="424"/>
    </row>
    <row r="229" spans="1:8" s="403" customFormat="1">
      <c r="A229" s="403" t="s">
        <v>684</v>
      </c>
      <c r="B229" s="434" t="s">
        <v>685</v>
      </c>
      <c r="C229" s="433">
        <f>C222+C227/1000</f>
        <v>1.7089214622892346</v>
      </c>
      <c r="D229" s="433">
        <f t="shared" ref="D229" si="1">D222+D227/1000</f>
        <v>0.84763529415532934</v>
      </c>
    </row>
    <row r="230" spans="1:8" s="403" customFormat="1">
      <c r="B230" s="434" t="s">
        <v>677</v>
      </c>
      <c r="C230" s="433">
        <f>C221</f>
        <v>5.8943948979591848E-2</v>
      </c>
      <c r="D230" s="433">
        <f>D221</f>
        <v>2.7436609201575361E-2</v>
      </c>
    </row>
    <row r="231" spans="1:8" s="403" customFormat="1">
      <c r="B231" s="434" t="s">
        <v>686</v>
      </c>
      <c r="C231" s="433">
        <f>C219+C220</f>
        <v>17.683184693877553</v>
      </c>
      <c r="D231" s="433">
        <f>D219+D220</f>
        <v>8.2309827604726085</v>
      </c>
    </row>
    <row r="232" spans="1:8" s="403" customFormat="1"/>
    <row r="233" spans="1:8" s="403" customFormat="1"/>
    <row r="234" spans="1:8" s="403" customFormat="1">
      <c r="A234" s="403" t="s">
        <v>687</v>
      </c>
    </row>
    <row r="235" spans="1:8" s="403" customFormat="1"/>
    <row r="236" spans="1:8" s="403" customFormat="1">
      <c r="A236" s="403" t="s">
        <v>688</v>
      </c>
    </row>
    <row r="237" spans="1:8" s="403" customFormat="1">
      <c r="A237" s="403" t="s">
        <v>566</v>
      </c>
      <c r="C237" s="403" t="s">
        <v>443</v>
      </c>
      <c r="D237" s="403" t="s">
        <v>495</v>
      </c>
      <c r="H237" s="403" t="s">
        <v>567</v>
      </c>
    </row>
    <row r="238" spans="1:8" s="403" customFormat="1">
      <c r="A238" s="403" t="s">
        <v>689</v>
      </c>
      <c r="C238" s="435">
        <v>1.7089214622892346</v>
      </c>
      <c r="D238" s="403" t="s">
        <v>448</v>
      </c>
      <c r="H238" s="403" t="s">
        <v>690</v>
      </c>
    </row>
    <row r="239" spans="1:8" s="403" customFormat="1">
      <c r="A239" s="403" t="s">
        <v>460</v>
      </c>
      <c r="C239" s="435">
        <v>5.8943948979591848E-2</v>
      </c>
      <c r="D239" s="403" t="s">
        <v>449</v>
      </c>
      <c r="H239" s="403" t="s">
        <v>691</v>
      </c>
    </row>
    <row r="240" spans="1:8" s="403" customFormat="1">
      <c r="A240" s="403" t="s">
        <v>692</v>
      </c>
      <c r="C240" s="425">
        <v>17.683184693877553</v>
      </c>
      <c r="D240" s="403" t="s">
        <v>449</v>
      </c>
      <c r="H240" s="403" t="s">
        <v>693</v>
      </c>
    </row>
    <row r="241" spans="1:8" s="403" customFormat="1"/>
    <row r="242" spans="1:8" s="403" customFormat="1">
      <c r="A242" s="403" t="s">
        <v>694</v>
      </c>
    </row>
    <row r="243" spans="1:8" s="403" customFormat="1">
      <c r="A243" s="403" t="s">
        <v>566</v>
      </c>
      <c r="C243" s="403" t="s">
        <v>443</v>
      </c>
      <c r="D243" s="403" t="s">
        <v>495</v>
      </c>
      <c r="H243" s="403" t="s">
        <v>567</v>
      </c>
    </row>
    <row r="244" spans="1:8" s="403" customFormat="1">
      <c r="A244" s="403" t="s">
        <v>695</v>
      </c>
      <c r="C244" s="435">
        <v>1.7089214622892346</v>
      </c>
      <c r="D244" s="403" t="s">
        <v>448</v>
      </c>
      <c r="H244" s="403" t="s">
        <v>696</v>
      </c>
    </row>
    <row r="245" spans="1:8" s="403" customFormat="1">
      <c r="A245" s="403" t="s">
        <v>460</v>
      </c>
      <c r="C245" s="435">
        <v>5.8943948979591848E-2</v>
      </c>
      <c r="D245" s="403" t="s">
        <v>449</v>
      </c>
      <c r="H245" s="403" t="s">
        <v>691</v>
      </c>
    </row>
    <row r="246" spans="1:8" s="403" customFormat="1">
      <c r="A246" s="403" t="s">
        <v>692</v>
      </c>
      <c r="C246" s="425">
        <v>17.683184693877553</v>
      </c>
      <c r="D246" s="403" t="s">
        <v>449</v>
      </c>
      <c r="H246" s="403" t="s">
        <v>693</v>
      </c>
    </row>
    <row r="247" spans="1:8" s="403" customFormat="1"/>
    <row r="248" spans="1:8" s="403" customFormat="1">
      <c r="A248" s="403" t="s">
        <v>697</v>
      </c>
    </row>
    <row r="249" spans="1:8" s="403" customFormat="1">
      <c r="A249" s="403" t="s">
        <v>566</v>
      </c>
      <c r="C249" s="403" t="s">
        <v>443</v>
      </c>
      <c r="D249" s="403" t="s">
        <v>495</v>
      </c>
      <c r="H249" s="403" t="s">
        <v>567</v>
      </c>
    </row>
    <row r="250" spans="1:8" s="403" customFormat="1">
      <c r="A250" s="403" t="s">
        <v>689</v>
      </c>
      <c r="C250" s="435">
        <v>0.84763529415532934</v>
      </c>
      <c r="D250" s="403" t="s">
        <v>448</v>
      </c>
      <c r="H250" s="403" t="s">
        <v>690</v>
      </c>
    </row>
    <row r="251" spans="1:8" s="403" customFormat="1">
      <c r="A251" s="403" t="s">
        <v>460</v>
      </c>
      <c r="C251" s="435">
        <v>2.7436609201575361E-2</v>
      </c>
      <c r="D251" s="403" t="s">
        <v>449</v>
      </c>
      <c r="H251" s="403" t="s">
        <v>691</v>
      </c>
    </row>
    <row r="252" spans="1:8" s="403" customFormat="1">
      <c r="A252" s="403" t="s">
        <v>692</v>
      </c>
      <c r="C252" s="435">
        <v>8.2309827604726085</v>
      </c>
      <c r="D252" s="403" t="s">
        <v>449</v>
      </c>
      <c r="H252" s="403" t="s">
        <v>693</v>
      </c>
    </row>
    <row r="253" spans="1:8" s="403" customFormat="1"/>
    <row r="254" spans="1:8" s="403" customFormat="1">
      <c r="A254" s="403" t="s">
        <v>698</v>
      </c>
    </row>
    <row r="255" spans="1:8" s="403" customFormat="1">
      <c r="A255" s="403" t="s">
        <v>566</v>
      </c>
      <c r="C255" s="403" t="s">
        <v>443</v>
      </c>
      <c r="D255" s="403" t="s">
        <v>495</v>
      </c>
      <c r="H255" s="403" t="s">
        <v>567</v>
      </c>
    </row>
    <row r="256" spans="1:8" s="403" customFormat="1">
      <c r="A256" s="403" t="s">
        <v>695</v>
      </c>
      <c r="C256" s="435">
        <v>0.84763529415532934</v>
      </c>
      <c r="D256" s="403" t="s">
        <v>448</v>
      </c>
      <c r="H256" s="403" t="s">
        <v>696</v>
      </c>
    </row>
    <row r="257" spans="1:19" s="403" customFormat="1">
      <c r="A257" s="403" t="s">
        <v>460</v>
      </c>
      <c r="C257" s="435">
        <v>2.7436609201575361E-2</v>
      </c>
      <c r="D257" s="403" t="s">
        <v>449</v>
      </c>
      <c r="H257" s="403" t="s">
        <v>691</v>
      </c>
    </row>
    <row r="258" spans="1:19" s="403" customFormat="1">
      <c r="A258" s="403" t="s">
        <v>692</v>
      </c>
      <c r="C258" s="435">
        <v>8.2309827604726085</v>
      </c>
      <c r="D258" s="403" t="s">
        <v>449</v>
      </c>
      <c r="H258" s="403" t="s">
        <v>693</v>
      </c>
    </row>
    <row r="259" spans="1:19" s="403" customFormat="1"/>
    <row r="260" spans="1:19" s="403" customFormat="1"/>
    <row r="261" spans="1:19" s="403" customFormat="1"/>
    <row r="262" spans="1:19" s="403" customFormat="1"/>
    <row r="263" spans="1:19" s="403" customFormat="1">
      <c r="A263" s="405" t="s">
        <v>699</v>
      </c>
      <c r="L263" s="405" t="s">
        <v>536</v>
      </c>
    </row>
    <row r="264" spans="1:19" s="403" customFormat="1">
      <c r="A264" s="403" t="s">
        <v>700</v>
      </c>
    </row>
    <row r="265" spans="1:19" s="403" customFormat="1">
      <c r="L265" s="403" t="s">
        <v>701</v>
      </c>
    </row>
    <row r="266" spans="1:19" s="403" customFormat="1">
      <c r="A266" s="403" t="s">
        <v>702</v>
      </c>
      <c r="L266" s="403" t="s">
        <v>703</v>
      </c>
    </row>
    <row r="267" spans="1:19" s="403" customFormat="1">
      <c r="L267" s="403" t="s">
        <v>566</v>
      </c>
      <c r="N267" s="403" t="s">
        <v>443</v>
      </c>
      <c r="O267" s="403" t="s">
        <v>495</v>
      </c>
      <c r="S267" s="403" t="s">
        <v>704</v>
      </c>
    </row>
    <row r="268" spans="1:19" s="403" customFormat="1">
      <c r="L268" s="403" t="s">
        <v>705</v>
      </c>
      <c r="N268" s="403">
        <v>2.0448</v>
      </c>
      <c r="O268" s="403" t="s">
        <v>449</v>
      </c>
      <c r="S268" s="403" t="s">
        <v>706</v>
      </c>
    </row>
    <row r="269" spans="1:19" s="403" customFormat="1">
      <c r="L269" s="403" t="s">
        <v>695</v>
      </c>
      <c r="N269" s="403">
        <v>0</v>
      </c>
      <c r="O269" s="403" t="s">
        <v>707</v>
      </c>
      <c r="S269" s="403" t="s">
        <v>708</v>
      </c>
    </row>
    <row r="270" spans="1:19" s="403" customFormat="1">
      <c r="L270" s="403" t="s">
        <v>689</v>
      </c>
      <c r="N270" s="403">
        <v>12.05</v>
      </c>
      <c r="O270" s="403" t="s">
        <v>707</v>
      </c>
      <c r="S270" s="403" t="s">
        <v>690</v>
      </c>
    </row>
    <row r="271" spans="1:19" s="403" customFormat="1">
      <c r="A271" s="403" t="s">
        <v>709</v>
      </c>
      <c r="L271" s="403" t="s">
        <v>710</v>
      </c>
      <c r="N271" s="403">
        <v>0.22800000000000001</v>
      </c>
      <c r="O271" s="403" t="s">
        <v>449</v>
      </c>
      <c r="S271" s="403" t="s">
        <v>711</v>
      </c>
    </row>
    <row r="272" spans="1:19" s="403" customFormat="1">
      <c r="C272" s="405" t="s">
        <v>672</v>
      </c>
      <c r="D272" s="405">
        <v>50</v>
      </c>
      <c r="L272" s="403" t="s">
        <v>580</v>
      </c>
      <c r="N272" s="403">
        <v>3.0032999999999999</v>
      </c>
      <c r="O272" s="403" t="s">
        <v>449</v>
      </c>
      <c r="S272" s="403" t="s">
        <v>581</v>
      </c>
    </row>
    <row r="273" spans="2:19" s="403" customFormat="1">
      <c r="B273" s="408" t="s">
        <v>712</v>
      </c>
      <c r="C273" s="436"/>
      <c r="D273" s="437" t="s">
        <v>672</v>
      </c>
      <c r="E273" s="438"/>
      <c r="F273" s="437"/>
      <c r="G273" s="438"/>
      <c r="L273" s="403" t="s">
        <v>713</v>
      </c>
      <c r="N273" s="403">
        <v>53520</v>
      </c>
      <c r="O273" s="403" t="s">
        <v>714</v>
      </c>
      <c r="S273" s="403" t="s">
        <v>715</v>
      </c>
    </row>
    <row r="274" spans="2:19" s="403" customFormat="1">
      <c r="C274" s="439" t="s">
        <v>716</v>
      </c>
      <c r="D274" s="440" t="s">
        <v>717</v>
      </c>
      <c r="E274" s="441" t="s">
        <v>717</v>
      </c>
      <c r="F274" s="440" t="s">
        <v>718</v>
      </c>
      <c r="G274" s="441" t="s">
        <v>718</v>
      </c>
      <c r="L274" s="403" t="s">
        <v>602</v>
      </c>
      <c r="N274" s="403">
        <v>2.9700000000000001E-2</v>
      </c>
      <c r="O274" s="403" t="s">
        <v>449</v>
      </c>
      <c r="S274" s="403" t="s">
        <v>719</v>
      </c>
    </row>
    <row r="275" spans="2:19" s="403" customFormat="1">
      <c r="C275" s="439" t="s">
        <v>720</v>
      </c>
      <c r="D275" s="440" t="s">
        <v>717</v>
      </c>
      <c r="E275" s="441" t="s">
        <v>717</v>
      </c>
      <c r="F275" s="440" t="s">
        <v>721</v>
      </c>
      <c r="G275" s="441" t="s">
        <v>721</v>
      </c>
      <c r="L275" s="403" t="s">
        <v>722</v>
      </c>
      <c r="N275" s="403">
        <v>2.7510325837540098E-2</v>
      </c>
      <c r="O275" s="403" t="s">
        <v>449</v>
      </c>
      <c r="S275" s="403" t="s">
        <v>723</v>
      </c>
    </row>
    <row r="276" spans="2:19" s="403" customFormat="1">
      <c r="C276" s="439" t="s">
        <v>724</v>
      </c>
      <c r="D276" s="442">
        <v>7</v>
      </c>
      <c r="E276" s="443">
        <v>7</v>
      </c>
      <c r="F276" s="442">
        <v>7</v>
      </c>
      <c r="G276" s="443">
        <v>7</v>
      </c>
      <c r="L276" s="403" t="s">
        <v>725</v>
      </c>
      <c r="N276" s="403">
        <v>1.8261979907003598E-2</v>
      </c>
      <c r="O276" s="403" t="s">
        <v>449</v>
      </c>
      <c r="S276" s="403" t="s">
        <v>726</v>
      </c>
    </row>
    <row r="277" spans="2:19" s="403" customFormat="1">
      <c r="B277" s="411"/>
      <c r="C277" s="444" t="s">
        <v>674</v>
      </c>
      <c r="D277" s="445">
        <v>0</v>
      </c>
      <c r="E277" s="446">
        <v>1.28</v>
      </c>
      <c r="F277" s="445">
        <v>0</v>
      </c>
      <c r="G277" s="446">
        <v>1.28</v>
      </c>
      <c r="L277" s="403" t="s">
        <v>460</v>
      </c>
      <c r="N277" s="403">
        <v>0.2</v>
      </c>
      <c r="O277" s="403" t="s">
        <v>449</v>
      </c>
      <c r="S277" s="403" t="s">
        <v>691</v>
      </c>
    </row>
    <row r="278" spans="2:19" s="403" customFormat="1">
      <c r="C278" s="447" t="s">
        <v>727</v>
      </c>
      <c r="D278" s="448"/>
      <c r="E278" s="449"/>
      <c r="F278" s="448"/>
      <c r="G278" s="448"/>
      <c r="L278" s="403" t="s">
        <v>692</v>
      </c>
      <c r="N278" s="403">
        <v>29.994299999999999</v>
      </c>
      <c r="O278" s="403" t="s">
        <v>449</v>
      </c>
      <c r="S278" s="403" t="s">
        <v>693</v>
      </c>
    </row>
    <row r="279" spans="2:19" s="403" customFormat="1">
      <c r="C279" s="450" t="s">
        <v>728</v>
      </c>
      <c r="D279" s="451">
        <v>21040.406672479694</v>
      </c>
      <c r="E279" s="452">
        <v>9256.5012402443717</v>
      </c>
      <c r="F279" s="451">
        <v>7414.3854441217882</v>
      </c>
      <c r="G279" s="451">
        <v>3277.1315650346651</v>
      </c>
      <c r="L279" s="403" t="s">
        <v>729</v>
      </c>
      <c r="N279" s="453">
        <v>1E-4</v>
      </c>
      <c r="O279" s="403" t="s">
        <v>449</v>
      </c>
      <c r="S279" s="403" t="s">
        <v>730</v>
      </c>
    </row>
    <row r="280" spans="2:19" s="403" customFormat="1">
      <c r="C280" s="447" t="s">
        <v>731</v>
      </c>
      <c r="D280" s="448"/>
      <c r="E280" s="449"/>
      <c r="F280" s="448"/>
      <c r="G280" s="448"/>
    </row>
    <row r="281" spans="2:19" s="403" customFormat="1">
      <c r="C281" s="450" t="s">
        <v>728</v>
      </c>
      <c r="D281" s="451">
        <v>5893.5845957861193</v>
      </c>
      <c r="E281" s="452">
        <v>2609.8392422598063</v>
      </c>
      <c r="F281" s="451">
        <v>2506.827598913861</v>
      </c>
      <c r="G281" s="451">
        <v>1123.6241115569944</v>
      </c>
      <c r="L281" s="403" t="s">
        <v>732</v>
      </c>
    </row>
    <row r="282" spans="2:19" s="403" customFormat="1">
      <c r="C282" s="444" t="s">
        <v>733</v>
      </c>
      <c r="D282" s="454" t="s">
        <v>734</v>
      </c>
      <c r="E282" s="446"/>
      <c r="F282" s="445"/>
      <c r="G282" s="454"/>
      <c r="L282" s="403" t="s">
        <v>566</v>
      </c>
      <c r="N282" s="403" t="s">
        <v>443</v>
      </c>
      <c r="O282" s="403" t="s">
        <v>495</v>
      </c>
      <c r="S282" s="403" t="s">
        <v>567</v>
      </c>
    </row>
    <row r="283" spans="2:19" s="403" customFormat="1">
      <c r="C283" s="447" t="s">
        <v>727</v>
      </c>
      <c r="D283" s="448"/>
      <c r="E283" s="449"/>
      <c r="F283" s="448"/>
      <c r="G283" s="448"/>
      <c r="L283" s="403" t="s">
        <v>705</v>
      </c>
      <c r="N283" s="403">
        <v>2.0448</v>
      </c>
      <c r="O283" s="403" t="s">
        <v>449</v>
      </c>
      <c r="S283" s="403" t="s">
        <v>706</v>
      </c>
    </row>
    <row r="284" spans="2:19" s="403" customFormat="1">
      <c r="C284" s="449" t="s">
        <v>735</v>
      </c>
      <c r="D284" s="455">
        <v>1752.7171685031144</v>
      </c>
      <c r="E284" s="456">
        <v>769.12626975832529</v>
      </c>
      <c r="F284" s="455">
        <v>567.84575734155737</v>
      </c>
      <c r="G284" s="455">
        <v>249.18108060965514</v>
      </c>
      <c r="L284" s="403" t="s">
        <v>695</v>
      </c>
      <c r="N284" s="403">
        <v>27.366700000000002</v>
      </c>
      <c r="O284" s="403" t="s">
        <v>707</v>
      </c>
      <c r="S284" s="403" t="s">
        <v>696</v>
      </c>
    </row>
    <row r="285" spans="2:19" s="403" customFormat="1">
      <c r="C285" s="450" t="s">
        <v>728</v>
      </c>
      <c r="D285" s="451">
        <v>22793.123840982807</v>
      </c>
      <c r="E285" s="452">
        <v>10025.627510002698</v>
      </c>
      <c r="F285" s="451">
        <v>7982.2312014633453</v>
      </c>
      <c r="G285" s="451">
        <v>3526.3126456443201</v>
      </c>
      <c r="L285" s="403" t="s">
        <v>710</v>
      </c>
      <c r="N285" s="403">
        <v>0.22800000000000001</v>
      </c>
      <c r="O285" s="403" t="s">
        <v>449</v>
      </c>
      <c r="S285" s="403" t="s">
        <v>711</v>
      </c>
    </row>
    <row r="286" spans="2:19" s="403" customFormat="1">
      <c r="C286" s="447" t="s">
        <v>731</v>
      </c>
      <c r="D286" s="448"/>
      <c r="E286" s="449"/>
      <c r="F286" s="448"/>
      <c r="G286" s="448"/>
      <c r="L286" s="403" t="s">
        <v>580</v>
      </c>
      <c r="N286" s="403">
        <v>3.0032999999999999</v>
      </c>
      <c r="O286" s="403" t="s">
        <v>449</v>
      </c>
      <c r="S286" s="403" t="s">
        <v>581</v>
      </c>
    </row>
    <row r="287" spans="2:19" s="403" customFormat="1">
      <c r="C287" s="449" t="s">
        <v>735</v>
      </c>
      <c r="D287" s="455">
        <v>435.60220531236877</v>
      </c>
      <c r="E287" s="456">
        <v>191.15566123792837</v>
      </c>
      <c r="F287" s="455">
        <v>141.10159688869419</v>
      </c>
      <c r="G287" s="455">
        <v>61.919562915944688</v>
      </c>
      <c r="L287" s="403" t="s">
        <v>713</v>
      </c>
      <c r="N287" s="403">
        <v>0</v>
      </c>
      <c r="O287" s="403" t="s">
        <v>714</v>
      </c>
      <c r="S287" s="403" t="s">
        <v>715</v>
      </c>
    </row>
    <row r="288" spans="2:19" s="403" customFormat="1">
      <c r="C288" s="450" t="s">
        <v>728</v>
      </c>
      <c r="D288" s="457">
        <v>6329.1868010984881</v>
      </c>
      <c r="E288" s="452">
        <v>2800.9949034977344</v>
      </c>
      <c r="F288" s="451">
        <v>2647.9291958025551</v>
      </c>
      <c r="G288" s="451">
        <v>1185.5436744729391</v>
      </c>
      <c r="L288" s="403" t="s">
        <v>602</v>
      </c>
      <c r="N288" s="403">
        <v>2.9700000000000001E-2</v>
      </c>
      <c r="O288" s="403" t="s">
        <v>449</v>
      </c>
      <c r="S288" s="403" t="s">
        <v>719</v>
      </c>
    </row>
    <row r="289" spans="1:19" s="403" customFormat="1">
      <c r="C289" s="448"/>
      <c r="D289" s="455"/>
      <c r="E289" s="455"/>
      <c r="F289" s="455"/>
      <c r="G289" s="455"/>
      <c r="L289" s="403" t="s">
        <v>722</v>
      </c>
      <c r="N289" s="403">
        <v>2.7510325837540098E-2</v>
      </c>
      <c r="O289" s="403" t="s">
        <v>449</v>
      </c>
      <c r="S289" s="403" t="s">
        <v>723</v>
      </c>
    </row>
    <row r="290" spans="1:19" s="403" customFormat="1">
      <c r="B290" s="458"/>
      <c r="C290" s="459" t="s">
        <v>681</v>
      </c>
      <c r="D290" s="458"/>
      <c r="E290" s="460"/>
      <c r="F290" s="460"/>
      <c r="G290" s="460"/>
      <c r="L290" s="403" t="s">
        <v>725</v>
      </c>
      <c r="N290" s="403">
        <v>1.8261979907003598E-2</v>
      </c>
      <c r="O290" s="403" t="s">
        <v>449</v>
      </c>
      <c r="S290" s="403" t="s">
        <v>726</v>
      </c>
    </row>
    <row r="291" spans="1:19" s="403" customFormat="1">
      <c r="B291" s="408" t="s">
        <v>736</v>
      </c>
      <c r="C291" s="461" t="s">
        <v>735</v>
      </c>
      <c r="D291" s="462">
        <f>D287/50</f>
        <v>8.7120441062473759</v>
      </c>
      <c r="E291" s="462">
        <f t="shared" ref="E291:G292" si="2">E287/50</f>
        <v>3.8231132247585675</v>
      </c>
      <c r="F291" s="462">
        <f t="shared" si="2"/>
        <v>2.8220319377738838</v>
      </c>
      <c r="G291" s="462">
        <f t="shared" si="2"/>
        <v>1.2383912583188939</v>
      </c>
      <c r="L291" s="403" t="s">
        <v>460</v>
      </c>
      <c r="N291" s="403">
        <v>0.2</v>
      </c>
      <c r="O291" s="403" t="s">
        <v>449</v>
      </c>
      <c r="S291" s="403" t="s">
        <v>691</v>
      </c>
    </row>
    <row r="292" spans="1:19" s="403" customFormat="1">
      <c r="C292" s="448" t="s">
        <v>728</v>
      </c>
      <c r="D292" s="463">
        <f>D288/50</f>
        <v>126.58373602196976</v>
      </c>
      <c r="E292" s="463">
        <f t="shared" si="2"/>
        <v>56.019898069954685</v>
      </c>
      <c r="F292" s="463">
        <f t="shared" si="2"/>
        <v>52.958583916051104</v>
      </c>
      <c r="G292" s="463">
        <f t="shared" si="2"/>
        <v>23.71087348945878</v>
      </c>
      <c r="L292" s="403" t="s">
        <v>692</v>
      </c>
      <c r="N292" s="403">
        <v>29.994299999999999</v>
      </c>
      <c r="O292" s="403" t="s">
        <v>449</v>
      </c>
      <c r="S292" s="403" t="s">
        <v>693</v>
      </c>
    </row>
    <row r="293" spans="1:19" s="403" customFormat="1">
      <c r="B293" s="409"/>
      <c r="C293" s="461"/>
      <c r="D293" s="464"/>
      <c r="E293" s="464"/>
      <c r="F293" s="464"/>
      <c r="G293" s="464"/>
      <c r="L293" s="403" t="s">
        <v>729</v>
      </c>
      <c r="N293" s="453">
        <v>1E-4</v>
      </c>
      <c r="O293" s="403" t="s">
        <v>449</v>
      </c>
      <c r="S293" s="403" t="s">
        <v>730</v>
      </c>
    </row>
    <row r="294" spans="1:19" s="403" customFormat="1">
      <c r="B294" s="409"/>
      <c r="C294" s="465" t="s">
        <v>733</v>
      </c>
      <c r="D294" s="466" t="s">
        <v>737</v>
      </c>
      <c r="E294" s="467"/>
      <c r="F294" s="468"/>
      <c r="G294" s="466"/>
    </row>
    <row r="295" spans="1:19" s="403" customFormat="1">
      <c r="C295" s="447" t="s">
        <v>727</v>
      </c>
      <c r="D295" s="448"/>
      <c r="E295" s="449"/>
      <c r="F295" s="448"/>
      <c r="G295" s="448"/>
    </row>
    <row r="296" spans="1:19" s="403" customFormat="1">
      <c r="C296" s="450" t="s">
        <v>738</v>
      </c>
      <c r="D296" s="451">
        <v>772790.52676470811</v>
      </c>
      <c r="E296" s="452">
        <v>339115.4635991432</v>
      </c>
      <c r="F296" s="451">
        <v>250368.87286946608</v>
      </c>
      <c r="G296" s="451">
        <v>109866.43025160306</v>
      </c>
      <c r="L296" s="403" t="s">
        <v>739</v>
      </c>
    </row>
    <row r="297" spans="1:19" s="403" customFormat="1">
      <c r="C297" s="447" t="s">
        <v>731</v>
      </c>
      <c r="D297" s="448"/>
      <c r="E297" s="449"/>
      <c r="F297" s="448"/>
      <c r="G297" s="448"/>
      <c r="L297" s="403" t="s">
        <v>566</v>
      </c>
      <c r="N297" s="403" t="s">
        <v>443</v>
      </c>
      <c r="O297" s="403" t="s">
        <v>495</v>
      </c>
      <c r="S297" s="403" t="s">
        <v>567</v>
      </c>
    </row>
    <row r="298" spans="1:19" s="403" customFormat="1">
      <c r="C298" s="450" t="s">
        <v>738</v>
      </c>
      <c r="D298" s="451">
        <v>192061.36834427656</v>
      </c>
      <c r="E298" s="452">
        <v>84282.442596415</v>
      </c>
      <c r="F298" s="451">
        <v>62213.105084194154</v>
      </c>
      <c r="G298" s="451">
        <v>27300.954485269172</v>
      </c>
      <c r="L298" s="403" t="s">
        <v>705</v>
      </c>
      <c r="N298" s="403">
        <v>2.0448</v>
      </c>
      <c r="O298" s="403" t="s">
        <v>449</v>
      </c>
      <c r="S298" s="403" t="s">
        <v>706</v>
      </c>
    </row>
    <row r="299" spans="1:19" s="403" customFormat="1">
      <c r="C299" s="448"/>
      <c r="D299" s="455"/>
      <c r="E299" s="455"/>
      <c r="F299" s="455"/>
      <c r="G299" s="455"/>
      <c r="L299" s="403" t="s">
        <v>695</v>
      </c>
      <c r="N299" s="403">
        <v>0</v>
      </c>
      <c r="O299" s="403" t="s">
        <v>707</v>
      </c>
      <c r="S299" s="403" t="s">
        <v>696</v>
      </c>
    </row>
    <row r="300" spans="1:19" s="403" customFormat="1">
      <c r="B300" s="458"/>
      <c r="C300" s="459" t="s">
        <v>681</v>
      </c>
      <c r="D300" s="458"/>
      <c r="E300" s="460"/>
      <c r="F300" s="460"/>
      <c r="G300" s="460"/>
      <c r="L300" s="403" t="s">
        <v>740</v>
      </c>
      <c r="N300" s="403">
        <v>1.2500000000000001E-2</v>
      </c>
      <c r="O300" s="403" t="s">
        <v>707</v>
      </c>
      <c r="S300" s="403" t="s">
        <v>741</v>
      </c>
    </row>
    <row r="301" spans="1:19" s="403" customFormat="1">
      <c r="B301" s="408" t="s">
        <v>742</v>
      </c>
      <c r="C301" s="409" t="s">
        <v>743</v>
      </c>
      <c r="D301" s="409">
        <f>D296/50/1000</f>
        <v>15.455810535294162</v>
      </c>
      <c r="E301" s="409">
        <f t="shared" ref="E301:G301" si="3">E296/50/1000</f>
        <v>6.7823092719828635</v>
      </c>
      <c r="F301" s="409">
        <f t="shared" si="3"/>
        <v>5.0073774573893219</v>
      </c>
      <c r="G301" s="409">
        <f t="shared" si="3"/>
        <v>2.1973286050320611</v>
      </c>
      <c r="L301" s="403" t="s">
        <v>710</v>
      </c>
      <c r="N301" s="403">
        <v>0.22800000000000001</v>
      </c>
      <c r="O301" s="403" t="s">
        <v>449</v>
      </c>
      <c r="S301" s="403" t="s">
        <v>711</v>
      </c>
    </row>
    <row r="302" spans="1:19" s="403" customFormat="1">
      <c r="B302" s="405" t="s">
        <v>744</v>
      </c>
      <c r="C302" s="403" t="s">
        <v>745</v>
      </c>
      <c r="D302" s="403">
        <f>D298/50/1000</f>
        <v>3.8412273668855312</v>
      </c>
      <c r="E302" s="403">
        <f t="shared" ref="E302:G302" si="4">E298/50/1000</f>
        <v>1.6856488519282999</v>
      </c>
      <c r="F302" s="403">
        <f t="shared" si="4"/>
        <v>1.2442621016838831</v>
      </c>
      <c r="G302" s="403">
        <f t="shared" si="4"/>
        <v>0.54601908970538338</v>
      </c>
      <c r="L302" s="403" t="s">
        <v>580</v>
      </c>
      <c r="N302" s="403">
        <v>3.0032999999999999</v>
      </c>
      <c r="O302" s="403" t="s">
        <v>449</v>
      </c>
      <c r="S302" s="403" t="s">
        <v>581</v>
      </c>
    </row>
    <row r="303" spans="1:19" s="403" customFormat="1">
      <c r="B303" s="409"/>
      <c r="C303" s="409"/>
      <c r="D303" s="409"/>
      <c r="E303" s="409"/>
      <c r="F303" s="409"/>
      <c r="G303" s="409"/>
      <c r="L303" s="403" t="s">
        <v>713</v>
      </c>
      <c r="N303" s="403">
        <v>40</v>
      </c>
      <c r="O303" s="403" t="s">
        <v>714</v>
      </c>
      <c r="S303" s="403" t="s">
        <v>715</v>
      </c>
    </row>
    <row r="304" spans="1:19" s="403" customFormat="1">
      <c r="A304" s="408" t="s">
        <v>746</v>
      </c>
      <c r="B304" s="408"/>
      <c r="C304" s="408"/>
      <c r="D304" s="409"/>
      <c r="E304" s="409"/>
      <c r="F304" s="409"/>
      <c r="G304" s="409"/>
      <c r="L304" s="403" t="s">
        <v>602</v>
      </c>
      <c r="N304" s="403">
        <v>2.9700000000000001E-2</v>
      </c>
      <c r="O304" s="403" t="s">
        <v>449</v>
      </c>
      <c r="S304" s="403" t="s">
        <v>719</v>
      </c>
    </row>
    <row r="305" spans="1:19" s="403" customFormat="1">
      <c r="A305" s="405" t="s">
        <v>747</v>
      </c>
      <c r="B305" s="405"/>
      <c r="C305" s="405"/>
      <c r="L305" s="403" t="s">
        <v>722</v>
      </c>
      <c r="N305" s="403">
        <v>2.7510325837540098E-2</v>
      </c>
      <c r="O305" s="403" t="s">
        <v>449</v>
      </c>
      <c r="S305" s="403" t="s">
        <v>723</v>
      </c>
    </row>
    <row r="306" spans="1:19" s="403" customFormat="1">
      <c r="A306" s="410" t="s">
        <v>566</v>
      </c>
      <c r="B306" s="410" t="s">
        <v>567</v>
      </c>
      <c r="C306" s="410" t="s">
        <v>495</v>
      </c>
      <c r="D306" s="410" t="s">
        <v>443</v>
      </c>
      <c r="E306" s="411"/>
      <c r="F306" s="411"/>
      <c r="G306" s="411"/>
      <c r="L306" s="403" t="s">
        <v>725</v>
      </c>
      <c r="N306" s="403">
        <v>1.8261979907003598E-2</v>
      </c>
      <c r="O306" s="403" t="s">
        <v>449</v>
      </c>
      <c r="S306" s="403" t="s">
        <v>726</v>
      </c>
    </row>
    <row r="307" spans="1:19" s="403" customFormat="1">
      <c r="A307" s="403" t="s">
        <v>748</v>
      </c>
      <c r="B307" s="403" t="s">
        <v>749</v>
      </c>
      <c r="C307" s="403" t="s">
        <v>449</v>
      </c>
      <c r="D307" s="403">
        <f>D291*0.125</f>
        <v>1.089005513280922</v>
      </c>
      <c r="E307" s="403">
        <f t="shared" ref="E307:G307" si="5">E291*0.125</f>
        <v>0.47788915309482094</v>
      </c>
      <c r="F307" s="403">
        <f t="shared" si="5"/>
        <v>0.35275399222173548</v>
      </c>
      <c r="G307" s="403">
        <f t="shared" si="5"/>
        <v>0.15479890728986173</v>
      </c>
      <c r="L307" s="403" t="s">
        <v>460</v>
      </c>
      <c r="N307" s="403">
        <v>0.2</v>
      </c>
      <c r="O307" s="403" t="s">
        <v>449</v>
      </c>
      <c r="S307" s="403" t="s">
        <v>691</v>
      </c>
    </row>
    <row r="308" spans="1:19" s="403" customFormat="1">
      <c r="A308" s="403" t="s">
        <v>692</v>
      </c>
      <c r="B308" s="403" t="s">
        <v>693</v>
      </c>
      <c r="C308" s="403" t="s">
        <v>458</v>
      </c>
      <c r="D308" s="469">
        <f>D291</f>
        <v>8.7120441062473759</v>
      </c>
      <c r="E308" s="469">
        <f t="shared" ref="E308:G308" si="6">E291</f>
        <v>3.8231132247585675</v>
      </c>
      <c r="F308" s="469">
        <f t="shared" si="6"/>
        <v>2.8220319377738838</v>
      </c>
      <c r="G308" s="469">
        <f t="shared" si="6"/>
        <v>1.2383912583188939</v>
      </c>
      <c r="L308" s="403" t="s">
        <v>692</v>
      </c>
      <c r="N308" s="403">
        <v>29.994299999999999</v>
      </c>
      <c r="O308" s="403" t="s">
        <v>449</v>
      </c>
      <c r="S308" s="403" t="s">
        <v>693</v>
      </c>
    </row>
    <row r="309" spans="1:19" s="403" customFormat="1">
      <c r="L309" s="403" t="s">
        <v>729</v>
      </c>
      <c r="N309" s="453">
        <v>1E-4</v>
      </c>
      <c r="O309" s="403" t="s">
        <v>449</v>
      </c>
      <c r="S309" s="403" t="s">
        <v>730</v>
      </c>
    </row>
    <row r="310" spans="1:19" s="403" customFormat="1">
      <c r="A310" s="459" t="s">
        <v>737</v>
      </c>
      <c r="B310" s="459"/>
      <c r="C310" s="459"/>
      <c r="D310" s="459"/>
      <c r="E310" s="459"/>
      <c r="F310" s="459"/>
      <c r="G310" s="459"/>
    </row>
    <row r="311" spans="1:19" s="403" customFormat="1">
      <c r="A311" s="403" t="s">
        <v>750</v>
      </c>
      <c r="B311" s="403" t="s">
        <v>690</v>
      </c>
      <c r="C311" s="403" t="s">
        <v>448</v>
      </c>
      <c r="D311" s="403">
        <f>D301</f>
        <v>15.455810535294162</v>
      </c>
      <c r="E311" s="403">
        <f t="shared" ref="E311:G312" si="7">E301</f>
        <v>6.7823092719828635</v>
      </c>
      <c r="F311" s="403">
        <f t="shared" si="7"/>
        <v>5.0073774573893219</v>
      </c>
      <c r="G311" s="403">
        <f t="shared" si="7"/>
        <v>2.1973286050320611</v>
      </c>
    </row>
    <row r="312" spans="1:19" s="403" customFormat="1">
      <c r="A312" s="411" t="s">
        <v>744</v>
      </c>
      <c r="B312" s="411" t="s">
        <v>690</v>
      </c>
      <c r="C312" s="411" t="s">
        <v>448</v>
      </c>
      <c r="D312" s="411">
        <f>D302</f>
        <v>3.8412273668855312</v>
      </c>
      <c r="E312" s="411">
        <f t="shared" si="7"/>
        <v>1.6856488519282999</v>
      </c>
      <c r="F312" s="411">
        <f t="shared" si="7"/>
        <v>1.2442621016838831</v>
      </c>
      <c r="G312" s="411">
        <f t="shared" si="7"/>
        <v>0.54601908970538338</v>
      </c>
    </row>
    <row r="313" spans="1:19" s="403" customFormat="1"/>
    <row r="314" spans="1:19" s="403" customFormat="1"/>
    <row r="315" spans="1:19" s="403" customFormat="1"/>
    <row r="316" spans="1:19" s="403" customFormat="1"/>
    <row r="317" spans="1:19" s="403" customFormat="1">
      <c r="A317" s="405"/>
      <c r="K317" s="405"/>
      <c r="L317" s="470" t="s">
        <v>751</v>
      </c>
      <c r="M317" s="470"/>
      <c r="N317" s="404"/>
      <c r="O317" s="404"/>
      <c r="P317" s="404"/>
    </row>
    <row r="318" spans="1:19" s="403" customFormat="1">
      <c r="L318" s="404" t="s">
        <v>752</v>
      </c>
      <c r="M318" s="404"/>
      <c r="N318" s="404"/>
      <c r="O318" s="404"/>
      <c r="P318" s="404"/>
    </row>
    <row r="319" spans="1:19" s="403" customFormat="1">
      <c r="L319" s="404"/>
      <c r="M319" s="404"/>
      <c r="N319" s="404"/>
      <c r="O319" s="404"/>
      <c r="P319" s="404"/>
    </row>
    <row r="320" spans="1:19" s="403" customFormat="1">
      <c r="L320" s="404"/>
      <c r="M320" s="404"/>
      <c r="N320" s="471" t="s">
        <v>753</v>
      </c>
      <c r="O320" s="404"/>
      <c r="P320" s="404"/>
    </row>
    <row r="321" spans="1:16" s="403" customFormat="1">
      <c r="L321" s="404"/>
      <c r="M321" s="470"/>
      <c r="N321" s="471" t="s">
        <v>325</v>
      </c>
      <c r="O321" s="471" t="s">
        <v>325</v>
      </c>
      <c r="P321" s="471" t="s">
        <v>325</v>
      </c>
    </row>
    <row r="322" spans="1:16" s="403" customFormat="1">
      <c r="L322" s="404"/>
      <c r="M322" s="404"/>
      <c r="N322" s="472" t="s">
        <v>674</v>
      </c>
      <c r="O322" s="473">
        <v>0</v>
      </c>
      <c r="P322" s="473">
        <v>1.28</v>
      </c>
    </row>
    <row r="323" spans="1:16" s="403" customFormat="1">
      <c r="L323" s="404"/>
      <c r="M323" s="404" t="s">
        <v>754</v>
      </c>
      <c r="N323" s="474" t="s">
        <v>755</v>
      </c>
      <c r="O323" s="475" t="s">
        <v>756</v>
      </c>
      <c r="P323" s="475" t="s">
        <v>757</v>
      </c>
    </row>
    <row r="324" spans="1:16" s="403" customFormat="1">
      <c r="B324" s="405"/>
      <c r="L324" s="404"/>
      <c r="M324" s="404" t="s">
        <v>758</v>
      </c>
      <c r="N324" s="476" t="s">
        <v>755</v>
      </c>
      <c r="O324" s="476" t="s">
        <v>759</v>
      </c>
      <c r="P324" s="476" t="s">
        <v>760</v>
      </c>
    </row>
    <row r="325" spans="1:16" s="403" customFormat="1">
      <c r="D325" s="477"/>
    </row>
    <row r="326" spans="1:16" s="403" customFormat="1">
      <c r="H326" s="478"/>
      <c r="I326" s="478"/>
    </row>
    <row r="327" spans="1:16" s="403" customFormat="1">
      <c r="H327" s="478"/>
      <c r="I327" s="478"/>
    </row>
    <row r="328" spans="1:16" s="403" customFormat="1">
      <c r="A328" s="405" t="s">
        <v>761</v>
      </c>
    </row>
    <row r="329" spans="1:16" s="403" customFormat="1">
      <c r="A329" s="405" t="s">
        <v>762</v>
      </c>
    </row>
    <row r="330" spans="1:16" s="403" customFormat="1">
      <c r="A330" s="403" t="s">
        <v>763</v>
      </c>
    </row>
    <row r="331" spans="1:16" s="403" customFormat="1">
      <c r="A331" s="403" t="s">
        <v>764</v>
      </c>
    </row>
    <row r="332" spans="1:16" s="403" customFormat="1"/>
    <row r="333" spans="1:16" s="403" customFormat="1">
      <c r="A333" s="403" t="s">
        <v>765</v>
      </c>
    </row>
    <row r="334" spans="1:16" s="403" customFormat="1">
      <c r="A334" s="403" t="s">
        <v>766</v>
      </c>
      <c r="B334" s="403" t="s">
        <v>767</v>
      </c>
      <c r="C334" s="403" t="s">
        <v>495</v>
      </c>
      <c r="D334" s="403" t="s">
        <v>768</v>
      </c>
    </row>
    <row r="335" spans="1:16" s="403" customFormat="1">
      <c r="A335" s="403" t="s">
        <v>769</v>
      </c>
      <c r="B335" s="403">
        <v>1</v>
      </c>
      <c r="C335" s="403" t="s">
        <v>458</v>
      </c>
      <c r="D335" s="403" t="s">
        <v>769</v>
      </c>
    </row>
    <row r="336" spans="1:16" s="403" customFormat="1">
      <c r="A336" s="403" t="s">
        <v>770</v>
      </c>
      <c r="B336" s="403">
        <v>64</v>
      </c>
      <c r="C336" s="404" t="s">
        <v>569</v>
      </c>
      <c r="D336" s="403" t="s">
        <v>771</v>
      </c>
    </row>
    <row r="337" spans="1:40" s="403" customFormat="1">
      <c r="A337" s="403" t="s">
        <v>772</v>
      </c>
      <c r="B337" s="403">
        <v>14</v>
      </c>
      <c r="C337" s="404" t="s">
        <v>773</v>
      </c>
      <c r="F337" s="403" t="s">
        <v>774</v>
      </c>
    </row>
    <row r="338" spans="1:40" s="403" customFormat="1">
      <c r="A338" s="403" t="s">
        <v>775</v>
      </c>
      <c r="B338" s="403">
        <v>543</v>
      </c>
      <c r="C338" s="404" t="s">
        <v>569</v>
      </c>
      <c r="D338" s="403" t="s">
        <v>776</v>
      </c>
      <c r="E338" s="403" t="s">
        <v>777</v>
      </c>
      <c r="F338" s="403" t="s">
        <v>778</v>
      </c>
    </row>
    <row r="339" spans="1:40" s="403" customFormat="1">
      <c r="A339" s="403" t="s">
        <v>779</v>
      </c>
      <c r="B339" s="403">
        <v>10.7</v>
      </c>
      <c r="C339" s="404" t="s">
        <v>569</v>
      </c>
      <c r="D339" s="403" t="s">
        <v>568</v>
      </c>
    </row>
    <row r="340" spans="1:40" s="403" customFormat="1">
      <c r="A340" s="403" t="s">
        <v>780</v>
      </c>
      <c r="B340" s="403">
        <v>19.399999999999999</v>
      </c>
      <c r="C340" s="404" t="s">
        <v>569</v>
      </c>
      <c r="D340" s="403" t="s">
        <v>568</v>
      </c>
    </row>
    <row r="341" spans="1:40" s="403" customFormat="1">
      <c r="A341" s="403" t="s">
        <v>781</v>
      </c>
      <c r="B341" s="403">
        <v>100</v>
      </c>
      <c r="C341" s="404" t="s">
        <v>773</v>
      </c>
      <c r="D341" s="403" t="s">
        <v>568</v>
      </c>
      <c r="AN341" s="479"/>
    </row>
    <row r="342" spans="1:40" s="403" customFormat="1">
      <c r="A342" s="403" t="s">
        <v>782</v>
      </c>
      <c r="B342" s="403">
        <v>2</v>
      </c>
      <c r="C342" s="404" t="s">
        <v>773</v>
      </c>
      <c r="D342" s="403" t="s">
        <v>568</v>
      </c>
      <c r="AN342" s="479"/>
    </row>
    <row r="343" spans="1:40" s="403" customFormat="1">
      <c r="AN343" s="479"/>
    </row>
    <row r="344" spans="1:40" s="403" customFormat="1">
      <c r="AN344" s="479"/>
    </row>
    <row r="345" spans="1:40" s="403" customFormat="1">
      <c r="AN345" s="479"/>
    </row>
    <row r="346" spans="1:40" s="403" customFormat="1">
      <c r="AN346" s="479"/>
    </row>
    <row r="347" spans="1:40" s="403" customFormat="1">
      <c r="A347" s="403" t="s">
        <v>769</v>
      </c>
      <c r="AN347" s="479"/>
    </row>
    <row r="348" spans="1:40" s="403" customFormat="1">
      <c r="A348" s="403" t="s">
        <v>783</v>
      </c>
      <c r="AN348" s="479"/>
    </row>
    <row r="349" spans="1:40" s="403" customFormat="1">
      <c r="AN349" s="479"/>
    </row>
    <row r="350" spans="1:40" s="403" customFormat="1">
      <c r="AN350" s="479"/>
    </row>
    <row r="351" spans="1:40" s="403" customFormat="1">
      <c r="A351" s="413" t="s">
        <v>571</v>
      </c>
      <c r="B351" s="413" t="s">
        <v>572</v>
      </c>
      <c r="C351" s="413" t="s">
        <v>573</v>
      </c>
      <c r="D351" s="413" t="s">
        <v>784</v>
      </c>
      <c r="E351" s="413" t="s">
        <v>575</v>
      </c>
      <c r="AN351" s="479"/>
    </row>
    <row r="352" spans="1:40" s="403" customFormat="1">
      <c r="A352" s="413" t="s">
        <v>579</v>
      </c>
      <c r="B352" s="415">
        <f>SUM(B353:B367)</f>
        <v>1048.8699999999999</v>
      </c>
      <c r="C352" s="415"/>
      <c r="D352" s="415"/>
      <c r="E352" s="415"/>
      <c r="AN352" s="479"/>
    </row>
    <row r="353" spans="1:40" s="403" customFormat="1" ht="15" thickBot="1">
      <c r="A353" s="416" t="s">
        <v>582</v>
      </c>
      <c r="B353" s="480">
        <v>18.75</v>
      </c>
      <c r="C353" s="416" t="s">
        <v>568</v>
      </c>
      <c r="D353" s="416" t="s">
        <v>583</v>
      </c>
      <c r="E353" s="415"/>
      <c r="L353" s="481"/>
      <c r="M353" s="479"/>
      <c r="AN353" s="479"/>
    </row>
    <row r="354" spans="1:40" s="403" customFormat="1" ht="15" thickBot="1">
      <c r="A354" s="416" t="s">
        <v>586</v>
      </c>
      <c r="B354" s="480">
        <v>365</v>
      </c>
      <c r="C354" s="416" t="s">
        <v>587</v>
      </c>
      <c r="D354" s="416" t="s">
        <v>588</v>
      </c>
      <c r="E354" s="415"/>
      <c r="L354" s="481"/>
      <c r="M354" s="479"/>
      <c r="AN354" s="479"/>
    </row>
    <row r="355" spans="1:40" s="403" customFormat="1" ht="15" thickBot="1">
      <c r="A355" s="416" t="s">
        <v>592</v>
      </c>
      <c r="B355" s="480">
        <v>147.5</v>
      </c>
      <c r="C355" s="416" t="s">
        <v>568</v>
      </c>
      <c r="D355" s="416" t="s">
        <v>583</v>
      </c>
      <c r="E355" s="415"/>
      <c r="L355" s="481"/>
      <c r="M355" s="479"/>
      <c r="AN355" s="479"/>
    </row>
    <row r="356" spans="1:40" s="403" customFormat="1" ht="15" thickBot="1">
      <c r="A356" s="416" t="s">
        <v>595</v>
      </c>
      <c r="B356" s="480">
        <v>31.29</v>
      </c>
      <c r="C356" s="416" t="s">
        <v>568</v>
      </c>
      <c r="D356" s="416" t="s">
        <v>583</v>
      </c>
      <c r="E356" s="415"/>
      <c r="L356" s="481"/>
      <c r="M356" s="479"/>
      <c r="AN356" s="479"/>
    </row>
    <row r="357" spans="1:40" s="403" customFormat="1" ht="15" thickBot="1">
      <c r="A357" s="416" t="s">
        <v>598</v>
      </c>
      <c r="B357" s="480">
        <v>31.48</v>
      </c>
      <c r="C357" s="416" t="s">
        <v>568</v>
      </c>
      <c r="D357" s="416" t="s">
        <v>583</v>
      </c>
      <c r="E357" s="415"/>
      <c r="L357" s="481"/>
      <c r="M357" s="479"/>
      <c r="AN357" s="479"/>
    </row>
    <row r="358" spans="1:40" s="403" customFormat="1" ht="15" thickBot="1">
      <c r="A358" s="416" t="s">
        <v>601</v>
      </c>
      <c r="B358" s="480">
        <v>54.47</v>
      </c>
      <c r="C358" s="416" t="s">
        <v>568</v>
      </c>
      <c r="D358" s="416" t="s">
        <v>583</v>
      </c>
      <c r="E358" s="415"/>
      <c r="L358" s="481"/>
      <c r="M358" s="479"/>
    </row>
    <row r="359" spans="1:40" s="403" customFormat="1" ht="15" thickBot="1">
      <c r="A359" s="416" t="s">
        <v>604</v>
      </c>
      <c r="B359" s="480">
        <v>59.05</v>
      </c>
      <c r="C359" s="416" t="s">
        <v>568</v>
      </c>
      <c r="D359" s="416" t="s">
        <v>583</v>
      </c>
      <c r="E359" s="415"/>
      <c r="L359" s="481"/>
      <c r="M359" s="479"/>
    </row>
    <row r="360" spans="1:40" s="403" customFormat="1" ht="15" thickBot="1">
      <c r="A360" s="416" t="s">
        <v>607</v>
      </c>
      <c r="B360" s="480">
        <v>91.25</v>
      </c>
      <c r="C360" s="416" t="s">
        <v>596</v>
      </c>
      <c r="D360" s="415" t="s">
        <v>559</v>
      </c>
      <c r="E360" s="415"/>
      <c r="L360" s="481"/>
      <c r="M360" s="479"/>
    </row>
    <row r="361" spans="1:40" s="403" customFormat="1" ht="15" thickBot="1">
      <c r="A361" s="416" t="s">
        <v>610</v>
      </c>
      <c r="B361" s="480">
        <v>17.239999999999998</v>
      </c>
      <c r="C361" s="416" t="s">
        <v>611</v>
      </c>
      <c r="D361" s="415" t="s">
        <v>559</v>
      </c>
      <c r="E361" s="415"/>
      <c r="L361" s="481"/>
      <c r="M361" s="479"/>
    </row>
    <row r="362" spans="1:40" s="403" customFormat="1" ht="15" thickBot="1">
      <c r="A362" s="416" t="s">
        <v>614</v>
      </c>
      <c r="B362" s="480">
        <v>35.479999999999997</v>
      </c>
      <c r="C362" s="416" t="s">
        <v>568</v>
      </c>
      <c r="D362" s="416" t="s">
        <v>583</v>
      </c>
      <c r="E362" s="415"/>
      <c r="L362" s="481"/>
      <c r="M362" s="479"/>
    </row>
    <row r="363" spans="1:40" s="403" customFormat="1" ht="15" thickBot="1">
      <c r="A363" s="416" t="s">
        <v>617</v>
      </c>
      <c r="B363" s="480">
        <v>26.25</v>
      </c>
      <c r="C363" s="416" t="s">
        <v>568</v>
      </c>
      <c r="D363" s="416" t="s">
        <v>583</v>
      </c>
      <c r="E363" s="415"/>
      <c r="L363" s="481"/>
      <c r="M363" s="479"/>
    </row>
    <row r="364" spans="1:40" s="403" customFormat="1" ht="15" thickBot="1">
      <c r="A364" s="416" t="s">
        <v>600</v>
      </c>
      <c r="B364" s="480">
        <v>53.45</v>
      </c>
      <c r="C364" s="416" t="s">
        <v>600</v>
      </c>
      <c r="D364" s="415" t="s">
        <v>559</v>
      </c>
      <c r="E364" s="415"/>
      <c r="L364" s="481"/>
      <c r="M364" s="479"/>
    </row>
    <row r="365" spans="1:40" s="403" customFormat="1" ht="15" thickBot="1">
      <c r="A365" s="416" t="s">
        <v>620</v>
      </c>
      <c r="B365" s="480">
        <v>9.02</v>
      </c>
      <c r="C365" s="416" t="s">
        <v>568</v>
      </c>
      <c r="D365" s="416" t="s">
        <v>583</v>
      </c>
      <c r="E365" s="415"/>
      <c r="L365" s="481"/>
      <c r="M365" s="479"/>
    </row>
    <row r="366" spans="1:40" s="403" customFormat="1" ht="15" thickBot="1">
      <c r="A366" s="416" t="s">
        <v>621</v>
      </c>
      <c r="B366" s="480">
        <v>55.79</v>
      </c>
      <c r="C366" s="416" t="s">
        <v>568</v>
      </c>
      <c r="D366" s="416" t="s">
        <v>583</v>
      </c>
      <c r="E366" s="415"/>
      <c r="L366" s="481"/>
      <c r="M366" s="479"/>
    </row>
    <row r="367" spans="1:40" s="403" customFormat="1" ht="15" thickBot="1">
      <c r="A367" s="416" t="s">
        <v>623</v>
      </c>
      <c r="B367" s="480">
        <v>52.85</v>
      </c>
      <c r="C367" s="416" t="s">
        <v>568</v>
      </c>
      <c r="D367" s="416" t="s">
        <v>583</v>
      </c>
      <c r="E367" s="415"/>
      <c r="L367" s="481"/>
      <c r="M367" s="479"/>
    </row>
    <row r="368" spans="1:40" s="403" customFormat="1" ht="15" thickBot="1">
      <c r="A368" s="416" t="s">
        <v>785</v>
      </c>
      <c r="B368" s="480">
        <f>4.45+7.5+6.65+17.56+7.35+17.25</f>
        <v>60.76</v>
      </c>
      <c r="C368" s="416" t="s">
        <v>568</v>
      </c>
      <c r="D368" s="416" t="s">
        <v>583</v>
      </c>
      <c r="E368" s="415"/>
      <c r="L368" s="481"/>
      <c r="M368" s="479"/>
    </row>
    <row r="369" spans="1:13" s="403" customFormat="1">
      <c r="A369" s="413" t="s">
        <v>624</v>
      </c>
      <c r="C369" s="415"/>
      <c r="D369" s="415"/>
      <c r="E369" s="415"/>
      <c r="L369" s="481"/>
      <c r="M369" s="479"/>
    </row>
    <row r="370" spans="1:13" s="403" customFormat="1">
      <c r="A370" s="416" t="s">
        <v>626</v>
      </c>
      <c r="B370" s="417">
        <v>8.98</v>
      </c>
      <c r="C370" s="416" t="s">
        <v>590</v>
      </c>
      <c r="D370" s="416" t="s">
        <v>627</v>
      </c>
      <c r="E370" s="415"/>
    </row>
    <row r="371" spans="1:13" s="403" customFormat="1">
      <c r="A371" s="416" t="s">
        <v>628</v>
      </c>
      <c r="B371" s="417">
        <v>2.2400000000000002</v>
      </c>
      <c r="C371" s="416" t="s">
        <v>590</v>
      </c>
      <c r="D371" s="416" t="s">
        <v>627</v>
      </c>
      <c r="E371" s="415"/>
    </row>
    <row r="372" spans="1:13" s="403" customFormat="1">
      <c r="A372" s="416" t="s">
        <v>629</v>
      </c>
      <c r="B372" s="417">
        <v>2.65</v>
      </c>
      <c r="C372" s="416" t="s">
        <v>568</v>
      </c>
      <c r="D372" s="416" t="s">
        <v>583</v>
      </c>
      <c r="E372" s="415"/>
    </row>
    <row r="373" spans="1:13" s="403" customFormat="1">
      <c r="A373" s="416" t="s">
        <v>631</v>
      </c>
      <c r="B373" s="417">
        <v>2.02</v>
      </c>
      <c r="C373" s="416" t="s">
        <v>590</v>
      </c>
      <c r="D373" s="416" t="s">
        <v>627</v>
      </c>
      <c r="E373" s="415"/>
    </row>
    <row r="374" spans="1:13" s="403" customFormat="1">
      <c r="A374" s="416" t="s">
        <v>633</v>
      </c>
      <c r="B374" s="417">
        <v>2.0129999999999999</v>
      </c>
      <c r="C374" s="416" t="str">
        <f>C373</f>
        <v>Hydrolysis product</v>
      </c>
      <c r="D374" s="416" t="s">
        <v>627</v>
      </c>
      <c r="E374" s="415"/>
    </row>
    <row r="375" spans="1:13" s="403" customFormat="1">
      <c r="A375" s="416" t="s">
        <v>634</v>
      </c>
      <c r="B375" s="417">
        <v>0.219</v>
      </c>
      <c r="C375" s="416" t="s">
        <v>568</v>
      </c>
      <c r="D375" s="416" t="s">
        <v>583</v>
      </c>
      <c r="E375" s="415"/>
    </row>
    <row r="376" spans="1:13" s="403" customFormat="1">
      <c r="A376" s="416" t="s">
        <v>786</v>
      </c>
      <c r="B376" s="417">
        <v>0.68</v>
      </c>
      <c r="C376" s="416" t="s">
        <v>568</v>
      </c>
      <c r="D376" s="416" t="s">
        <v>583</v>
      </c>
      <c r="E376" s="415"/>
    </row>
    <row r="377" spans="1:13" s="403" customFormat="1">
      <c r="A377" s="416" t="s">
        <v>787</v>
      </c>
      <c r="B377" s="417">
        <v>3.5000000000000001E-3</v>
      </c>
      <c r="C377" s="416" t="s">
        <v>568</v>
      </c>
      <c r="D377" s="416" t="s">
        <v>583</v>
      </c>
      <c r="E377" s="415"/>
    </row>
    <row r="378" spans="1:13" s="403" customFormat="1">
      <c r="A378" s="416" t="s">
        <v>636</v>
      </c>
      <c r="B378" s="417">
        <v>2.17</v>
      </c>
      <c r="C378" s="416" t="s">
        <v>590</v>
      </c>
      <c r="D378" s="416" t="s">
        <v>627</v>
      </c>
      <c r="E378" s="415"/>
    </row>
    <row r="379" spans="1:13" s="403" customFormat="1">
      <c r="A379" s="416" t="s">
        <v>638</v>
      </c>
      <c r="B379" s="417">
        <v>12.6</v>
      </c>
      <c r="C379" s="416" t="s">
        <v>590</v>
      </c>
      <c r="D379" s="416" t="s">
        <v>627</v>
      </c>
      <c r="E379" s="415"/>
    </row>
    <row r="380" spans="1:13" s="403" customFormat="1">
      <c r="A380" s="413" t="s">
        <v>639</v>
      </c>
      <c r="B380" s="415"/>
      <c r="C380" s="415"/>
      <c r="D380" s="415"/>
      <c r="E380" s="415"/>
    </row>
    <row r="381" spans="1:13" s="403" customFormat="1">
      <c r="A381" s="416" t="s">
        <v>640</v>
      </c>
      <c r="B381" s="417">
        <v>116.6</v>
      </c>
      <c r="C381" s="415" t="s">
        <v>577</v>
      </c>
      <c r="D381" s="416" t="s">
        <v>578</v>
      </c>
      <c r="E381" s="415"/>
    </row>
    <row r="382" spans="1:13" s="403" customFormat="1">
      <c r="A382" s="416" t="s">
        <v>641</v>
      </c>
      <c r="B382" s="417">
        <v>0.05</v>
      </c>
      <c r="C382" s="415" t="s">
        <v>594</v>
      </c>
      <c r="D382" s="416" t="s">
        <v>578</v>
      </c>
      <c r="E382" s="415"/>
    </row>
    <row r="383" spans="1:13" s="403" customFormat="1">
      <c r="A383" s="416" t="s">
        <v>642</v>
      </c>
      <c r="B383" s="417">
        <v>48.84</v>
      </c>
      <c r="C383" s="415" t="s">
        <v>603</v>
      </c>
      <c r="D383" s="416" t="s">
        <v>578</v>
      </c>
      <c r="E383" s="415"/>
    </row>
    <row r="384" spans="1:13" s="403" customFormat="1">
      <c r="A384" s="416" t="s">
        <v>643</v>
      </c>
      <c r="B384" s="417">
        <v>311.8</v>
      </c>
      <c r="C384" s="415" t="s">
        <v>609</v>
      </c>
      <c r="D384" s="416" t="s">
        <v>578</v>
      </c>
      <c r="E384" s="415"/>
    </row>
    <row r="385" spans="1:5" s="403" customFormat="1">
      <c r="A385" s="416" t="s">
        <v>644</v>
      </c>
      <c r="B385" s="417">
        <v>2438</v>
      </c>
      <c r="C385" s="415" t="s">
        <v>613</v>
      </c>
      <c r="D385" s="416" t="s">
        <v>578</v>
      </c>
      <c r="E385" s="415"/>
    </row>
    <row r="386" spans="1:5" s="403" customFormat="1">
      <c r="A386" s="416" t="s">
        <v>645</v>
      </c>
      <c r="B386" s="417">
        <v>6995.5</v>
      </c>
      <c r="C386" s="415" t="s">
        <v>616</v>
      </c>
      <c r="D386" s="416" t="s">
        <v>578</v>
      </c>
      <c r="E386" s="415"/>
    </row>
    <row r="387" spans="1:5" s="403" customFormat="1">
      <c r="A387" s="416" t="s">
        <v>647</v>
      </c>
      <c r="B387" s="417">
        <v>62.5</v>
      </c>
      <c r="C387" s="415" t="s">
        <v>619</v>
      </c>
      <c r="D387" s="416" t="s">
        <v>578</v>
      </c>
      <c r="E387" s="415"/>
    </row>
    <row r="388" spans="1:5" s="403" customFormat="1" ht="15" thickBot="1">
      <c r="A388" s="482" t="s">
        <v>788</v>
      </c>
      <c r="B388" s="417">
        <v>1.2999999999999999E-3</v>
      </c>
      <c r="C388" s="403" t="s">
        <v>789</v>
      </c>
      <c r="D388" s="416" t="s">
        <v>578</v>
      </c>
      <c r="E388" s="415"/>
    </row>
    <row r="389" spans="1:5" s="403" customFormat="1" ht="15" thickBot="1">
      <c r="A389" s="482" t="s">
        <v>790</v>
      </c>
      <c r="B389" s="417">
        <v>0.41699999999999998</v>
      </c>
      <c r="C389" s="403" t="s">
        <v>594</v>
      </c>
      <c r="D389" s="416" t="s">
        <v>578</v>
      </c>
      <c r="E389" s="415"/>
    </row>
    <row r="390" spans="1:5" s="403" customFormat="1" ht="15" thickBot="1">
      <c r="A390" s="482" t="s">
        <v>791</v>
      </c>
      <c r="B390" s="417">
        <v>28.64</v>
      </c>
      <c r="C390" s="403" t="s">
        <v>603</v>
      </c>
      <c r="D390" s="416" t="s">
        <v>578</v>
      </c>
      <c r="E390" s="415"/>
    </row>
    <row r="391" spans="1:5" s="403" customFormat="1" ht="15" thickBot="1">
      <c r="A391" s="482" t="s">
        <v>792</v>
      </c>
      <c r="B391" s="417">
        <v>71.02</v>
      </c>
      <c r="C391" s="403" t="s">
        <v>619</v>
      </c>
      <c r="D391" s="416" t="s">
        <v>578</v>
      </c>
      <c r="E391" s="415"/>
    </row>
    <row r="392" spans="1:5" s="403" customFormat="1" ht="15" thickBot="1">
      <c r="A392" s="482" t="s">
        <v>793</v>
      </c>
      <c r="B392" s="417">
        <v>0.432</v>
      </c>
      <c r="C392" s="403" t="s">
        <v>789</v>
      </c>
      <c r="D392" s="416" t="s">
        <v>578</v>
      </c>
      <c r="E392" s="415"/>
    </row>
    <row r="393" spans="1:5" s="403" customFormat="1">
      <c r="A393" s="416"/>
      <c r="B393" s="417"/>
      <c r="C393" s="415"/>
      <c r="D393" s="416"/>
      <c r="E393" s="415"/>
    </row>
    <row r="394" spans="1:5" s="403" customFormat="1">
      <c r="A394" s="413" t="s">
        <v>648</v>
      </c>
      <c r="B394" s="415"/>
      <c r="C394" s="415"/>
      <c r="D394" s="415"/>
      <c r="E394" s="415"/>
    </row>
    <row r="395" spans="1:5" s="403" customFormat="1">
      <c r="A395" s="416" t="s">
        <v>650</v>
      </c>
      <c r="B395" s="417">
        <v>4500</v>
      </c>
      <c r="C395" s="415" t="s">
        <v>581</v>
      </c>
      <c r="D395" s="416" t="s">
        <v>578</v>
      </c>
      <c r="E395" s="415"/>
    </row>
    <row r="396" spans="1:5" s="403" customFormat="1">
      <c r="A396" s="416" t="s">
        <v>794</v>
      </c>
      <c r="B396" s="417">
        <v>2.39</v>
      </c>
      <c r="C396" s="415" t="s">
        <v>590</v>
      </c>
      <c r="D396" s="416"/>
      <c r="E396" s="415"/>
    </row>
    <row r="397" spans="1:5" s="403" customFormat="1">
      <c r="A397" s="416" t="s">
        <v>795</v>
      </c>
      <c r="B397" s="417">
        <v>4.2000000000000003E-2</v>
      </c>
      <c r="C397" s="403" t="s">
        <v>796</v>
      </c>
      <c r="D397" s="416" t="s">
        <v>578</v>
      </c>
      <c r="E397" s="415"/>
    </row>
    <row r="398" spans="1:5" s="403" customFormat="1">
      <c r="A398" s="416" t="s">
        <v>797</v>
      </c>
      <c r="B398" s="417">
        <v>0.105</v>
      </c>
      <c r="C398" s="403" t="s">
        <v>796</v>
      </c>
      <c r="D398" s="416" t="s">
        <v>578</v>
      </c>
      <c r="E398" s="415"/>
    </row>
    <row r="399" spans="1:5" s="403" customFormat="1">
      <c r="A399" s="416" t="s">
        <v>798</v>
      </c>
      <c r="B399" s="417">
        <v>8.1000000000000003E-2</v>
      </c>
      <c r="C399" s="416" t="s">
        <v>568</v>
      </c>
      <c r="D399" s="416"/>
      <c r="E399" s="415"/>
    </row>
    <row r="400" spans="1:5" s="403" customFormat="1">
      <c r="A400" s="416" t="s">
        <v>799</v>
      </c>
      <c r="B400" s="417">
        <v>55</v>
      </c>
      <c r="C400" s="416" t="s">
        <v>568</v>
      </c>
      <c r="D400" s="416"/>
      <c r="E400" s="415"/>
    </row>
    <row r="401" spans="1:11" s="403" customFormat="1">
      <c r="A401" s="416" t="s">
        <v>800</v>
      </c>
      <c r="B401" s="417">
        <v>0.36499999999999999</v>
      </c>
      <c r="C401" s="415" t="s">
        <v>590</v>
      </c>
      <c r="D401" s="416"/>
      <c r="E401" s="415"/>
    </row>
    <row r="402" spans="1:11" s="403" customFormat="1">
      <c r="A402" s="416"/>
      <c r="B402" s="417"/>
      <c r="C402" s="415"/>
      <c r="D402" s="416"/>
      <c r="E402" s="416"/>
    </row>
    <row r="403" spans="1:11" s="403" customFormat="1">
      <c r="A403" s="416"/>
      <c r="B403" s="417"/>
      <c r="C403" s="416"/>
      <c r="D403" s="416"/>
      <c r="E403" s="416"/>
    </row>
    <row r="404" spans="1:11" s="403" customFormat="1">
      <c r="A404" s="416" t="s">
        <v>6</v>
      </c>
      <c r="B404" s="417" t="s">
        <v>801</v>
      </c>
      <c r="C404" s="416"/>
      <c r="D404" s="416"/>
      <c r="E404" s="415"/>
    </row>
    <row r="405" spans="1:11" s="403" customFormat="1">
      <c r="A405" s="416" t="s">
        <v>658</v>
      </c>
      <c r="B405" s="415">
        <f>SUM(B353:B403)</f>
        <v>15774.988799999999</v>
      </c>
      <c r="C405" s="415"/>
      <c r="D405" s="415"/>
      <c r="E405" s="415"/>
    </row>
    <row r="406" spans="1:11" s="403" customFormat="1">
      <c r="A406" s="416" t="s">
        <v>659</v>
      </c>
      <c r="B406" s="415">
        <f>B405/10^6*100</f>
        <v>1.57749888</v>
      </c>
      <c r="C406" s="415"/>
      <c r="D406" s="415"/>
      <c r="E406" s="415"/>
    </row>
    <row r="407" spans="1:11" s="403" customFormat="1">
      <c r="A407" s="416" t="s">
        <v>449</v>
      </c>
      <c r="B407" s="415">
        <f>B405/10^6</f>
        <v>1.57749888E-2</v>
      </c>
      <c r="C407" s="415"/>
      <c r="D407" s="415"/>
      <c r="E407" s="415"/>
    </row>
    <row r="408" spans="1:11" s="403" customFormat="1">
      <c r="A408" s="416" t="s">
        <v>662</v>
      </c>
      <c r="B408" s="415">
        <f>SUM(B353:B367)/B405*100</f>
        <v>6.6489429139879954</v>
      </c>
      <c r="C408" s="415"/>
      <c r="D408" s="415"/>
      <c r="E408" s="415"/>
    </row>
    <row r="409" spans="1:11" s="403" customFormat="1">
      <c r="A409" s="416" t="s">
        <v>663</v>
      </c>
      <c r="B409" s="415">
        <f>B395/B405</f>
        <v>0.28526169223017134</v>
      </c>
      <c r="C409" s="415"/>
      <c r="D409" s="415"/>
      <c r="E409" s="415"/>
    </row>
    <row r="410" spans="1:11" s="403" customFormat="1">
      <c r="A410" s="416" t="s">
        <v>664</v>
      </c>
      <c r="B410" s="415">
        <f>(B353+B355+B356+B357+B358+B359+B362+B363+B365+B366+B367+B368)</f>
        <v>582.69000000000005</v>
      </c>
      <c r="C410" s="415"/>
      <c r="D410" s="415"/>
      <c r="E410" s="415"/>
    </row>
    <row r="411" spans="1:11" s="403" customFormat="1">
      <c r="A411" s="416" t="s">
        <v>665</v>
      </c>
      <c r="B411" s="415">
        <f>B370+B371+B373+B374+B378+B379+B396+B401</f>
        <v>32.778000000000006</v>
      </c>
      <c r="C411" s="415"/>
      <c r="D411" s="415"/>
      <c r="E411" s="415"/>
    </row>
    <row r="412" spans="1:11" s="403" customFormat="1">
      <c r="A412" s="416" t="s">
        <v>666</v>
      </c>
      <c r="B412" s="415">
        <f>B372+B375+B376+B377+B399+B400</f>
        <v>58.633499999999998</v>
      </c>
      <c r="C412" s="415"/>
      <c r="D412" s="415"/>
      <c r="E412" s="415"/>
    </row>
    <row r="413" spans="1:11" s="403" customFormat="1"/>
    <row r="414" spans="1:11" s="403" customFormat="1"/>
    <row r="415" spans="1:11" s="403" customFormat="1">
      <c r="A415" s="403" t="s">
        <v>802</v>
      </c>
    </row>
    <row r="416" spans="1:11" s="403" customFormat="1">
      <c r="A416" s="403" t="s">
        <v>566</v>
      </c>
      <c r="B416" s="403" t="s">
        <v>14</v>
      </c>
      <c r="C416" s="403" t="s">
        <v>443</v>
      </c>
      <c r="D416" s="403" t="s">
        <v>495</v>
      </c>
      <c r="E416" s="403" t="s">
        <v>803</v>
      </c>
      <c r="F416" s="403" t="s">
        <v>804</v>
      </c>
      <c r="G416" s="403" t="s">
        <v>805</v>
      </c>
      <c r="H416" s="403" t="s">
        <v>567</v>
      </c>
      <c r="J416" s="403" t="s">
        <v>806</v>
      </c>
      <c r="K416" s="403" t="s">
        <v>807</v>
      </c>
    </row>
    <row r="417" spans="1:11" s="403" customFormat="1">
      <c r="A417" s="403" t="s">
        <v>568</v>
      </c>
      <c r="B417" s="403" t="s">
        <v>808</v>
      </c>
      <c r="C417" s="403">
        <v>30.7</v>
      </c>
      <c r="D417" s="403" t="s">
        <v>569</v>
      </c>
      <c r="F417" s="403" t="s">
        <v>809</v>
      </c>
      <c r="H417" s="403" t="s">
        <v>568</v>
      </c>
    </row>
    <row r="418" spans="1:11" s="403" customFormat="1">
      <c r="A418" s="403" t="s">
        <v>568</v>
      </c>
      <c r="B418" s="403" t="s">
        <v>808</v>
      </c>
      <c r="C418" s="403">
        <v>102</v>
      </c>
      <c r="D418" s="403" t="s">
        <v>810</v>
      </c>
      <c r="F418" s="403" t="s">
        <v>809</v>
      </c>
      <c r="H418" s="403" t="s">
        <v>568</v>
      </c>
    </row>
    <row r="419" spans="1:11" s="403" customFormat="1">
      <c r="A419" s="403" t="s">
        <v>525</v>
      </c>
      <c r="B419" s="403" t="s">
        <v>808</v>
      </c>
      <c r="C419" s="403">
        <v>1</v>
      </c>
      <c r="D419" s="403" t="s">
        <v>449</v>
      </c>
      <c r="F419" s="403" t="s">
        <v>809</v>
      </c>
      <c r="H419" s="403" t="s">
        <v>811</v>
      </c>
    </row>
    <row r="420" spans="1:11" s="403" customFormat="1">
      <c r="A420" s="403" t="s">
        <v>590</v>
      </c>
      <c r="B420" s="403" t="s">
        <v>808</v>
      </c>
      <c r="C420" s="403">
        <v>64</v>
      </c>
      <c r="D420" s="403" t="s">
        <v>569</v>
      </c>
      <c r="F420" s="403" t="s">
        <v>809</v>
      </c>
      <c r="H420" s="403" t="s">
        <v>591</v>
      </c>
    </row>
    <row r="421" spans="1:11" s="403" customFormat="1">
      <c r="A421" s="403" t="s">
        <v>812</v>
      </c>
      <c r="B421" s="403" t="s">
        <v>813</v>
      </c>
      <c r="C421" s="403">
        <v>543</v>
      </c>
      <c r="D421" s="403" t="s">
        <v>569</v>
      </c>
      <c r="F421" s="403" t="s">
        <v>809</v>
      </c>
      <c r="H421" s="403" t="s">
        <v>776</v>
      </c>
    </row>
    <row r="422" spans="1:11" s="403" customFormat="1"/>
    <row r="423" spans="1:11" s="403" customFormat="1"/>
    <row r="424" spans="1:11" s="403" customFormat="1"/>
    <row r="425" spans="1:11" s="403" customFormat="1">
      <c r="A425" s="403" t="s">
        <v>814</v>
      </c>
    </row>
    <row r="426" spans="1:11" s="403" customFormat="1">
      <c r="A426" s="403" t="s">
        <v>566</v>
      </c>
      <c r="B426" s="403" t="s">
        <v>14</v>
      </c>
      <c r="C426" s="403" t="s">
        <v>443</v>
      </c>
      <c r="D426" s="403" t="s">
        <v>495</v>
      </c>
      <c r="E426" s="403" t="s">
        <v>803</v>
      </c>
      <c r="F426" s="403" t="s">
        <v>804</v>
      </c>
      <c r="G426" s="403" t="s">
        <v>805</v>
      </c>
      <c r="H426" s="403" t="s">
        <v>567</v>
      </c>
      <c r="J426" s="403" t="s">
        <v>806</v>
      </c>
      <c r="K426" s="403" t="s">
        <v>807</v>
      </c>
    </row>
    <row r="427" spans="1:11" s="403" customFormat="1">
      <c r="A427" s="403" t="s">
        <v>568</v>
      </c>
      <c r="B427" s="403" t="s">
        <v>808</v>
      </c>
      <c r="C427" s="403">
        <v>30.7</v>
      </c>
      <c r="D427" s="403" t="s">
        <v>569</v>
      </c>
      <c r="F427" s="403" t="s">
        <v>809</v>
      </c>
      <c r="H427" s="403" t="s">
        <v>625</v>
      </c>
    </row>
    <row r="428" spans="1:11" s="403" customFormat="1">
      <c r="A428" s="403" t="s">
        <v>568</v>
      </c>
      <c r="B428" s="403" t="s">
        <v>808</v>
      </c>
      <c r="C428" s="403">
        <v>102</v>
      </c>
      <c r="D428" s="403" t="s">
        <v>810</v>
      </c>
      <c r="F428" s="403" t="s">
        <v>809</v>
      </c>
      <c r="H428" s="403" t="s">
        <v>625</v>
      </c>
    </row>
    <row r="429" spans="1:11" s="403" customFormat="1">
      <c r="A429" s="403" t="s">
        <v>525</v>
      </c>
      <c r="B429" s="403" t="s">
        <v>808</v>
      </c>
      <c r="C429" s="403">
        <v>1</v>
      </c>
      <c r="D429" s="403" t="s">
        <v>449</v>
      </c>
      <c r="F429" s="403" t="s">
        <v>809</v>
      </c>
      <c r="H429" s="403" t="s">
        <v>815</v>
      </c>
    </row>
    <row r="430" spans="1:11" s="403" customFormat="1">
      <c r="A430" s="403" t="s">
        <v>590</v>
      </c>
      <c r="B430" s="403" t="s">
        <v>808</v>
      </c>
      <c r="C430" s="403">
        <v>64</v>
      </c>
      <c r="D430" s="403" t="s">
        <v>569</v>
      </c>
      <c r="F430" s="403" t="s">
        <v>809</v>
      </c>
      <c r="H430" s="403" t="s">
        <v>632</v>
      </c>
    </row>
    <row r="431" spans="1:11" s="403" customFormat="1">
      <c r="A431" s="403" t="s">
        <v>812</v>
      </c>
      <c r="B431" s="403" t="s">
        <v>813</v>
      </c>
      <c r="C431" s="403">
        <v>543</v>
      </c>
      <c r="D431" s="403" t="s">
        <v>569</v>
      </c>
      <c r="F431" s="403" t="s">
        <v>809</v>
      </c>
      <c r="H431" s="403" t="s">
        <v>776</v>
      </c>
    </row>
    <row r="432" spans="1:11" s="403" customFormat="1"/>
    <row r="433" spans="1:11" s="403" customFormat="1"/>
    <row r="434" spans="1:11" s="403" customFormat="1"/>
    <row r="435" spans="1:11" s="403" customFormat="1">
      <c r="A435" s="403" t="s">
        <v>816</v>
      </c>
    </row>
    <row r="436" spans="1:11" s="403" customFormat="1">
      <c r="A436" s="403" t="s">
        <v>566</v>
      </c>
      <c r="B436" s="403" t="s">
        <v>14</v>
      </c>
      <c r="C436" s="403" t="s">
        <v>443</v>
      </c>
      <c r="D436" s="403" t="s">
        <v>495</v>
      </c>
      <c r="E436" s="403" t="s">
        <v>803</v>
      </c>
      <c r="F436" s="403" t="s">
        <v>804</v>
      </c>
      <c r="G436" s="403" t="s">
        <v>805</v>
      </c>
      <c r="H436" s="403" t="s">
        <v>567</v>
      </c>
      <c r="J436" s="403" t="s">
        <v>806</v>
      </c>
      <c r="K436" s="403" t="s">
        <v>807</v>
      </c>
    </row>
    <row r="437" spans="1:11" s="403" customFormat="1">
      <c r="A437" s="403" t="s">
        <v>568</v>
      </c>
      <c r="B437" s="403" t="s">
        <v>808</v>
      </c>
      <c r="C437" s="403">
        <v>30.7</v>
      </c>
      <c r="D437" s="403" t="s">
        <v>810</v>
      </c>
      <c r="F437" s="403" t="s">
        <v>809</v>
      </c>
      <c r="H437" s="403" t="s">
        <v>649</v>
      </c>
    </row>
    <row r="438" spans="1:11" s="403" customFormat="1">
      <c r="A438" s="403" t="s">
        <v>568</v>
      </c>
      <c r="B438" s="403" t="s">
        <v>808</v>
      </c>
      <c r="C438" s="403">
        <v>102</v>
      </c>
      <c r="D438" s="403" t="s">
        <v>569</v>
      </c>
      <c r="F438" s="403" t="s">
        <v>809</v>
      </c>
      <c r="H438" s="403" t="s">
        <v>649</v>
      </c>
    </row>
    <row r="439" spans="1:11" s="403" customFormat="1">
      <c r="A439" s="403" t="s">
        <v>525</v>
      </c>
      <c r="B439" s="403" t="s">
        <v>808</v>
      </c>
      <c r="C439" s="403">
        <v>1</v>
      </c>
      <c r="D439" s="403" t="s">
        <v>449</v>
      </c>
      <c r="F439" s="403" t="s">
        <v>809</v>
      </c>
      <c r="H439" s="403" t="s">
        <v>817</v>
      </c>
    </row>
    <row r="440" spans="1:11" s="403" customFormat="1">
      <c r="A440" s="403" t="s">
        <v>590</v>
      </c>
      <c r="B440" s="403" t="s">
        <v>808</v>
      </c>
      <c r="C440" s="403">
        <v>64</v>
      </c>
      <c r="D440" s="403" t="s">
        <v>569</v>
      </c>
      <c r="F440" s="403" t="s">
        <v>809</v>
      </c>
      <c r="H440" s="403" t="s">
        <v>657</v>
      </c>
    </row>
    <row r="441" spans="1:11" s="403" customFormat="1">
      <c r="A441" s="403" t="s">
        <v>812</v>
      </c>
      <c r="B441" s="403" t="s">
        <v>813</v>
      </c>
      <c r="C441" s="403">
        <v>543</v>
      </c>
      <c r="D441" s="403" t="s">
        <v>569</v>
      </c>
      <c r="F441" s="403" t="s">
        <v>809</v>
      </c>
      <c r="H441" s="403" t="s">
        <v>776</v>
      </c>
    </row>
    <row r="442" spans="1:11" s="403" customFormat="1"/>
    <row r="443" spans="1:11" s="403" customFormat="1"/>
    <row r="444" spans="1:11" s="403" customFormat="1"/>
    <row r="445" spans="1:11" s="403" customFormat="1">
      <c r="A445" s="403" t="s">
        <v>818</v>
      </c>
    </row>
    <row r="446" spans="1:11" s="403" customFormat="1">
      <c r="A446" s="403" t="s">
        <v>566</v>
      </c>
      <c r="B446" s="403" t="s">
        <v>14</v>
      </c>
      <c r="C446" s="403" t="s">
        <v>443</v>
      </c>
      <c r="D446" s="403" t="s">
        <v>495</v>
      </c>
      <c r="E446" s="403" t="s">
        <v>803</v>
      </c>
      <c r="F446" s="403" t="s">
        <v>804</v>
      </c>
      <c r="G446" s="403" t="s">
        <v>805</v>
      </c>
      <c r="H446" s="403" t="s">
        <v>567</v>
      </c>
      <c r="J446" s="403" t="s">
        <v>806</v>
      </c>
      <c r="K446" s="403" t="s">
        <v>807</v>
      </c>
    </row>
    <row r="447" spans="1:11" s="403" customFormat="1">
      <c r="A447" s="403" t="s">
        <v>568</v>
      </c>
      <c r="B447" s="403" t="s">
        <v>808</v>
      </c>
      <c r="C447" s="403">
        <v>641.32000000000005</v>
      </c>
      <c r="D447" s="403" t="s">
        <v>569</v>
      </c>
      <c r="F447" s="403" t="s">
        <v>809</v>
      </c>
      <c r="H447" s="403" t="s">
        <v>568</v>
      </c>
    </row>
    <row r="448" spans="1:11" s="403" customFormat="1">
      <c r="A448" s="403" t="s">
        <v>576</v>
      </c>
      <c r="B448" s="403" t="s">
        <v>819</v>
      </c>
      <c r="C448" s="403">
        <v>116.6</v>
      </c>
      <c r="D448" s="403" t="s">
        <v>569</v>
      </c>
      <c r="F448" s="403" t="s">
        <v>809</v>
      </c>
      <c r="H448" s="403" t="s">
        <v>577</v>
      </c>
    </row>
    <row r="449" spans="1:8" s="403" customFormat="1">
      <c r="A449" s="403" t="s">
        <v>580</v>
      </c>
      <c r="B449" s="403" t="s">
        <v>820</v>
      </c>
      <c r="C449" s="403">
        <v>4500</v>
      </c>
      <c r="D449" s="403" t="s">
        <v>569</v>
      </c>
      <c r="F449" s="403" t="s">
        <v>809</v>
      </c>
      <c r="H449" s="403" t="s">
        <v>581</v>
      </c>
    </row>
    <row r="450" spans="1:8" s="403" customFormat="1">
      <c r="A450" s="403" t="s">
        <v>536</v>
      </c>
      <c r="B450" s="403" t="s">
        <v>808</v>
      </c>
      <c r="C450" s="403">
        <v>365</v>
      </c>
      <c r="D450" s="403" t="s">
        <v>569</v>
      </c>
      <c r="F450" s="403" t="s">
        <v>809</v>
      </c>
      <c r="H450" s="403" t="s">
        <v>585</v>
      </c>
    </row>
    <row r="451" spans="1:8" s="403" customFormat="1">
      <c r="A451" s="403" t="s">
        <v>590</v>
      </c>
      <c r="B451" s="403" t="s">
        <v>808</v>
      </c>
      <c r="C451" s="403">
        <v>32.78</v>
      </c>
      <c r="D451" s="403" t="s">
        <v>569</v>
      </c>
      <c r="F451" s="403" t="s">
        <v>809</v>
      </c>
      <c r="H451" s="403" t="s">
        <v>591</v>
      </c>
    </row>
    <row r="452" spans="1:8" s="403" customFormat="1">
      <c r="A452" s="403" t="s">
        <v>593</v>
      </c>
      <c r="B452" s="403" t="s">
        <v>819</v>
      </c>
      <c r="C452" s="403">
        <v>0.05</v>
      </c>
      <c r="D452" s="403" t="s">
        <v>569</v>
      </c>
      <c r="F452" s="403" t="s">
        <v>809</v>
      </c>
      <c r="H452" s="403" t="s">
        <v>594</v>
      </c>
    </row>
    <row r="453" spans="1:8" s="403" customFormat="1">
      <c r="A453" s="403" t="s">
        <v>593</v>
      </c>
      <c r="B453" s="403" t="s">
        <v>819</v>
      </c>
      <c r="C453" s="403">
        <v>0.41699999999999998</v>
      </c>
      <c r="D453" s="403" t="s">
        <v>569</v>
      </c>
      <c r="F453" s="403" t="s">
        <v>809</v>
      </c>
      <c r="H453" s="403" t="s">
        <v>594</v>
      </c>
    </row>
    <row r="454" spans="1:8" s="403" customFormat="1">
      <c r="A454" s="403" t="s">
        <v>596</v>
      </c>
      <c r="C454" s="403">
        <v>91.25</v>
      </c>
      <c r="D454" s="403" t="s">
        <v>569</v>
      </c>
      <c r="F454" s="403" t="s">
        <v>809</v>
      </c>
      <c r="H454" s="403" t="s">
        <v>597</v>
      </c>
    </row>
    <row r="455" spans="1:8" s="403" customFormat="1">
      <c r="A455" s="403" t="s">
        <v>599</v>
      </c>
      <c r="B455" s="403" t="s">
        <v>808</v>
      </c>
      <c r="C455" s="403">
        <v>53.45</v>
      </c>
      <c r="D455" s="403" t="s">
        <v>569</v>
      </c>
      <c r="F455" s="403" t="s">
        <v>809</v>
      </c>
      <c r="H455" s="403" t="s">
        <v>600</v>
      </c>
    </row>
    <row r="456" spans="1:8" s="403" customFormat="1">
      <c r="A456" s="403" t="s">
        <v>602</v>
      </c>
      <c r="B456" s="403" t="s">
        <v>821</v>
      </c>
      <c r="C456" s="403">
        <v>48.84</v>
      </c>
      <c r="D456" s="403" t="s">
        <v>569</v>
      </c>
      <c r="F456" s="403" t="s">
        <v>809</v>
      </c>
      <c r="H456" s="403" t="s">
        <v>603</v>
      </c>
    </row>
    <row r="457" spans="1:8" s="403" customFormat="1">
      <c r="A457" s="403" t="s">
        <v>602</v>
      </c>
      <c r="B457" s="403" t="s">
        <v>821</v>
      </c>
      <c r="C457" s="403">
        <v>28.64</v>
      </c>
      <c r="D457" s="403" t="s">
        <v>569</v>
      </c>
      <c r="F457" s="403" t="s">
        <v>809</v>
      </c>
      <c r="H457" s="403" t="s">
        <v>603</v>
      </c>
    </row>
    <row r="458" spans="1:8" s="403" customFormat="1">
      <c r="A458" s="403" t="s">
        <v>605</v>
      </c>
      <c r="B458" s="403" t="s">
        <v>808</v>
      </c>
      <c r="C458" s="403">
        <v>17.239999999999998</v>
      </c>
      <c r="D458" s="403" t="s">
        <v>569</v>
      </c>
      <c r="F458" s="403" t="s">
        <v>809</v>
      </c>
      <c r="H458" s="403" t="s">
        <v>606</v>
      </c>
    </row>
    <row r="459" spans="1:8" s="403" customFormat="1">
      <c r="A459" s="403" t="s">
        <v>608</v>
      </c>
      <c r="B459" s="403" t="s">
        <v>819</v>
      </c>
      <c r="C459" s="403">
        <v>311.8</v>
      </c>
      <c r="D459" s="403" t="s">
        <v>569</v>
      </c>
      <c r="F459" s="403" t="s">
        <v>809</v>
      </c>
      <c r="H459" s="403" t="s">
        <v>609</v>
      </c>
    </row>
    <row r="460" spans="1:8" s="403" customFormat="1">
      <c r="A460" s="403" t="s">
        <v>612</v>
      </c>
      <c r="B460" s="403" t="s">
        <v>819</v>
      </c>
      <c r="C460" s="403">
        <v>2438</v>
      </c>
      <c r="D460" s="403" t="s">
        <v>569</v>
      </c>
      <c r="F460" s="403" t="s">
        <v>809</v>
      </c>
      <c r="H460" s="403" t="s">
        <v>613</v>
      </c>
    </row>
    <row r="461" spans="1:8" s="403" customFormat="1">
      <c r="A461" s="403" t="s">
        <v>615</v>
      </c>
      <c r="B461" s="403" t="s">
        <v>822</v>
      </c>
      <c r="C461" s="403">
        <v>6995.5</v>
      </c>
      <c r="D461" s="403" t="s">
        <v>569</v>
      </c>
      <c r="F461" s="403" t="s">
        <v>809</v>
      </c>
      <c r="H461" s="403" t="s">
        <v>823</v>
      </c>
    </row>
    <row r="462" spans="1:8" s="403" customFormat="1">
      <c r="A462" s="403" t="s">
        <v>618</v>
      </c>
      <c r="B462" s="403" t="s">
        <v>819</v>
      </c>
      <c r="C462" s="403">
        <v>62.5</v>
      </c>
      <c r="D462" s="403" t="s">
        <v>569</v>
      </c>
      <c r="F462" s="403" t="s">
        <v>809</v>
      </c>
      <c r="H462" s="403" t="s">
        <v>619</v>
      </c>
    </row>
    <row r="463" spans="1:8" s="403" customFormat="1">
      <c r="A463" s="403" t="s">
        <v>618</v>
      </c>
      <c r="B463" s="403" t="s">
        <v>819</v>
      </c>
      <c r="C463" s="403">
        <v>71.02</v>
      </c>
      <c r="D463" s="403" t="s">
        <v>569</v>
      </c>
      <c r="F463" s="403" t="s">
        <v>809</v>
      </c>
      <c r="H463" s="403" t="s">
        <v>619</v>
      </c>
    </row>
    <row r="464" spans="1:8" s="403" customFormat="1">
      <c r="A464" s="403" t="s">
        <v>824</v>
      </c>
      <c r="B464" s="403" t="s">
        <v>825</v>
      </c>
      <c r="C464" s="403">
        <v>0.14699999999999999</v>
      </c>
      <c r="D464" s="403" t="s">
        <v>569</v>
      </c>
      <c r="F464" s="403" t="s">
        <v>809</v>
      </c>
      <c r="H464" s="403" t="s">
        <v>796</v>
      </c>
    </row>
    <row r="465" spans="1:11" s="403" customFormat="1">
      <c r="A465" s="403" t="s">
        <v>826</v>
      </c>
      <c r="B465" s="403" t="s">
        <v>819</v>
      </c>
      <c r="C465" s="403">
        <v>0.43330000000000002</v>
      </c>
      <c r="D465" s="403" t="s">
        <v>569</v>
      </c>
      <c r="F465" s="403" t="s">
        <v>809</v>
      </c>
      <c r="H465" s="403" t="s">
        <v>789</v>
      </c>
    </row>
    <row r="466" spans="1:11" s="403" customFormat="1"/>
    <row r="467" spans="1:11" s="403" customFormat="1"/>
    <row r="468" spans="1:11" s="403" customFormat="1">
      <c r="A468" s="403" t="s">
        <v>827</v>
      </c>
    </row>
    <row r="469" spans="1:11" s="403" customFormat="1">
      <c r="A469" s="403" t="s">
        <v>566</v>
      </c>
      <c r="B469" s="403" t="s">
        <v>14</v>
      </c>
      <c r="C469" s="403" t="s">
        <v>443</v>
      </c>
      <c r="D469" s="403" t="s">
        <v>495</v>
      </c>
      <c r="E469" s="403" t="s">
        <v>803</v>
      </c>
      <c r="F469" s="403" t="s">
        <v>804</v>
      </c>
      <c r="G469" s="403" t="s">
        <v>805</v>
      </c>
      <c r="H469" s="403" t="s">
        <v>567</v>
      </c>
      <c r="J469" s="403" t="s">
        <v>806</v>
      </c>
      <c r="K469" s="403" t="s">
        <v>807</v>
      </c>
    </row>
    <row r="470" spans="1:11" s="403" customFormat="1">
      <c r="A470" s="403" t="s">
        <v>568</v>
      </c>
      <c r="B470" s="403" t="s">
        <v>808</v>
      </c>
      <c r="C470" s="403">
        <v>641.32000000000005</v>
      </c>
      <c r="D470" s="403" t="s">
        <v>569</v>
      </c>
      <c r="F470" s="403" t="s">
        <v>809</v>
      </c>
      <c r="H470" s="403" t="s">
        <v>625</v>
      </c>
    </row>
    <row r="471" spans="1:11" s="403" customFormat="1">
      <c r="A471" s="403" t="s">
        <v>576</v>
      </c>
      <c r="B471" s="403" t="s">
        <v>819</v>
      </c>
      <c r="C471" s="403">
        <v>116.6</v>
      </c>
      <c r="D471" s="403" t="s">
        <v>569</v>
      </c>
      <c r="F471" s="403" t="s">
        <v>809</v>
      </c>
      <c r="H471" s="403" t="s">
        <v>577</v>
      </c>
    </row>
    <row r="472" spans="1:11" s="403" customFormat="1">
      <c r="A472" s="403" t="s">
        <v>580</v>
      </c>
      <c r="B472" s="403" t="s">
        <v>820</v>
      </c>
      <c r="C472" s="403">
        <v>4500</v>
      </c>
      <c r="D472" s="403" t="s">
        <v>569</v>
      </c>
      <c r="F472" s="403" t="s">
        <v>809</v>
      </c>
      <c r="H472" s="403" t="s">
        <v>581</v>
      </c>
    </row>
    <row r="473" spans="1:11" s="403" customFormat="1">
      <c r="A473" s="403" t="s">
        <v>536</v>
      </c>
      <c r="B473" s="403" t="s">
        <v>808</v>
      </c>
      <c r="C473" s="403">
        <v>365</v>
      </c>
      <c r="D473" s="403" t="s">
        <v>569</v>
      </c>
      <c r="F473" s="403" t="s">
        <v>809</v>
      </c>
      <c r="H473" s="403" t="s">
        <v>630</v>
      </c>
    </row>
    <row r="474" spans="1:11" s="403" customFormat="1">
      <c r="A474" s="403" t="s">
        <v>590</v>
      </c>
      <c r="B474" s="403" t="s">
        <v>808</v>
      </c>
      <c r="C474" s="403">
        <v>32.78</v>
      </c>
      <c r="D474" s="403" t="s">
        <v>569</v>
      </c>
      <c r="F474" s="403" t="s">
        <v>809</v>
      </c>
      <c r="H474" s="403" t="s">
        <v>632</v>
      </c>
    </row>
    <row r="475" spans="1:11" s="403" customFormat="1">
      <c r="A475" s="403" t="s">
        <v>593</v>
      </c>
      <c r="B475" s="403" t="s">
        <v>819</v>
      </c>
      <c r="C475" s="403">
        <v>0.05</v>
      </c>
      <c r="D475" s="403" t="s">
        <v>569</v>
      </c>
      <c r="F475" s="403" t="s">
        <v>809</v>
      </c>
      <c r="H475" s="403" t="s">
        <v>594</v>
      </c>
    </row>
    <row r="476" spans="1:11" s="403" customFormat="1">
      <c r="A476" s="403" t="s">
        <v>593</v>
      </c>
      <c r="B476" s="403" t="s">
        <v>819</v>
      </c>
      <c r="C476" s="403">
        <v>0.41699999999999998</v>
      </c>
      <c r="D476" s="403" t="s">
        <v>569</v>
      </c>
      <c r="F476" s="403" t="s">
        <v>809</v>
      </c>
      <c r="H476" s="403" t="s">
        <v>594</v>
      </c>
    </row>
    <row r="477" spans="1:11" s="403" customFormat="1">
      <c r="A477" s="403" t="s">
        <v>596</v>
      </c>
      <c r="C477" s="403">
        <v>91.25</v>
      </c>
      <c r="D477" s="403" t="s">
        <v>569</v>
      </c>
      <c r="F477" s="403" t="s">
        <v>809</v>
      </c>
      <c r="H477" s="403" t="s">
        <v>635</v>
      </c>
    </row>
    <row r="478" spans="1:11" s="403" customFormat="1">
      <c r="A478" s="403" t="s">
        <v>599</v>
      </c>
      <c r="B478" s="403" t="s">
        <v>808</v>
      </c>
      <c r="C478" s="403">
        <v>53.45</v>
      </c>
      <c r="D478" s="403" t="s">
        <v>569</v>
      </c>
      <c r="F478" s="403" t="s">
        <v>809</v>
      </c>
      <c r="H478" s="403" t="s">
        <v>637</v>
      </c>
    </row>
    <row r="479" spans="1:11" s="403" customFormat="1">
      <c r="A479" s="403" t="s">
        <v>602</v>
      </c>
      <c r="B479" s="403" t="s">
        <v>821</v>
      </c>
      <c r="C479" s="403">
        <v>48.84</v>
      </c>
      <c r="D479" s="403" t="s">
        <v>569</v>
      </c>
      <c r="F479" s="403" t="s">
        <v>809</v>
      </c>
      <c r="H479" s="403" t="s">
        <v>603</v>
      </c>
    </row>
    <row r="480" spans="1:11" s="403" customFormat="1">
      <c r="A480" s="403" t="s">
        <v>602</v>
      </c>
      <c r="B480" s="403" t="s">
        <v>821</v>
      </c>
      <c r="C480" s="403">
        <v>28.64</v>
      </c>
      <c r="D480" s="403" t="s">
        <v>569</v>
      </c>
      <c r="F480" s="403" t="s">
        <v>809</v>
      </c>
      <c r="H480" s="403" t="s">
        <v>603</v>
      </c>
    </row>
    <row r="481" spans="1:11" s="403" customFormat="1">
      <c r="A481" s="403" t="s">
        <v>605</v>
      </c>
      <c r="B481" s="403" t="s">
        <v>808</v>
      </c>
      <c r="C481" s="403">
        <v>17.239999999999998</v>
      </c>
      <c r="D481" s="403" t="s">
        <v>569</v>
      </c>
      <c r="F481" s="403" t="s">
        <v>809</v>
      </c>
      <c r="H481" s="403" t="s">
        <v>606</v>
      </c>
    </row>
    <row r="482" spans="1:11" s="403" customFormat="1">
      <c r="A482" s="403" t="s">
        <v>608</v>
      </c>
      <c r="B482" s="403" t="s">
        <v>819</v>
      </c>
      <c r="C482" s="403">
        <v>311.8</v>
      </c>
      <c r="D482" s="403" t="s">
        <v>569</v>
      </c>
      <c r="F482" s="403" t="s">
        <v>809</v>
      </c>
      <c r="H482" s="403" t="s">
        <v>609</v>
      </c>
    </row>
    <row r="483" spans="1:11" s="403" customFormat="1">
      <c r="A483" s="403" t="s">
        <v>612</v>
      </c>
      <c r="B483" s="403" t="s">
        <v>819</v>
      </c>
      <c r="C483" s="403">
        <v>2438</v>
      </c>
      <c r="D483" s="403" t="s">
        <v>569</v>
      </c>
      <c r="F483" s="403" t="s">
        <v>809</v>
      </c>
      <c r="H483" s="403" t="s">
        <v>613</v>
      </c>
    </row>
    <row r="484" spans="1:11" s="403" customFormat="1">
      <c r="A484" s="403" t="s">
        <v>615</v>
      </c>
      <c r="B484" s="403" t="s">
        <v>822</v>
      </c>
      <c r="C484" s="403">
        <v>6995.5</v>
      </c>
      <c r="D484" s="403" t="s">
        <v>569</v>
      </c>
      <c r="F484" s="403" t="s">
        <v>809</v>
      </c>
      <c r="H484" s="403" t="s">
        <v>823</v>
      </c>
    </row>
    <row r="485" spans="1:11" s="403" customFormat="1">
      <c r="A485" s="403" t="s">
        <v>618</v>
      </c>
      <c r="B485" s="403" t="s">
        <v>819</v>
      </c>
      <c r="C485" s="403">
        <v>62.5</v>
      </c>
      <c r="D485" s="403" t="s">
        <v>569</v>
      </c>
      <c r="F485" s="403" t="s">
        <v>809</v>
      </c>
      <c r="H485" s="403" t="s">
        <v>619</v>
      </c>
    </row>
    <row r="486" spans="1:11" s="403" customFormat="1">
      <c r="A486" s="403" t="s">
        <v>618</v>
      </c>
      <c r="B486" s="403" t="s">
        <v>819</v>
      </c>
      <c r="C486" s="403">
        <v>71.02</v>
      </c>
      <c r="D486" s="403" t="s">
        <v>569</v>
      </c>
      <c r="F486" s="403" t="s">
        <v>809</v>
      </c>
      <c r="H486" s="403" t="s">
        <v>619</v>
      </c>
    </row>
    <row r="487" spans="1:11" s="403" customFormat="1">
      <c r="A487" s="403" t="s">
        <v>824</v>
      </c>
      <c r="B487" s="403" t="s">
        <v>825</v>
      </c>
      <c r="C487" s="403">
        <v>0.14699999999999999</v>
      </c>
      <c r="D487" s="403" t="s">
        <v>569</v>
      </c>
      <c r="F487" s="403" t="s">
        <v>809</v>
      </c>
      <c r="H487" s="403" t="s">
        <v>796</v>
      </c>
    </row>
    <row r="488" spans="1:11" s="403" customFormat="1">
      <c r="A488" s="403" t="s">
        <v>826</v>
      </c>
      <c r="B488" s="403" t="s">
        <v>819</v>
      </c>
      <c r="C488" s="403">
        <v>0.43330000000000002</v>
      </c>
      <c r="D488" s="403" t="s">
        <v>569</v>
      </c>
      <c r="F488" s="403" t="s">
        <v>809</v>
      </c>
      <c r="H488" s="403" t="s">
        <v>789</v>
      </c>
    </row>
    <row r="489" spans="1:11" s="403" customFormat="1"/>
    <row r="490" spans="1:11" s="403" customFormat="1"/>
    <row r="491" spans="1:11" s="403" customFormat="1">
      <c r="A491" s="403" t="s">
        <v>828</v>
      </c>
    </row>
    <row r="492" spans="1:11" s="403" customFormat="1">
      <c r="A492" s="403" t="s">
        <v>566</v>
      </c>
      <c r="B492" s="403" t="s">
        <v>14</v>
      </c>
      <c r="C492" s="403" t="s">
        <v>443</v>
      </c>
      <c r="D492" s="403" t="s">
        <v>495</v>
      </c>
      <c r="E492" s="403" t="s">
        <v>803</v>
      </c>
      <c r="F492" s="403" t="s">
        <v>804</v>
      </c>
      <c r="G492" s="403" t="s">
        <v>805</v>
      </c>
      <c r="H492" s="403" t="s">
        <v>567</v>
      </c>
      <c r="J492" s="403" t="s">
        <v>806</v>
      </c>
      <c r="K492" s="403" t="s">
        <v>807</v>
      </c>
    </row>
    <row r="493" spans="1:11" s="403" customFormat="1">
      <c r="A493" s="403" t="s">
        <v>568</v>
      </c>
      <c r="B493" s="403" t="s">
        <v>808</v>
      </c>
      <c r="C493" s="403">
        <v>641.32000000000005</v>
      </c>
      <c r="D493" s="403" t="s">
        <v>569</v>
      </c>
      <c r="F493" s="403" t="s">
        <v>809</v>
      </c>
      <c r="H493" s="403" t="s">
        <v>649</v>
      </c>
    </row>
    <row r="494" spans="1:11" s="403" customFormat="1">
      <c r="A494" s="403" t="s">
        <v>576</v>
      </c>
      <c r="B494" s="403" t="s">
        <v>819</v>
      </c>
      <c r="C494" s="403">
        <v>116.6</v>
      </c>
      <c r="D494" s="403" t="s">
        <v>569</v>
      </c>
      <c r="F494" s="403" t="s">
        <v>809</v>
      </c>
      <c r="H494" s="403" t="s">
        <v>577</v>
      </c>
    </row>
    <row r="495" spans="1:11" s="403" customFormat="1">
      <c r="A495" s="403" t="s">
        <v>580</v>
      </c>
      <c r="B495" s="403" t="s">
        <v>820</v>
      </c>
      <c r="C495" s="403">
        <v>4500</v>
      </c>
      <c r="D495" s="403" t="s">
        <v>569</v>
      </c>
      <c r="F495" s="403" t="s">
        <v>809</v>
      </c>
      <c r="H495" s="403" t="s">
        <v>581</v>
      </c>
    </row>
    <row r="496" spans="1:11" s="403" customFormat="1">
      <c r="A496" s="403" t="s">
        <v>536</v>
      </c>
      <c r="B496" s="403" t="s">
        <v>808</v>
      </c>
      <c r="C496" s="403">
        <v>365</v>
      </c>
      <c r="D496" s="403" t="s">
        <v>569</v>
      </c>
      <c r="F496" s="403" t="s">
        <v>809</v>
      </c>
      <c r="H496" s="403" t="s">
        <v>655</v>
      </c>
    </row>
    <row r="497" spans="1:8" s="403" customFormat="1">
      <c r="A497" s="403" t="s">
        <v>590</v>
      </c>
      <c r="B497" s="403" t="s">
        <v>808</v>
      </c>
      <c r="C497" s="403">
        <v>32.78</v>
      </c>
      <c r="D497" s="403" t="s">
        <v>569</v>
      </c>
      <c r="F497" s="403" t="s">
        <v>809</v>
      </c>
      <c r="H497" s="403" t="s">
        <v>657</v>
      </c>
    </row>
    <row r="498" spans="1:8" s="403" customFormat="1">
      <c r="A498" s="403" t="s">
        <v>593</v>
      </c>
      <c r="B498" s="403" t="s">
        <v>819</v>
      </c>
      <c r="C498" s="403">
        <v>0.41699999999999998</v>
      </c>
      <c r="D498" s="403" t="s">
        <v>569</v>
      </c>
      <c r="F498" s="403" t="s">
        <v>809</v>
      </c>
      <c r="H498" s="403" t="s">
        <v>594</v>
      </c>
    </row>
    <row r="499" spans="1:8" s="403" customFormat="1">
      <c r="A499" s="403" t="s">
        <v>593</v>
      </c>
      <c r="B499" s="403" t="s">
        <v>819</v>
      </c>
      <c r="C499" s="403">
        <v>0.05</v>
      </c>
      <c r="D499" s="403" t="s">
        <v>569</v>
      </c>
      <c r="F499" s="403" t="s">
        <v>809</v>
      </c>
      <c r="H499" s="403" t="s">
        <v>594</v>
      </c>
    </row>
    <row r="500" spans="1:8" s="403" customFormat="1">
      <c r="A500" s="403" t="s">
        <v>596</v>
      </c>
      <c r="C500" s="403">
        <v>91.25</v>
      </c>
      <c r="D500" s="403" t="s">
        <v>569</v>
      </c>
      <c r="F500" s="403" t="s">
        <v>809</v>
      </c>
      <c r="H500" s="403" t="s">
        <v>660</v>
      </c>
    </row>
    <row r="501" spans="1:8" s="403" customFormat="1">
      <c r="A501" s="403" t="s">
        <v>599</v>
      </c>
      <c r="B501" s="403" t="s">
        <v>808</v>
      </c>
      <c r="C501" s="403">
        <v>53.45</v>
      </c>
      <c r="D501" s="403" t="s">
        <v>569</v>
      </c>
      <c r="F501" s="403" t="s">
        <v>809</v>
      </c>
      <c r="H501" s="403" t="s">
        <v>661</v>
      </c>
    </row>
    <row r="502" spans="1:8" s="403" customFormat="1">
      <c r="A502" s="403" t="s">
        <v>602</v>
      </c>
      <c r="B502" s="403" t="s">
        <v>821</v>
      </c>
      <c r="C502" s="403">
        <v>48.84</v>
      </c>
      <c r="D502" s="403" t="s">
        <v>569</v>
      </c>
      <c r="F502" s="403" t="s">
        <v>809</v>
      </c>
      <c r="H502" s="403" t="s">
        <v>603</v>
      </c>
    </row>
    <row r="503" spans="1:8" s="403" customFormat="1">
      <c r="A503" s="403" t="s">
        <v>602</v>
      </c>
      <c r="B503" s="403" t="s">
        <v>821</v>
      </c>
      <c r="C503" s="403">
        <v>28.64</v>
      </c>
      <c r="D503" s="403" t="s">
        <v>569</v>
      </c>
      <c r="F503" s="403" t="s">
        <v>809</v>
      </c>
      <c r="H503" s="403" t="s">
        <v>603</v>
      </c>
    </row>
    <row r="504" spans="1:8" s="403" customFormat="1">
      <c r="A504" s="403" t="s">
        <v>605</v>
      </c>
      <c r="B504" s="403" t="s">
        <v>808</v>
      </c>
      <c r="C504" s="403">
        <v>17.239999999999998</v>
      </c>
      <c r="D504" s="403" t="s">
        <v>569</v>
      </c>
      <c r="F504" s="403" t="s">
        <v>809</v>
      </c>
      <c r="H504" s="403" t="s">
        <v>606</v>
      </c>
    </row>
    <row r="505" spans="1:8" s="403" customFormat="1">
      <c r="A505" s="403" t="s">
        <v>608</v>
      </c>
      <c r="B505" s="403" t="s">
        <v>819</v>
      </c>
      <c r="C505" s="403">
        <v>311.8</v>
      </c>
      <c r="D505" s="403" t="s">
        <v>569</v>
      </c>
      <c r="F505" s="403" t="s">
        <v>809</v>
      </c>
      <c r="H505" s="403" t="s">
        <v>609</v>
      </c>
    </row>
    <row r="506" spans="1:8" s="403" customFormat="1">
      <c r="A506" s="403" t="s">
        <v>612</v>
      </c>
      <c r="B506" s="403" t="s">
        <v>819</v>
      </c>
      <c r="C506" s="403">
        <v>2438</v>
      </c>
      <c r="D506" s="403" t="s">
        <v>569</v>
      </c>
      <c r="F506" s="403" t="s">
        <v>809</v>
      </c>
      <c r="H506" s="403" t="s">
        <v>613</v>
      </c>
    </row>
    <row r="507" spans="1:8" s="403" customFormat="1">
      <c r="A507" s="403" t="s">
        <v>615</v>
      </c>
      <c r="B507" s="403" t="s">
        <v>822</v>
      </c>
      <c r="C507" s="403">
        <v>6995.5</v>
      </c>
      <c r="D507" s="403" t="s">
        <v>569</v>
      </c>
      <c r="F507" s="403" t="s">
        <v>809</v>
      </c>
      <c r="H507" s="403" t="s">
        <v>823</v>
      </c>
    </row>
    <row r="508" spans="1:8" s="403" customFormat="1">
      <c r="A508" s="403" t="s">
        <v>618</v>
      </c>
      <c r="B508" s="403" t="s">
        <v>819</v>
      </c>
      <c r="C508" s="403">
        <v>71.02</v>
      </c>
      <c r="D508" s="403" t="s">
        <v>569</v>
      </c>
      <c r="F508" s="403" t="s">
        <v>809</v>
      </c>
      <c r="H508" s="403" t="s">
        <v>619</v>
      </c>
    </row>
    <row r="509" spans="1:8" s="403" customFormat="1">
      <c r="A509" s="403" t="s">
        <v>618</v>
      </c>
      <c r="B509" s="403" t="s">
        <v>819</v>
      </c>
      <c r="C509" s="403">
        <v>62.5</v>
      </c>
      <c r="D509" s="403" t="s">
        <v>569</v>
      </c>
      <c r="F509" s="403" t="s">
        <v>809</v>
      </c>
      <c r="H509" s="403" t="s">
        <v>619</v>
      </c>
    </row>
    <row r="510" spans="1:8" s="403" customFormat="1">
      <c r="A510" s="403" t="s">
        <v>824</v>
      </c>
      <c r="B510" s="403" t="s">
        <v>825</v>
      </c>
      <c r="C510" s="403">
        <v>0.14699999999999999</v>
      </c>
      <c r="D510" s="403" t="s">
        <v>569</v>
      </c>
      <c r="F510" s="403" t="s">
        <v>809</v>
      </c>
      <c r="H510" s="403" t="s">
        <v>796</v>
      </c>
    </row>
    <row r="511" spans="1:8" s="403" customFormat="1">
      <c r="A511" s="403" t="s">
        <v>826</v>
      </c>
      <c r="B511" s="403" t="s">
        <v>819</v>
      </c>
      <c r="C511" s="403">
        <v>0.43330000000000002</v>
      </c>
      <c r="D511" s="403" t="s">
        <v>569</v>
      </c>
      <c r="F511" s="403" t="s">
        <v>809</v>
      </c>
      <c r="H511" s="403" t="s">
        <v>789</v>
      </c>
    </row>
    <row r="516" spans="3:3">
      <c r="C516" s="45"/>
    </row>
    <row r="520" spans="3:3">
      <c r="C520" s="45"/>
    </row>
    <row r="522" spans="3:3">
      <c r="C522" s="45"/>
    </row>
    <row r="523" spans="3:3">
      <c r="C523" s="45"/>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6C21-CFB3-42C6-9748-2D0061B33D80}">
  <dimension ref="A2:M87"/>
  <sheetViews>
    <sheetView topLeftCell="A5" workbookViewId="0">
      <selection activeCell="B21" sqref="B21"/>
    </sheetView>
  </sheetViews>
  <sheetFormatPr defaultRowHeight="14.4"/>
  <cols>
    <col min="1" max="1" width="33.44140625" customWidth="1"/>
    <col min="5" max="5" width="33.33203125" customWidth="1"/>
    <col min="6" max="6" width="11.44140625" customWidth="1"/>
    <col min="8" max="8" width="15.44140625" customWidth="1"/>
    <col min="9" max="9" width="32" customWidth="1"/>
    <col min="10" max="10" width="21.5546875" customWidth="1"/>
    <col min="14" max="14" width="25.44140625" customWidth="1"/>
    <col min="18" max="18" width="24.33203125" customWidth="1"/>
  </cols>
  <sheetData>
    <row r="2" spans="1:11" ht="19.8">
      <c r="A2" s="33" t="s">
        <v>829</v>
      </c>
    </row>
    <row r="3" spans="1:11">
      <c r="A3" s="145" t="s">
        <v>830</v>
      </c>
      <c r="E3" s="3" t="s">
        <v>831</v>
      </c>
      <c r="F3" t="s">
        <v>832</v>
      </c>
      <c r="G3" t="s">
        <v>833</v>
      </c>
    </row>
    <row r="4" spans="1:11">
      <c r="A4" t="s">
        <v>834</v>
      </c>
      <c r="E4" t="s">
        <v>835</v>
      </c>
      <c r="G4" t="s">
        <v>836</v>
      </c>
    </row>
    <row r="5" spans="1:11">
      <c r="I5" s="403" t="s">
        <v>440</v>
      </c>
    </row>
    <row r="6" spans="1:11">
      <c r="A6" s="3" t="s">
        <v>252</v>
      </c>
      <c r="E6" s="3" t="s">
        <v>441</v>
      </c>
      <c r="I6" s="405" t="s">
        <v>442</v>
      </c>
      <c r="J6" s="403"/>
      <c r="K6" s="403"/>
    </row>
    <row r="7" spans="1:11">
      <c r="A7" t="s">
        <v>194</v>
      </c>
      <c r="B7" t="s">
        <v>443</v>
      </c>
      <c r="C7" t="s">
        <v>495</v>
      </c>
      <c r="E7" t="s">
        <v>472</v>
      </c>
      <c r="F7" t="s">
        <v>443</v>
      </c>
      <c r="G7" t="s">
        <v>444</v>
      </c>
      <c r="I7" s="403" t="s">
        <v>446</v>
      </c>
      <c r="J7" s="403" t="s">
        <v>443</v>
      </c>
      <c r="K7" s="403" t="s">
        <v>444</v>
      </c>
    </row>
    <row r="8" spans="1:11">
      <c r="A8" s="79" t="s">
        <v>110</v>
      </c>
      <c r="B8" s="79">
        <f>((B40*3.6)/1000)</f>
        <v>7.1999999999999998E-3</v>
      </c>
      <c r="C8" s="79" t="s">
        <v>448</v>
      </c>
      <c r="E8" s="79" t="s">
        <v>128</v>
      </c>
      <c r="F8" s="79">
        <f>(1/A16+A19)*A21</f>
        <v>0.91666666666666685</v>
      </c>
      <c r="G8" s="79" t="s">
        <v>449</v>
      </c>
      <c r="I8" s="403" t="s">
        <v>837</v>
      </c>
      <c r="J8" s="403">
        <f t="shared" ref="J8:J13" si="0">J40</f>
        <v>0.3</v>
      </c>
      <c r="K8" s="403" t="s">
        <v>449</v>
      </c>
    </row>
    <row r="9" spans="1:11">
      <c r="A9" s="79" t="s">
        <v>111</v>
      </c>
      <c r="B9" s="79">
        <f>((B41*3.6)/1000)</f>
        <v>7.0919999999999997E-2</v>
      </c>
      <c r="C9" s="79" t="s">
        <v>448</v>
      </c>
      <c r="I9" s="403" t="s">
        <v>838</v>
      </c>
      <c r="J9" s="403">
        <f t="shared" si="0"/>
        <v>2.4</v>
      </c>
      <c r="K9" s="403" t="s">
        <v>449</v>
      </c>
    </row>
    <row r="10" spans="1:11">
      <c r="A10" s="79" t="s">
        <v>112</v>
      </c>
      <c r="B10" s="79">
        <f>B42</f>
        <v>4.9000000000000004</v>
      </c>
      <c r="C10" s="79" t="s">
        <v>448</v>
      </c>
      <c r="I10" s="403" t="s">
        <v>839</v>
      </c>
      <c r="J10" s="403">
        <f t="shared" si="0"/>
        <v>0.05</v>
      </c>
      <c r="K10" s="403" t="s">
        <v>449</v>
      </c>
    </row>
    <row r="11" spans="1:11">
      <c r="A11" s="79" t="s">
        <v>113</v>
      </c>
      <c r="B11" s="79">
        <f>((B43*3.6)/1000)</f>
        <v>1.8000000000000001E-4</v>
      </c>
      <c r="C11" s="79" t="s">
        <v>448</v>
      </c>
      <c r="I11" s="403" t="s">
        <v>840</v>
      </c>
      <c r="J11" s="403">
        <f t="shared" si="0"/>
        <v>0.24</v>
      </c>
      <c r="K11" s="403" t="s">
        <v>449</v>
      </c>
    </row>
    <row r="12" spans="1:11">
      <c r="I12" s="403" t="s">
        <v>841</v>
      </c>
      <c r="J12" s="403">
        <f t="shared" si="0"/>
        <v>145</v>
      </c>
      <c r="K12" s="403" t="s">
        <v>458</v>
      </c>
    </row>
    <row r="13" spans="1:11">
      <c r="I13" s="403" t="s">
        <v>842</v>
      </c>
      <c r="J13" s="403">
        <f t="shared" si="0"/>
        <v>0</v>
      </c>
      <c r="K13" s="403" t="s">
        <v>449</v>
      </c>
    </row>
    <row r="14" spans="1:11">
      <c r="I14" s="403" t="s">
        <v>843</v>
      </c>
      <c r="J14" s="403">
        <f>F42/1000</f>
        <v>1.4E-3</v>
      </c>
      <c r="K14" s="403" t="s">
        <v>449</v>
      </c>
    </row>
    <row r="15" spans="1:11">
      <c r="A15" s="287" t="s">
        <v>464</v>
      </c>
      <c r="B15" s="285"/>
      <c r="C15" s="285"/>
      <c r="D15" s="285"/>
      <c r="I15" s="403" t="s">
        <v>844</v>
      </c>
      <c r="J15" s="403">
        <f>F43/1000</f>
        <v>2E-3</v>
      </c>
      <c r="K15" s="403" t="s">
        <v>449</v>
      </c>
    </row>
    <row r="16" spans="1:11">
      <c r="A16" s="285">
        <v>0.24</v>
      </c>
      <c r="B16" s="285" t="s">
        <v>845</v>
      </c>
      <c r="C16" s="285"/>
      <c r="D16" s="285"/>
      <c r="I16" s="403" t="s">
        <v>846</v>
      </c>
      <c r="J16" s="403">
        <f>F44/1000</f>
        <v>2.9999999999999997E-4</v>
      </c>
      <c r="K16" s="403" t="s">
        <v>449</v>
      </c>
    </row>
    <row r="17" spans="1:11">
      <c r="A17" s="285">
        <v>50</v>
      </c>
      <c r="B17" s="285" t="s">
        <v>847</v>
      </c>
      <c r="C17" s="285"/>
      <c r="D17" s="285"/>
      <c r="I17" s="403" t="s">
        <v>848</v>
      </c>
      <c r="J17" s="403">
        <f>F45/1000</f>
        <v>4.0000000000000002E-4</v>
      </c>
      <c r="K17" s="403" t="s">
        <v>449</v>
      </c>
    </row>
    <row r="18" spans="1:11">
      <c r="A18" s="285">
        <v>10</v>
      </c>
      <c r="B18" s="285" t="s">
        <v>849</v>
      </c>
      <c r="C18" s="285"/>
      <c r="D18" s="285"/>
      <c r="I18" s="403" t="s">
        <v>850</v>
      </c>
      <c r="J18" s="403">
        <f>F40/1000</f>
        <v>0.01</v>
      </c>
      <c r="K18" s="403" t="s">
        <v>449</v>
      </c>
    </row>
    <row r="19" spans="1:11">
      <c r="A19" s="285">
        <f>A17/A18</f>
        <v>5</v>
      </c>
      <c r="B19" s="285" t="s">
        <v>851</v>
      </c>
      <c r="C19" s="285"/>
      <c r="D19" s="285"/>
      <c r="I19" s="403"/>
      <c r="J19" s="403"/>
      <c r="K19" s="403"/>
    </row>
    <row r="20" spans="1:11">
      <c r="B20" s="285" t="s">
        <v>852</v>
      </c>
      <c r="I20" s="403"/>
      <c r="J20" s="403"/>
      <c r="K20" s="403"/>
    </row>
    <row r="21" spans="1:11">
      <c r="A21" s="316">
        <v>0.1</v>
      </c>
      <c r="B21" s="285" t="s">
        <v>853</v>
      </c>
      <c r="I21" s="141" t="s">
        <v>466</v>
      </c>
      <c r="K21" s="140" t="s">
        <v>854</v>
      </c>
    </row>
    <row r="22" spans="1:11">
      <c r="I22" s="140" t="s">
        <v>469</v>
      </c>
      <c r="J22" s="140" t="s">
        <v>855</v>
      </c>
      <c r="K22">
        <v>0.25</v>
      </c>
    </row>
    <row r="23" spans="1:11">
      <c r="I23" s="140" t="s">
        <v>469</v>
      </c>
    </row>
    <row r="24" spans="1:11">
      <c r="E24" s="234"/>
      <c r="F24" s="235"/>
      <c r="G24" s="140"/>
    </row>
    <row r="25" spans="1:11">
      <c r="A25" s="398" t="s">
        <v>482</v>
      </c>
      <c r="E25" s="236"/>
      <c r="G25" s="140"/>
      <c r="I25" s="3" t="s">
        <v>479</v>
      </c>
      <c r="J25" s="79">
        <f>K22</f>
        <v>0.25</v>
      </c>
      <c r="K25" t="s">
        <v>480</v>
      </c>
    </row>
    <row r="26" spans="1:11">
      <c r="I26" s="3" t="s">
        <v>481</v>
      </c>
      <c r="J26" s="32">
        <f>10.9*A21</f>
        <v>1.0900000000000001</v>
      </c>
      <c r="K26" t="s">
        <v>480</v>
      </c>
    </row>
    <row r="34" spans="1:11">
      <c r="A34" s="403" t="s">
        <v>440</v>
      </c>
    </row>
    <row r="35" spans="1:11" s="403" customFormat="1" ht="17.399999999999999">
      <c r="A35" s="483" t="s">
        <v>856</v>
      </c>
    </row>
    <row r="36" spans="1:11" s="403" customFormat="1"/>
    <row r="37" spans="1:11" s="403" customFormat="1">
      <c r="A37" s="403" t="s">
        <v>857</v>
      </c>
      <c r="C37" s="403" t="s">
        <v>858</v>
      </c>
    </row>
    <row r="38" spans="1:11" s="403" customFormat="1">
      <c r="A38" s="405" t="s">
        <v>252</v>
      </c>
      <c r="E38" s="405" t="s">
        <v>441</v>
      </c>
      <c r="I38" s="405" t="s">
        <v>442</v>
      </c>
    </row>
    <row r="39" spans="1:11" s="403" customFormat="1">
      <c r="A39" s="403" t="s">
        <v>194</v>
      </c>
      <c r="B39" s="403" t="s">
        <v>443</v>
      </c>
      <c r="C39" s="403" t="s">
        <v>495</v>
      </c>
      <c r="E39" s="403" t="s">
        <v>472</v>
      </c>
      <c r="F39" s="403" t="s">
        <v>443</v>
      </c>
      <c r="G39" s="403" t="s">
        <v>444</v>
      </c>
      <c r="I39" s="403" t="s">
        <v>446</v>
      </c>
      <c r="J39" s="403" t="s">
        <v>443</v>
      </c>
      <c r="K39" s="403" t="s">
        <v>444</v>
      </c>
    </row>
    <row r="40" spans="1:11" s="403" customFormat="1">
      <c r="A40" s="403" t="s">
        <v>110</v>
      </c>
      <c r="B40" s="403">
        <v>2</v>
      </c>
      <c r="C40" s="403" t="s">
        <v>859</v>
      </c>
      <c r="E40" s="403" t="s">
        <v>860</v>
      </c>
      <c r="F40" s="403">
        <v>10</v>
      </c>
      <c r="G40" s="403" t="s">
        <v>861</v>
      </c>
      <c r="I40" s="403" t="s">
        <v>837</v>
      </c>
      <c r="J40" s="403">
        <v>0.3</v>
      </c>
      <c r="K40" s="403" t="s">
        <v>862</v>
      </c>
    </row>
    <row r="41" spans="1:11" s="403" customFormat="1">
      <c r="A41" s="403" t="s">
        <v>111</v>
      </c>
      <c r="B41" s="403">
        <v>19.7</v>
      </c>
      <c r="C41" s="403" t="s">
        <v>859</v>
      </c>
      <c r="E41" s="403" t="s">
        <v>842</v>
      </c>
      <c r="F41" s="403">
        <v>0.2</v>
      </c>
      <c r="G41" s="403" t="s">
        <v>861</v>
      </c>
      <c r="I41" s="403" t="s">
        <v>838</v>
      </c>
      <c r="J41" s="403">
        <v>2.4</v>
      </c>
      <c r="K41" s="403" t="s">
        <v>862</v>
      </c>
    </row>
    <row r="42" spans="1:11" s="403" customFormat="1">
      <c r="A42" s="403" t="s">
        <v>112</v>
      </c>
      <c r="B42" s="403">
        <v>4.9000000000000004</v>
      </c>
      <c r="C42" s="403" t="s">
        <v>863</v>
      </c>
      <c r="E42" s="403" t="s">
        <v>843</v>
      </c>
      <c r="F42" s="403">
        <v>1.4</v>
      </c>
      <c r="G42" s="403" t="s">
        <v>861</v>
      </c>
      <c r="I42" s="403" t="s">
        <v>839</v>
      </c>
      <c r="J42" s="403">
        <v>0.05</v>
      </c>
      <c r="K42" s="403" t="s">
        <v>862</v>
      </c>
    </row>
    <row r="43" spans="1:11" s="403" customFormat="1">
      <c r="A43" s="403" t="s">
        <v>113</v>
      </c>
      <c r="B43" s="403">
        <v>0.05</v>
      </c>
      <c r="C43" s="403" t="s">
        <v>859</v>
      </c>
      <c r="E43" s="403" t="s">
        <v>844</v>
      </c>
      <c r="F43" s="403">
        <v>2</v>
      </c>
      <c r="G43" s="403" t="s">
        <v>861</v>
      </c>
      <c r="I43" s="403" t="s">
        <v>840</v>
      </c>
      <c r="J43" s="403">
        <v>0.24</v>
      </c>
      <c r="K43" s="403" t="s">
        <v>862</v>
      </c>
    </row>
    <row r="44" spans="1:11" s="403" customFormat="1">
      <c r="E44" s="403" t="s">
        <v>846</v>
      </c>
      <c r="F44" s="403">
        <v>0.3</v>
      </c>
      <c r="G44" s="403" t="s">
        <v>861</v>
      </c>
      <c r="I44" s="403" t="s">
        <v>841</v>
      </c>
      <c r="J44" s="403">
        <v>145</v>
      </c>
      <c r="K44" s="403" t="s">
        <v>864</v>
      </c>
    </row>
    <row r="45" spans="1:11" s="403" customFormat="1">
      <c r="E45" s="403" t="s">
        <v>848</v>
      </c>
      <c r="F45" s="403">
        <v>0.4</v>
      </c>
      <c r="G45" s="403" t="s">
        <v>861</v>
      </c>
    </row>
    <row r="46" spans="1:11" s="403" customFormat="1">
      <c r="A46" s="484" t="s">
        <v>865</v>
      </c>
    </row>
    <row r="47" spans="1:11" s="403" customFormat="1"/>
    <row r="48" spans="1:11" s="403" customFormat="1"/>
    <row r="49" spans="1:11" s="403" customFormat="1">
      <c r="A49" s="485" t="s">
        <v>866</v>
      </c>
    </row>
    <row r="50" spans="1:11" s="403" customFormat="1">
      <c r="A50" s="403" t="s">
        <v>867</v>
      </c>
    </row>
    <row r="51" spans="1:11" s="403" customFormat="1"/>
    <row r="52" spans="1:11" s="403" customFormat="1"/>
    <row r="53" spans="1:11" s="403" customFormat="1"/>
    <row r="54" spans="1:11" s="403" customFormat="1"/>
    <row r="55" spans="1:11" s="403" customFormat="1"/>
    <row r="56" spans="1:11" s="403" customFormat="1"/>
    <row r="57" spans="1:11" s="403" customFormat="1"/>
    <row r="58" spans="1:11" s="403" customFormat="1" ht="17.399999999999999">
      <c r="A58" s="402" t="s">
        <v>868</v>
      </c>
    </row>
    <row r="59" spans="1:11" s="403" customFormat="1">
      <c r="A59" s="486" t="s">
        <v>869</v>
      </c>
      <c r="E59" s="405" t="s">
        <v>870</v>
      </c>
      <c r="F59" s="403" t="s">
        <v>871</v>
      </c>
    </row>
    <row r="60" spans="1:11" s="403" customFormat="1"/>
    <row r="61" spans="1:11" s="403" customFormat="1">
      <c r="A61" s="405" t="s">
        <v>252</v>
      </c>
      <c r="E61" s="405" t="s">
        <v>441</v>
      </c>
      <c r="I61" s="405" t="s">
        <v>442</v>
      </c>
    </row>
    <row r="62" spans="1:11" s="403" customFormat="1">
      <c r="A62" s="403" t="s">
        <v>194</v>
      </c>
      <c r="B62" s="403" t="s">
        <v>443</v>
      </c>
      <c r="C62" s="403" t="s">
        <v>444</v>
      </c>
      <c r="E62" s="403" t="s">
        <v>472</v>
      </c>
      <c r="F62" s="403" t="s">
        <v>443</v>
      </c>
      <c r="G62" s="403" t="s">
        <v>444</v>
      </c>
      <c r="I62" s="403" t="s">
        <v>446</v>
      </c>
      <c r="J62" s="403" t="s">
        <v>443</v>
      </c>
      <c r="K62" s="403" t="s">
        <v>444</v>
      </c>
    </row>
    <row r="63" spans="1:11" s="403" customFormat="1">
      <c r="A63" s="432" t="s">
        <v>872</v>
      </c>
      <c r="B63" s="404">
        <f>208.8*0.05</f>
        <v>10.440000000000001</v>
      </c>
      <c r="C63" s="404" t="s">
        <v>448</v>
      </c>
      <c r="E63" s="404" t="s">
        <v>873</v>
      </c>
      <c r="F63" s="404">
        <f>60*0.05</f>
        <v>3</v>
      </c>
      <c r="G63" s="404" t="s">
        <v>449</v>
      </c>
      <c r="I63" s="404" t="s">
        <v>6</v>
      </c>
      <c r="J63" s="404">
        <f>2.95*0.05</f>
        <v>0.14750000000000002</v>
      </c>
      <c r="K63" s="404" t="s">
        <v>458</v>
      </c>
    </row>
    <row r="64" spans="1:11" s="403" customFormat="1" ht="43.2">
      <c r="A64" s="432" t="s">
        <v>874</v>
      </c>
      <c r="B64" s="404">
        <v>1.7090000000000001</v>
      </c>
      <c r="C64" s="404" t="s">
        <v>448</v>
      </c>
      <c r="E64" s="403" t="s">
        <v>128</v>
      </c>
      <c r="F64" s="403">
        <f>F73*F69</f>
        <v>6.4260000000000012E-2</v>
      </c>
      <c r="G64" s="404" t="s">
        <v>449</v>
      </c>
      <c r="I64" s="404" t="s">
        <v>875</v>
      </c>
      <c r="J64" s="404">
        <f>2.4*F69</f>
        <v>0.4536</v>
      </c>
      <c r="K64" s="404" t="s">
        <v>876</v>
      </c>
    </row>
    <row r="65" spans="1:11" s="403" customFormat="1" ht="43.2">
      <c r="A65" s="432" t="s">
        <v>877</v>
      </c>
      <c r="B65" s="404">
        <v>15.456</v>
      </c>
      <c r="C65" s="404" t="s">
        <v>448</v>
      </c>
      <c r="E65" s="403" t="s">
        <v>878</v>
      </c>
      <c r="F65" s="404">
        <f>F74*F69</f>
        <v>3.7800000000000003E-4</v>
      </c>
      <c r="G65" s="404" t="s">
        <v>449</v>
      </c>
      <c r="I65" s="404" t="s">
        <v>879</v>
      </c>
      <c r="J65" s="404">
        <f>0.5*F69</f>
        <v>9.4500000000000001E-2</v>
      </c>
      <c r="K65" s="404" t="s">
        <v>449</v>
      </c>
    </row>
    <row r="66" spans="1:11" s="403" customFormat="1">
      <c r="A66" s="403" t="s">
        <v>880</v>
      </c>
      <c r="B66" s="403">
        <f>0.6192*F69</f>
        <v>0.1170288</v>
      </c>
      <c r="C66" s="403" t="s">
        <v>448</v>
      </c>
      <c r="E66" s="403" t="s">
        <v>881</v>
      </c>
      <c r="F66" s="403">
        <f>F75*F69</f>
        <v>1.8900000000000001E-4</v>
      </c>
      <c r="G66" s="404" t="s">
        <v>449</v>
      </c>
      <c r="I66" s="403" t="s">
        <v>882</v>
      </c>
      <c r="J66" s="404">
        <f>F76*F69</f>
        <v>3.7800000000000003E-4</v>
      </c>
      <c r="K66" s="404" t="s">
        <v>449</v>
      </c>
    </row>
    <row r="67" spans="1:11" s="403" customFormat="1">
      <c r="A67" s="403" t="s">
        <v>883</v>
      </c>
      <c r="B67" s="403">
        <f>0.0252*F69</f>
        <v>4.7628000000000002E-3</v>
      </c>
      <c r="C67" s="403" t="s">
        <v>448</v>
      </c>
    </row>
    <row r="68" spans="1:11" s="403" customFormat="1"/>
    <row r="69" spans="1:11" s="403" customFormat="1">
      <c r="E69" s="432" t="s">
        <v>884</v>
      </c>
      <c r="F69" s="404">
        <f>3.78*0.05</f>
        <v>0.189</v>
      </c>
      <c r="G69" s="404" t="s">
        <v>885</v>
      </c>
    </row>
    <row r="70" spans="1:11" s="403" customFormat="1"/>
    <row r="71" spans="1:11" s="403" customFormat="1">
      <c r="E71" s="484" t="s">
        <v>886</v>
      </c>
    </row>
    <row r="72" spans="1:11" s="403" customFormat="1">
      <c r="E72" s="403" t="s">
        <v>887</v>
      </c>
      <c r="F72" s="403" t="s">
        <v>443</v>
      </c>
      <c r="G72" s="403" t="s">
        <v>444</v>
      </c>
    </row>
    <row r="73" spans="1:11" s="403" customFormat="1">
      <c r="E73" s="403" t="s">
        <v>128</v>
      </c>
      <c r="F73" s="403">
        <v>0.34</v>
      </c>
      <c r="G73" s="403" t="s">
        <v>449</v>
      </c>
    </row>
    <row r="74" spans="1:11" s="403" customFormat="1">
      <c r="E74" s="403" t="s">
        <v>878</v>
      </c>
      <c r="F74" s="403">
        <v>2E-3</v>
      </c>
      <c r="G74" s="403" t="s">
        <v>449</v>
      </c>
      <c r="I74" s="403" t="s">
        <v>481</v>
      </c>
      <c r="J74" s="487">
        <f>64.09*0.05</f>
        <v>3.2045000000000003</v>
      </c>
      <c r="K74" s="403" t="s">
        <v>480</v>
      </c>
    </row>
    <row r="75" spans="1:11" s="403" customFormat="1">
      <c r="E75" s="403" t="s">
        <v>881</v>
      </c>
      <c r="F75" s="403">
        <v>1E-3</v>
      </c>
      <c r="G75" s="403" t="s">
        <v>449</v>
      </c>
    </row>
    <row r="76" spans="1:11" s="403" customFormat="1">
      <c r="E76" s="403" t="s">
        <v>882</v>
      </c>
      <c r="F76" s="403">
        <v>2E-3</v>
      </c>
      <c r="G76" s="403" t="s">
        <v>449</v>
      </c>
    </row>
    <row r="77" spans="1:11" s="403" customFormat="1"/>
    <row r="78" spans="1:11" s="403" customFormat="1">
      <c r="A78" s="403" t="s">
        <v>888</v>
      </c>
    </row>
    <row r="79" spans="1:11" s="403" customFormat="1"/>
    <row r="80" spans="1:11" s="403" customFormat="1"/>
    <row r="81" spans="1:13" s="403" customFormat="1"/>
    <row r="82" spans="1:13" s="403" customFormat="1"/>
    <row r="83" spans="1:13" s="403" customFormat="1" ht="79.5" customHeight="1">
      <c r="A83" s="620" t="s">
        <v>889</v>
      </c>
      <c r="B83" s="620"/>
      <c r="C83" s="620"/>
      <c r="D83" s="620"/>
      <c r="E83" s="620"/>
      <c r="F83" s="620"/>
      <c r="G83" s="620"/>
      <c r="H83" s="620"/>
      <c r="I83" s="488"/>
    </row>
    <row r="84" spans="1:13" s="403" customFormat="1"/>
    <row r="85" spans="1:13" s="403" customFormat="1">
      <c r="A85" s="403" t="s">
        <v>890</v>
      </c>
      <c r="B85" s="403" t="s">
        <v>891</v>
      </c>
    </row>
    <row r="86" spans="1:13">
      <c r="A86" s="290"/>
      <c r="B86" s="290"/>
      <c r="C86" s="290"/>
      <c r="D86" s="290"/>
      <c r="E86" s="290"/>
      <c r="F86" s="290"/>
      <c r="G86" s="290"/>
      <c r="H86" s="290"/>
      <c r="I86" s="290"/>
      <c r="J86" s="290"/>
      <c r="K86" s="290"/>
      <c r="L86" s="290"/>
      <c r="M86" s="290"/>
    </row>
    <row r="87" spans="1:13">
      <c r="A87" s="290"/>
      <c r="B87" s="290"/>
      <c r="C87" s="290"/>
      <c r="D87" s="290"/>
      <c r="E87" s="290"/>
      <c r="F87" s="290"/>
      <c r="G87" s="290"/>
      <c r="H87" s="290"/>
      <c r="I87" s="290"/>
      <c r="J87" s="290"/>
      <c r="K87" s="290"/>
      <c r="L87" s="290"/>
      <c r="M87" s="290"/>
    </row>
  </sheetData>
  <mergeCells count="1">
    <mergeCell ref="A83:H83"/>
  </mergeCells>
  <hyperlinks>
    <hyperlink ref="E71" r:id="rId1" location="s0010" xr:uid="{86B497FC-2101-4081-A3A9-5809AFD61994}"/>
    <hyperlink ref="A46" r:id="rId2" location="Sec22" xr:uid="{47975E58-88C3-455F-9D21-779F5142BF3A}"/>
  </hyperlinks>
  <pageMargins left="0.7" right="0.7" top="0.75" bottom="0.75" header="0.3" footer="0.3"/>
  <pageSetup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E5F4-0516-41E9-9CC7-0859BCC09A13}">
  <dimension ref="A2:AG128"/>
  <sheetViews>
    <sheetView workbookViewId="0">
      <selection activeCell="E8" sqref="E8"/>
    </sheetView>
  </sheetViews>
  <sheetFormatPr defaultRowHeight="14.4"/>
  <cols>
    <col min="1" max="1" width="31.5546875" customWidth="1"/>
    <col min="2" max="2" width="12.6640625" customWidth="1"/>
    <col min="3" max="3" width="16.44140625" customWidth="1"/>
    <col min="5" max="5" width="23.33203125" customWidth="1"/>
    <col min="9" max="9" width="30" customWidth="1"/>
    <col min="10" max="10" width="13.33203125" customWidth="1"/>
    <col min="12" max="12" width="15.6640625" customWidth="1"/>
    <col min="13" max="13" width="14.5546875" customWidth="1"/>
    <col min="14" max="14" width="21.33203125" customWidth="1"/>
    <col min="16" max="16" width="8.6640625" customWidth="1"/>
    <col min="21" max="21" width="31.33203125" customWidth="1"/>
  </cols>
  <sheetData>
    <row r="2" spans="1:20" ht="19.8">
      <c r="A2" s="33" t="s">
        <v>892</v>
      </c>
    </row>
    <row r="3" spans="1:20">
      <c r="C3" s="3" t="s">
        <v>893</v>
      </c>
      <c r="D3" s="32" t="s">
        <v>894</v>
      </c>
    </row>
    <row r="4" spans="1:20">
      <c r="C4" t="s">
        <v>895</v>
      </c>
      <c r="I4" s="403" t="s">
        <v>440</v>
      </c>
    </row>
    <row r="5" spans="1:20">
      <c r="A5" s="3" t="s">
        <v>896</v>
      </c>
      <c r="E5" s="3" t="s">
        <v>441</v>
      </c>
      <c r="I5" s="405" t="s">
        <v>442</v>
      </c>
      <c r="J5" s="403"/>
      <c r="K5" s="403"/>
      <c r="L5" s="403"/>
      <c r="M5" s="403"/>
      <c r="N5" s="405" t="s">
        <v>897</v>
      </c>
      <c r="O5" s="403"/>
      <c r="P5" s="403"/>
      <c r="Q5" s="403"/>
      <c r="R5" s="403"/>
      <c r="S5" s="403"/>
      <c r="T5" s="403"/>
    </row>
    <row r="6" spans="1:20" ht="15" thickBot="1">
      <c r="A6" t="s">
        <v>194</v>
      </c>
      <c r="B6" t="s">
        <v>443</v>
      </c>
      <c r="C6" t="s">
        <v>444</v>
      </c>
      <c r="E6" t="s">
        <v>898</v>
      </c>
      <c r="F6" t="s">
        <v>443</v>
      </c>
      <c r="G6" t="s">
        <v>444</v>
      </c>
      <c r="I6" s="403" t="s">
        <v>446</v>
      </c>
      <c r="J6" s="403" t="s">
        <v>443</v>
      </c>
      <c r="K6" s="403" t="s">
        <v>444</v>
      </c>
      <c r="L6" s="403"/>
      <c r="M6" s="403"/>
      <c r="N6" s="404"/>
      <c r="O6" s="404"/>
      <c r="P6" s="489" t="s">
        <v>899</v>
      </c>
      <c r="Q6" s="489"/>
      <c r="R6" s="489"/>
      <c r="S6" s="489"/>
      <c r="T6" s="403"/>
    </row>
    <row r="7" spans="1:20">
      <c r="A7" s="398" t="s">
        <v>900</v>
      </c>
      <c r="B7" s="398">
        <v>20.605571999999999</v>
      </c>
      <c r="C7" s="398" t="s">
        <v>448</v>
      </c>
      <c r="E7" s="79" t="s">
        <v>901</v>
      </c>
      <c r="F7" s="79">
        <v>2.3368000000000002</v>
      </c>
      <c r="G7" s="79" t="s">
        <v>449</v>
      </c>
      <c r="I7" s="404" t="s">
        <v>902</v>
      </c>
      <c r="J7" s="404">
        <v>0.76770000000000005</v>
      </c>
      <c r="K7" s="404" t="s">
        <v>449</v>
      </c>
      <c r="L7" s="403"/>
      <c r="M7" s="403"/>
      <c r="N7" s="470" t="s">
        <v>903</v>
      </c>
      <c r="O7" s="470" t="s">
        <v>495</v>
      </c>
      <c r="P7" s="470" t="s">
        <v>55</v>
      </c>
      <c r="Q7" s="470" t="s">
        <v>904</v>
      </c>
      <c r="R7" s="470" t="s">
        <v>47</v>
      </c>
      <c r="S7" s="470" t="s">
        <v>176</v>
      </c>
      <c r="T7" s="403"/>
    </row>
    <row r="8" spans="1:20" ht="43.2">
      <c r="A8" s="491" t="s">
        <v>874</v>
      </c>
      <c r="B8" s="398">
        <v>1.7090000000000001</v>
      </c>
      <c r="C8" s="398" t="s">
        <v>448</v>
      </c>
      <c r="I8" s="404" t="s">
        <v>905</v>
      </c>
      <c r="J8" s="404">
        <v>1.3984E-2</v>
      </c>
      <c r="K8" s="404" t="s">
        <v>449</v>
      </c>
      <c r="L8" s="403"/>
      <c r="M8" s="403"/>
      <c r="N8" s="404" t="s">
        <v>906</v>
      </c>
      <c r="O8" s="404" t="s">
        <v>448</v>
      </c>
      <c r="P8" s="404">
        <v>96.306274000000002</v>
      </c>
      <c r="Q8" s="404">
        <v>71.345018999999994</v>
      </c>
      <c r="R8" s="404">
        <v>135.73302000000001</v>
      </c>
      <c r="S8" s="404">
        <v>180.93770000000001</v>
      </c>
      <c r="T8" s="403"/>
    </row>
    <row r="9" spans="1:20">
      <c r="E9" t="s">
        <v>907</v>
      </c>
      <c r="I9" s="404" t="s">
        <v>908</v>
      </c>
      <c r="J9" s="404">
        <v>1.8676000000000002E-2</v>
      </c>
      <c r="K9" s="404" t="s">
        <v>449</v>
      </c>
      <c r="L9" s="403"/>
      <c r="M9" s="403"/>
      <c r="N9" s="404" t="s">
        <v>909</v>
      </c>
      <c r="O9" s="404" t="s">
        <v>448</v>
      </c>
      <c r="P9" s="404">
        <v>54.794086</v>
      </c>
      <c r="Q9" s="404">
        <v>79.038460000000001</v>
      </c>
      <c r="R9" s="404">
        <v>25.061800000000002</v>
      </c>
      <c r="S9" s="404">
        <v>8.1619220000000006</v>
      </c>
      <c r="T9" s="403"/>
    </row>
    <row r="10" spans="1:20">
      <c r="I10" s="404" t="s">
        <v>910</v>
      </c>
      <c r="J10" s="404">
        <v>0.35052</v>
      </c>
      <c r="K10" s="404" t="s">
        <v>449</v>
      </c>
      <c r="L10" s="403"/>
      <c r="M10" s="403"/>
      <c r="N10" s="404" t="s">
        <v>911</v>
      </c>
      <c r="O10" s="404" t="s">
        <v>448</v>
      </c>
      <c r="P10" s="404">
        <v>0.73268299000000003</v>
      </c>
      <c r="Q10" s="404">
        <v>0.73210315999999998</v>
      </c>
      <c r="R10" s="404">
        <v>0.73233877000000003</v>
      </c>
      <c r="S10" s="404">
        <v>0.73276399999999997</v>
      </c>
      <c r="T10" s="403"/>
    </row>
    <row r="11" spans="1:20">
      <c r="A11" t="s">
        <v>912</v>
      </c>
      <c r="I11" s="404" t="s">
        <v>913</v>
      </c>
      <c r="J11" s="404">
        <v>0.47020000000000001</v>
      </c>
      <c r="K11" s="404" t="s">
        <v>449</v>
      </c>
      <c r="L11" s="403"/>
      <c r="M11" s="403"/>
      <c r="N11" s="404" t="s">
        <v>914</v>
      </c>
      <c r="O11" s="404" t="s">
        <v>448</v>
      </c>
      <c r="P11" s="404">
        <v>24.199895999999999</v>
      </c>
      <c r="Q11" s="404">
        <v>15.509119999999999</v>
      </c>
      <c r="R11" s="404">
        <v>17.565715999999998</v>
      </c>
      <c r="S11" s="404">
        <v>21.34572</v>
      </c>
      <c r="T11" s="403"/>
    </row>
    <row r="12" spans="1:20">
      <c r="I12" s="404" t="s">
        <v>915</v>
      </c>
      <c r="J12" s="490">
        <v>3.2799999999999998E-5</v>
      </c>
      <c r="K12" s="404" t="s">
        <v>449</v>
      </c>
      <c r="L12" s="403"/>
      <c r="M12" s="403"/>
      <c r="N12" s="404" t="s">
        <v>916</v>
      </c>
      <c r="O12" s="404" t="s">
        <v>448</v>
      </c>
      <c r="P12" s="404">
        <v>2.7888769</v>
      </c>
      <c r="Q12" s="404">
        <v>3.3533537</v>
      </c>
      <c r="R12" s="404">
        <v>6.1397914</v>
      </c>
      <c r="S12" s="404">
        <v>4.0753539999999999</v>
      </c>
      <c r="T12" s="403"/>
    </row>
    <row r="13" spans="1:20">
      <c r="A13" s="398" t="s">
        <v>482</v>
      </c>
      <c r="I13" s="404" t="s">
        <v>917</v>
      </c>
      <c r="J13" s="490">
        <v>8.6500000000000002E-5</v>
      </c>
      <c r="K13" s="404" t="s">
        <v>449</v>
      </c>
      <c r="L13" s="403"/>
      <c r="M13" s="403"/>
      <c r="N13" s="404" t="s">
        <v>918</v>
      </c>
      <c r="O13" s="404" t="s">
        <v>448</v>
      </c>
      <c r="P13" s="404">
        <v>12.889405</v>
      </c>
      <c r="Q13" s="404">
        <v>15.57226</v>
      </c>
      <c r="R13" s="404">
        <v>3.6794272000000001</v>
      </c>
      <c r="S13" s="404">
        <v>3.0018210000000001</v>
      </c>
      <c r="T13" s="403"/>
    </row>
    <row r="14" spans="1:20">
      <c r="I14" s="404" t="s">
        <v>919</v>
      </c>
      <c r="J14" s="404">
        <v>1.17E-4</v>
      </c>
      <c r="K14" s="404" t="s">
        <v>449</v>
      </c>
      <c r="L14" s="403"/>
      <c r="M14" s="403"/>
      <c r="N14" s="403"/>
      <c r="O14" s="403"/>
      <c r="P14" s="403"/>
      <c r="Q14" s="403"/>
      <c r="R14" s="403"/>
      <c r="S14" s="403"/>
      <c r="T14" s="403"/>
    </row>
    <row r="15" spans="1:20">
      <c r="I15" s="404" t="s">
        <v>920</v>
      </c>
      <c r="J15" s="490">
        <v>3.7400000000000001E-5</v>
      </c>
      <c r="K15" s="404" t="s">
        <v>449</v>
      </c>
      <c r="L15" s="403"/>
      <c r="M15" s="403"/>
      <c r="N15" s="403"/>
      <c r="O15" s="403"/>
      <c r="P15" s="403"/>
      <c r="Q15" s="403"/>
      <c r="R15" s="403"/>
      <c r="S15" s="403"/>
      <c r="T15" s="403"/>
    </row>
    <row r="16" spans="1:20">
      <c r="I16" s="404" t="s">
        <v>921</v>
      </c>
      <c r="J16" s="404">
        <v>44.7</v>
      </c>
      <c r="K16" s="404" t="s">
        <v>449</v>
      </c>
      <c r="L16" s="403"/>
      <c r="M16" s="403"/>
      <c r="N16" s="403"/>
      <c r="O16" s="403"/>
      <c r="P16" s="403"/>
      <c r="Q16" s="403"/>
      <c r="R16" s="403"/>
      <c r="S16" s="403"/>
      <c r="T16" s="403"/>
    </row>
    <row r="17" spans="1:20">
      <c r="I17" s="404" t="s">
        <v>922</v>
      </c>
      <c r="J17" s="404">
        <v>5.1121E-2</v>
      </c>
      <c r="K17" s="404" t="s">
        <v>923</v>
      </c>
      <c r="L17" s="403"/>
      <c r="M17" s="403"/>
      <c r="N17" s="403"/>
      <c r="O17" s="403"/>
      <c r="P17" s="403"/>
      <c r="Q17" s="403"/>
      <c r="R17" s="403"/>
      <c r="S17" s="403"/>
      <c r="T17" s="403"/>
    </row>
    <row r="18" spans="1:20">
      <c r="I18" s="404" t="s">
        <v>924</v>
      </c>
      <c r="J18" s="404">
        <v>3.9008000000000001E-2</v>
      </c>
      <c r="K18" s="404" t="s">
        <v>449</v>
      </c>
      <c r="L18" s="403"/>
      <c r="M18" s="403"/>
      <c r="N18" s="403"/>
      <c r="O18" s="403"/>
      <c r="P18" s="403"/>
      <c r="Q18" s="403"/>
      <c r="R18" s="403"/>
      <c r="S18" s="403"/>
      <c r="T18" s="403"/>
    </row>
    <row r="19" spans="1:20">
      <c r="A19" s="75"/>
      <c r="B19" s="75"/>
      <c r="C19" s="75"/>
      <c r="D19" s="75"/>
      <c r="E19" s="75"/>
      <c r="I19" s="404" t="s">
        <v>925</v>
      </c>
      <c r="J19" s="404">
        <v>0.25590000000000002</v>
      </c>
      <c r="K19" s="404" t="s">
        <v>449</v>
      </c>
      <c r="L19" s="403"/>
      <c r="M19" s="403"/>
      <c r="N19" s="403"/>
      <c r="O19" s="403"/>
      <c r="P19" s="403"/>
      <c r="Q19" s="403"/>
      <c r="R19" s="403"/>
      <c r="S19" s="403"/>
      <c r="T19" s="403"/>
    </row>
    <row r="20" spans="1:20">
      <c r="A20" s="75"/>
      <c r="B20" s="75"/>
      <c r="C20" s="75"/>
      <c r="D20" s="75"/>
      <c r="E20" s="75"/>
      <c r="I20" s="404" t="s">
        <v>926</v>
      </c>
      <c r="J20" s="404">
        <v>3.65</v>
      </c>
      <c r="K20" s="404" t="s">
        <v>449</v>
      </c>
      <c r="L20" s="403"/>
      <c r="M20" s="403"/>
      <c r="N20" s="403"/>
      <c r="O20" s="403"/>
      <c r="P20" s="403"/>
      <c r="Q20" s="403"/>
      <c r="R20" s="403"/>
      <c r="S20" s="403"/>
      <c r="T20" s="403"/>
    </row>
    <row r="21" spans="1:20">
      <c r="A21" s="75"/>
      <c r="B21" s="75"/>
      <c r="C21" s="75"/>
      <c r="D21" s="75"/>
      <c r="E21" s="75"/>
      <c r="I21" s="403"/>
      <c r="J21" s="403"/>
      <c r="K21" s="403"/>
      <c r="L21" s="403"/>
      <c r="M21" s="403"/>
      <c r="N21" s="403"/>
      <c r="O21" s="403"/>
      <c r="P21" s="403"/>
      <c r="Q21" s="403"/>
      <c r="R21" s="403"/>
      <c r="S21" s="403"/>
      <c r="T21" s="403"/>
    </row>
    <row r="22" spans="1:20">
      <c r="A22" s="75"/>
      <c r="B22" s="75"/>
      <c r="C22" s="75"/>
      <c r="D22" s="75"/>
      <c r="E22" s="75"/>
    </row>
    <row r="23" spans="1:20">
      <c r="A23" s="75"/>
      <c r="B23" s="75"/>
      <c r="C23" s="75"/>
      <c r="D23" s="75"/>
      <c r="E23" s="75"/>
      <c r="I23" s="141" t="s">
        <v>466</v>
      </c>
      <c r="K23" s="140" t="s">
        <v>467</v>
      </c>
    </row>
    <row r="24" spans="1:20">
      <c r="A24" s="75"/>
      <c r="B24" s="75"/>
      <c r="C24" s="75"/>
      <c r="D24" s="75"/>
      <c r="E24" s="75"/>
      <c r="I24" s="140" t="s">
        <v>469</v>
      </c>
      <c r="J24" s="140" t="s">
        <v>927</v>
      </c>
      <c r="K24">
        <v>5.3821454588332998</v>
      </c>
      <c r="L24" s="3"/>
    </row>
    <row r="25" spans="1:20">
      <c r="I25" s="140" t="s">
        <v>469</v>
      </c>
      <c r="J25" s="140" t="s">
        <v>928</v>
      </c>
      <c r="K25">
        <v>9.1844688088656703</v>
      </c>
      <c r="L25" s="3"/>
    </row>
    <row r="26" spans="1:20">
      <c r="I26" s="140" t="s">
        <v>469</v>
      </c>
      <c r="J26" t="s">
        <v>929</v>
      </c>
      <c r="K26">
        <v>10.507065681869999</v>
      </c>
      <c r="L26" s="3"/>
    </row>
    <row r="27" spans="1:20">
      <c r="I27" t="s">
        <v>930</v>
      </c>
      <c r="K27">
        <f>SUM(K24:K26)</f>
        <v>25.07367994956897</v>
      </c>
      <c r="L27" s="3"/>
    </row>
    <row r="28" spans="1:20">
      <c r="I28" s="3" t="s">
        <v>479</v>
      </c>
      <c r="J28" s="79">
        <f>J29*(K27/100)</f>
        <v>2.3997628682535646</v>
      </c>
      <c r="K28" t="s">
        <v>480</v>
      </c>
    </row>
    <row r="29" spans="1:20">
      <c r="I29" s="3" t="s">
        <v>481</v>
      </c>
      <c r="J29">
        <v>9.5708442999999992</v>
      </c>
      <c r="K29" t="s">
        <v>480</v>
      </c>
    </row>
    <row r="30" spans="1:20">
      <c r="I30" s="3"/>
    </row>
    <row r="31" spans="1:20">
      <c r="I31" s="3"/>
    </row>
    <row r="32" spans="1:20">
      <c r="I32" s="3"/>
    </row>
    <row r="33" spans="1:9">
      <c r="I33" s="3"/>
    </row>
    <row r="34" spans="1:9">
      <c r="I34" s="3"/>
    </row>
    <row r="35" spans="1:9">
      <c r="A35" s="403" t="s">
        <v>440</v>
      </c>
    </row>
    <row r="36" spans="1:9" s="403" customFormat="1" ht="17.399999999999999">
      <c r="A36" s="402" t="s">
        <v>931</v>
      </c>
    </row>
    <row r="37" spans="1:9" s="403" customFormat="1" ht="15" thickTop="1"/>
    <row r="38" spans="1:9" s="403" customFormat="1" ht="33.6">
      <c r="A38" s="492" t="s">
        <v>932</v>
      </c>
    </row>
    <row r="39" spans="1:9" s="403" customFormat="1">
      <c r="A39" s="493" t="s">
        <v>933</v>
      </c>
    </row>
    <row r="40" spans="1:9" s="403" customFormat="1">
      <c r="A40" s="481"/>
    </row>
    <row r="41" spans="1:9" s="403" customFormat="1" ht="21">
      <c r="A41" s="494" t="s">
        <v>934</v>
      </c>
    </row>
    <row r="42" spans="1:9" s="403" customFormat="1"/>
    <row r="43" spans="1:9" s="403" customFormat="1" ht="18">
      <c r="A43" s="495" t="s">
        <v>935</v>
      </c>
      <c r="B43" s="496" t="s">
        <v>936</v>
      </c>
      <c r="C43" s="497" t="s">
        <v>807</v>
      </c>
    </row>
    <row r="44" spans="1:9" s="403" customFormat="1">
      <c r="A44" s="498" t="s">
        <v>937</v>
      </c>
      <c r="B44" s="499" t="s">
        <v>938</v>
      </c>
      <c r="C44" s="498" t="s">
        <v>939</v>
      </c>
    </row>
    <row r="45" spans="1:9" s="403" customFormat="1">
      <c r="A45" s="500" t="s">
        <v>940</v>
      </c>
      <c r="B45" s="501" t="s">
        <v>941</v>
      </c>
      <c r="C45" s="500" t="s">
        <v>942</v>
      </c>
    </row>
    <row r="46" spans="1:9" s="403" customFormat="1">
      <c r="A46" s="500"/>
      <c r="B46" s="501" t="s">
        <v>943</v>
      </c>
      <c r="C46" s="500" t="s">
        <v>944</v>
      </c>
    </row>
    <row r="47" spans="1:9" s="403" customFormat="1">
      <c r="A47" s="502" t="s">
        <v>945</v>
      </c>
      <c r="B47" s="503" t="s">
        <v>946</v>
      </c>
      <c r="C47" s="502" t="s">
        <v>947</v>
      </c>
    </row>
    <row r="48" spans="1:9" s="403" customFormat="1">
      <c r="A48" s="502"/>
      <c r="B48" s="503" t="s">
        <v>948</v>
      </c>
      <c r="C48" s="502" t="s">
        <v>949</v>
      </c>
    </row>
    <row r="49" spans="1:33" s="403" customFormat="1">
      <c r="A49" s="504" t="s">
        <v>950</v>
      </c>
      <c r="B49" s="505" t="s">
        <v>951</v>
      </c>
      <c r="C49" s="504" t="s">
        <v>952</v>
      </c>
    </row>
    <row r="50" spans="1:33" s="403" customFormat="1">
      <c r="A50" s="504"/>
      <c r="B50" s="505" t="s">
        <v>953</v>
      </c>
      <c r="C50" s="504" t="s">
        <v>954</v>
      </c>
    </row>
    <row r="51" spans="1:33" s="403" customFormat="1">
      <c r="A51" s="506" t="s">
        <v>955</v>
      </c>
      <c r="B51" s="507" t="s">
        <v>956</v>
      </c>
      <c r="C51" s="506" t="s">
        <v>957</v>
      </c>
    </row>
    <row r="52" spans="1:33" s="403" customFormat="1">
      <c r="A52" s="506"/>
      <c r="B52" s="507" t="s">
        <v>958</v>
      </c>
      <c r="C52" s="506" t="s">
        <v>959</v>
      </c>
    </row>
    <row r="53" spans="1:33" s="403" customFormat="1">
      <c r="A53" s="508" t="s">
        <v>960</v>
      </c>
      <c r="B53" s="509" t="s">
        <v>961</v>
      </c>
      <c r="C53" s="508" t="s">
        <v>962</v>
      </c>
    </row>
    <row r="54" spans="1:33" s="403" customFormat="1">
      <c r="A54" s="508"/>
      <c r="B54" s="509" t="s">
        <v>963</v>
      </c>
      <c r="C54" s="508" t="s">
        <v>964</v>
      </c>
    </row>
    <row r="55" spans="1:33" s="403" customFormat="1">
      <c r="A55" s="510" t="s">
        <v>965</v>
      </c>
      <c r="B55" s="511" t="s">
        <v>966</v>
      </c>
      <c r="C55" s="510" t="s">
        <v>967</v>
      </c>
    </row>
    <row r="56" spans="1:33" s="403" customFormat="1">
      <c r="A56" s="510" t="s">
        <v>968</v>
      </c>
      <c r="B56" s="511" t="s">
        <v>969</v>
      </c>
      <c r="C56" s="510" t="s">
        <v>970</v>
      </c>
    </row>
    <row r="57" spans="1:33" s="403" customFormat="1">
      <c r="A57" s="510"/>
      <c r="B57" s="511" t="s">
        <v>971</v>
      </c>
      <c r="C57" s="510" t="s">
        <v>972</v>
      </c>
    </row>
    <row r="58" spans="1:33" s="403" customFormat="1">
      <c r="A58" s="510"/>
      <c r="B58" s="511" t="s">
        <v>973</v>
      </c>
      <c r="C58" s="510" t="s">
        <v>974</v>
      </c>
    </row>
    <row r="59" spans="1:33" s="403" customFormat="1"/>
    <row r="60" spans="1:33" s="403" customFormat="1"/>
    <row r="61" spans="1:33" s="403" customFormat="1"/>
    <row r="62" spans="1:33" s="403" customFormat="1" ht="19.8">
      <c r="A62" s="512" t="s">
        <v>975</v>
      </c>
      <c r="N62" s="621" t="s">
        <v>976</v>
      </c>
      <c r="O62" s="621"/>
      <c r="P62" s="621"/>
      <c r="Q62" s="621"/>
      <c r="R62" s="621"/>
      <c r="S62" s="621"/>
      <c r="U62" s="621" t="s">
        <v>977</v>
      </c>
      <c r="V62" s="621"/>
      <c r="W62" s="621"/>
      <c r="X62" s="621"/>
      <c r="Y62" s="621"/>
      <c r="Z62" s="621"/>
      <c r="AB62" s="621" t="s">
        <v>978</v>
      </c>
      <c r="AC62" s="621"/>
      <c r="AD62" s="621"/>
      <c r="AE62" s="621"/>
      <c r="AF62" s="621"/>
      <c r="AG62" s="621"/>
    </row>
    <row r="63" spans="1:33" s="403" customFormat="1" ht="15" thickTop="1">
      <c r="A63" s="403" t="s">
        <v>979</v>
      </c>
      <c r="B63" s="403" t="s">
        <v>980</v>
      </c>
      <c r="C63" s="403" t="s">
        <v>981</v>
      </c>
      <c r="D63" s="514">
        <v>44343</v>
      </c>
      <c r="E63" s="403" t="s">
        <v>982</v>
      </c>
      <c r="F63" s="515">
        <v>0.61072694444444398</v>
      </c>
      <c r="N63" s="403" t="s">
        <v>983</v>
      </c>
      <c r="O63" s="403" t="s">
        <v>984</v>
      </c>
      <c r="U63" s="403" t="s">
        <v>983</v>
      </c>
      <c r="V63" s="403" t="s">
        <v>984</v>
      </c>
      <c r="AB63" s="403" t="s">
        <v>983</v>
      </c>
      <c r="AC63" s="403" t="s">
        <v>984</v>
      </c>
    </row>
    <row r="64" spans="1:33" s="403" customFormat="1">
      <c r="A64" s="403" t="s">
        <v>985</v>
      </c>
      <c r="B64" s="403" t="s">
        <v>986</v>
      </c>
      <c r="N64" s="403" t="s">
        <v>987</v>
      </c>
      <c r="O64" s="403" t="s">
        <v>988</v>
      </c>
      <c r="U64" s="403" t="s">
        <v>987</v>
      </c>
      <c r="V64" s="403" t="s">
        <v>988</v>
      </c>
      <c r="AB64" s="403" t="s">
        <v>987</v>
      </c>
      <c r="AC64" s="403" t="s">
        <v>988</v>
      </c>
    </row>
    <row r="65" spans="1:33" s="403" customFormat="1">
      <c r="N65" s="403" t="s">
        <v>989</v>
      </c>
      <c r="O65" s="403" t="s">
        <v>990</v>
      </c>
      <c r="U65" s="403" t="s">
        <v>989</v>
      </c>
      <c r="V65" s="403" t="s">
        <v>990</v>
      </c>
      <c r="AB65" s="403" t="s">
        <v>989</v>
      </c>
      <c r="AC65" s="403" t="s">
        <v>990</v>
      </c>
    </row>
    <row r="66" spans="1:33" s="403" customFormat="1" ht="17.399999999999999">
      <c r="A66" s="402" t="s">
        <v>991</v>
      </c>
      <c r="N66" s="403" t="s">
        <v>992</v>
      </c>
      <c r="O66" s="403" t="s">
        <v>993</v>
      </c>
      <c r="U66" s="403" t="s">
        <v>992</v>
      </c>
      <c r="V66" s="403" t="s">
        <v>993</v>
      </c>
      <c r="AB66" s="403" t="s">
        <v>992</v>
      </c>
      <c r="AC66" s="403" t="s">
        <v>993</v>
      </c>
    </row>
    <row r="67" spans="1:33" s="403" customFormat="1">
      <c r="A67" s="516" t="s">
        <v>994</v>
      </c>
      <c r="B67" s="516" t="s">
        <v>443</v>
      </c>
      <c r="C67" s="516" t="s">
        <v>495</v>
      </c>
      <c r="D67" s="516" t="s">
        <v>995</v>
      </c>
      <c r="E67" s="516" t="s">
        <v>996</v>
      </c>
      <c r="F67" s="516" t="s">
        <v>14</v>
      </c>
      <c r="G67" s="516" t="s">
        <v>997</v>
      </c>
      <c r="N67" s="403" t="s">
        <v>998</v>
      </c>
      <c r="O67" s="403" t="s">
        <v>999</v>
      </c>
      <c r="U67" s="403" t="s">
        <v>998</v>
      </c>
      <c r="V67" s="403" t="s">
        <v>999</v>
      </c>
      <c r="AB67" s="403" t="s">
        <v>998</v>
      </c>
      <c r="AC67" s="403" t="s">
        <v>999</v>
      </c>
    </row>
    <row r="68" spans="1:33" s="403" customFormat="1">
      <c r="A68" s="403" t="s">
        <v>1000</v>
      </c>
      <c r="B68" s="403">
        <v>1</v>
      </c>
      <c r="C68" s="403" t="s">
        <v>449</v>
      </c>
      <c r="D68" s="403">
        <v>100</v>
      </c>
      <c r="E68" s="403" t="s">
        <v>1001</v>
      </c>
      <c r="F68" s="403" t="s">
        <v>1002</v>
      </c>
      <c r="G68" s="403" t="s">
        <v>1003</v>
      </c>
      <c r="N68" s="403" t="s">
        <v>1004</v>
      </c>
      <c r="O68" s="403" t="s">
        <v>1005</v>
      </c>
      <c r="U68" s="403" t="s">
        <v>1004</v>
      </c>
      <c r="V68" s="403" t="s">
        <v>1005</v>
      </c>
      <c r="AB68" s="403" t="s">
        <v>1004</v>
      </c>
      <c r="AC68" s="403" t="s">
        <v>1005</v>
      </c>
    </row>
    <row r="69" spans="1:33" s="403" customFormat="1">
      <c r="N69" s="403" t="s">
        <v>1006</v>
      </c>
      <c r="O69" s="403" t="s">
        <v>1007</v>
      </c>
      <c r="U69" s="403" t="s">
        <v>1006</v>
      </c>
      <c r="V69" s="403" t="s">
        <v>1008</v>
      </c>
      <c r="AB69" s="403" t="s">
        <v>1006</v>
      </c>
      <c r="AC69" s="403" t="s">
        <v>1009</v>
      </c>
    </row>
    <row r="70" spans="1:33" s="403" customFormat="1">
      <c r="A70" s="403" t="s">
        <v>1010</v>
      </c>
      <c r="N70" s="403" t="s">
        <v>1011</v>
      </c>
      <c r="O70" s="403" t="s">
        <v>1012</v>
      </c>
      <c r="U70" s="403" t="s">
        <v>1011</v>
      </c>
      <c r="V70" s="403" t="s">
        <v>1012</v>
      </c>
      <c r="AB70" s="403" t="s">
        <v>1011</v>
      </c>
      <c r="AC70" s="403" t="s">
        <v>1012</v>
      </c>
    </row>
    <row r="71" spans="1:33" s="403" customFormat="1">
      <c r="N71" s="403" t="s">
        <v>1013</v>
      </c>
      <c r="O71" s="403" t="s">
        <v>1014</v>
      </c>
      <c r="U71" s="403" t="s">
        <v>1013</v>
      </c>
      <c r="V71" s="403" t="s">
        <v>1014</v>
      </c>
      <c r="AB71" s="403" t="s">
        <v>1013</v>
      </c>
      <c r="AC71" s="403" t="s">
        <v>1014</v>
      </c>
    </row>
    <row r="72" spans="1:33" s="403" customFormat="1" ht="17.399999999999999">
      <c r="A72" s="402" t="s">
        <v>68</v>
      </c>
      <c r="N72" s="403" t="s">
        <v>1015</v>
      </c>
      <c r="O72" s="403" t="s">
        <v>1016</v>
      </c>
      <c r="U72" s="403" t="s">
        <v>1015</v>
      </c>
      <c r="V72" s="403" t="s">
        <v>1016</v>
      </c>
      <c r="AB72" s="403" t="s">
        <v>1015</v>
      </c>
      <c r="AC72" s="403" t="s">
        <v>1016</v>
      </c>
    </row>
    <row r="73" spans="1:33" s="403" customFormat="1">
      <c r="A73" s="516" t="s">
        <v>1017</v>
      </c>
      <c r="C73" s="516" t="s">
        <v>443</v>
      </c>
      <c r="D73" s="516" t="s">
        <v>495</v>
      </c>
      <c r="E73" s="516" t="s">
        <v>1018</v>
      </c>
      <c r="G73" s="516" t="s">
        <v>1019</v>
      </c>
      <c r="H73" s="516" t="s">
        <v>1020</v>
      </c>
      <c r="I73" s="516" t="s">
        <v>997</v>
      </c>
      <c r="N73" s="403" t="s">
        <v>1021</v>
      </c>
      <c r="O73" s="403" t="s">
        <v>1016</v>
      </c>
      <c r="U73" s="403" t="s">
        <v>1021</v>
      </c>
      <c r="V73" s="403" t="s">
        <v>1016</v>
      </c>
      <c r="AB73" s="403" t="s">
        <v>1021</v>
      </c>
      <c r="AC73" s="403" t="s">
        <v>1016</v>
      </c>
    </row>
    <row r="74" spans="1:33" s="403" customFormat="1">
      <c r="A74" s="403" t="s">
        <v>1022</v>
      </c>
      <c r="B74" s="403" t="s">
        <v>1023</v>
      </c>
      <c r="C74" s="403">
        <v>0.01</v>
      </c>
      <c r="D74" s="403" t="s">
        <v>1024</v>
      </c>
      <c r="E74" s="403" t="s">
        <v>1025</v>
      </c>
      <c r="F74" s="403" t="s">
        <v>1023</v>
      </c>
      <c r="G74" s="403">
        <v>8.0000000000000002E-3</v>
      </c>
      <c r="H74" s="403">
        <v>1.2E-2</v>
      </c>
      <c r="I74" s="403" t="s">
        <v>1026</v>
      </c>
      <c r="N74" s="403" t="s">
        <v>1027</v>
      </c>
      <c r="O74" s="403" t="s">
        <v>903</v>
      </c>
      <c r="U74" s="403" t="s">
        <v>1027</v>
      </c>
      <c r="V74" s="403" t="s">
        <v>903</v>
      </c>
      <c r="AB74" s="403" t="s">
        <v>1027</v>
      </c>
      <c r="AC74" s="403" t="s">
        <v>903</v>
      </c>
    </row>
    <row r="75" spans="1:33" s="403" customFormat="1">
      <c r="A75" s="403" t="s">
        <v>1028</v>
      </c>
      <c r="B75" s="403" t="s">
        <v>1023</v>
      </c>
      <c r="C75" s="403">
        <v>1.3300000000000001E-4</v>
      </c>
      <c r="D75" s="403" t="s">
        <v>1029</v>
      </c>
      <c r="E75" s="403" t="s">
        <v>1025</v>
      </c>
      <c r="F75" s="403" t="s">
        <v>1023</v>
      </c>
      <c r="G75" s="403">
        <v>1.06667E-4</v>
      </c>
      <c r="H75" s="403">
        <v>1.6000000000000001E-4</v>
      </c>
      <c r="I75" s="403" t="s">
        <v>1023</v>
      </c>
      <c r="N75" s="403" t="s">
        <v>1030</v>
      </c>
      <c r="O75" s="403" t="s">
        <v>1031</v>
      </c>
      <c r="U75" s="403" t="s">
        <v>1030</v>
      </c>
      <c r="V75" s="403" t="s">
        <v>1031</v>
      </c>
      <c r="AB75" s="403" t="s">
        <v>1030</v>
      </c>
      <c r="AC75" s="403" t="s">
        <v>1031</v>
      </c>
    </row>
    <row r="76" spans="1:33" s="403" customFormat="1">
      <c r="A76" s="403" t="s">
        <v>1032</v>
      </c>
      <c r="B76" s="403" t="s">
        <v>1023</v>
      </c>
      <c r="C76" s="403">
        <v>1.3300000000000001E-4</v>
      </c>
      <c r="D76" s="403" t="s">
        <v>1029</v>
      </c>
      <c r="E76" s="403" t="s">
        <v>1025</v>
      </c>
      <c r="F76" s="403" t="s">
        <v>1023</v>
      </c>
      <c r="G76" s="403">
        <v>1.06667E-4</v>
      </c>
      <c r="H76" s="403">
        <v>1.6000000000000001E-4</v>
      </c>
      <c r="I76" s="403" t="s">
        <v>1023</v>
      </c>
    </row>
    <row r="77" spans="1:33" s="403" customFormat="1" ht="15" thickBot="1">
      <c r="O77" s="405"/>
      <c r="P77" s="622" t="s">
        <v>899</v>
      </c>
      <c r="Q77" s="622"/>
      <c r="R77" s="622"/>
      <c r="S77" s="622"/>
      <c r="W77" s="622" t="s">
        <v>899</v>
      </c>
      <c r="X77" s="622"/>
      <c r="Y77" s="622"/>
      <c r="Z77" s="622"/>
      <c r="AD77" s="622" t="s">
        <v>899</v>
      </c>
      <c r="AE77" s="622"/>
      <c r="AF77" s="622"/>
      <c r="AG77" s="622"/>
    </row>
    <row r="78" spans="1:33" s="403" customFormat="1" ht="15" thickBot="1">
      <c r="A78" s="516" t="s">
        <v>1033</v>
      </c>
      <c r="B78" s="516" t="s">
        <v>443</v>
      </c>
      <c r="C78" s="516" t="s">
        <v>495</v>
      </c>
      <c r="D78" s="516" t="s">
        <v>1018</v>
      </c>
      <c r="F78" s="516" t="s">
        <v>1019</v>
      </c>
      <c r="G78" s="516" t="s">
        <v>1020</v>
      </c>
      <c r="H78" s="516" t="s">
        <v>997</v>
      </c>
      <c r="N78" s="405" t="s">
        <v>903</v>
      </c>
      <c r="O78" s="405" t="s">
        <v>495</v>
      </c>
      <c r="P78" s="405" t="s">
        <v>55</v>
      </c>
      <c r="Q78" s="405" t="s">
        <v>904</v>
      </c>
      <c r="R78" s="405" t="s">
        <v>47</v>
      </c>
      <c r="S78" s="405" t="s">
        <v>176</v>
      </c>
      <c r="T78" s="405"/>
      <c r="U78" s="405" t="s">
        <v>903</v>
      </c>
      <c r="V78" s="405" t="s">
        <v>495</v>
      </c>
      <c r="W78" s="405" t="s">
        <v>55</v>
      </c>
      <c r="X78" s="405" t="s">
        <v>904</v>
      </c>
      <c r="Y78" s="405" t="s">
        <v>47</v>
      </c>
      <c r="Z78" s="405" t="s">
        <v>176</v>
      </c>
      <c r="AA78" s="405"/>
      <c r="AB78" s="405" t="s">
        <v>903</v>
      </c>
      <c r="AC78" s="405" t="s">
        <v>495</v>
      </c>
      <c r="AD78" s="405" t="s">
        <v>55</v>
      </c>
      <c r="AE78" s="405" t="s">
        <v>904</v>
      </c>
      <c r="AF78" s="405" t="s">
        <v>47</v>
      </c>
      <c r="AG78" s="405" t="s">
        <v>176</v>
      </c>
    </row>
    <row r="79" spans="1:33" s="403" customFormat="1">
      <c r="A79" s="403" t="s">
        <v>901</v>
      </c>
      <c r="B79" s="403">
        <v>2.3368000000000002</v>
      </c>
      <c r="C79" s="403" t="s">
        <v>449</v>
      </c>
      <c r="D79" s="403" t="s">
        <v>1025</v>
      </c>
      <c r="E79" s="403" t="s">
        <v>1023</v>
      </c>
      <c r="F79" s="403">
        <v>1.86944</v>
      </c>
      <c r="G79" s="403">
        <v>2.80416</v>
      </c>
      <c r="H79" s="403" t="s">
        <v>1034</v>
      </c>
      <c r="N79" s="403" t="s">
        <v>1035</v>
      </c>
      <c r="O79" s="403" t="s">
        <v>1036</v>
      </c>
      <c r="P79" s="403">
        <v>9.5708442999999992</v>
      </c>
      <c r="Q79" s="403">
        <v>7.4002701999999996</v>
      </c>
      <c r="R79" s="403">
        <v>13.178836</v>
      </c>
      <c r="S79" s="403">
        <v>16.960183000000001</v>
      </c>
      <c r="U79" s="403" t="s">
        <v>906</v>
      </c>
      <c r="V79" s="403" t="s">
        <v>448</v>
      </c>
      <c r="W79" s="403">
        <v>96.306274000000002</v>
      </c>
      <c r="X79" s="403">
        <v>71.345018999999994</v>
      </c>
      <c r="Y79" s="403">
        <v>135.73302000000001</v>
      </c>
      <c r="Z79" s="403">
        <v>180.93771000000001</v>
      </c>
      <c r="AB79" s="403" t="s">
        <v>1037</v>
      </c>
      <c r="AC79" s="403" t="s">
        <v>923</v>
      </c>
      <c r="AD79" s="403">
        <v>10.571885999999999</v>
      </c>
      <c r="AE79" s="403">
        <v>10.559492000000001</v>
      </c>
      <c r="AF79" s="403">
        <v>9.8931196000000003</v>
      </c>
      <c r="AG79" s="403">
        <v>10.99907</v>
      </c>
    </row>
    <row r="80" spans="1:33" s="403" customFormat="1">
      <c r="A80" s="403" t="s">
        <v>924</v>
      </c>
      <c r="B80" s="403">
        <v>3.9008000000000001E-2</v>
      </c>
      <c r="C80" s="403" t="s">
        <v>449</v>
      </c>
      <c r="D80" s="403" t="s">
        <v>1025</v>
      </c>
      <c r="E80" s="403" t="s">
        <v>1023</v>
      </c>
      <c r="F80" s="403">
        <v>3.1206399999999999E-2</v>
      </c>
      <c r="G80" s="403">
        <v>4.68096E-2</v>
      </c>
      <c r="H80" s="403" t="s">
        <v>1023</v>
      </c>
      <c r="N80" s="403" t="s">
        <v>1038</v>
      </c>
      <c r="O80" s="403" t="s">
        <v>1039</v>
      </c>
      <c r="P80" s="453">
        <v>7.9760849000000005E-5</v>
      </c>
      <c r="Q80" s="453">
        <v>7.8193363999999997E-5</v>
      </c>
      <c r="R80" s="453">
        <v>8.1645524999999998E-5</v>
      </c>
      <c r="S80" s="453">
        <v>7.9613758000000005E-5</v>
      </c>
      <c r="U80" s="403" t="s">
        <v>909</v>
      </c>
      <c r="V80" s="403" t="s">
        <v>448</v>
      </c>
      <c r="W80" s="403">
        <v>54.794086</v>
      </c>
      <c r="X80" s="403">
        <v>79.038460000000001</v>
      </c>
      <c r="Y80" s="403">
        <v>25.061800000000002</v>
      </c>
      <c r="Z80" s="403">
        <v>8.1619217000000006</v>
      </c>
    </row>
    <row r="81" spans="1:26" s="403" customFormat="1">
      <c r="A81" s="403" t="s">
        <v>925</v>
      </c>
      <c r="B81" s="403">
        <v>0.25590000000000002</v>
      </c>
      <c r="C81" s="403" t="s">
        <v>449</v>
      </c>
      <c r="D81" s="403" t="s">
        <v>1025</v>
      </c>
      <c r="E81" s="403" t="s">
        <v>1023</v>
      </c>
      <c r="F81" s="403">
        <v>0.20473</v>
      </c>
      <c r="G81" s="403">
        <v>0.30709999999999998</v>
      </c>
      <c r="H81" s="403" t="s">
        <v>1040</v>
      </c>
      <c r="N81" s="403" t="s">
        <v>1041</v>
      </c>
      <c r="O81" s="403" t="s">
        <v>1042</v>
      </c>
      <c r="P81" s="403">
        <v>3.0018585999999998</v>
      </c>
      <c r="Q81" s="403">
        <v>4.3362163000000002</v>
      </c>
      <c r="R81" s="403">
        <v>1.3086043999999999</v>
      </c>
      <c r="S81" s="403">
        <v>0.42735178000000001</v>
      </c>
      <c r="U81" s="403" t="s">
        <v>911</v>
      </c>
      <c r="V81" s="403" t="s">
        <v>448</v>
      </c>
      <c r="W81" s="403">
        <v>0.73268299000000003</v>
      </c>
      <c r="X81" s="403">
        <v>0.73210315999999998</v>
      </c>
      <c r="Y81" s="403">
        <v>0.73233877000000003</v>
      </c>
      <c r="Z81" s="403">
        <v>0.73276368999999997</v>
      </c>
    </row>
    <row r="82" spans="1:26" s="403" customFormat="1">
      <c r="A82" s="403" t="s">
        <v>902</v>
      </c>
      <c r="B82" s="403">
        <v>0.76770000000000005</v>
      </c>
      <c r="C82" s="403" t="s">
        <v>449</v>
      </c>
      <c r="D82" s="403" t="s">
        <v>1025</v>
      </c>
      <c r="E82" s="403" t="s">
        <v>1023</v>
      </c>
      <c r="F82" s="403">
        <v>0.61419000000000001</v>
      </c>
      <c r="G82" s="403">
        <v>0.92129000000000005</v>
      </c>
      <c r="H82" s="403" t="s">
        <v>1040</v>
      </c>
      <c r="N82" s="403" t="s">
        <v>1043</v>
      </c>
      <c r="O82" s="403" t="s">
        <v>1044</v>
      </c>
      <c r="P82" s="403">
        <v>1.7093226E-2</v>
      </c>
      <c r="Q82" s="403">
        <v>1.3468716E-2</v>
      </c>
      <c r="R82" s="403">
        <v>1.9207037999999999E-2</v>
      </c>
      <c r="S82" s="403">
        <v>3.2510070000000002E-2</v>
      </c>
      <c r="U82" s="403" t="s">
        <v>914</v>
      </c>
      <c r="V82" s="403" t="s">
        <v>448</v>
      </c>
      <c r="W82" s="403">
        <v>24.199895999999999</v>
      </c>
      <c r="X82" s="403">
        <v>15.509119999999999</v>
      </c>
      <c r="Y82" s="403">
        <v>17.565715999999998</v>
      </c>
      <c r="Z82" s="403">
        <v>21.345721000000001</v>
      </c>
    </row>
    <row r="83" spans="1:26" s="403" customFormat="1">
      <c r="A83" s="403" t="s">
        <v>905</v>
      </c>
      <c r="B83" s="403">
        <v>1.3984E-2</v>
      </c>
      <c r="C83" s="403" t="s">
        <v>449</v>
      </c>
      <c r="D83" s="403" t="s">
        <v>1025</v>
      </c>
      <c r="E83" s="403" t="s">
        <v>1023</v>
      </c>
      <c r="F83" s="403">
        <v>1.11872E-2</v>
      </c>
      <c r="G83" s="403">
        <v>1.6780799999999998E-2</v>
      </c>
      <c r="H83" s="403" t="s">
        <v>1023</v>
      </c>
      <c r="N83" s="403" t="s">
        <v>1045</v>
      </c>
      <c r="O83" s="403" t="s">
        <v>1046</v>
      </c>
      <c r="P83" s="403">
        <v>1.3729277E-2</v>
      </c>
      <c r="Q83" s="403">
        <v>1.1135624E-2</v>
      </c>
      <c r="R83" s="403">
        <v>1.3895931E-2</v>
      </c>
      <c r="S83" s="403">
        <v>2.7831294999999999E-2</v>
      </c>
      <c r="U83" s="403" t="s">
        <v>916</v>
      </c>
      <c r="V83" s="403" t="s">
        <v>448</v>
      </c>
      <c r="W83" s="403">
        <v>2.7888769</v>
      </c>
      <c r="X83" s="403">
        <v>3.3533537</v>
      </c>
      <c r="Y83" s="403">
        <v>6.1397914</v>
      </c>
      <c r="Z83" s="403">
        <v>4.0753539999999999</v>
      </c>
    </row>
    <row r="84" spans="1:26" s="403" customFormat="1">
      <c r="A84" s="403" t="s">
        <v>908</v>
      </c>
      <c r="B84" s="403">
        <v>1.8676000000000002E-2</v>
      </c>
      <c r="C84" s="403" t="s">
        <v>449</v>
      </c>
      <c r="D84" s="403" t="s">
        <v>1025</v>
      </c>
      <c r="E84" s="403" t="s">
        <v>1023</v>
      </c>
      <c r="F84" s="403">
        <v>1.4940800000000001E-2</v>
      </c>
      <c r="G84" s="403">
        <v>2.2411199999999999E-2</v>
      </c>
      <c r="H84" s="403" t="s">
        <v>1023</v>
      </c>
      <c r="N84" s="403" t="s">
        <v>1047</v>
      </c>
      <c r="O84" s="403" t="s">
        <v>1044</v>
      </c>
      <c r="P84" s="403">
        <v>1.7588904999999998E-2</v>
      </c>
      <c r="Q84" s="403">
        <v>1.3902338E-2</v>
      </c>
      <c r="R84" s="403">
        <v>1.9693342999999999E-2</v>
      </c>
      <c r="S84" s="403">
        <v>3.3074544999999997E-2</v>
      </c>
      <c r="U84" s="403" t="s">
        <v>918</v>
      </c>
      <c r="V84" s="403" t="s">
        <v>448</v>
      </c>
      <c r="W84" s="403">
        <v>12.889405</v>
      </c>
      <c r="X84" s="403">
        <v>15.57226</v>
      </c>
      <c r="Y84" s="403">
        <v>3.6794272000000001</v>
      </c>
      <c r="Z84" s="403">
        <v>3.0018213</v>
      </c>
    </row>
    <row r="85" spans="1:26" s="403" customFormat="1">
      <c r="A85" s="403" t="s">
        <v>910</v>
      </c>
      <c r="B85" s="403">
        <v>0.35052</v>
      </c>
      <c r="C85" s="403" t="s">
        <v>449</v>
      </c>
      <c r="D85" s="403" t="s">
        <v>1025</v>
      </c>
      <c r="E85" s="403" t="s">
        <v>1023</v>
      </c>
      <c r="F85" s="403">
        <v>0.280416</v>
      </c>
      <c r="G85" s="403">
        <v>0.420624</v>
      </c>
      <c r="H85" s="403" t="s">
        <v>1023</v>
      </c>
      <c r="N85" s="403" t="s">
        <v>1048</v>
      </c>
      <c r="O85" s="403" t="s">
        <v>1049</v>
      </c>
      <c r="P85" s="403">
        <v>3.4372275000000001E-2</v>
      </c>
      <c r="Q85" s="403">
        <v>2.8661756E-2</v>
      </c>
      <c r="R85" s="403">
        <v>3.8220082000000002E-2</v>
      </c>
      <c r="S85" s="403">
        <v>7.8006598999999996E-2</v>
      </c>
    </row>
    <row r="86" spans="1:26" s="403" customFormat="1">
      <c r="A86" s="403" t="s">
        <v>913</v>
      </c>
      <c r="B86" s="403">
        <v>0.47020000000000001</v>
      </c>
      <c r="C86" s="403" t="s">
        <v>449</v>
      </c>
      <c r="D86" s="403" t="s">
        <v>1025</v>
      </c>
      <c r="E86" s="403" t="s">
        <v>1023</v>
      </c>
      <c r="F86" s="403">
        <v>0.37615999999999999</v>
      </c>
      <c r="G86" s="403">
        <v>0.56423999999999996</v>
      </c>
      <c r="H86" s="403" t="s">
        <v>1023</v>
      </c>
      <c r="N86" s="403" t="s">
        <v>1050</v>
      </c>
      <c r="O86" s="403" t="s">
        <v>1051</v>
      </c>
      <c r="P86" s="403">
        <v>3.6074271999999999E-3</v>
      </c>
      <c r="Q86" s="403">
        <v>2.875369E-3</v>
      </c>
      <c r="R86" s="403">
        <v>1.1267554000000001E-2</v>
      </c>
      <c r="S86" s="403">
        <v>1.5211445000000001E-2</v>
      </c>
    </row>
    <row r="87" spans="1:26" s="403" customFormat="1">
      <c r="A87" s="403" t="s">
        <v>915</v>
      </c>
      <c r="B87" s="403">
        <v>3.2799999999999998E-5</v>
      </c>
      <c r="C87" s="403" t="s">
        <v>449</v>
      </c>
      <c r="D87" s="403" t="s">
        <v>1025</v>
      </c>
      <c r="E87" s="403" t="s">
        <v>1023</v>
      </c>
      <c r="F87" s="403">
        <v>2.62E-5</v>
      </c>
      <c r="G87" s="403">
        <v>3.93E-5</v>
      </c>
      <c r="H87" s="403" t="s">
        <v>1023</v>
      </c>
      <c r="N87" s="403" t="s">
        <v>1052</v>
      </c>
      <c r="O87" s="403" t="s">
        <v>1053</v>
      </c>
      <c r="P87" s="403">
        <v>5.2959549999999998E-3</v>
      </c>
      <c r="Q87" s="403">
        <v>5.2715477000000004E-3</v>
      </c>
      <c r="R87" s="403">
        <v>5.7391276999999999E-3</v>
      </c>
      <c r="S87" s="403">
        <v>5.9660755999999997E-3</v>
      </c>
    </row>
    <row r="88" spans="1:26" s="403" customFormat="1">
      <c r="A88" s="403" t="s">
        <v>917</v>
      </c>
      <c r="B88" s="403">
        <v>8.6500000000000002E-5</v>
      </c>
      <c r="C88" s="403" t="s">
        <v>449</v>
      </c>
      <c r="D88" s="403" t="s">
        <v>1025</v>
      </c>
      <c r="E88" s="403" t="s">
        <v>1023</v>
      </c>
      <c r="F88" s="403">
        <v>6.9183999999999994E-5</v>
      </c>
      <c r="G88" s="403">
        <v>1.03776E-4</v>
      </c>
      <c r="H88" s="403" t="s">
        <v>1023</v>
      </c>
      <c r="N88" s="403" t="s">
        <v>1054</v>
      </c>
      <c r="O88" s="403" t="s">
        <v>1055</v>
      </c>
      <c r="P88" s="403">
        <v>35.605215999999999</v>
      </c>
      <c r="Q88" s="403">
        <v>34.588304999999998</v>
      </c>
      <c r="R88" s="403">
        <v>35.069206999999999</v>
      </c>
      <c r="S88" s="403">
        <v>39.888978000000002</v>
      </c>
    </row>
    <row r="89" spans="1:26" s="403" customFormat="1">
      <c r="A89" s="403" t="s">
        <v>919</v>
      </c>
      <c r="B89" s="403">
        <v>1.17E-4</v>
      </c>
      <c r="C89" s="403" t="s">
        <v>449</v>
      </c>
      <c r="D89" s="403" t="s">
        <v>1025</v>
      </c>
      <c r="E89" s="403" t="s">
        <v>1023</v>
      </c>
      <c r="F89" s="403">
        <v>9.3472000000000002E-5</v>
      </c>
      <c r="G89" s="403">
        <v>1.4020800000000001E-4</v>
      </c>
      <c r="H89" s="403" t="s">
        <v>1023</v>
      </c>
      <c r="N89" s="403" t="s">
        <v>1056</v>
      </c>
      <c r="O89" s="403" t="s">
        <v>1055</v>
      </c>
      <c r="P89" s="403">
        <v>0.82277040000000001</v>
      </c>
      <c r="Q89" s="403">
        <v>0.80852937000000002</v>
      </c>
      <c r="R89" s="403">
        <v>1.0114691</v>
      </c>
      <c r="S89" s="403">
        <v>1.1220725</v>
      </c>
    </row>
    <row r="90" spans="1:26" s="403" customFormat="1">
      <c r="A90" s="403" t="s">
        <v>920</v>
      </c>
      <c r="B90" s="403">
        <v>3.7400000000000001E-5</v>
      </c>
      <c r="C90" s="403" t="s">
        <v>449</v>
      </c>
      <c r="D90" s="403" t="s">
        <v>1025</v>
      </c>
      <c r="E90" s="403" t="s">
        <v>1023</v>
      </c>
      <c r="F90" s="403">
        <v>2.9955200000000001E-5</v>
      </c>
      <c r="G90" s="403">
        <v>4.4932799999999998E-5</v>
      </c>
      <c r="H90" s="403" t="s">
        <v>1023</v>
      </c>
      <c r="N90" s="403" t="s">
        <v>1057</v>
      </c>
      <c r="O90" s="403" t="s">
        <v>1055</v>
      </c>
      <c r="P90" s="403">
        <v>0.71408068999999996</v>
      </c>
      <c r="Q90" s="403">
        <v>0.69227156000000001</v>
      </c>
      <c r="R90" s="403">
        <v>0.97274245999999998</v>
      </c>
      <c r="S90" s="403">
        <v>1.1285038000000001</v>
      </c>
    </row>
    <row r="91" spans="1:26" s="403" customFormat="1">
      <c r="A91" s="403" t="s">
        <v>1058</v>
      </c>
      <c r="B91" s="403">
        <v>1</v>
      </c>
      <c r="C91" s="403" t="s">
        <v>449</v>
      </c>
      <c r="D91" s="403" t="s">
        <v>1025</v>
      </c>
      <c r="E91" s="403" t="s">
        <v>1023</v>
      </c>
      <c r="F91" s="403">
        <v>0.8</v>
      </c>
      <c r="G91" s="403">
        <v>1.2</v>
      </c>
      <c r="H91" s="403" t="s">
        <v>1023</v>
      </c>
      <c r="N91" s="403" t="s">
        <v>1059</v>
      </c>
      <c r="O91" s="403" t="s">
        <v>1055</v>
      </c>
      <c r="P91" s="403">
        <v>0.65631519999999999</v>
      </c>
      <c r="Q91" s="403">
        <v>0.60941529000000005</v>
      </c>
      <c r="R91" s="403">
        <v>1.0131281000000001</v>
      </c>
      <c r="S91" s="403">
        <v>1.3062583000000001</v>
      </c>
    </row>
    <row r="92" spans="1:26" s="403" customFormat="1">
      <c r="A92" s="403" t="s">
        <v>921</v>
      </c>
      <c r="B92" s="403">
        <v>44.7</v>
      </c>
      <c r="C92" s="403" t="s">
        <v>449</v>
      </c>
      <c r="D92" s="403" t="s">
        <v>1025</v>
      </c>
      <c r="E92" s="403" t="s">
        <v>1023</v>
      </c>
      <c r="F92" s="403">
        <v>35.76</v>
      </c>
      <c r="G92" s="403">
        <v>53.64</v>
      </c>
      <c r="H92" s="403" t="s">
        <v>1023</v>
      </c>
      <c r="N92" s="403" t="s">
        <v>1060</v>
      </c>
      <c r="O92" s="403" t="s">
        <v>1055</v>
      </c>
      <c r="P92" s="403">
        <v>12.438798</v>
      </c>
      <c r="Q92" s="403">
        <v>11.324999</v>
      </c>
      <c r="R92" s="403">
        <v>19.634036999999999</v>
      </c>
      <c r="S92" s="403">
        <v>25.808482999999999</v>
      </c>
    </row>
    <row r="93" spans="1:26" s="403" customFormat="1">
      <c r="N93" s="403" t="s">
        <v>1061</v>
      </c>
      <c r="O93" s="403" t="s">
        <v>1062</v>
      </c>
      <c r="P93" s="403">
        <v>4.5112921000000004</v>
      </c>
      <c r="Q93" s="403">
        <v>4.1422381000000001</v>
      </c>
      <c r="R93" s="403">
        <v>4.2450621999999996</v>
      </c>
      <c r="S93" s="403">
        <v>4.4254283000000001</v>
      </c>
    </row>
    <row r="94" spans="1:26" s="403" customFormat="1" ht="15" thickBot="1">
      <c r="A94" s="516" t="s">
        <v>1063</v>
      </c>
      <c r="B94" s="516" t="s">
        <v>443</v>
      </c>
      <c r="C94" s="516" t="s">
        <v>495</v>
      </c>
      <c r="D94" s="516" t="s">
        <v>1018</v>
      </c>
      <c r="F94" s="516" t="s">
        <v>1019</v>
      </c>
      <c r="G94" s="516" t="s">
        <v>1020</v>
      </c>
      <c r="H94" s="516" t="s">
        <v>997</v>
      </c>
      <c r="N94" s="403" t="s">
        <v>1064</v>
      </c>
      <c r="O94" s="403" t="s">
        <v>1065</v>
      </c>
      <c r="P94" s="403">
        <v>8.7683127999999999E-2</v>
      </c>
      <c r="Q94" s="403">
        <v>8.8373686000000007E-2</v>
      </c>
      <c r="R94" s="403">
        <v>8.8110188000000006E-2</v>
      </c>
      <c r="S94" s="403">
        <v>8.7400401000000003E-2</v>
      </c>
    </row>
    <row r="95" spans="1:26" s="403" customFormat="1">
      <c r="A95" s="403" t="s">
        <v>1066</v>
      </c>
      <c r="B95" s="403">
        <v>5.72377</v>
      </c>
      <c r="C95" s="403" t="s">
        <v>707</v>
      </c>
      <c r="D95" s="403" t="s">
        <v>1025</v>
      </c>
      <c r="E95" s="403" t="s">
        <v>1023</v>
      </c>
      <c r="F95" s="403">
        <v>4.5789999999999997</v>
      </c>
      <c r="G95" s="403">
        <v>6.8685239999999999</v>
      </c>
      <c r="H95" s="403" t="s">
        <v>1023</v>
      </c>
      <c r="N95" s="403" t="s">
        <v>1067</v>
      </c>
      <c r="O95" s="403" t="s">
        <v>1068</v>
      </c>
      <c r="P95" s="403">
        <v>2.0144947000000002</v>
      </c>
      <c r="Q95" s="403">
        <v>1.4631879000000001</v>
      </c>
      <c r="R95" s="403">
        <v>2.8765771999999998</v>
      </c>
      <c r="S95" s="403">
        <v>3.8555362</v>
      </c>
    </row>
    <row r="96" spans="1:26" s="403" customFormat="1">
      <c r="A96" s="403" t="s">
        <v>1069</v>
      </c>
      <c r="B96" s="403">
        <v>5.1121E-2</v>
      </c>
      <c r="C96" s="403" t="s">
        <v>923</v>
      </c>
      <c r="D96" s="403" t="s">
        <v>1025</v>
      </c>
      <c r="E96" s="403" t="s">
        <v>1023</v>
      </c>
      <c r="F96" s="403">
        <v>4.0896861E-2</v>
      </c>
      <c r="G96" s="403">
        <v>6.1345291000000003E-2</v>
      </c>
      <c r="H96" s="403" t="s">
        <v>1070</v>
      </c>
      <c r="N96" s="403" t="s">
        <v>1071</v>
      </c>
      <c r="O96" s="403" t="s">
        <v>923</v>
      </c>
      <c r="P96" s="403">
        <v>0.43068347000000001</v>
      </c>
      <c r="Q96" s="403">
        <v>0.40371135000000002</v>
      </c>
      <c r="R96" s="403">
        <v>0.39285417</v>
      </c>
      <c r="S96" s="403">
        <v>0.64991633000000004</v>
      </c>
    </row>
    <row r="97" spans="1:9" s="403" customFormat="1"/>
    <row r="98" spans="1:9" s="403" customFormat="1" ht="15" thickBot="1">
      <c r="A98" s="516" t="s">
        <v>1072</v>
      </c>
      <c r="C98" s="516" t="s">
        <v>443</v>
      </c>
      <c r="D98" s="516" t="s">
        <v>495</v>
      </c>
      <c r="E98" s="516" t="s">
        <v>1018</v>
      </c>
      <c r="G98" s="516" t="s">
        <v>1019</v>
      </c>
      <c r="H98" s="516" t="s">
        <v>1020</v>
      </c>
      <c r="I98" s="516" t="s">
        <v>997</v>
      </c>
    </row>
    <row r="99" spans="1:9" s="403" customFormat="1">
      <c r="A99" s="403" t="s">
        <v>1073</v>
      </c>
      <c r="B99" s="403" t="s">
        <v>1023</v>
      </c>
      <c r="C99" s="403">
        <v>1.0210000000000001E-5</v>
      </c>
      <c r="D99" s="403" t="s">
        <v>449</v>
      </c>
      <c r="E99" s="403" t="s">
        <v>1025</v>
      </c>
      <c r="F99" s="403" t="s">
        <v>1023</v>
      </c>
      <c r="G99" s="403">
        <v>8.1669600000000005E-6</v>
      </c>
      <c r="H99" s="403">
        <v>1.22504E-5</v>
      </c>
      <c r="I99" s="403" t="s">
        <v>1074</v>
      </c>
    </row>
    <row r="100" spans="1:9" s="403" customFormat="1">
      <c r="A100" s="403" t="s">
        <v>1075</v>
      </c>
      <c r="B100" s="403" t="s">
        <v>1023</v>
      </c>
      <c r="C100" s="403">
        <v>3.078E-4</v>
      </c>
      <c r="D100" s="403" t="s">
        <v>449</v>
      </c>
      <c r="E100" s="403" t="s">
        <v>1025</v>
      </c>
      <c r="F100" s="403" t="s">
        <v>1023</v>
      </c>
      <c r="G100" s="403">
        <v>2.4600000000000002E-4</v>
      </c>
      <c r="H100" s="403">
        <v>3.6900000000000002E-4</v>
      </c>
      <c r="I100" s="403" t="s">
        <v>1076</v>
      </c>
    </row>
    <row r="101" spans="1:9" s="403" customFormat="1">
      <c r="A101" s="403" t="s">
        <v>1077</v>
      </c>
      <c r="B101" s="403" t="s">
        <v>1023</v>
      </c>
      <c r="C101" s="403">
        <v>2.0419999999999999E-7</v>
      </c>
      <c r="D101" s="403" t="s">
        <v>449</v>
      </c>
      <c r="E101" s="403" t="s">
        <v>1025</v>
      </c>
      <c r="F101" s="403" t="s">
        <v>1023</v>
      </c>
      <c r="G101" s="403">
        <v>1.63339E-7</v>
      </c>
      <c r="H101" s="403">
        <v>2.4500900000000002E-7</v>
      </c>
      <c r="I101" s="403" t="s">
        <v>1078</v>
      </c>
    </row>
    <row r="102" spans="1:9" s="403" customFormat="1">
      <c r="A102" s="403" t="s">
        <v>1079</v>
      </c>
      <c r="B102" s="403" t="s">
        <v>1023</v>
      </c>
      <c r="C102" s="403">
        <v>0.1145</v>
      </c>
      <c r="D102" s="403" t="s">
        <v>449</v>
      </c>
      <c r="E102" s="403" t="s">
        <v>1025</v>
      </c>
      <c r="F102" s="403" t="s">
        <v>1023</v>
      </c>
      <c r="G102" s="403">
        <v>9.1633291000000006E-2</v>
      </c>
      <c r="H102" s="403">
        <v>0.13744993699999999</v>
      </c>
      <c r="I102" s="403" t="s">
        <v>1080</v>
      </c>
    </row>
    <row r="103" spans="1:9" s="403" customFormat="1">
      <c r="A103" s="403" t="s">
        <v>6</v>
      </c>
      <c r="B103" s="403" t="s">
        <v>1023</v>
      </c>
      <c r="C103" s="403">
        <v>43.2</v>
      </c>
      <c r="D103" s="403" t="s">
        <v>449</v>
      </c>
      <c r="E103" s="403" t="s">
        <v>1025</v>
      </c>
      <c r="F103" s="403" t="s">
        <v>1023</v>
      </c>
      <c r="G103" s="403">
        <v>34.56</v>
      </c>
      <c r="H103" s="403">
        <v>51.84</v>
      </c>
      <c r="I103" s="403" t="s">
        <v>1023</v>
      </c>
    </row>
    <row r="104" spans="1:9" s="403" customFormat="1"/>
    <row r="105" spans="1:9" s="403" customFormat="1" ht="15" thickBot="1">
      <c r="A105" s="516" t="s">
        <v>1081</v>
      </c>
    </row>
    <row r="106" spans="1:9" s="403" customFormat="1"/>
    <row r="107" spans="1:9" s="403" customFormat="1" ht="15" thickBot="1">
      <c r="A107" s="516" t="s">
        <v>1082</v>
      </c>
    </row>
    <row r="108" spans="1:9" s="403" customFormat="1"/>
    <row r="109" spans="1:9" s="403" customFormat="1" ht="15" thickBot="1">
      <c r="A109" s="516" t="s">
        <v>1083</v>
      </c>
    </row>
    <row r="110" spans="1:9" s="403" customFormat="1"/>
    <row r="111" spans="1:9" s="403" customFormat="1" ht="15" thickBot="1">
      <c r="A111" s="516" t="s">
        <v>1084</v>
      </c>
    </row>
    <row r="112" spans="1:9" s="403" customFormat="1"/>
    <row r="113" spans="1:8" s="403" customFormat="1" ht="15" thickBot="1">
      <c r="A113" s="516" t="s">
        <v>1085</v>
      </c>
    </row>
    <row r="114" spans="1:8" s="403" customFormat="1"/>
    <row r="115" spans="1:8" s="403" customFormat="1" ht="15" thickBot="1">
      <c r="A115" s="516" t="s">
        <v>1086</v>
      </c>
    </row>
    <row r="116" spans="1:8" s="403" customFormat="1"/>
    <row r="117" spans="1:8" s="403" customFormat="1" ht="15" thickBot="1">
      <c r="A117" s="516" t="s">
        <v>1087</v>
      </c>
      <c r="B117" s="516" t="s">
        <v>443</v>
      </c>
      <c r="C117" s="516" t="s">
        <v>495</v>
      </c>
      <c r="D117" s="516" t="s">
        <v>1018</v>
      </c>
      <c r="F117" s="516" t="s">
        <v>1019</v>
      </c>
      <c r="G117" s="516" t="s">
        <v>1020</v>
      </c>
      <c r="H117" s="516" t="s">
        <v>997</v>
      </c>
    </row>
    <row r="118" spans="1:8" s="403" customFormat="1">
      <c r="A118" s="403" t="s">
        <v>926</v>
      </c>
      <c r="B118" s="403">
        <v>3.65</v>
      </c>
      <c r="C118" s="403" t="s">
        <v>449</v>
      </c>
      <c r="D118" s="403" t="s">
        <v>1025</v>
      </c>
      <c r="E118" s="403" t="s">
        <v>1023</v>
      </c>
      <c r="F118" s="403">
        <v>2.92</v>
      </c>
      <c r="G118" s="403">
        <v>4.38</v>
      </c>
      <c r="H118" s="403" t="s">
        <v>1023</v>
      </c>
    </row>
    <row r="119" spans="1:8" s="403" customFormat="1"/>
    <row r="120" spans="1:8" s="403" customFormat="1" ht="15" thickBot="1">
      <c r="A120" s="516" t="s">
        <v>1088</v>
      </c>
    </row>
    <row r="121" spans="1:8" s="403" customFormat="1"/>
    <row r="122" spans="1:8" s="403" customFormat="1" ht="15" thickBot="1">
      <c r="A122" s="516" t="s">
        <v>1089</v>
      </c>
    </row>
    <row r="123" spans="1:8" s="403" customFormat="1"/>
    <row r="124" spans="1:8" s="403" customFormat="1"/>
    <row r="125" spans="1:8" s="403" customFormat="1"/>
    <row r="126" spans="1:8" s="403" customFormat="1"/>
    <row r="127" spans="1:8" s="403" customFormat="1"/>
    <row r="128" spans="1:8" s="403" customFormat="1"/>
  </sheetData>
  <mergeCells count="6">
    <mergeCell ref="N62:S62"/>
    <mergeCell ref="U62:Z62"/>
    <mergeCell ref="AB62:AG62"/>
    <mergeCell ref="P77:S77"/>
    <mergeCell ref="W77:Z77"/>
    <mergeCell ref="AD77:AG77"/>
  </mergeCells>
  <hyperlinks>
    <hyperlink ref="B44" location="'Deterministic results'!A1" display="Deterministic results" xr:uid="{AEA3A0D2-FEC8-440F-B573-FBF5F296F80D}"/>
    <hyperlink ref="B45" location="Contributions!A1" display="Contributions" xr:uid="{9D70C5C7-804F-4915-89BB-04513C07B290}"/>
    <hyperlink ref="B46" location="'Contribution (%)'!A1" display="Contribution (%)" xr:uid="{4E8F7B56-2B18-4070-A55B-2682601CFA33}"/>
    <hyperlink ref="B47" location="'Monte carlo results'!A1" display="Monte Carlo results" xr:uid="{74F208AD-7B00-4992-BDF9-C169A6FFC00F}"/>
    <hyperlink ref="B48" location="'Monte Carlo runs'!A1" display="Monte Carlo runs" xr:uid="{C93264A8-984E-4AE5-B3A1-D8D671952E9C}"/>
    <hyperlink ref="B49" location="'Tr-OVA-chicken egg comparison'!A1" display="Tr-OVA-chicken egg comparison" xr:uid="{B5FE0560-F304-4951-B41C-639974458B84}"/>
    <hyperlink ref="B50" location="'Tr-OVA-egg comparison (%)'!A1" display="Tr-OVA-egg comparison (%)" xr:uid="{5EA316F4-179F-4FE2-A3A3-398C21D394B8}"/>
    <hyperlink ref="B51" location="'Sensitivity tests'!A1" display="Senstivity test" xr:uid="{E6F025C2-159C-49B3-9BD0-BECEE29A3F09}"/>
    <hyperlink ref="B52" location="'Deterministic results sens.test'!A1" display="Deterministic results sens.test" xr:uid="{2FCA5CFC-6DE2-484E-8485-B97D6E616873}"/>
    <hyperlink ref="B53" location="'Descernibility test'!A1" display="Descernibility test" xr:uid="{3ECF8CF1-C8B4-4420-BA1D-DD9F6AE9EB05}"/>
    <hyperlink ref="B54" location="'Dependent modified NHST'!A1" display="Dependent modified NHST" xr:uid="{A34C0778-3558-4807-A1EB-54612B3A5059}"/>
    <hyperlink ref="B55" location="Allocation!A1" display="Allocation" xr:uid="{B74B5049-91BE-485F-8564-580370A4B020}"/>
    <hyperlink ref="B56" location="'Simapro Tr-OVA'!A1" display="Simapro Tr-OVA" xr:uid="{FCF42CCB-98C7-4F46-B27B-E57647E102DB}"/>
    <hyperlink ref="B57" location="'Simapro chicken'!A1" display="Simapro chicken" xr:uid="{9E50CCFF-CA91-4282-A22F-29A1DE0A9B69}"/>
    <hyperlink ref="B58" location="'Finnish low carbon mix'!A1" display="Finnish low carbon mix" xr:uid="{6437A8DD-679F-4451-A6F9-9D2439A5E3FB}"/>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837EC-1BFC-4A8C-A6F6-5AA971313035}">
  <dimension ref="A2:U114"/>
  <sheetViews>
    <sheetView workbookViewId="0">
      <selection activeCell="E9" sqref="E9:E10"/>
    </sheetView>
  </sheetViews>
  <sheetFormatPr defaultRowHeight="14.4"/>
  <cols>
    <col min="1" max="2" width="29.6640625" customWidth="1"/>
    <col min="3" max="3" width="26.33203125" customWidth="1"/>
    <col min="4" max="4" width="19.33203125" customWidth="1"/>
    <col min="5" max="6" width="26.33203125" customWidth="1"/>
    <col min="9" max="9" width="17.44140625" customWidth="1"/>
    <col min="10" max="10" width="14.44140625" customWidth="1"/>
    <col min="14" max="14" width="23" customWidth="1"/>
  </cols>
  <sheetData>
    <row r="2" spans="1:12" ht="20.399999999999999" thickBot="1">
      <c r="A2" s="33" t="s">
        <v>390</v>
      </c>
    </row>
    <row r="3" spans="1:12" ht="15" thickTop="1">
      <c r="C3" s="3" t="s">
        <v>1090</v>
      </c>
    </row>
    <row r="4" spans="1:12">
      <c r="I4" s="403" t="s">
        <v>440</v>
      </c>
    </row>
    <row r="5" spans="1:12">
      <c r="A5" s="3" t="s">
        <v>252</v>
      </c>
      <c r="E5" s="3" t="s">
        <v>441</v>
      </c>
      <c r="I5" s="405" t="s">
        <v>442</v>
      </c>
    </row>
    <row r="6" spans="1:12">
      <c r="A6" t="s">
        <v>194</v>
      </c>
      <c r="B6" t="s">
        <v>443</v>
      </c>
      <c r="C6" t="s">
        <v>444</v>
      </c>
      <c r="E6" t="s">
        <v>445</v>
      </c>
      <c r="F6" t="s">
        <v>443</v>
      </c>
      <c r="G6" t="s">
        <v>444</v>
      </c>
      <c r="H6" s="403"/>
      <c r="I6" s="403" t="s">
        <v>446</v>
      </c>
      <c r="J6" s="403" t="s">
        <v>443</v>
      </c>
      <c r="K6" s="403" t="s">
        <v>444</v>
      </c>
      <c r="L6" s="403"/>
    </row>
    <row r="7" spans="1:12" ht="15" customHeight="1">
      <c r="A7" s="398" t="s">
        <v>1091</v>
      </c>
      <c r="B7" s="398">
        <v>21.32</v>
      </c>
      <c r="C7" s="398" t="s">
        <v>448</v>
      </c>
      <c r="E7" s="79" t="s">
        <v>1092</v>
      </c>
      <c r="F7" s="79">
        <f>F13/0.3*0.2</f>
        <v>2</v>
      </c>
      <c r="G7" s="79" t="s">
        <v>449</v>
      </c>
      <c r="H7" s="403"/>
      <c r="I7" s="404" t="s">
        <v>692</v>
      </c>
      <c r="J7" s="404">
        <v>40</v>
      </c>
      <c r="K7" s="404" t="s">
        <v>480</v>
      </c>
      <c r="L7" s="403"/>
    </row>
    <row r="8" spans="1:12" ht="15" customHeight="1">
      <c r="A8" s="140"/>
      <c r="B8" s="140"/>
      <c r="C8" s="140"/>
      <c r="E8" s="79" t="s">
        <v>1093</v>
      </c>
      <c r="F8" s="595">
        <f>F21</f>
        <v>0.04</v>
      </c>
      <c r="G8" s="79" t="s">
        <v>449</v>
      </c>
      <c r="H8" s="403"/>
      <c r="I8" s="404" t="s">
        <v>1094</v>
      </c>
      <c r="J8" s="404">
        <v>6.9000000000000006E-2</v>
      </c>
      <c r="K8" s="404" t="s">
        <v>449</v>
      </c>
      <c r="L8" s="403"/>
    </row>
    <row r="9" spans="1:12">
      <c r="A9" s="398" t="s">
        <v>482</v>
      </c>
      <c r="B9" s="140"/>
      <c r="C9" s="140"/>
      <c r="E9" s="74" t="s">
        <v>1095</v>
      </c>
      <c r="H9" s="403"/>
      <c r="I9" s="404"/>
      <c r="J9" s="404"/>
      <c r="K9" s="404"/>
      <c r="L9" s="403"/>
    </row>
    <row r="10" spans="1:12">
      <c r="E10" s="74" t="s">
        <v>1096</v>
      </c>
      <c r="H10" s="403"/>
      <c r="I10" s="403"/>
      <c r="J10" s="403"/>
      <c r="K10" s="403"/>
      <c r="L10" s="403"/>
    </row>
    <row r="11" spans="1:12">
      <c r="H11" s="403"/>
      <c r="I11" s="403" t="s">
        <v>129</v>
      </c>
      <c r="J11" s="403">
        <f>3/0.3</f>
        <v>10</v>
      </c>
      <c r="K11" s="403" t="s">
        <v>1097</v>
      </c>
      <c r="L11" s="403"/>
    </row>
    <row r="12" spans="1:12">
      <c r="A12" s="287" t="s">
        <v>464</v>
      </c>
      <c r="B12" s="285"/>
      <c r="H12" s="403"/>
      <c r="I12" s="403"/>
      <c r="J12" s="403"/>
      <c r="K12" s="403"/>
      <c r="L12" s="403"/>
    </row>
    <row r="13" spans="1:12">
      <c r="A13" s="285">
        <v>7</v>
      </c>
      <c r="B13" s="285" t="s">
        <v>1098</v>
      </c>
      <c r="E13" s="140" t="s">
        <v>1099</v>
      </c>
      <c r="F13" s="140">
        <v>3</v>
      </c>
      <c r="G13" s="140" t="s">
        <v>449</v>
      </c>
      <c r="H13" s="403"/>
      <c r="I13" s="403"/>
      <c r="J13" s="403"/>
      <c r="K13" s="403"/>
      <c r="L13" s="403"/>
    </row>
    <row r="14" spans="1:12">
      <c r="A14" s="285">
        <v>6</v>
      </c>
      <c r="B14" s="285" t="s">
        <v>1100</v>
      </c>
      <c r="E14" s="135"/>
      <c r="H14" s="403"/>
      <c r="I14" s="403"/>
      <c r="J14" s="403"/>
      <c r="K14" s="403"/>
      <c r="L14" s="403"/>
    </row>
    <row r="15" spans="1:12">
      <c r="A15" s="288">
        <v>0.8</v>
      </c>
      <c r="B15" s="285" t="s">
        <v>1101</v>
      </c>
      <c r="E15" s="135"/>
      <c r="H15" s="403"/>
      <c r="I15" s="403"/>
      <c r="J15" s="403"/>
      <c r="K15" s="403"/>
      <c r="L15" s="403"/>
    </row>
    <row r="16" spans="1:12">
      <c r="A16" s="285">
        <v>0.2</v>
      </c>
      <c r="B16" s="285" t="s">
        <v>1102</v>
      </c>
      <c r="H16" s="403"/>
      <c r="I16" s="470" t="s">
        <v>466</v>
      </c>
      <c r="J16" s="403"/>
      <c r="K16" s="404" t="s">
        <v>467</v>
      </c>
      <c r="L16" s="403"/>
    </row>
    <row r="17" spans="1:14">
      <c r="A17" s="285">
        <v>0.3</v>
      </c>
      <c r="B17" s="285" t="s">
        <v>1103</v>
      </c>
      <c r="H17" s="403"/>
      <c r="I17" s="404" t="s">
        <v>469</v>
      </c>
      <c r="J17" s="404" t="s">
        <v>470</v>
      </c>
      <c r="K17" s="403">
        <v>2</v>
      </c>
      <c r="L17" s="403"/>
    </row>
    <row r="18" spans="1:14">
      <c r="A18" s="285"/>
      <c r="B18" s="285"/>
      <c r="H18" s="403"/>
      <c r="I18" s="404" t="s">
        <v>469</v>
      </c>
      <c r="J18" s="403"/>
      <c r="K18" s="403"/>
      <c r="L18" s="403"/>
    </row>
    <row r="19" spans="1:14">
      <c r="A19" s="285"/>
      <c r="B19" s="285"/>
    </row>
    <row r="20" spans="1:14">
      <c r="E20" s="237" t="s">
        <v>1104</v>
      </c>
      <c r="F20" s="135" t="s">
        <v>1105</v>
      </c>
      <c r="I20" s="3" t="s">
        <v>479</v>
      </c>
      <c r="J20" s="79">
        <f>J21*(K17/100)</f>
        <v>0.12</v>
      </c>
      <c r="K20" t="s">
        <v>480</v>
      </c>
    </row>
    <row r="21" spans="1:14">
      <c r="E21" t="s">
        <v>1093</v>
      </c>
      <c r="F21">
        <v>0.04</v>
      </c>
      <c r="G21" t="s">
        <v>449</v>
      </c>
      <c r="I21" t="s">
        <v>481</v>
      </c>
      <c r="J21" s="32">
        <v>6</v>
      </c>
      <c r="K21" t="s">
        <v>480</v>
      </c>
    </row>
    <row r="22" spans="1:14">
      <c r="E22" s="28"/>
    </row>
    <row r="24" spans="1:14">
      <c r="E24" s="237"/>
      <c r="F24" s="135"/>
    </row>
    <row r="25" spans="1:14">
      <c r="E25" s="237"/>
      <c r="F25" s="135"/>
    </row>
    <row r="26" spans="1:14">
      <c r="E26" s="237"/>
      <c r="F26" s="135"/>
    </row>
    <row r="27" spans="1:14">
      <c r="E27" s="237"/>
      <c r="F27" s="135"/>
    </row>
    <row r="28" spans="1:14" s="403" customFormat="1">
      <c r="A28" s="403" t="s">
        <v>440</v>
      </c>
      <c r="E28" s="570"/>
      <c r="F28" s="484"/>
    </row>
    <row r="29" spans="1:14" s="403" customFormat="1" ht="17.399999999999999">
      <c r="A29" s="402" t="s">
        <v>1106</v>
      </c>
      <c r="N29" s="483" t="s">
        <v>1107</v>
      </c>
    </row>
    <row r="30" spans="1:14" s="403" customFormat="1">
      <c r="A30" s="403" t="s">
        <v>1108</v>
      </c>
    </row>
    <row r="31" spans="1:14" s="403" customFormat="1" ht="15" thickBot="1">
      <c r="A31" s="571" t="s">
        <v>1109</v>
      </c>
    </row>
    <row r="32" spans="1:14" s="403" customFormat="1" ht="33" customHeight="1" thickBot="1">
      <c r="A32" s="624" t="s">
        <v>66</v>
      </c>
      <c r="B32" s="626" t="s">
        <v>1110</v>
      </c>
      <c r="C32" s="627"/>
      <c r="D32" s="627"/>
      <c r="E32" s="627"/>
      <c r="F32" s="628"/>
      <c r="N32" s="572" t="s">
        <v>1111</v>
      </c>
    </row>
    <row r="33" spans="1:21" s="403" customFormat="1" ht="16.8">
      <c r="A33" s="625"/>
      <c r="B33" s="573" t="s">
        <v>1112</v>
      </c>
      <c r="C33" s="573" t="s">
        <v>1113</v>
      </c>
      <c r="D33" s="573" t="s">
        <v>1114</v>
      </c>
      <c r="E33" s="573" t="s">
        <v>1115</v>
      </c>
      <c r="F33" s="573" t="s">
        <v>1116</v>
      </c>
      <c r="N33" s="574" t="s">
        <v>571</v>
      </c>
      <c r="O33" s="574" t="s">
        <v>1117</v>
      </c>
      <c r="P33" s="574" t="s">
        <v>1118</v>
      </c>
      <c r="Q33" s="574" t="s">
        <v>1119</v>
      </c>
      <c r="R33" s="574" t="s">
        <v>1120</v>
      </c>
      <c r="S33" s="574" t="s">
        <v>1121</v>
      </c>
      <c r="T33" s="574" t="s">
        <v>1122</v>
      </c>
      <c r="U33" s="574" t="s">
        <v>1123</v>
      </c>
    </row>
    <row r="34" spans="1:21" s="403" customFormat="1" ht="16.8">
      <c r="A34" s="575" t="s">
        <v>1124</v>
      </c>
      <c r="B34" s="576" t="s">
        <v>1125</v>
      </c>
      <c r="C34" s="576" t="s">
        <v>1126</v>
      </c>
      <c r="D34" s="576" t="s">
        <v>1127</v>
      </c>
      <c r="E34" s="576" t="s">
        <v>1128</v>
      </c>
      <c r="F34" s="576" t="s">
        <v>1129</v>
      </c>
      <c r="N34" s="403" t="s">
        <v>1130</v>
      </c>
      <c r="O34" s="403" t="s">
        <v>1131</v>
      </c>
      <c r="P34" s="577" t="s">
        <v>1132</v>
      </c>
      <c r="Q34" s="577" t="s">
        <v>1132</v>
      </c>
      <c r="R34" s="577" t="s">
        <v>1132</v>
      </c>
      <c r="S34" s="577" t="s">
        <v>1132</v>
      </c>
      <c r="T34" s="403" t="s">
        <v>1133</v>
      </c>
      <c r="U34" s="403" t="s">
        <v>1134</v>
      </c>
    </row>
    <row r="35" spans="1:21" s="403" customFormat="1" ht="16.8">
      <c r="A35" s="575" t="s">
        <v>1135</v>
      </c>
      <c r="B35" s="576" t="s">
        <v>1136</v>
      </c>
      <c r="C35" s="576" t="s">
        <v>1137</v>
      </c>
      <c r="D35" s="576" t="s">
        <v>1138</v>
      </c>
      <c r="E35" s="576" t="s">
        <v>1139</v>
      </c>
      <c r="F35" s="576" t="s">
        <v>1140</v>
      </c>
      <c r="N35" s="403" t="s">
        <v>1141</v>
      </c>
      <c r="O35" s="577" t="s">
        <v>1132</v>
      </c>
      <c r="P35" s="577" t="s">
        <v>1132</v>
      </c>
      <c r="Q35" s="577" t="s">
        <v>1132</v>
      </c>
      <c r="R35" s="403" t="s">
        <v>1142</v>
      </c>
      <c r="S35" s="577" t="s">
        <v>1132</v>
      </c>
      <c r="T35" s="403" t="s">
        <v>1143</v>
      </c>
      <c r="U35" s="403" t="s">
        <v>1144</v>
      </c>
    </row>
    <row r="36" spans="1:21" s="403" customFormat="1" ht="16.8">
      <c r="A36" s="575" t="s">
        <v>1145</v>
      </c>
      <c r="B36" s="576" t="s">
        <v>1146</v>
      </c>
      <c r="C36" s="576">
        <v>103.5</v>
      </c>
      <c r="D36" s="576">
        <v>420</v>
      </c>
      <c r="E36" s="576">
        <v>110</v>
      </c>
      <c r="F36" s="576" t="s">
        <v>1129</v>
      </c>
      <c r="N36" s="403" t="s">
        <v>1147</v>
      </c>
      <c r="O36" s="577" t="s">
        <v>1132</v>
      </c>
      <c r="P36" s="403" t="s">
        <v>1148</v>
      </c>
      <c r="Q36" s="403" t="s">
        <v>1149</v>
      </c>
      <c r="R36" s="403" t="s">
        <v>1150</v>
      </c>
      <c r="S36" s="403" t="s">
        <v>1151</v>
      </c>
      <c r="T36" s="403" t="s">
        <v>1152</v>
      </c>
      <c r="U36" s="403" t="s">
        <v>1153</v>
      </c>
    </row>
    <row r="37" spans="1:21" s="403" customFormat="1" ht="33.6">
      <c r="A37" s="629" t="s">
        <v>1154</v>
      </c>
      <c r="B37" s="631" t="s">
        <v>1155</v>
      </c>
      <c r="C37" s="631" t="s">
        <v>1156</v>
      </c>
      <c r="D37" s="631" t="s">
        <v>1157</v>
      </c>
      <c r="E37" s="631">
        <v>128.5</v>
      </c>
      <c r="F37" s="578" t="s">
        <v>1158</v>
      </c>
      <c r="N37" s="403" t="s">
        <v>1159</v>
      </c>
      <c r="O37" s="577" t="s">
        <v>1132</v>
      </c>
      <c r="P37" s="403" t="s">
        <v>1160</v>
      </c>
      <c r="Q37" s="577" t="s">
        <v>1132</v>
      </c>
      <c r="R37" s="403" t="s">
        <v>1161</v>
      </c>
      <c r="S37" s="577" t="s">
        <v>1132</v>
      </c>
      <c r="T37" s="403" t="s">
        <v>1162</v>
      </c>
      <c r="U37" s="403" t="s">
        <v>1163</v>
      </c>
    </row>
    <row r="38" spans="1:21" s="403" customFormat="1" ht="16.8">
      <c r="A38" s="630"/>
      <c r="B38" s="632"/>
      <c r="C38" s="632"/>
      <c r="D38" s="632"/>
      <c r="E38" s="632"/>
      <c r="F38" s="579" t="s">
        <v>1164</v>
      </c>
      <c r="N38" s="403" t="s">
        <v>1165</v>
      </c>
      <c r="O38" s="577" t="s">
        <v>1132</v>
      </c>
      <c r="P38" s="577" t="s">
        <v>1132</v>
      </c>
      <c r="Q38" s="403" t="s">
        <v>1148</v>
      </c>
      <c r="R38" s="577" t="s">
        <v>1132</v>
      </c>
      <c r="S38" s="577" t="s">
        <v>1132</v>
      </c>
      <c r="T38" s="403" t="s">
        <v>1166</v>
      </c>
      <c r="U38" s="403" t="s">
        <v>1144</v>
      </c>
    </row>
    <row r="39" spans="1:21" s="403" customFormat="1" ht="16.8">
      <c r="A39" s="575" t="s">
        <v>1167</v>
      </c>
      <c r="B39" s="576" t="s">
        <v>1168</v>
      </c>
      <c r="C39" s="576">
        <v>8.94</v>
      </c>
      <c r="D39" s="576">
        <v>0.95399999999999996</v>
      </c>
      <c r="E39" s="576">
        <v>141.1</v>
      </c>
      <c r="F39" s="576" t="s">
        <v>1169</v>
      </c>
      <c r="N39" s="403" t="s">
        <v>369</v>
      </c>
      <c r="O39" s="577" t="s">
        <v>1132</v>
      </c>
      <c r="P39" s="577" t="s">
        <v>1132</v>
      </c>
      <c r="Q39" s="403" t="s">
        <v>1170</v>
      </c>
      <c r="R39" s="577" t="s">
        <v>1132</v>
      </c>
      <c r="S39" s="577" t="s">
        <v>1132</v>
      </c>
      <c r="T39" s="403" t="s">
        <v>1166</v>
      </c>
      <c r="U39" s="403" t="s">
        <v>1144</v>
      </c>
    </row>
    <row r="40" spans="1:21" s="403" customFormat="1" ht="16.8">
      <c r="A40" s="575" t="s">
        <v>1171</v>
      </c>
      <c r="B40" s="576" t="s">
        <v>1172</v>
      </c>
      <c r="C40" s="576" t="s">
        <v>1173</v>
      </c>
      <c r="D40" s="576" t="s">
        <v>1174</v>
      </c>
      <c r="E40" s="576" t="s">
        <v>1175</v>
      </c>
      <c r="F40" s="576" t="s">
        <v>1169</v>
      </c>
      <c r="N40" s="403" t="s">
        <v>1176</v>
      </c>
      <c r="O40" s="577" t="s">
        <v>1132</v>
      </c>
      <c r="P40" s="577" t="s">
        <v>1132</v>
      </c>
      <c r="Q40" s="403" t="s">
        <v>1177</v>
      </c>
      <c r="R40" s="403" t="s">
        <v>1150</v>
      </c>
      <c r="S40" s="577" t="s">
        <v>1132</v>
      </c>
      <c r="T40" s="403" t="s">
        <v>1178</v>
      </c>
      <c r="U40" s="403" t="s">
        <v>1144</v>
      </c>
    </row>
    <row r="41" spans="1:21" s="403" customFormat="1" ht="16.8">
      <c r="A41" s="629" t="s">
        <v>1179</v>
      </c>
      <c r="B41" s="631" t="s">
        <v>1180</v>
      </c>
      <c r="C41" s="631">
        <v>21.32</v>
      </c>
      <c r="D41" s="631">
        <v>40</v>
      </c>
      <c r="E41" s="631">
        <v>215.45</v>
      </c>
      <c r="F41" s="578" t="s">
        <v>1181</v>
      </c>
      <c r="N41" s="403" t="s">
        <v>1182</v>
      </c>
      <c r="O41" s="577" t="s">
        <v>1132</v>
      </c>
      <c r="P41" s="577" t="s">
        <v>1132</v>
      </c>
      <c r="Q41" s="403" t="s">
        <v>1183</v>
      </c>
      <c r="R41" s="577" t="s">
        <v>1132</v>
      </c>
      <c r="S41" s="577" t="s">
        <v>1132</v>
      </c>
      <c r="T41" s="403" t="s">
        <v>1166</v>
      </c>
      <c r="U41" s="403" t="s">
        <v>1144</v>
      </c>
    </row>
    <row r="42" spans="1:21" s="403" customFormat="1" ht="16.8">
      <c r="A42" s="633"/>
      <c r="B42" s="634"/>
      <c r="C42" s="634"/>
      <c r="D42" s="634"/>
      <c r="E42" s="634"/>
      <c r="F42" s="580" t="s">
        <v>1184</v>
      </c>
      <c r="N42" s="403" t="s">
        <v>390</v>
      </c>
      <c r="O42" s="577" t="s">
        <v>1132</v>
      </c>
      <c r="P42" s="577" t="s">
        <v>1132</v>
      </c>
      <c r="Q42" s="577" t="s">
        <v>1132</v>
      </c>
      <c r="R42" s="403" t="s">
        <v>1185</v>
      </c>
      <c r="S42" s="577" t="s">
        <v>1132</v>
      </c>
      <c r="T42" s="403" t="s">
        <v>1143</v>
      </c>
      <c r="U42" s="403" t="s">
        <v>1186</v>
      </c>
    </row>
    <row r="43" spans="1:21" s="403" customFormat="1">
      <c r="N43" s="403" t="s">
        <v>1187</v>
      </c>
      <c r="O43" s="577" t="s">
        <v>1132</v>
      </c>
      <c r="P43" s="577" t="s">
        <v>1132</v>
      </c>
      <c r="Q43" s="403" t="s">
        <v>1142</v>
      </c>
      <c r="R43" s="577" t="s">
        <v>1132</v>
      </c>
      <c r="S43" s="403" t="s">
        <v>1160</v>
      </c>
      <c r="T43" s="403" t="s">
        <v>1188</v>
      </c>
      <c r="U43" s="403" t="s">
        <v>1189</v>
      </c>
    </row>
    <row r="44" spans="1:21" s="403" customFormat="1">
      <c r="A44" s="581" t="s">
        <v>1190</v>
      </c>
      <c r="N44" s="403" t="s">
        <v>1191</v>
      </c>
      <c r="O44" s="577" t="s">
        <v>1132</v>
      </c>
      <c r="P44" s="577" t="s">
        <v>1132</v>
      </c>
      <c r="Q44" s="577" t="s">
        <v>1132</v>
      </c>
      <c r="R44" s="403" t="s">
        <v>1142</v>
      </c>
      <c r="S44" s="577" t="s">
        <v>1132</v>
      </c>
      <c r="T44" s="403" t="s">
        <v>1143</v>
      </c>
      <c r="U44" s="403" t="s">
        <v>1192</v>
      </c>
    </row>
    <row r="45" spans="1:21" s="403" customFormat="1">
      <c r="A45" s="581" t="s">
        <v>1193</v>
      </c>
      <c r="N45" s="403" t="s">
        <v>1194</v>
      </c>
      <c r="O45" s="577" t="s">
        <v>1132</v>
      </c>
      <c r="P45" s="577" t="s">
        <v>1132</v>
      </c>
      <c r="Q45" s="577" t="s">
        <v>1132</v>
      </c>
      <c r="R45" s="403" t="s">
        <v>1195</v>
      </c>
      <c r="S45" s="577" t="s">
        <v>1132</v>
      </c>
      <c r="T45" s="403" t="s">
        <v>1143</v>
      </c>
      <c r="U45" s="403" t="s">
        <v>1196</v>
      </c>
    </row>
    <row r="46" spans="1:21" s="403" customFormat="1">
      <c r="A46" s="581" t="s">
        <v>1197</v>
      </c>
      <c r="N46" s="403" t="s">
        <v>1198</v>
      </c>
      <c r="O46" s="577" t="s">
        <v>1132</v>
      </c>
      <c r="P46" s="403" t="s">
        <v>1199</v>
      </c>
      <c r="Q46" s="577" t="s">
        <v>1132</v>
      </c>
      <c r="R46" s="403" t="s">
        <v>1200</v>
      </c>
      <c r="S46" s="577" t="s">
        <v>1132</v>
      </c>
      <c r="T46" s="403" t="s">
        <v>1162</v>
      </c>
      <c r="U46" s="403" t="s">
        <v>1201</v>
      </c>
    </row>
    <row r="47" spans="1:21" s="403" customFormat="1">
      <c r="A47" s="581" t="s">
        <v>1202</v>
      </c>
      <c r="N47" s="403" t="s">
        <v>1203</v>
      </c>
      <c r="O47" s="577" t="s">
        <v>1132</v>
      </c>
      <c r="P47" s="577" t="s">
        <v>1132</v>
      </c>
      <c r="Q47" s="577" t="s">
        <v>1132</v>
      </c>
      <c r="R47" s="403" t="s">
        <v>1150</v>
      </c>
      <c r="S47" s="577" t="s">
        <v>1132</v>
      </c>
      <c r="T47" s="403" t="s">
        <v>1143</v>
      </c>
      <c r="U47" s="403" t="s">
        <v>1204</v>
      </c>
    </row>
    <row r="48" spans="1:21" s="403" customFormat="1">
      <c r="A48" s="581" t="s">
        <v>1205</v>
      </c>
      <c r="N48" s="403" t="s">
        <v>1206</v>
      </c>
      <c r="O48" s="403" t="s">
        <v>1161</v>
      </c>
      <c r="P48" s="403" t="s">
        <v>1207</v>
      </c>
      <c r="Q48" s="403" t="s">
        <v>1183</v>
      </c>
      <c r="R48" s="577" t="s">
        <v>1132</v>
      </c>
      <c r="S48" s="577" t="s">
        <v>1132</v>
      </c>
      <c r="T48" s="403" t="s">
        <v>1208</v>
      </c>
      <c r="U48" s="403" t="s">
        <v>1209</v>
      </c>
    </row>
    <row r="49" spans="1:21" s="403" customFormat="1">
      <c r="A49" s="581" t="s">
        <v>1210</v>
      </c>
      <c r="N49" s="403" t="s">
        <v>1211</v>
      </c>
      <c r="O49" s="577" t="s">
        <v>1132</v>
      </c>
      <c r="P49" s="403" t="s">
        <v>1212</v>
      </c>
      <c r="Q49" s="403" t="s">
        <v>1213</v>
      </c>
      <c r="R49" s="577" t="s">
        <v>1132</v>
      </c>
      <c r="S49" s="403" t="s">
        <v>1214</v>
      </c>
      <c r="T49" s="403" t="s">
        <v>1215</v>
      </c>
      <c r="U49" s="403" t="s">
        <v>1216</v>
      </c>
    </row>
    <row r="50" spans="1:21" s="403" customFormat="1">
      <c r="A50" s="582" t="s">
        <v>1217</v>
      </c>
      <c r="N50" s="403" t="s">
        <v>1218</v>
      </c>
      <c r="O50" s="403" t="s">
        <v>1150</v>
      </c>
      <c r="P50" s="403" t="s">
        <v>1150</v>
      </c>
      <c r="Q50" s="403" t="s">
        <v>1150</v>
      </c>
      <c r="R50" s="577" t="s">
        <v>1132</v>
      </c>
      <c r="S50" s="403" t="s">
        <v>1207</v>
      </c>
      <c r="T50" s="403" t="s">
        <v>1219</v>
      </c>
      <c r="U50" s="403" t="s">
        <v>1220</v>
      </c>
    </row>
    <row r="51" spans="1:21" s="403" customFormat="1">
      <c r="A51" s="582" t="s">
        <v>1221</v>
      </c>
      <c r="N51" s="403" t="s">
        <v>1222</v>
      </c>
      <c r="O51" s="577" t="s">
        <v>1132</v>
      </c>
      <c r="P51" s="577" t="s">
        <v>1132</v>
      </c>
      <c r="Q51" s="403" t="s">
        <v>1213</v>
      </c>
      <c r="R51" s="577" t="s">
        <v>1132</v>
      </c>
      <c r="S51" s="403" t="s">
        <v>1223</v>
      </c>
      <c r="T51" s="403" t="s">
        <v>1188</v>
      </c>
      <c r="U51" s="403" t="s">
        <v>1224</v>
      </c>
    </row>
    <row r="52" spans="1:21" s="403" customFormat="1">
      <c r="A52" s="581" t="s">
        <v>1225</v>
      </c>
      <c r="N52" s="403" t="s">
        <v>1226</v>
      </c>
      <c r="O52" s="577" t="s">
        <v>1132</v>
      </c>
      <c r="P52" s="577" t="s">
        <v>1132</v>
      </c>
      <c r="Q52" s="403" t="s">
        <v>1183</v>
      </c>
      <c r="R52" s="577" t="s">
        <v>1132</v>
      </c>
      <c r="S52" s="577" t="s">
        <v>1132</v>
      </c>
      <c r="T52" s="403" t="s">
        <v>1166</v>
      </c>
      <c r="U52" s="403" t="s">
        <v>1144</v>
      </c>
    </row>
    <row r="53" spans="1:21" s="403" customFormat="1">
      <c r="A53" s="582" t="s">
        <v>1227</v>
      </c>
      <c r="N53" s="403" t="s">
        <v>1228</v>
      </c>
      <c r="O53" s="403" t="s">
        <v>1177</v>
      </c>
      <c r="P53" s="577" t="s">
        <v>1132</v>
      </c>
      <c r="Q53" s="403" t="s">
        <v>1151</v>
      </c>
      <c r="R53" s="577" t="s">
        <v>1132</v>
      </c>
      <c r="S53" s="403" t="s">
        <v>1142</v>
      </c>
      <c r="T53" s="403" t="s">
        <v>1229</v>
      </c>
      <c r="U53" s="403" t="s">
        <v>1144</v>
      </c>
    </row>
    <row r="54" spans="1:21" s="403" customFormat="1">
      <c r="A54" s="581" t="s">
        <v>1230</v>
      </c>
      <c r="N54" s="403" t="s">
        <v>1231</v>
      </c>
      <c r="O54" s="577" t="s">
        <v>1132</v>
      </c>
      <c r="P54" s="577" t="s">
        <v>1132</v>
      </c>
      <c r="Q54" s="577" t="s">
        <v>1132</v>
      </c>
      <c r="R54" s="403" t="s">
        <v>1142</v>
      </c>
      <c r="S54" s="577" t="s">
        <v>1132</v>
      </c>
      <c r="T54" s="403" t="s">
        <v>1143</v>
      </c>
      <c r="U54" s="403" t="s">
        <v>1232</v>
      </c>
    </row>
    <row r="55" spans="1:21" s="403" customFormat="1">
      <c r="A55" s="581" t="s">
        <v>1233</v>
      </c>
      <c r="N55" s="403" t="s">
        <v>1234</v>
      </c>
      <c r="O55" s="403" t="s">
        <v>1161</v>
      </c>
      <c r="P55" s="403" t="s">
        <v>1235</v>
      </c>
      <c r="Q55" s="403" t="s">
        <v>1236</v>
      </c>
      <c r="R55" s="403" t="s">
        <v>1237</v>
      </c>
      <c r="S55" s="403" t="s">
        <v>1238</v>
      </c>
      <c r="T55" s="403" t="s">
        <v>1239</v>
      </c>
      <c r="U55" s="403" t="s">
        <v>1240</v>
      </c>
    </row>
    <row r="56" spans="1:21" s="403" customFormat="1">
      <c r="A56" s="581" t="s">
        <v>1241</v>
      </c>
      <c r="N56" s="403" t="s">
        <v>1242</v>
      </c>
      <c r="O56" s="577" t="s">
        <v>1132</v>
      </c>
      <c r="P56" s="577" t="s">
        <v>1132</v>
      </c>
      <c r="Q56" s="577" t="s">
        <v>1132</v>
      </c>
      <c r="R56" s="577" t="s">
        <v>1132</v>
      </c>
      <c r="S56" s="403" t="s">
        <v>1160</v>
      </c>
      <c r="T56" s="403" t="s">
        <v>1243</v>
      </c>
      <c r="U56" s="403" t="s">
        <v>1144</v>
      </c>
    </row>
    <row r="57" spans="1:21" s="403" customFormat="1">
      <c r="A57" s="581" t="s">
        <v>1244</v>
      </c>
      <c r="N57" s="403" t="s">
        <v>1245</v>
      </c>
      <c r="O57" s="577" t="s">
        <v>1132</v>
      </c>
      <c r="P57" s="577" t="s">
        <v>1132</v>
      </c>
      <c r="Q57" s="577" t="s">
        <v>1132</v>
      </c>
      <c r="R57" s="403" t="s">
        <v>1200</v>
      </c>
      <c r="S57" s="577" t="s">
        <v>1132</v>
      </c>
      <c r="T57" s="403" t="s">
        <v>1143</v>
      </c>
      <c r="U57" s="403" t="s">
        <v>1246</v>
      </c>
    </row>
    <row r="58" spans="1:21" s="403" customFormat="1">
      <c r="A58" s="581" t="s">
        <v>1247</v>
      </c>
      <c r="N58" s="403" t="s">
        <v>1248</v>
      </c>
      <c r="O58" s="577" t="s">
        <v>1132</v>
      </c>
      <c r="P58" s="577" t="s">
        <v>1132</v>
      </c>
      <c r="Q58" s="577" t="s">
        <v>1132</v>
      </c>
      <c r="R58" s="403" t="s">
        <v>1249</v>
      </c>
      <c r="S58" s="403" t="s">
        <v>1148</v>
      </c>
      <c r="T58" s="403" t="s">
        <v>1250</v>
      </c>
      <c r="U58" s="403" t="s">
        <v>1251</v>
      </c>
    </row>
    <row r="59" spans="1:21" s="403" customFormat="1">
      <c r="A59" s="582" t="s">
        <v>1252</v>
      </c>
      <c r="N59" s="403" t="s">
        <v>1253</v>
      </c>
      <c r="O59" s="577" t="s">
        <v>1132</v>
      </c>
      <c r="P59" s="577" t="s">
        <v>1132</v>
      </c>
      <c r="Q59" s="577" t="s">
        <v>1132</v>
      </c>
      <c r="R59" s="403" t="s">
        <v>1200</v>
      </c>
      <c r="S59" s="403" t="s">
        <v>1150</v>
      </c>
      <c r="T59" s="403" t="s">
        <v>1250</v>
      </c>
      <c r="U59" s="403" t="s">
        <v>1254</v>
      </c>
    </row>
    <row r="60" spans="1:21" s="403" customFormat="1">
      <c r="N60" s="583" t="s">
        <v>1255</v>
      </c>
      <c r="O60" s="577" t="s">
        <v>1132</v>
      </c>
      <c r="P60" s="403" t="s">
        <v>1256</v>
      </c>
      <c r="Q60" s="403" t="s">
        <v>1148</v>
      </c>
      <c r="R60" s="403" t="s">
        <v>1257</v>
      </c>
      <c r="S60" s="403" t="s">
        <v>1151</v>
      </c>
      <c r="T60" s="403" t="s">
        <v>1152</v>
      </c>
      <c r="U60" s="403" t="s">
        <v>1144</v>
      </c>
    </row>
    <row r="61" spans="1:21" s="403" customFormat="1">
      <c r="N61" s="403" t="s">
        <v>1258</v>
      </c>
    </row>
    <row r="62" spans="1:21" s="403" customFormat="1" ht="17.399999999999999">
      <c r="A62" s="402" t="s">
        <v>1259</v>
      </c>
      <c r="N62" s="403" t="s">
        <v>1260</v>
      </c>
      <c r="O62" s="403" t="s">
        <v>1261</v>
      </c>
      <c r="P62" s="403" t="s">
        <v>1262</v>
      </c>
      <c r="Q62" s="403" t="s">
        <v>1263</v>
      </c>
      <c r="R62" s="403" t="s">
        <v>1264</v>
      </c>
      <c r="S62" s="403" t="s">
        <v>1265</v>
      </c>
      <c r="T62" s="403" t="s">
        <v>1133</v>
      </c>
      <c r="U62" s="403" t="s">
        <v>1266</v>
      </c>
    </row>
    <row r="63" spans="1:21" s="403" customFormat="1" ht="15" thickTop="1">
      <c r="N63" s="584" t="s">
        <v>1267</v>
      </c>
      <c r="O63" s="585" t="s">
        <v>1132</v>
      </c>
      <c r="P63" s="584" t="s">
        <v>1268</v>
      </c>
      <c r="Q63" s="584" t="s">
        <v>1269</v>
      </c>
      <c r="R63" s="584" t="s">
        <v>1268</v>
      </c>
      <c r="S63" s="584" t="s">
        <v>1268</v>
      </c>
      <c r="T63" s="584"/>
      <c r="U63" s="584" t="s">
        <v>1240</v>
      </c>
    </row>
    <row r="64" spans="1:21" s="403" customFormat="1">
      <c r="N64" s="586" t="s">
        <v>1270</v>
      </c>
    </row>
    <row r="65" spans="14:21" s="403" customFormat="1">
      <c r="N65" s="586" t="s">
        <v>1271</v>
      </c>
    </row>
    <row r="66" spans="14:21" s="403" customFormat="1" ht="15" customHeight="1">
      <c r="N66" s="623" t="s">
        <v>1272</v>
      </c>
      <c r="O66" s="623"/>
      <c r="P66" s="623"/>
      <c r="Q66" s="623"/>
      <c r="R66" s="623"/>
      <c r="S66" s="623"/>
      <c r="T66" s="623"/>
      <c r="U66" s="623"/>
    </row>
    <row r="67" spans="14:21" s="403" customFormat="1">
      <c r="N67" s="623"/>
      <c r="O67" s="623"/>
      <c r="P67" s="623"/>
      <c r="Q67" s="623"/>
      <c r="R67" s="623"/>
      <c r="S67" s="623"/>
      <c r="T67" s="623"/>
      <c r="U67" s="623"/>
    </row>
    <row r="68" spans="14:21" s="403" customFormat="1" ht="14.7" customHeight="1">
      <c r="N68" s="623"/>
      <c r="O68" s="623"/>
      <c r="P68" s="623"/>
      <c r="Q68" s="623"/>
      <c r="R68" s="623"/>
      <c r="S68" s="623"/>
      <c r="T68" s="623"/>
      <c r="U68" s="623"/>
    </row>
    <row r="69" spans="14:21" s="403" customFormat="1" ht="14.7" customHeight="1">
      <c r="N69" s="623"/>
      <c r="O69" s="623"/>
      <c r="P69" s="623"/>
      <c r="Q69" s="623"/>
      <c r="R69" s="623"/>
      <c r="S69" s="623"/>
      <c r="T69" s="623"/>
      <c r="U69" s="623"/>
    </row>
    <row r="70" spans="14:21" s="403" customFormat="1" ht="14.7" customHeight="1">
      <c r="N70" s="623"/>
      <c r="O70" s="623"/>
      <c r="P70" s="623"/>
      <c r="Q70" s="623"/>
      <c r="R70" s="623"/>
      <c r="S70" s="623"/>
      <c r="T70" s="623"/>
      <c r="U70" s="623"/>
    </row>
    <row r="71" spans="14:21" s="403" customFormat="1" ht="14.7" customHeight="1">
      <c r="N71" s="623"/>
      <c r="O71" s="623"/>
      <c r="P71" s="623"/>
      <c r="Q71" s="623"/>
      <c r="R71" s="623"/>
      <c r="S71" s="623"/>
      <c r="T71" s="623"/>
      <c r="U71" s="623"/>
    </row>
    <row r="72" spans="14:21" s="403" customFormat="1" ht="14.7" customHeight="1">
      <c r="N72" s="586"/>
      <c r="O72" s="586"/>
      <c r="P72" s="586"/>
      <c r="Q72" s="586"/>
      <c r="R72" s="586"/>
      <c r="S72" s="586"/>
      <c r="T72" s="586"/>
      <c r="U72" s="586"/>
    </row>
    <row r="73" spans="14:21" s="403" customFormat="1" ht="14.7" customHeight="1">
      <c r="N73" s="586"/>
      <c r="O73" s="586"/>
      <c r="P73" s="586"/>
      <c r="Q73" s="586"/>
      <c r="R73" s="586"/>
      <c r="S73" s="586"/>
      <c r="T73" s="586"/>
      <c r="U73" s="586"/>
    </row>
    <row r="74" spans="14:21" s="403" customFormat="1" ht="14.7" customHeight="1">
      <c r="N74" s="586"/>
      <c r="O74" s="586"/>
      <c r="P74" s="586"/>
      <c r="Q74" s="586"/>
      <c r="R74" s="586"/>
      <c r="S74" s="586"/>
      <c r="T74" s="586"/>
      <c r="U74" s="586"/>
    </row>
    <row r="75" spans="14:21" s="403" customFormat="1" ht="14.7" customHeight="1">
      <c r="N75" s="586"/>
      <c r="O75" s="586"/>
      <c r="P75" s="586"/>
      <c r="Q75" s="586"/>
      <c r="R75" s="586"/>
      <c r="S75" s="586"/>
      <c r="T75" s="586"/>
      <c r="U75" s="586"/>
    </row>
    <row r="76" spans="14:21" s="403" customFormat="1" ht="14.7" customHeight="1">
      <c r="N76" s="586"/>
      <c r="O76" s="586"/>
      <c r="P76" s="586"/>
      <c r="Q76" s="586"/>
      <c r="R76" s="586"/>
      <c r="S76" s="586"/>
      <c r="T76" s="586"/>
      <c r="U76" s="586"/>
    </row>
    <row r="77" spans="14:21" s="403" customFormat="1" ht="14.7" customHeight="1">
      <c r="N77" s="586"/>
      <c r="O77" s="586"/>
      <c r="P77" s="586"/>
      <c r="Q77" s="586"/>
      <c r="R77" s="586"/>
      <c r="S77" s="586"/>
      <c r="T77" s="586"/>
      <c r="U77" s="586"/>
    </row>
    <row r="78" spans="14:21" s="403" customFormat="1"/>
    <row r="79" spans="14:21" s="403" customFormat="1"/>
    <row r="80" spans="14:21" s="403" customFormat="1"/>
    <row r="81" s="403" customFormat="1"/>
    <row r="82" s="403" customFormat="1"/>
    <row r="83" s="403" customFormat="1"/>
    <row r="84" s="403" customFormat="1"/>
    <row r="85" s="403" customFormat="1"/>
    <row r="86" s="403" customFormat="1"/>
    <row r="87" s="403" customFormat="1"/>
    <row r="88" s="403" customFormat="1"/>
    <row r="89" s="403" customFormat="1"/>
    <row r="90" s="403" customFormat="1"/>
    <row r="91" s="403" customFormat="1"/>
    <row r="92" s="403" customFormat="1"/>
    <row r="93" s="403" customFormat="1"/>
    <row r="94" s="403" customFormat="1"/>
    <row r="95" s="403" customFormat="1"/>
    <row r="96" s="403" customFormat="1"/>
    <row r="97" spans="1:6" s="403" customFormat="1"/>
    <row r="98" spans="1:6" s="403" customFormat="1" ht="17.399999999999999">
      <c r="A98" s="402" t="s">
        <v>1273</v>
      </c>
    </row>
    <row r="99" spans="1:6" s="403" customFormat="1" ht="15" thickTop="1">
      <c r="A99" s="403" t="s">
        <v>1274</v>
      </c>
      <c r="C99" s="403" t="s">
        <v>1275</v>
      </c>
    </row>
    <row r="100" spans="1:6" s="403" customFormat="1"/>
    <row r="101" spans="1:6" s="488" customFormat="1" ht="48.45" customHeight="1">
      <c r="A101" s="620" t="s">
        <v>1276</v>
      </c>
      <c r="B101" s="620"/>
      <c r="C101" s="620"/>
      <c r="D101" s="620"/>
      <c r="E101" s="620"/>
      <c r="F101" s="620"/>
    </row>
    <row r="102" spans="1:6" s="403" customFormat="1"/>
    <row r="103" spans="1:6" s="403" customFormat="1">
      <c r="A103" s="403" t="s">
        <v>1277</v>
      </c>
    </row>
    <row r="104" spans="1:6" s="403" customFormat="1"/>
    <row r="105" spans="1:6" s="403" customFormat="1"/>
    <row r="106" spans="1:6" s="403" customFormat="1"/>
    <row r="107" spans="1:6" s="403" customFormat="1" ht="17.399999999999999">
      <c r="A107" s="402" t="s">
        <v>1278</v>
      </c>
    </row>
    <row r="108" spans="1:6" s="403" customFormat="1" ht="15" thickTop="1">
      <c r="A108" s="403" t="s">
        <v>1279</v>
      </c>
    </row>
    <row r="109" spans="1:6" s="403" customFormat="1">
      <c r="A109" s="403" t="s">
        <v>1280</v>
      </c>
    </row>
    <row r="110" spans="1:6" s="403" customFormat="1"/>
    <row r="111" spans="1:6" s="403" customFormat="1"/>
    <row r="112" spans="1:6" s="403" customFormat="1"/>
    <row r="113" s="403" customFormat="1"/>
    <row r="114" s="403" customFormat="1"/>
  </sheetData>
  <mergeCells count="14">
    <mergeCell ref="N66:U71"/>
    <mergeCell ref="A101:F101"/>
    <mergeCell ref="A32:A33"/>
    <mergeCell ref="B32:F32"/>
    <mergeCell ref="A37:A38"/>
    <mergeCell ref="B37:B38"/>
    <mergeCell ref="C37:C38"/>
    <mergeCell ref="D37:D38"/>
    <mergeCell ref="E37:E38"/>
    <mergeCell ref="A41:A42"/>
    <mergeCell ref="B41:B42"/>
    <mergeCell ref="C41:C42"/>
    <mergeCell ref="D41:D42"/>
    <mergeCell ref="E41:E42"/>
  </mergeCells>
  <hyperlinks>
    <hyperlink ref="A31" r:id="rId1" display="https://link.springer.com/article/10.1007/s11367-015-0931-6" xr:uid="{88607C19-3212-46B6-983E-E993B7AD189C}"/>
    <hyperlink ref="A50" r:id="rId2" location="ref-CR17" tooltip="Foster C, Green K, Bleda M et al. (2006) Environmental impacts of food production and consumption: a report to the department for environment, food and rural affairs. London" display="https://link.springer.com/article/10.1007/s11367-015-0931-6 - ref-CR17" xr:uid="{EAC27D64-58C7-4BD7-A435-508314F37F46}"/>
    <hyperlink ref="A51" r:id="rId3" location="ref-CR34" tooltip="McEachern MG, Warnaby G (2006) Food shopping behaviour in Scotland: the influence of relative rurality. Int J Consum Stud 30:189–201" display="https://link.springer.com/article/10.1007/s11367-015-0931-6 - ref-CR34" xr:uid="{C3453436-4D82-4B26-906C-8342B204BEA2}"/>
    <hyperlink ref="A53" r:id="rId4" location="ref-CR47" tooltip="PYR Ltd (2014) Packaging weight units. _x000a_                    http://www.pyr.fi/eng/forms/packaging-data-declaration-form/packaging-weight-units.html#6_x000a_                    _x000a_                  _x000a_                        " display="https://link.springer.com/article/10.1007/s11367-015-0931-6 - ref-CR47" xr:uid="{B9050013-22B0-4FD7-9729-72B1C33F9E45}"/>
    <hyperlink ref="A59" r:id="rId5" location="Tab1" display="https://link.springer.com/article/10.1007/s11367-015-0931-6 - Tab1" xr:uid="{ED80C8FA-8DEB-4F5A-BAD0-B0D4E7D56A06}"/>
    <hyperlink ref="N60" r:id="rId6" location="tb4fn1" xr:uid="{E8B32CBD-5284-48D1-8E5E-3AA5E39A76F7}"/>
    <hyperlink ref="F20" r:id="rId7" location=":~:text=Albumen%20%E2%80%93%20Also%20known%20as%20egg,and%20none%20of%20the%20fat." xr:uid="{D5E85784-AE64-4F85-AB99-80D39F4BBBEE}"/>
  </hyperlinks>
  <pageMargins left="0.7" right="0.7" top="0.75" bottom="0.75" header="0.3" footer="0.3"/>
  <pageSetup orientation="portrait" r:id="rId8"/>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F041-4605-4328-B001-6E1B897A67BB}">
  <dimension ref="A1:S26"/>
  <sheetViews>
    <sheetView workbookViewId="0">
      <selection activeCell="A12" sqref="A12"/>
    </sheetView>
  </sheetViews>
  <sheetFormatPr defaultRowHeight="14.4"/>
  <cols>
    <col min="9" max="9" width="20.6640625" customWidth="1"/>
    <col min="17" max="17" width="13.6640625" bestFit="1" customWidth="1"/>
    <col min="18" max="18" width="12.5546875" bestFit="1" customWidth="1"/>
    <col min="19" max="19" width="13.6640625" bestFit="1" customWidth="1"/>
  </cols>
  <sheetData>
    <row r="1" spans="1:19">
      <c r="A1" s="140"/>
      <c r="B1" s="140"/>
      <c r="C1" s="140"/>
      <c r="D1" s="140"/>
      <c r="E1" s="140"/>
      <c r="F1" s="140"/>
      <c r="G1" s="140"/>
      <c r="H1" s="140"/>
      <c r="I1" s="140"/>
      <c r="J1" s="140"/>
      <c r="K1" s="140"/>
      <c r="L1" s="140"/>
      <c r="M1" s="140"/>
      <c r="N1" s="140"/>
      <c r="O1" s="140"/>
      <c r="P1" s="140"/>
      <c r="Q1" s="140"/>
      <c r="R1" s="140"/>
      <c r="S1" s="140"/>
    </row>
    <row r="2" spans="1:19" ht="19.8">
      <c r="A2" s="298" t="s">
        <v>1281</v>
      </c>
      <c r="B2" s="140"/>
      <c r="C2" s="140"/>
      <c r="D2" s="140"/>
      <c r="E2" s="140"/>
      <c r="F2" s="140"/>
      <c r="G2" s="140"/>
      <c r="H2" s="140"/>
      <c r="I2" s="140" t="s">
        <v>1282</v>
      </c>
      <c r="J2" s="140">
        <v>0.81</v>
      </c>
      <c r="K2" s="140"/>
      <c r="L2" s="140"/>
      <c r="M2" s="140"/>
      <c r="N2" s="140"/>
      <c r="O2" s="140"/>
      <c r="P2" s="140"/>
      <c r="Q2" s="140"/>
      <c r="R2" s="140"/>
      <c r="S2" s="140"/>
    </row>
    <row r="3" spans="1:19">
      <c r="A3" s="140"/>
      <c r="B3" s="140"/>
      <c r="C3" s="141" t="s">
        <v>1283</v>
      </c>
      <c r="D3" s="140" t="s">
        <v>1284</v>
      </c>
      <c r="E3" s="140"/>
      <c r="F3" s="140"/>
      <c r="G3" s="140"/>
      <c r="H3" s="140"/>
      <c r="I3" s="140"/>
      <c r="J3" s="140"/>
      <c r="K3" s="140"/>
      <c r="L3" s="140"/>
      <c r="M3" s="140"/>
      <c r="N3" s="140"/>
      <c r="O3" s="140"/>
      <c r="P3" s="140"/>
      <c r="Q3" s="140"/>
      <c r="R3" s="140"/>
      <c r="S3" s="140"/>
    </row>
    <row r="4" spans="1:19">
      <c r="A4" s="140"/>
      <c r="B4" s="140"/>
      <c r="C4" s="32" t="s">
        <v>1285</v>
      </c>
      <c r="D4" s="32"/>
      <c r="E4" s="32"/>
      <c r="F4" s="140"/>
      <c r="G4" s="140"/>
      <c r="H4" s="140"/>
      <c r="I4" s="403" t="s">
        <v>440</v>
      </c>
      <c r="J4" s="140"/>
      <c r="K4" s="140"/>
      <c r="L4" s="140"/>
      <c r="M4" s="140" t="s">
        <v>1286</v>
      </c>
      <c r="N4" s="140"/>
      <c r="O4" s="140"/>
      <c r="P4" s="140"/>
      <c r="Q4" s="140"/>
      <c r="R4" s="140"/>
      <c r="S4" s="140"/>
    </row>
    <row r="5" spans="1:19">
      <c r="A5" s="141" t="s">
        <v>252</v>
      </c>
      <c r="B5" s="140"/>
      <c r="C5" s="140"/>
      <c r="D5" s="140"/>
      <c r="E5" s="470" t="s">
        <v>441</v>
      </c>
      <c r="F5" s="470"/>
      <c r="G5" s="404"/>
      <c r="H5" s="404"/>
      <c r="I5" s="470" t="s">
        <v>442</v>
      </c>
      <c r="J5" s="470"/>
      <c r="K5" s="404"/>
      <c r="L5" s="404"/>
      <c r="M5" s="404" t="s">
        <v>1287</v>
      </c>
      <c r="N5" s="404"/>
      <c r="O5" s="404"/>
      <c r="P5" s="404"/>
      <c r="Q5" s="404" t="s">
        <v>1288</v>
      </c>
      <c r="R5" s="404"/>
      <c r="S5" s="404"/>
    </row>
    <row r="6" spans="1:19">
      <c r="A6" s="140" t="s">
        <v>194</v>
      </c>
      <c r="B6" s="140" t="s">
        <v>443</v>
      </c>
      <c r="C6" s="140" t="s">
        <v>444</v>
      </c>
      <c r="D6" s="140" t="s">
        <v>1289</v>
      </c>
      <c r="E6" s="404" t="s">
        <v>445</v>
      </c>
      <c r="F6" s="404" t="s">
        <v>443</v>
      </c>
      <c r="G6" s="404" t="s">
        <v>444</v>
      </c>
      <c r="H6" s="404"/>
      <c r="I6" s="404" t="s">
        <v>446</v>
      </c>
      <c r="J6" s="404" t="s">
        <v>443</v>
      </c>
      <c r="K6" s="404" t="s">
        <v>444</v>
      </c>
      <c r="L6" s="404"/>
      <c r="M6" s="404" t="s">
        <v>92</v>
      </c>
      <c r="N6" s="404" t="s">
        <v>132</v>
      </c>
      <c r="O6" s="404" t="s">
        <v>95</v>
      </c>
      <c r="P6" s="404"/>
      <c r="Q6" s="589" t="s">
        <v>92</v>
      </c>
      <c r="R6" s="590" t="s">
        <v>132</v>
      </c>
      <c r="S6" s="591" t="s">
        <v>95</v>
      </c>
    </row>
    <row r="7" spans="1:19">
      <c r="A7" s="404" t="s">
        <v>1290</v>
      </c>
      <c r="B7" s="404">
        <v>14.77</v>
      </c>
      <c r="C7" s="404" t="s">
        <v>448</v>
      </c>
      <c r="D7" s="404" t="s">
        <v>1291</v>
      </c>
      <c r="E7" s="404" t="s">
        <v>1292</v>
      </c>
      <c r="F7" s="404">
        <v>2</v>
      </c>
      <c r="G7" s="404" t="s">
        <v>449</v>
      </c>
      <c r="H7" s="404" t="s">
        <v>1293</v>
      </c>
      <c r="I7" s="404" t="s">
        <v>9</v>
      </c>
      <c r="J7" s="470">
        <v>0.13</v>
      </c>
      <c r="K7" s="404" t="s">
        <v>449</v>
      </c>
      <c r="L7" s="404"/>
      <c r="M7" s="404">
        <v>1.987417</v>
      </c>
      <c r="N7" s="404">
        <v>3.921E-3</v>
      </c>
      <c r="O7" s="490">
        <v>3.04E-5</v>
      </c>
      <c r="P7" s="404"/>
      <c r="Q7" s="592">
        <f t="shared" ref="Q7:S12" si="0">M7*$J7</f>
        <v>0.25836420999999998</v>
      </c>
      <c r="R7" s="592">
        <f t="shared" si="0"/>
        <v>5.0973000000000001E-4</v>
      </c>
      <c r="S7" s="592">
        <f t="shared" si="0"/>
        <v>3.9520000000000004E-6</v>
      </c>
    </row>
    <row r="8" spans="1:19">
      <c r="A8" s="404" t="s">
        <v>120</v>
      </c>
      <c r="B8" s="404">
        <v>13.3</v>
      </c>
      <c r="C8" s="404" t="s">
        <v>448</v>
      </c>
      <c r="D8" s="404" t="s">
        <v>1291</v>
      </c>
      <c r="E8" s="404"/>
      <c r="F8" s="404"/>
      <c r="G8" s="404"/>
      <c r="H8" s="404"/>
      <c r="I8" s="404" t="s">
        <v>1294</v>
      </c>
      <c r="J8" s="470">
        <v>0.2</v>
      </c>
      <c r="K8" s="404" t="s">
        <v>449</v>
      </c>
      <c r="L8" s="404"/>
      <c r="M8" s="404">
        <v>0.118355</v>
      </c>
      <c r="N8" s="404">
        <v>1.6000000000000001E-4</v>
      </c>
      <c r="O8" s="490">
        <v>2.3E-6</v>
      </c>
      <c r="P8" s="404"/>
      <c r="Q8" s="592">
        <f t="shared" si="0"/>
        <v>2.3671000000000001E-2</v>
      </c>
      <c r="R8" s="592">
        <f t="shared" si="0"/>
        <v>3.2000000000000005E-5</v>
      </c>
      <c r="S8" s="592">
        <f t="shared" si="0"/>
        <v>4.6000000000000004E-7</v>
      </c>
    </row>
    <row r="9" spans="1:19">
      <c r="A9" s="398" t="s">
        <v>1295</v>
      </c>
      <c r="B9" s="398">
        <v>0.49</v>
      </c>
      <c r="C9" s="398" t="s">
        <v>448</v>
      </c>
      <c r="D9" s="404"/>
      <c r="E9" s="404"/>
      <c r="F9" s="404"/>
      <c r="G9" s="404"/>
      <c r="H9" s="404"/>
      <c r="I9" s="404" t="s">
        <v>1296</v>
      </c>
      <c r="J9" s="470">
        <v>3.7999999999999999E-2</v>
      </c>
      <c r="K9" s="404" t="s">
        <v>449</v>
      </c>
      <c r="L9" s="404"/>
      <c r="M9" s="404">
        <v>2.0730729999999999</v>
      </c>
      <c r="N9" s="404">
        <v>3.656E-3</v>
      </c>
      <c r="O9" s="490">
        <v>6.4399999999999993E-5</v>
      </c>
      <c r="P9" s="404"/>
      <c r="Q9" s="592">
        <f t="shared" si="0"/>
        <v>7.8776773999999994E-2</v>
      </c>
      <c r="R9" s="592">
        <f t="shared" si="0"/>
        <v>1.38928E-4</v>
      </c>
      <c r="S9" s="592">
        <f t="shared" si="0"/>
        <v>2.4471999999999996E-6</v>
      </c>
    </row>
    <row r="10" spans="1:19">
      <c r="A10" s="398" t="s">
        <v>1297</v>
      </c>
      <c r="B10" s="398">
        <v>1.2895E-2</v>
      </c>
      <c r="C10" s="398" t="s">
        <v>1298</v>
      </c>
      <c r="D10" s="404"/>
      <c r="E10" s="404"/>
      <c r="F10" s="404"/>
      <c r="G10" s="404"/>
      <c r="H10" s="404"/>
      <c r="I10" s="404" t="s">
        <v>1299</v>
      </c>
      <c r="J10" s="470">
        <v>0.06</v>
      </c>
      <c r="K10" s="404" t="s">
        <v>449</v>
      </c>
      <c r="L10" s="404"/>
      <c r="M10" s="404">
        <v>0.82667000000000002</v>
      </c>
      <c r="N10" s="404">
        <v>2.6419999999999998E-3</v>
      </c>
      <c r="O10" s="490">
        <v>1.3200000000000001E-5</v>
      </c>
      <c r="P10" s="404"/>
      <c r="Q10" s="592">
        <f t="shared" si="0"/>
        <v>4.9600199999999997E-2</v>
      </c>
      <c r="R10" s="592">
        <f t="shared" si="0"/>
        <v>1.5851999999999999E-4</v>
      </c>
      <c r="S10" s="592">
        <f t="shared" si="0"/>
        <v>7.92E-7</v>
      </c>
    </row>
    <row r="11" spans="1:19">
      <c r="A11" s="140"/>
      <c r="B11" s="140"/>
      <c r="C11" s="140"/>
      <c r="D11" s="404"/>
      <c r="E11" s="404"/>
      <c r="F11" s="404"/>
      <c r="G11" s="404"/>
      <c r="H11" s="404"/>
      <c r="I11" s="404" t="s">
        <v>1300</v>
      </c>
      <c r="J11" s="470">
        <v>0.05</v>
      </c>
      <c r="K11" s="404" t="s">
        <v>449</v>
      </c>
      <c r="L11" s="404"/>
      <c r="M11" s="404">
        <v>1.5919019999999999</v>
      </c>
      <c r="N11" s="404">
        <v>2.4880000000000002E-3</v>
      </c>
      <c r="O11" s="490">
        <v>2.7399999999999999E-5</v>
      </c>
      <c r="P11" s="404"/>
      <c r="Q11" s="592">
        <f t="shared" si="0"/>
        <v>7.9595100000000002E-2</v>
      </c>
      <c r="R11" s="592">
        <f t="shared" si="0"/>
        <v>1.2440000000000002E-4</v>
      </c>
      <c r="S11" s="592">
        <f t="shared" si="0"/>
        <v>1.37E-6</v>
      </c>
    </row>
    <row r="12" spans="1:19">
      <c r="A12" s="318" t="s">
        <v>1301</v>
      </c>
      <c r="B12" s="318"/>
      <c r="C12" s="318"/>
      <c r="D12" s="588"/>
      <c r="E12" s="588"/>
      <c r="F12" s="588"/>
      <c r="G12" s="404"/>
      <c r="H12" s="404"/>
      <c r="I12" s="404" t="s">
        <v>1302</v>
      </c>
      <c r="J12" s="404">
        <v>7.2999999999999995E-2</v>
      </c>
      <c r="K12" s="404" t="s">
        <v>449</v>
      </c>
      <c r="L12" s="404"/>
      <c r="M12" s="404">
        <v>0.80400000000000005</v>
      </c>
      <c r="N12" s="404">
        <v>2.2899999999999999E-3</v>
      </c>
      <c r="O12" s="404">
        <v>4.4000000000000002E-4</v>
      </c>
      <c r="P12" s="404"/>
      <c r="Q12" s="592">
        <f t="shared" si="0"/>
        <v>5.8692000000000001E-2</v>
      </c>
      <c r="R12" s="592">
        <f t="shared" si="0"/>
        <v>1.6716999999999999E-4</v>
      </c>
      <c r="S12" s="592">
        <f t="shared" si="0"/>
        <v>3.2119999999999997E-5</v>
      </c>
    </row>
    <row r="13" spans="1:19">
      <c r="A13" s="140"/>
      <c r="B13" s="299"/>
      <c r="C13" s="141"/>
      <c r="D13" s="141"/>
      <c r="E13" s="141"/>
      <c r="F13" s="141"/>
      <c r="G13" s="141"/>
      <c r="H13" s="141"/>
      <c r="I13" s="140"/>
      <c r="J13" s="140"/>
      <c r="K13" s="140"/>
      <c r="L13" s="140"/>
      <c r="M13" s="140"/>
      <c r="N13" s="140"/>
      <c r="O13" s="140"/>
      <c r="P13" s="140"/>
      <c r="Q13" s="140"/>
      <c r="R13" s="140"/>
      <c r="S13" s="140"/>
    </row>
    <row r="14" spans="1:19">
      <c r="A14" s="140"/>
      <c r="B14" s="140"/>
      <c r="C14" s="140"/>
      <c r="D14" s="140"/>
      <c r="E14" s="140"/>
      <c r="F14" s="140"/>
      <c r="G14" s="140"/>
      <c r="H14" s="140"/>
      <c r="I14" s="300" t="s">
        <v>325</v>
      </c>
      <c r="J14" s="140"/>
      <c r="K14" s="140"/>
      <c r="L14" s="140"/>
      <c r="M14" s="140"/>
      <c r="N14" s="140"/>
      <c r="O14" s="140"/>
      <c r="P14" s="391" t="s">
        <v>1303</v>
      </c>
      <c r="Q14" s="587">
        <f>SUM(Q7:Q12)</f>
        <v>0.5486992839999999</v>
      </c>
      <c r="R14" s="587">
        <f>SUM(R7:R12)</f>
        <v>1.130748E-3</v>
      </c>
      <c r="S14" s="587">
        <f>SUM(S7:S12)</f>
        <v>4.1141199999999998E-5</v>
      </c>
    </row>
    <row r="15" spans="1:19">
      <c r="A15" s="140"/>
      <c r="B15" s="140"/>
      <c r="C15" s="140"/>
      <c r="D15" s="140"/>
      <c r="E15" s="140"/>
      <c r="F15" s="140"/>
      <c r="G15" s="140"/>
      <c r="H15" s="140"/>
      <c r="I15" s="140"/>
      <c r="J15" s="140"/>
      <c r="K15" s="140"/>
      <c r="L15" s="140"/>
      <c r="M15" s="140"/>
      <c r="N15" s="140"/>
      <c r="O15" s="140"/>
      <c r="P15" s="140"/>
    </row>
    <row r="16" spans="1:19">
      <c r="A16" s="140"/>
      <c r="B16" s="140"/>
      <c r="C16" s="140"/>
      <c r="D16" s="140"/>
      <c r="E16" s="140"/>
      <c r="F16" s="140"/>
      <c r="G16" s="140"/>
      <c r="H16" s="140"/>
      <c r="I16" s="141"/>
      <c r="J16" s="140"/>
      <c r="K16" s="140"/>
      <c r="L16" s="140"/>
      <c r="M16" s="140"/>
      <c r="N16" s="140"/>
      <c r="O16" s="140"/>
      <c r="P16" s="140"/>
    </row>
    <row r="17" spans="1:19">
      <c r="A17" s="398" t="s">
        <v>482</v>
      </c>
      <c r="B17" s="140"/>
      <c r="C17" s="140"/>
      <c r="D17" s="140"/>
      <c r="E17" s="140"/>
      <c r="F17" s="140"/>
      <c r="G17" s="140"/>
      <c r="H17" s="140"/>
      <c r="I17" s="141"/>
      <c r="J17" s="140"/>
      <c r="K17" s="140"/>
      <c r="L17" s="140"/>
      <c r="M17" s="140"/>
      <c r="N17" s="140"/>
      <c r="O17" s="140"/>
      <c r="P17" s="140"/>
    </row>
    <row r="18" spans="1:19">
      <c r="A18" s="140"/>
      <c r="B18" s="140"/>
      <c r="C18" s="140"/>
      <c r="D18" s="140"/>
      <c r="E18" s="140"/>
      <c r="F18" s="140"/>
      <c r="G18" s="140"/>
      <c r="H18" s="140"/>
      <c r="I18" s="140"/>
      <c r="J18" s="140"/>
      <c r="K18" s="140"/>
      <c r="L18" s="140"/>
      <c r="M18" s="140"/>
      <c r="N18" s="140"/>
      <c r="O18" s="140"/>
      <c r="P18" s="140"/>
    </row>
    <row r="19" spans="1:19">
      <c r="A19" s="140"/>
      <c r="B19" s="140"/>
      <c r="C19" s="140"/>
      <c r="D19" s="140"/>
      <c r="E19" s="140"/>
      <c r="F19" s="140"/>
      <c r="G19" s="140"/>
      <c r="H19" s="140"/>
      <c r="I19" s="140"/>
      <c r="J19" s="140"/>
      <c r="K19" s="140"/>
      <c r="L19" s="140"/>
      <c r="M19" s="140"/>
      <c r="N19" s="140"/>
      <c r="O19" s="140"/>
      <c r="P19" s="140"/>
    </row>
    <row r="20" spans="1:19">
      <c r="A20" s="140"/>
      <c r="B20" s="140"/>
      <c r="C20" s="140"/>
      <c r="D20" s="140"/>
      <c r="E20" s="140"/>
      <c r="F20" s="140"/>
      <c r="G20" s="140"/>
      <c r="H20" s="140"/>
      <c r="I20" s="140"/>
      <c r="J20" s="140"/>
      <c r="K20" s="140"/>
      <c r="L20" s="140"/>
      <c r="M20" s="140"/>
      <c r="N20" s="140"/>
      <c r="O20" s="140"/>
      <c r="P20" s="140"/>
    </row>
    <row r="21" spans="1:19">
      <c r="A21" s="140"/>
      <c r="B21" s="140"/>
      <c r="C21" s="140"/>
      <c r="D21" s="140"/>
      <c r="E21" s="140"/>
      <c r="F21" s="140"/>
      <c r="G21" s="140"/>
      <c r="H21" s="140"/>
      <c r="I21" s="140"/>
      <c r="J21" s="140"/>
      <c r="K21" s="140"/>
      <c r="L21" s="140"/>
      <c r="M21" s="140"/>
      <c r="N21" s="140"/>
      <c r="O21" s="140"/>
      <c r="P21" s="140"/>
      <c r="Q21" s="140"/>
      <c r="R21" s="140"/>
      <c r="S21" s="140"/>
    </row>
    <row r="22" spans="1:19">
      <c r="A22" s="140"/>
      <c r="B22" s="140"/>
      <c r="C22" s="140"/>
      <c r="D22" s="140"/>
      <c r="E22" s="140"/>
      <c r="F22" s="140"/>
      <c r="G22" s="140"/>
      <c r="H22" s="140"/>
      <c r="I22" s="141"/>
      <c r="J22" s="140"/>
      <c r="K22" s="140"/>
      <c r="L22" s="299"/>
      <c r="M22" s="140"/>
      <c r="N22" s="140"/>
      <c r="O22" s="140"/>
      <c r="P22" s="140"/>
      <c r="Q22" s="140"/>
      <c r="R22" s="140"/>
      <c r="S22" s="140"/>
    </row>
    <row r="23" spans="1:19">
      <c r="A23" s="140"/>
      <c r="B23" s="140"/>
      <c r="C23" s="140"/>
      <c r="D23" s="140"/>
      <c r="E23" s="140"/>
      <c r="F23" s="140"/>
      <c r="G23" s="140"/>
      <c r="H23" s="140"/>
      <c r="I23" s="140"/>
      <c r="J23" s="32"/>
      <c r="K23" s="140"/>
      <c r="L23" s="140"/>
      <c r="M23" s="140"/>
      <c r="N23" s="140"/>
      <c r="O23" s="140"/>
      <c r="P23" s="140"/>
      <c r="Q23" s="140"/>
      <c r="R23" s="140"/>
      <c r="S23" s="140"/>
    </row>
    <row r="24" spans="1:19">
      <c r="A24" s="140"/>
      <c r="B24" s="140"/>
      <c r="C24" s="140"/>
      <c r="D24" s="140"/>
      <c r="E24" s="140"/>
      <c r="F24" s="140"/>
      <c r="G24" s="140"/>
      <c r="H24" s="140"/>
      <c r="I24" s="140"/>
      <c r="J24" s="32"/>
      <c r="K24" s="140"/>
      <c r="L24" s="140"/>
      <c r="M24" s="140"/>
      <c r="N24" s="140"/>
      <c r="O24" s="140"/>
      <c r="P24" s="140"/>
      <c r="Q24" s="140"/>
      <c r="R24" s="140"/>
      <c r="S24" s="140"/>
    </row>
    <row r="25" spans="1:19">
      <c r="A25" s="140"/>
      <c r="B25" s="140"/>
      <c r="C25" s="140"/>
      <c r="D25" s="140"/>
      <c r="E25" s="140"/>
      <c r="F25" s="140"/>
      <c r="G25" s="140"/>
      <c r="H25" s="140"/>
      <c r="I25" s="140"/>
      <c r="J25" s="32"/>
      <c r="K25" s="140"/>
      <c r="L25" s="140"/>
      <c r="M25" s="140"/>
      <c r="N25" s="140"/>
      <c r="O25" s="140"/>
      <c r="P25" s="140"/>
      <c r="Q25" s="140"/>
      <c r="R25" s="140"/>
      <c r="S25" s="140"/>
    </row>
    <row r="26" spans="1:19">
      <c r="A26" s="140"/>
      <c r="B26" s="140"/>
      <c r="C26" s="140"/>
      <c r="D26" s="140"/>
      <c r="E26" s="140"/>
      <c r="F26" s="140"/>
      <c r="G26" s="140"/>
      <c r="H26" s="140"/>
      <c r="I26" s="140"/>
      <c r="J26" s="32"/>
      <c r="K26" s="140"/>
      <c r="L26" s="140"/>
      <c r="M26" s="140"/>
      <c r="N26" s="140"/>
      <c r="O26" s="140"/>
      <c r="P26" s="140"/>
      <c r="Q26" s="140"/>
      <c r="R26" s="140"/>
      <c r="S26" s="1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F719-CB31-4D73-A1BC-BDAF3927C57C}">
  <dimension ref="A1:X111"/>
  <sheetViews>
    <sheetView topLeftCell="C1" workbookViewId="0">
      <selection activeCell="E3" sqref="E3"/>
    </sheetView>
  </sheetViews>
  <sheetFormatPr defaultRowHeight="14.4"/>
  <cols>
    <col min="1" max="1" width="25.6640625" customWidth="1"/>
    <col min="5" max="5" width="21.44140625" customWidth="1"/>
    <col min="6" max="6" width="9.33203125" bestFit="1" customWidth="1"/>
    <col min="9" max="9" width="22" customWidth="1"/>
  </cols>
  <sheetData>
    <row r="1" spans="1:24">
      <c r="A1" s="140"/>
      <c r="B1" s="140"/>
      <c r="C1" s="140"/>
      <c r="D1" s="140"/>
      <c r="E1" s="140"/>
      <c r="F1" s="140"/>
      <c r="G1" s="140"/>
      <c r="H1" s="140"/>
      <c r="I1" s="140"/>
      <c r="J1" s="140"/>
      <c r="K1" s="140"/>
      <c r="L1" s="140"/>
      <c r="M1" s="140"/>
      <c r="N1" s="140"/>
      <c r="O1" s="140"/>
      <c r="P1" s="140"/>
      <c r="Q1" s="140"/>
      <c r="R1" s="140"/>
      <c r="S1" s="140"/>
      <c r="T1" s="140"/>
      <c r="U1" s="140"/>
      <c r="V1" s="140"/>
      <c r="W1" s="140"/>
      <c r="X1" s="140"/>
    </row>
    <row r="2" spans="1:24" ht="19.8">
      <c r="A2" s="298" t="s">
        <v>1304</v>
      </c>
      <c r="B2" s="140"/>
      <c r="C2" s="141" t="s">
        <v>1305</v>
      </c>
      <c r="D2" s="140"/>
      <c r="E2" s="140"/>
      <c r="F2" s="140"/>
      <c r="G2" s="140"/>
      <c r="H2" s="140"/>
      <c r="I2" s="140"/>
      <c r="J2" s="140"/>
      <c r="K2" s="140"/>
      <c r="L2" s="140"/>
      <c r="M2" s="140"/>
      <c r="N2" s="140"/>
      <c r="O2" s="140"/>
      <c r="P2" s="140"/>
      <c r="Q2" s="140"/>
      <c r="R2" s="140"/>
      <c r="S2" s="140"/>
      <c r="T2" s="140"/>
      <c r="U2" s="140"/>
      <c r="V2" s="140"/>
      <c r="W2" s="140"/>
      <c r="X2" s="140"/>
    </row>
    <row r="3" spans="1:24">
      <c r="A3" s="140"/>
      <c r="B3" s="140"/>
      <c r="C3" s="141" t="s">
        <v>1306</v>
      </c>
      <c r="D3" s="140" t="s">
        <v>1307</v>
      </c>
      <c r="E3" s="301" t="s">
        <v>1308</v>
      </c>
      <c r="F3" s="302"/>
      <c r="G3" s="302"/>
      <c r="H3" s="302"/>
      <c r="I3" s="302"/>
      <c r="J3" s="302"/>
      <c r="K3" s="140"/>
      <c r="L3" s="140"/>
      <c r="M3" s="140"/>
      <c r="N3" s="140"/>
      <c r="O3" s="140"/>
      <c r="P3" s="140"/>
      <c r="Q3" s="140"/>
      <c r="R3" s="140"/>
      <c r="S3" s="140"/>
      <c r="T3" s="140"/>
      <c r="U3" s="140"/>
      <c r="V3" s="140"/>
      <c r="W3" s="140"/>
      <c r="X3" s="140"/>
    </row>
    <row r="4" spans="1:24">
      <c r="A4" s="140"/>
      <c r="B4" s="140"/>
      <c r="C4" s="32" t="s">
        <v>1309</v>
      </c>
      <c r="D4" s="140"/>
      <c r="E4" s="140"/>
      <c r="F4" s="140"/>
      <c r="G4" s="140"/>
      <c r="H4" s="140"/>
      <c r="I4" s="403" t="s">
        <v>440</v>
      </c>
      <c r="J4" s="140"/>
      <c r="K4" s="140"/>
      <c r="L4" s="140"/>
      <c r="M4" s="140"/>
      <c r="N4" s="140"/>
      <c r="O4" s="140"/>
      <c r="P4" s="140"/>
      <c r="Q4" s="140"/>
      <c r="R4" s="140"/>
      <c r="S4" s="140"/>
      <c r="T4" s="140"/>
      <c r="U4" s="140"/>
      <c r="V4" s="140"/>
      <c r="W4" s="140"/>
      <c r="X4" s="140"/>
    </row>
    <row r="5" spans="1:24">
      <c r="A5" s="141" t="s">
        <v>252</v>
      </c>
      <c r="B5" s="140"/>
      <c r="C5" s="140"/>
      <c r="D5" s="140"/>
      <c r="E5" s="141" t="s">
        <v>441</v>
      </c>
      <c r="F5" s="140"/>
      <c r="G5" s="140"/>
      <c r="H5" s="140"/>
      <c r="I5" s="470" t="s">
        <v>442</v>
      </c>
      <c r="J5" s="404"/>
      <c r="K5" s="404"/>
      <c r="L5" s="140"/>
      <c r="M5" s="140"/>
      <c r="N5" s="140"/>
      <c r="O5" s="140"/>
      <c r="P5" s="140"/>
      <c r="Q5" s="140"/>
      <c r="R5" s="140"/>
      <c r="S5" s="140"/>
      <c r="T5" s="140"/>
      <c r="U5" s="140"/>
      <c r="V5" s="140"/>
      <c r="W5" s="140"/>
      <c r="X5" s="140"/>
    </row>
    <row r="6" spans="1:24">
      <c r="A6" s="140" t="s">
        <v>194</v>
      </c>
      <c r="B6" s="140" t="s">
        <v>443</v>
      </c>
      <c r="C6" s="140" t="s">
        <v>444</v>
      </c>
      <c r="D6" s="140"/>
      <c r="E6" s="140" t="s">
        <v>445</v>
      </c>
      <c r="F6" s="140" t="s">
        <v>443</v>
      </c>
      <c r="G6" s="140" t="s">
        <v>444</v>
      </c>
      <c r="H6" s="140"/>
      <c r="I6" s="404" t="s">
        <v>446</v>
      </c>
      <c r="J6" s="404" t="s">
        <v>443</v>
      </c>
      <c r="K6" s="404" t="s">
        <v>444</v>
      </c>
      <c r="L6" s="140"/>
      <c r="M6" s="140"/>
      <c r="N6" s="140"/>
      <c r="O6" s="140"/>
      <c r="P6" s="140"/>
      <c r="Q6" s="140"/>
      <c r="R6" s="140"/>
      <c r="S6" s="140"/>
      <c r="T6" s="140"/>
      <c r="U6" s="140"/>
      <c r="V6" s="140"/>
      <c r="W6" s="140"/>
      <c r="X6" s="140"/>
    </row>
    <row r="7" spans="1:24">
      <c r="A7" s="398" t="s">
        <v>1310</v>
      </c>
      <c r="B7" s="398">
        <v>10</v>
      </c>
      <c r="C7" s="398" t="s">
        <v>448</v>
      </c>
      <c r="D7" s="140"/>
      <c r="E7" s="315" t="s">
        <v>128</v>
      </c>
      <c r="F7" s="315">
        <f>3.292206+F10</f>
        <v>3.3177406260387814</v>
      </c>
      <c r="G7" s="315" t="s">
        <v>449</v>
      </c>
      <c r="H7" s="140"/>
      <c r="I7" s="404" t="s">
        <v>1311</v>
      </c>
      <c r="J7" s="404" t="s">
        <v>1312</v>
      </c>
      <c r="K7" s="404" t="s">
        <v>449</v>
      </c>
      <c r="L7" s="140"/>
      <c r="M7" s="140"/>
      <c r="N7" s="140"/>
      <c r="O7" s="140"/>
      <c r="P7" s="140"/>
      <c r="Q7" s="140"/>
      <c r="R7" s="140"/>
      <c r="S7" s="140"/>
      <c r="T7" s="140"/>
      <c r="U7" s="140"/>
      <c r="V7" s="140"/>
      <c r="W7" s="140"/>
      <c r="X7" s="140"/>
    </row>
    <row r="8" spans="1:24" ht="15.6">
      <c r="A8" s="398" t="s">
        <v>1313</v>
      </c>
      <c r="B8" s="398">
        <v>0.20899999999999999</v>
      </c>
      <c r="C8" s="398" t="s">
        <v>448</v>
      </c>
      <c r="D8" s="140"/>
      <c r="H8" s="140"/>
      <c r="I8" s="593" t="s">
        <v>1314</v>
      </c>
      <c r="J8" s="404">
        <v>1.2062642E-2</v>
      </c>
      <c r="K8" s="404" t="s">
        <v>449</v>
      </c>
      <c r="L8" s="140"/>
      <c r="M8" s="140"/>
      <c r="N8" s="140"/>
      <c r="O8" s="140"/>
      <c r="P8" s="140"/>
      <c r="Q8" s="140"/>
      <c r="R8" s="140"/>
      <c r="S8" s="140"/>
      <c r="T8" s="140"/>
      <c r="U8" s="140"/>
      <c r="V8" s="140"/>
      <c r="W8" s="140"/>
      <c r="X8" s="140"/>
    </row>
    <row r="9" spans="1:24">
      <c r="A9" s="398" t="s">
        <v>1315</v>
      </c>
      <c r="B9" s="398">
        <v>0.42666983600000002</v>
      </c>
      <c r="C9" s="398" t="s">
        <v>448</v>
      </c>
      <c r="D9" s="140"/>
      <c r="E9" s="404" t="s">
        <v>1316</v>
      </c>
      <c r="F9" s="404">
        <v>1.8436000000000001E-2</v>
      </c>
      <c r="G9" s="404" t="s">
        <v>458</v>
      </c>
      <c r="H9" s="140"/>
      <c r="I9" s="404" t="s">
        <v>1317</v>
      </c>
      <c r="J9" s="404">
        <v>1.8436351E-2</v>
      </c>
      <c r="K9" s="404" t="s">
        <v>449</v>
      </c>
      <c r="L9" s="140"/>
      <c r="M9" s="140"/>
      <c r="N9" s="140"/>
      <c r="O9" s="140"/>
      <c r="P9" s="140"/>
      <c r="Q9" s="140"/>
      <c r="R9" s="140"/>
      <c r="S9" s="140"/>
      <c r="T9" s="140"/>
      <c r="U9" s="140"/>
      <c r="V9" s="140"/>
      <c r="W9" s="140"/>
      <c r="X9" s="140"/>
    </row>
    <row r="10" spans="1:24">
      <c r="A10" s="398" t="s">
        <v>1318</v>
      </c>
      <c r="B10" s="398">
        <v>0.33375062799999999</v>
      </c>
      <c r="C10" s="398" t="s">
        <v>448</v>
      </c>
      <c r="D10" s="140"/>
      <c r="E10" s="404" t="s">
        <v>1316</v>
      </c>
      <c r="F10" s="404">
        <f>F9/F13</f>
        <v>2.5534626038781167E-2</v>
      </c>
      <c r="G10" s="404" t="s">
        <v>449</v>
      </c>
      <c r="H10" s="140"/>
      <c r="I10" s="404" t="s">
        <v>1319</v>
      </c>
      <c r="J10" s="404">
        <v>0.36872701899999999</v>
      </c>
      <c r="K10" s="404" t="s">
        <v>449</v>
      </c>
      <c r="L10" s="140"/>
      <c r="M10" s="140"/>
      <c r="N10" s="140"/>
      <c r="O10" s="140"/>
      <c r="P10" s="140"/>
      <c r="Q10" s="140"/>
      <c r="R10" s="140"/>
      <c r="S10" s="140"/>
      <c r="T10" s="140"/>
      <c r="U10" s="140"/>
      <c r="V10" s="140"/>
      <c r="W10" s="140"/>
      <c r="X10" s="140"/>
    </row>
    <row r="11" spans="1:24" ht="15.6">
      <c r="A11" s="398" t="s">
        <v>1320</v>
      </c>
      <c r="B11" s="398">
        <v>0.106831179</v>
      </c>
      <c r="C11" s="398" t="s">
        <v>448</v>
      </c>
      <c r="D11" s="140"/>
      <c r="E11" s="140"/>
      <c r="F11" s="140"/>
      <c r="G11" s="140"/>
      <c r="H11" s="140"/>
      <c r="I11" s="593" t="s">
        <v>1321</v>
      </c>
      <c r="J11" s="404">
        <v>0.36872701899999999</v>
      </c>
      <c r="K11" s="404" t="s">
        <v>449</v>
      </c>
      <c r="L11" s="140"/>
      <c r="M11" s="140"/>
      <c r="N11" s="140"/>
      <c r="O11" s="140"/>
      <c r="P11" s="140"/>
      <c r="Q11" s="140"/>
      <c r="R11" s="140"/>
      <c r="S11" s="140"/>
      <c r="T11" s="140"/>
      <c r="U11" s="140"/>
      <c r="V11" s="140"/>
      <c r="W11" s="140"/>
      <c r="X11" s="140"/>
    </row>
    <row r="12" spans="1:24" ht="15.6">
      <c r="A12" s="140"/>
      <c r="B12" s="140"/>
      <c r="C12" s="140"/>
      <c r="D12" s="140"/>
      <c r="E12" s="314" t="s">
        <v>1322</v>
      </c>
      <c r="F12" s="140"/>
      <c r="G12" s="140"/>
      <c r="H12" s="140"/>
      <c r="I12" s="593" t="s">
        <v>1323</v>
      </c>
      <c r="J12" s="490">
        <v>5.5309100000000002E-5</v>
      </c>
      <c r="K12" s="404" t="s">
        <v>449</v>
      </c>
      <c r="L12" s="140"/>
      <c r="M12" s="140"/>
      <c r="N12" s="140"/>
      <c r="O12" s="140"/>
      <c r="P12" s="140"/>
      <c r="Q12" s="140"/>
      <c r="R12" s="140"/>
      <c r="S12" s="140"/>
      <c r="T12" s="140"/>
      <c r="U12" s="140"/>
      <c r="V12" s="140"/>
      <c r="W12" s="140"/>
      <c r="X12" s="140"/>
    </row>
    <row r="13" spans="1:24" ht="15.6">
      <c r="A13" s="140"/>
      <c r="B13" s="140"/>
      <c r="C13" s="140"/>
      <c r="D13" s="140"/>
      <c r="E13" s="140"/>
      <c r="F13" s="140">
        <v>0.72199999999999998</v>
      </c>
      <c r="G13" s="140" t="s">
        <v>1298</v>
      </c>
      <c r="H13" s="140"/>
      <c r="I13" s="593" t="s">
        <v>1302</v>
      </c>
      <c r="J13" s="404">
        <v>6.5050082999999995E-2</v>
      </c>
      <c r="K13" s="404" t="s">
        <v>449</v>
      </c>
      <c r="L13" s="140"/>
      <c r="M13" s="140"/>
      <c r="N13" s="140"/>
      <c r="O13" s="140"/>
      <c r="P13" s="140"/>
      <c r="Q13" s="140"/>
      <c r="R13" s="140"/>
      <c r="S13" s="140"/>
      <c r="T13" s="140"/>
      <c r="U13" s="140"/>
      <c r="V13" s="140"/>
      <c r="W13" s="140"/>
      <c r="X13" s="140"/>
    </row>
    <row r="14" spans="1:24" ht="15.6">
      <c r="A14" s="140"/>
      <c r="B14" s="140"/>
      <c r="C14" s="140"/>
      <c r="D14" s="140"/>
      <c r="E14" s="153" t="s">
        <v>1324</v>
      </c>
      <c r="F14" s="140"/>
      <c r="G14" s="140"/>
      <c r="H14" s="140"/>
      <c r="I14" s="593" t="s">
        <v>1325</v>
      </c>
      <c r="J14" s="404"/>
      <c r="K14" s="404" t="s">
        <v>449</v>
      </c>
      <c r="L14" s="140"/>
      <c r="M14" s="140"/>
      <c r="N14" s="140"/>
      <c r="O14" s="140"/>
      <c r="P14" s="140"/>
      <c r="Q14" s="140"/>
      <c r="R14" s="140"/>
      <c r="S14" s="140"/>
      <c r="T14" s="140"/>
      <c r="U14" s="140"/>
      <c r="V14" s="140"/>
      <c r="W14" s="140"/>
      <c r="X14" s="140"/>
    </row>
    <row r="15" spans="1:24">
      <c r="A15" s="404" t="s">
        <v>1326</v>
      </c>
      <c r="B15" s="404"/>
      <c r="C15" s="404"/>
      <c r="D15" s="404"/>
      <c r="E15" s="140"/>
      <c r="F15" s="140"/>
      <c r="G15" s="140"/>
      <c r="H15" s="140"/>
      <c r="I15" s="404" t="s">
        <v>1327</v>
      </c>
      <c r="J15" s="404"/>
      <c r="K15" s="404" t="s">
        <v>449</v>
      </c>
      <c r="L15" s="140"/>
      <c r="M15" s="140"/>
      <c r="N15" s="140"/>
      <c r="O15" s="140"/>
      <c r="P15" s="140"/>
      <c r="Q15" s="140"/>
      <c r="R15" s="140"/>
      <c r="S15" s="140"/>
      <c r="T15" s="140"/>
      <c r="U15" s="140"/>
      <c r="V15" s="140"/>
      <c r="W15" s="140"/>
      <c r="X15" s="140"/>
    </row>
    <row r="16" spans="1:24">
      <c r="A16" s="404" t="s">
        <v>1290</v>
      </c>
      <c r="B16" s="594" t="s">
        <v>1328</v>
      </c>
      <c r="C16" s="404" t="s">
        <v>448</v>
      </c>
      <c r="D16" s="404"/>
      <c r="E16" s="140"/>
      <c r="F16" s="140"/>
      <c r="G16" s="140"/>
      <c r="H16" s="140"/>
      <c r="I16" s="404" t="s">
        <v>1329</v>
      </c>
      <c r="J16" s="404"/>
      <c r="K16" s="404" t="s">
        <v>449</v>
      </c>
      <c r="L16" s="140"/>
      <c r="M16" s="140"/>
      <c r="N16" s="140"/>
      <c r="O16" s="140"/>
      <c r="P16" s="140"/>
      <c r="Q16" s="140"/>
      <c r="R16" s="140"/>
      <c r="S16" s="140"/>
      <c r="T16" s="140"/>
      <c r="U16" s="140"/>
      <c r="V16" s="140"/>
      <c r="W16" s="140"/>
      <c r="X16" s="140"/>
    </row>
    <row r="17" spans="1:24">
      <c r="A17" s="404" t="s">
        <v>1330</v>
      </c>
      <c r="B17" s="594" t="s">
        <v>1331</v>
      </c>
      <c r="C17" s="404" t="s">
        <v>448</v>
      </c>
      <c r="D17" s="404"/>
      <c r="E17" s="140"/>
      <c r="F17" s="140"/>
      <c r="G17" s="140"/>
      <c r="H17" s="140"/>
      <c r="I17" s="404" t="s">
        <v>1332</v>
      </c>
      <c r="J17" s="404">
        <v>5.2675300000000003E-4</v>
      </c>
      <c r="K17" s="404" t="s">
        <v>458</v>
      </c>
      <c r="L17" s="140"/>
      <c r="M17" s="140"/>
      <c r="N17" s="140"/>
      <c r="O17" s="140"/>
      <c r="P17" s="140"/>
      <c r="Q17" s="140"/>
      <c r="R17" s="140"/>
      <c r="S17" s="140"/>
      <c r="T17" s="140"/>
      <c r="U17" s="140"/>
      <c r="V17" s="140"/>
      <c r="W17" s="140"/>
      <c r="X17" s="140"/>
    </row>
    <row r="18" spans="1:24">
      <c r="A18" s="404" t="s">
        <v>1333</v>
      </c>
      <c r="B18" s="404"/>
      <c r="C18" s="404"/>
      <c r="D18" s="404"/>
      <c r="E18" s="140"/>
      <c r="F18" s="140"/>
      <c r="G18" s="140"/>
      <c r="H18" s="140"/>
      <c r="I18" s="404" t="s">
        <v>1334</v>
      </c>
      <c r="J18" s="404">
        <v>0.28369072499999998</v>
      </c>
      <c r="K18" s="404" t="s">
        <v>458</v>
      </c>
      <c r="L18" s="140"/>
      <c r="M18" s="140"/>
      <c r="N18" s="140"/>
      <c r="O18" s="140"/>
      <c r="P18" s="140"/>
      <c r="Q18" s="140"/>
      <c r="R18" s="140"/>
      <c r="S18" s="140"/>
      <c r="T18" s="140"/>
      <c r="U18" s="140"/>
      <c r="V18" s="140"/>
      <c r="W18" s="140"/>
      <c r="X18" s="140"/>
    </row>
    <row r="19" spans="1:24">
      <c r="A19" s="404" t="s">
        <v>1335</v>
      </c>
      <c r="B19" s="404"/>
      <c r="C19" s="404" t="s">
        <v>449</v>
      </c>
      <c r="D19" s="404"/>
      <c r="E19" s="140"/>
      <c r="F19" s="140"/>
      <c r="G19" s="140"/>
      <c r="H19" s="140"/>
      <c r="I19" s="404"/>
      <c r="J19" s="404"/>
      <c r="K19" s="404"/>
      <c r="L19" s="140"/>
      <c r="M19" s="140"/>
      <c r="N19" s="140" t="s">
        <v>1336</v>
      </c>
      <c r="O19" s="140"/>
      <c r="P19" s="140"/>
      <c r="Q19" s="140"/>
      <c r="R19" s="140"/>
      <c r="S19" s="140"/>
      <c r="T19" s="140"/>
      <c r="U19" s="140"/>
      <c r="V19" s="140"/>
      <c r="W19" s="140"/>
      <c r="X19" s="140"/>
    </row>
    <row r="20" spans="1:24">
      <c r="A20" s="404" t="s">
        <v>1337</v>
      </c>
      <c r="B20" s="404">
        <v>2.58325E-4</v>
      </c>
      <c r="C20" s="404" t="s">
        <v>449</v>
      </c>
      <c r="D20" s="404"/>
      <c r="E20" s="140"/>
      <c r="F20" s="140"/>
      <c r="G20" s="140"/>
      <c r="H20" s="140"/>
      <c r="I20" s="404"/>
      <c r="J20" s="404"/>
      <c r="K20" s="404"/>
      <c r="L20" s="140"/>
      <c r="M20" s="140"/>
      <c r="N20" s="140"/>
      <c r="O20" s="140"/>
      <c r="P20" s="140"/>
      <c r="Q20" s="140"/>
      <c r="R20" s="140"/>
      <c r="S20" s="140"/>
      <c r="T20" s="140"/>
      <c r="U20" s="140"/>
      <c r="V20" s="140"/>
      <c r="W20" s="140"/>
      <c r="X20" s="140"/>
    </row>
    <row r="21" spans="1:24">
      <c r="A21" s="404" t="s">
        <v>1338</v>
      </c>
      <c r="B21" s="404">
        <v>2.5824799999999998E-4</v>
      </c>
      <c r="C21" s="404" t="s">
        <v>449</v>
      </c>
      <c r="D21" s="404"/>
      <c r="E21" s="140"/>
      <c r="F21" s="140"/>
      <c r="G21" s="140"/>
      <c r="H21" s="140"/>
      <c r="I21" s="404"/>
      <c r="J21" s="404"/>
      <c r="K21" s="404"/>
      <c r="L21" s="140"/>
      <c r="M21" s="140"/>
      <c r="N21" s="636"/>
      <c r="O21" s="636"/>
      <c r="P21" s="636"/>
      <c r="Q21" s="636"/>
      <c r="R21" s="636"/>
      <c r="S21" s="636"/>
      <c r="T21" s="636"/>
      <c r="U21" s="636"/>
      <c r="V21" s="636"/>
      <c r="W21" s="636"/>
      <c r="X21" s="636"/>
    </row>
    <row r="22" spans="1:24">
      <c r="A22" s="404" t="s">
        <v>1339</v>
      </c>
      <c r="B22" s="404"/>
      <c r="C22" s="404" t="s">
        <v>449</v>
      </c>
      <c r="D22" s="404"/>
      <c r="E22" s="140"/>
      <c r="F22" s="140"/>
      <c r="G22" s="140"/>
      <c r="H22" s="140"/>
      <c r="I22" s="470" t="s">
        <v>466</v>
      </c>
      <c r="J22" s="404"/>
      <c r="K22" s="404" t="s">
        <v>467</v>
      </c>
      <c r="L22" s="140"/>
      <c r="M22" s="140"/>
      <c r="N22" s="636"/>
      <c r="O22" s="636"/>
      <c r="P22" s="636"/>
      <c r="Q22" s="636"/>
      <c r="R22" s="636"/>
      <c r="S22" s="636"/>
      <c r="T22" s="636"/>
      <c r="U22" s="636"/>
      <c r="V22" s="636"/>
      <c r="W22" s="636"/>
      <c r="X22" s="636"/>
    </row>
    <row r="23" spans="1:24">
      <c r="A23" s="404" t="s">
        <v>1340</v>
      </c>
      <c r="B23" s="404"/>
      <c r="C23" s="404" t="s">
        <v>449</v>
      </c>
      <c r="D23" s="404"/>
      <c r="E23" s="140"/>
      <c r="F23" s="140"/>
      <c r="G23" s="140"/>
      <c r="H23" s="140"/>
      <c r="I23" s="404" t="s">
        <v>1341</v>
      </c>
      <c r="J23" s="404" t="s">
        <v>1342</v>
      </c>
      <c r="K23" s="404">
        <v>1.7</v>
      </c>
      <c r="L23" s="140"/>
      <c r="M23" s="140"/>
      <c r="N23" s="636"/>
      <c r="O23" s="636"/>
      <c r="P23" s="636"/>
      <c r="Q23" s="636"/>
      <c r="R23" s="636"/>
      <c r="S23" s="636"/>
      <c r="T23" s="636"/>
      <c r="U23" s="636"/>
      <c r="V23" s="636"/>
      <c r="W23" s="636"/>
      <c r="X23" s="636"/>
    </row>
    <row r="24" spans="1:24">
      <c r="A24" s="404" t="s">
        <v>1343</v>
      </c>
      <c r="B24" s="404"/>
      <c r="C24" s="404" t="s">
        <v>449</v>
      </c>
      <c r="D24" s="404"/>
      <c r="E24" s="140"/>
      <c r="F24" s="140"/>
      <c r="G24" s="140"/>
      <c r="H24" s="140"/>
      <c r="I24" s="404" t="s">
        <v>1344</v>
      </c>
      <c r="J24" s="404" t="s">
        <v>927</v>
      </c>
      <c r="K24" s="404">
        <v>3.4</v>
      </c>
      <c r="L24" s="140"/>
      <c r="M24" s="140"/>
      <c r="N24" s="636"/>
      <c r="O24" s="636"/>
      <c r="P24" s="636"/>
      <c r="Q24" s="636"/>
      <c r="R24" s="636"/>
      <c r="S24" s="636"/>
      <c r="T24" s="636"/>
      <c r="U24" s="636"/>
      <c r="V24" s="636"/>
      <c r="W24" s="636"/>
      <c r="X24" s="636"/>
    </row>
    <row r="25" spans="1:24">
      <c r="A25" s="404" t="s">
        <v>132</v>
      </c>
      <c r="B25" s="404">
        <v>7.0698890000000002E-3</v>
      </c>
      <c r="C25" s="404" t="s">
        <v>449</v>
      </c>
      <c r="D25" s="404"/>
      <c r="E25" s="140"/>
      <c r="F25" s="140"/>
      <c r="G25" s="140"/>
      <c r="H25" s="140"/>
      <c r="I25" s="404" t="s">
        <v>930</v>
      </c>
      <c r="J25" s="404"/>
      <c r="K25" s="404">
        <v>5.0999999999999996</v>
      </c>
      <c r="L25" s="140"/>
      <c r="M25" s="140"/>
      <c r="N25" s="636"/>
      <c r="O25" s="636"/>
      <c r="P25" s="636"/>
      <c r="Q25" s="636"/>
      <c r="R25" s="636"/>
      <c r="S25" s="636"/>
      <c r="T25" s="636"/>
      <c r="U25" s="636"/>
      <c r="V25" s="636"/>
      <c r="W25" s="636"/>
      <c r="X25" s="636"/>
    </row>
    <row r="26" spans="1:24">
      <c r="A26" s="404" t="s">
        <v>95</v>
      </c>
      <c r="B26" s="490">
        <v>1.6145299999999999E-5</v>
      </c>
      <c r="C26" s="404" t="s">
        <v>449</v>
      </c>
      <c r="D26" s="404"/>
      <c r="E26" s="140"/>
      <c r="F26" s="140"/>
      <c r="G26" s="140"/>
      <c r="H26" s="140"/>
      <c r="I26" s="140"/>
      <c r="J26" s="140"/>
      <c r="K26" s="140"/>
      <c r="L26" s="140"/>
      <c r="M26" s="140"/>
      <c r="N26" s="636"/>
      <c r="O26" s="636"/>
      <c r="P26" s="636"/>
      <c r="Q26" s="636"/>
      <c r="R26" s="636"/>
      <c r="S26" s="636"/>
      <c r="T26" s="636"/>
      <c r="U26" s="636"/>
      <c r="V26" s="636"/>
      <c r="W26" s="636"/>
      <c r="X26" s="636"/>
    </row>
    <row r="27" spans="1:24">
      <c r="A27" s="404" t="s">
        <v>92</v>
      </c>
      <c r="B27" s="404">
        <v>0.93764411700000005</v>
      </c>
      <c r="C27" s="404" t="s">
        <v>449</v>
      </c>
      <c r="D27" s="404" t="s">
        <v>1345</v>
      </c>
      <c r="E27" s="140"/>
      <c r="F27" s="140"/>
      <c r="G27" s="140"/>
      <c r="H27" s="140"/>
      <c r="I27" s="141" t="s">
        <v>479</v>
      </c>
      <c r="J27" s="398">
        <v>0.28881299999999999</v>
      </c>
      <c r="K27" s="140" t="s">
        <v>480</v>
      </c>
      <c r="L27" s="140"/>
      <c r="M27" s="140"/>
      <c r="N27" s="636"/>
      <c r="O27" s="636"/>
      <c r="P27" s="636"/>
      <c r="Q27" s="636"/>
      <c r="R27" s="636"/>
      <c r="S27" s="636"/>
      <c r="T27" s="636"/>
      <c r="U27" s="636"/>
      <c r="V27" s="636"/>
      <c r="W27" s="636"/>
      <c r="X27" s="636"/>
    </row>
    <row r="28" spans="1:24">
      <c r="A28" s="140"/>
      <c r="B28" s="140"/>
      <c r="C28" s="140"/>
      <c r="D28" s="140"/>
      <c r="E28" s="140"/>
      <c r="F28" s="140"/>
      <c r="G28" s="140"/>
      <c r="H28" s="140"/>
      <c r="I28" s="140" t="s">
        <v>481</v>
      </c>
      <c r="J28" s="32">
        <v>5.6630000000000003</v>
      </c>
      <c r="K28" s="140" t="s">
        <v>480</v>
      </c>
      <c r="L28" s="140"/>
      <c r="M28" s="140"/>
      <c r="N28" s="636"/>
      <c r="O28" s="636"/>
      <c r="P28" s="636"/>
      <c r="Q28" s="636"/>
      <c r="R28" s="636"/>
      <c r="S28" s="636"/>
      <c r="T28" s="636"/>
      <c r="U28" s="636"/>
      <c r="V28" s="636"/>
      <c r="W28" s="636"/>
      <c r="X28" s="636"/>
    </row>
    <row r="29" spans="1:24">
      <c r="A29" s="140"/>
      <c r="B29" s="140"/>
      <c r="C29" s="140"/>
      <c r="D29" s="140"/>
      <c r="E29" s="140"/>
      <c r="F29" s="140"/>
      <c r="G29" s="140"/>
      <c r="H29" s="140"/>
      <c r="I29" s="140"/>
      <c r="J29" s="140"/>
      <c r="K29" s="140"/>
      <c r="L29" s="140"/>
      <c r="M29" s="140"/>
      <c r="N29" s="636"/>
      <c r="O29" s="636"/>
      <c r="P29" s="636"/>
      <c r="Q29" s="636"/>
      <c r="R29" s="636"/>
      <c r="S29" s="636"/>
      <c r="T29" s="636"/>
      <c r="U29" s="636"/>
      <c r="V29" s="636"/>
      <c r="W29" s="636"/>
      <c r="X29" s="636"/>
    </row>
    <row r="30" spans="1:24">
      <c r="A30" s="140"/>
      <c r="B30" s="140"/>
      <c r="C30" s="140"/>
      <c r="D30" s="140"/>
      <c r="E30" s="140"/>
      <c r="F30" s="140"/>
      <c r="G30" s="140"/>
      <c r="H30" s="140"/>
      <c r="I30" s="140"/>
      <c r="J30" s="140"/>
      <c r="K30" s="140"/>
      <c r="L30" s="140"/>
      <c r="M30" s="140"/>
      <c r="N30" s="636"/>
      <c r="O30" s="636"/>
      <c r="P30" s="636"/>
      <c r="Q30" s="636"/>
      <c r="R30" s="636"/>
      <c r="S30" s="636"/>
      <c r="T30" s="636"/>
      <c r="U30" s="636"/>
      <c r="V30" s="636"/>
      <c r="W30" s="636"/>
      <c r="X30" s="636"/>
    </row>
    <row r="31" spans="1:24">
      <c r="A31" s="398" t="s">
        <v>482</v>
      </c>
      <c r="B31" s="140"/>
      <c r="C31" s="140"/>
      <c r="D31" s="140"/>
      <c r="E31" s="140"/>
      <c r="F31" s="140"/>
      <c r="G31" s="140"/>
      <c r="H31" s="140"/>
      <c r="I31" s="140"/>
      <c r="J31" s="140"/>
      <c r="K31" s="140"/>
      <c r="L31" s="140"/>
      <c r="M31" s="140"/>
      <c r="N31" s="636"/>
      <c r="O31" s="636"/>
      <c r="P31" s="636"/>
      <c r="Q31" s="636"/>
      <c r="R31" s="636"/>
      <c r="S31" s="636"/>
      <c r="T31" s="636"/>
      <c r="U31" s="636"/>
      <c r="V31" s="636"/>
      <c r="W31" s="636"/>
      <c r="X31" s="636"/>
    </row>
    <row r="32" spans="1:24">
      <c r="A32" s="140"/>
      <c r="B32" s="140"/>
      <c r="C32" s="140"/>
      <c r="D32" s="140"/>
      <c r="E32" s="140"/>
      <c r="F32" s="140"/>
      <c r="G32" s="140"/>
      <c r="H32" s="140"/>
      <c r="I32" s="140"/>
      <c r="J32" s="140"/>
      <c r="K32" s="140"/>
      <c r="L32" s="140"/>
      <c r="M32" s="140"/>
      <c r="N32" s="636"/>
      <c r="O32" s="636"/>
      <c r="P32" s="636"/>
      <c r="Q32" s="636"/>
      <c r="R32" s="636"/>
      <c r="S32" s="636"/>
      <c r="T32" s="636"/>
      <c r="U32" s="636"/>
      <c r="V32" s="636"/>
      <c r="W32" s="636"/>
      <c r="X32" s="636"/>
    </row>
    <row r="33" spans="1:24">
      <c r="A33" s="140"/>
      <c r="B33" s="140"/>
      <c r="C33" s="140"/>
      <c r="D33" s="140"/>
      <c r="E33" s="140"/>
      <c r="F33" s="140"/>
      <c r="G33" s="140"/>
      <c r="H33" s="140"/>
      <c r="I33" s="140"/>
      <c r="J33" s="140"/>
      <c r="K33" s="140"/>
      <c r="L33" s="140"/>
      <c r="M33" s="140"/>
      <c r="N33" s="636"/>
      <c r="O33" s="636"/>
      <c r="P33" s="636"/>
      <c r="Q33" s="636"/>
      <c r="R33" s="636"/>
      <c r="S33" s="636"/>
      <c r="T33" s="636"/>
      <c r="U33" s="636"/>
      <c r="V33" s="636"/>
      <c r="W33" s="636"/>
      <c r="X33" s="636"/>
    </row>
    <row r="34" spans="1:24">
      <c r="A34" s="140"/>
      <c r="B34" s="140"/>
      <c r="C34" s="140"/>
      <c r="D34" s="140"/>
      <c r="E34" s="140"/>
      <c r="F34" s="140"/>
      <c r="G34" s="140"/>
      <c r="H34" s="140"/>
      <c r="I34" s="140"/>
      <c r="J34" s="140"/>
      <c r="K34" s="140"/>
      <c r="L34" s="140"/>
      <c r="M34" s="140"/>
      <c r="N34" s="636"/>
      <c r="O34" s="636"/>
      <c r="P34" s="636"/>
      <c r="Q34" s="636"/>
      <c r="R34" s="636"/>
      <c r="S34" s="636"/>
      <c r="T34" s="636"/>
      <c r="U34" s="636"/>
      <c r="V34" s="636"/>
      <c r="W34" s="636"/>
      <c r="X34" s="636"/>
    </row>
    <row r="35" spans="1:24">
      <c r="A35" s="140"/>
      <c r="B35" s="140"/>
      <c r="C35" s="140"/>
      <c r="D35" s="140"/>
      <c r="E35" s="140"/>
      <c r="F35" s="140"/>
      <c r="G35" s="140"/>
      <c r="H35" s="140"/>
      <c r="I35" s="300" t="s">
        <v>325</v>
      </c>
      <c r="J35" s="140"/>
      <c r="K35" s="140"/>
      <c r="L35" s="140"/>
      <c r="M35" s="140"/>
      <c r="N35" s="636"/>
      <c r="O35" s="636"/>
      <c r="P35" s="636"/>
      <c r="Q35" s="636"/>
      <c r="R35" s="636"/>
      <c r="S35" s="636"/>
      <c r="T35" s="636"/>
      <c r="U35" s="636"/>
      <c r="V35" s="636"/>
      <c r="W35" s="636"/>
      <c r="X35" s="636"/>
    </row>
    <row r="36" spans="1:24">
      <c r="A36" s="140"/>
      <c r="B36" s="140"/>
      <c r="C36" s="140"/>
      <c r="D36" s="140"/>
      <c r="E36" s="140"/>
      <c r="F36" s="140"/>
      <c r="G36" s="140"/>
      <c r="H36" s="140"/>
      <c r="I36" s="140"/>
      <c r="J36" s="140"/>
      <c r="K36" s="140"/>
      <c r="L36" s="140"/>
      <c r="M36" s="140"/>
      <c r="N36" s="636"/>
      <c r="O36" s="636"/>
      <c r="P36" s="636"/>
      <c r="Q36" s="636"/>
      <c r="R36" s="636"/>
      <c r="S36" s="636"/>
      <c r="T36" s="636"/>
      <c r="U36" s="636"/>
      <c r="V36" s="636"/>
      <c r="W36" s="636"/>
      <c r="X36" s="636"/>
    </row>
    <row r="37" spans="1:24">
      <c r="A37" s="140"/>
      <c r="B37" s="140"/>
      <c r="C37" s="140"/>
      <c r="D37" s="140"/>
      <c r="E37" s="140"/>
      <c r="F37" s="140"/>
      <c r="G37" s="140"/>
      <c r="H37" s="140"/>
      <c r="I37" s="141"/>
      <c r="J37" s="140"/>
      <c r="K37" s="140"/>
      <c r="L37" s="140"/>
      <c r="M37" s="140"/>
      <c r="N37" s="636"/>
      <c r="O37" s="636"/>
      <c r="P37" s="636"/>
      <c r="Q37" s="636"/>
      <c r="R37" s="636"/>
      <c r="S37" s="636"/>
      <c r="T37" s="636"/>
      <c r="U37" s="636"/>
      <c r="V37" s="636"/>
      <c r="W37" s="636"/>
      <c r="X37" s="636"/>
    </row>
    <row r="38" spans="1:24">
      <c r="A38" s="140"/>
      <c r="B38" s="140"/>
      <c r="C38" s="140"/>
      <c r="D38" s="140"/>
      <c r="E38" s="140"/>
      <c r="F38" s="140"/>
      <c r="G38" s="140"/>
      <c r="H38" s="140"/>
      <c r="I38" s="140"/>
      <c r="J38" s="140"/>
      <c r="K38" s="140"/>
      <c r="L38" s="140"/>
      <c r="M38" s="140"/>
      <c r="N38" s="636"/>
      <c r="O38" s="636"/>
      <c r="P38" s="636"/>
      <c r="Q38" s="636"/>
      <c r="R38" s="636"/>
      <c r="S38" s="636"/>
      <c r="T38" s="636"/>
      <c r="U38" s="636"/>
      <c r="V38" s="636"/>
      <c r="W38" s="636"/>
      <c r="X38" s="636"/>
    </row>
    <row r="39" spans="1:24">
      <c r="A39" s="140"/>
      <c r="B39" s="140"/>
      <c r="C39" s="140"/>
      <c r="D39" s="140"/>
      <c r="E39" s="140"/>
      <c r="F39" s="140"/>
      <c r="G39" s="140"/>
      <c r="H39" s="140"/>
      <c r="I39" s="140"/>
      <c r="J39" s="140"/>
      <c r="K39" s="140"/>
      <c r="L39" s="140"/>
      <c r="M39" s="140"/>
      <c r="N39" s="636"/>
      <c r="O39" s="636"/>
      <c r="P39" s="636"/>
      <c r="Q39" s="636"/>
      <c r="R39" s="636"/>
      <c r="S39" s="636"/>
      <c r="T39" s="636"/>
      <c r="U39" s="636"/>
      <c r="V39" s="636"/>
      <c r="W39" s="636"/>
      <c r="X39" s="636"/>
    </row>
    <row r="40" spans="1:24">
      <c r="A40" s="140"/>
      <c r="B40" s="140"/>
      <c r="C40" s="140"/>
      <c r="D40" s="140"/>
      <c r="E40" s="140"/>
      <c r="F40" s="140"/>
      <c r="G40" s="140"/>
      <c r="H40" s="140"/>
      <c r="I40" s="140"/>
      <c r="J40" s="140"/>
      <c r="K40" s="140"/>
      <c r="L40" s="140"/>
      <c r="M40" s="140"/>
      <c r="N40" s="636"/>
      <c r="O40" s="636"/>
      <c r="P40" s="636"/>
      <c r="Q40" s="636"/>
      <c r="R40" s="636"/>
      <c r="S40" s="636"/>
      <c r="T40" s="636"/>
      <c r="U40" s="636"/>
      <c r="V40" s="636"/>
      <c r="W40" s="636"/>
      <c r="X40" s="636"/>
    </row>
    <row r="41" spans="1:24">
      <c r="A41" s="140"/>
      <c r="B41" s="140"/>
      <c r="C41" s="140"/>
      <c r="D41" s="140"/>
      <c r="E41" s="140"/>
      <c r="F41" s="140"/>
      <c r="G41" s="140"/>
      <c r="H41" s="140"/>
      <c r="I41" s="140"/>
      <c r="J41" s="140"/>
      <c r="K41" s="140"/>
      <c r="L41" s="140"/>
      <c r="M41" s="140"/>
      <c r="N41" s="636"/>
      <c r="O41" s="636"/>
      <c r="P41" s="636"/>
      <c r="Q41" s="636"/>
      <c r="R41" s="636"/>
      <c r="S41" s="636"/>
      <c r="T41" s="636"/>
      <c r="U41" s="636"/>
      <c r="V41" s="636"/>
      <c r="W41" s="636"/>
      <c r="X41" s="636"/>
    </row>
    <row r="42" spans="1:24">
      <c r="A42" s="140"/>
      <c r="B42" s="140"/>
      <c r="C42" s="140"/>
      <c r="D42" s="140"/>
      <c r="E42" s="140"/>
      <c r="F42" s="140"/>
      <c r="G42" s="140"/>
      <c r="H42" s="140"/>
      <c r="I42" s="140"/>
      <c r="J42" s="140"/>
      <c r="K42" s="140"/>
      <c r="L42" s="140"/>
      <c r="M42" s="140"/>
      <c r="N42" s="636"/>
      <c r="O42" s="636"/>
      <c r="P42" s="636"/>
      <c r="Q42" s="636"/>
      <c r="R42" s="636"/>
      <c r="S42" s="636"/>
      <c r="T42" s="636"/>
      <c r="U42" s="636"/>
      <c r="V42" s="636"/>
      <c r="W42" s="636"/>
      <c r="X42" s="636"/>
    </row>
    <row r="43" spans="1:24">
      <c r="A43" s="140"/>
      <c r="B43" s="140"/>
      <c r="C43" s="140"/>
      <c r="D43" s="140"/>
      <c r="E43" s="140"/>
      <c r="F43" s="140"/>
      <c r="G43" s="140"/>
      <c r="H43" s="140"/>
      <c r="I43" s="140"/>
      <c r="J43" s="140"/>
      <c r="K43" s="140"/>
      <c r="L43" s="140"/>
      <c r="M43" s="140"/>
      <c r="N43" s="636"/>
      <c r="O43" s="636"/>
      <c r="P43" s="636"/>
      <c r="Q43" s="636"/>
      <c r="R43" s="636"/>
      <c r="S43" s="636"/>
      <c r="T43" s="636"/>
      <c r="U43" s="636"/>
      <c r="V43" s="636"/>
      <c r="W43" s="636"/>
      <c r="X43" s="636"/>
    </row>
    <row r="44" spans="1:24">
      <c r="A44" s="140"/>
      <c r="B44" s="140"/>
      <c r="C44" s="140"/>
      <c r="D44" s="140"/>
      <c r="E44" s="140"/>
      <c r="F44" s="140"/>
      <c r="G44" s="140"/>
      <c r="H44" s="140"/>
      <c r="I44" s="140"/>
      <c r="J44" s="140"/>
      <c r="K44" s="140"/>
      <c r="L44" s="140"/>
      <c r="M44" s="140"/>
      <c r="N44" s="636"/>
      <c r="O44" s="636"/>
      <c r="P44" s="636"/>
      <c r="Q44" s="636"/>
      <c r="R44" s="636"/>
      <c r="S44" s="636"/>
      <c r="T44" s="636"/>
      <c r="U44" s="636"/>
      <c r="V44" s="636"/>
      <c r="W44" s="636"/>
      <c r="X44" s="636"/>
    </row>
    <row r="45" spans="1:24">
      <c r="A45" s="140"/>
      <c r="B45" s="140"/>
      <c r="C45" s="140"/>
      <c r="D45" s="140"/>
      <c r="E45" s="140"/>
      <c r="F45" s="140"/>
      <c r="G45" s="140"/>
      <c r="H45" s="140"/>
      <c r="I45" s="140"/>
      <c r="J45" s="32"/>
      <c r="K45" s="140"/>
      <c r="L45" s="140"/>
      <c r="M45" s="140"/>
      <c r="N45" s="636"/>
      <c r="O45" s="636"/>
      <c r="P45" s="636"/>
      <c r="Q45" s="636"/>
      <c r="R45" s="636"/>
      <c r="S45" s="636"/>
      <c r="T45" s="636"/>
      <c r="U45" s="636"/>
      <c r="V45" s="636"/>
      <c r="W45" s="636"/>
      <c r="X45" s="636"/>
    </row>
    <row r="46" spans="1:24">
      <c r="A46" s="140"/>
      <c r="B46" s="140"/>
      <c r="C46" s="140"/>
      <c r="D46" s="140"/>
      <c r="E46" s="140"/>
      <c r="F46" s="140"/>
      <c r="G46" s="140"/>
      <c r="H46" s="140"/>
      <c r="I46" s="140"/>
      <c r="J46" s="32"/>
      <c r="K46" s="140"/>
      <c r="L46" s="140"/>
      <c r="M46" s="140"/>
      <c r="N46" s="636"/>
      <c r="O46" s="636"/>
      <c r="P46" s="636"/>
      <c r="Q46" s="636"/>
      <c r="R46" s="636"/>
      <c r="S46" s="636"/>
      <c r="T46" s="636"/>
      <c r="U46" s="636"/>
      <c r="V46" s="636"/>
      <c r="W46" s="636"/>
      <c r="X46" s="636"/>
    </row>
    <row r="47" spans="1:24">
      <c r="A47" s="140"/>
      <c r="B47" s="140"/>
      <c r="C47" s="140"/>
      <c r="D47" s="140"/>
      <c r="E47" s="140"/>
      <c r="F47" s="140"/>
      <c r="G47" s="140"/>
      <c r="H47" s="140"/>
      <c r="I47" s="140"/>
      <c r="J47" s="32"/>
      <c r="K47" s="140"/>
      <c r="L47" s="140"/>
      <c r="M47" s="140"/>
      <c r="N47" s="636"/>
      <c r="O47" s="636"/>
      <c r="P47" s="636"/>
      <c r="Q47" s="636"/>
      <c r="R47" s="636"/>
      <c r="S47" s="636"/>
      <c r="T47" s="636"/>
      <c r="U47" s="636"/>
      <c r="V47" s="636"/>
      <c r="W47" s="636"/>
      <c r="X47" s="636"/>
    </row>
    <row r="48" spans="1:24" ht="19.8">
      <c r="A48" s="298" t="s">
        <v>1346</v>
      </c>
      <c r="B48" s="140"/>
      <c r="C48" s="140"/>
      <c r="D48" s="140"/>
      <c r="E48" s="140"/>
      <c r="F48" s="140"/>
      <c r="G48" s="140"/>
      <c r="H48" s="140"/>
      <c r="I48" s="140"/>
      <c r="J48" s="140"/>
      <c r="K48" s="140"/>
      <c r="L48" s="140"/>
      <c r="M48" s="140"/>
      <c r="N48" s="636"/>
      <c r="O48" s="636"/>
      <c r="P48" s="636"/>
      <c r="Q48" s="636"/>
      <c r="R48" s="636"/>
      <c r="S48" s="636"/>
      <c r="T48" s="636"/>
      <c r="U48" s="636"/>
      <c r="V48" s="636"/>
      <c r="W48" s="636"/>
      <c r="X48" s="636"/>
    </row>
    <row r="49" spans="1:24">
      <c r="A49" s="301" t="s">
        <v>1347</v>
      </c>
      <c r="B49" s="140"/>
      <c r="C49" s="140"/>
      <c r="D49" s="140"/>
      <c r="E49" s="140"/>
      <c r="F49" s="140"/>
      <c r="G49" s="140"/>
      <c r="H49" s="140"/>
      <c r="I49" s="140"/>
      <c r="J49" s="140"/>
      <c r="K49" s="140"/>
      <c r="L49" s="140"/>
      <c r="M49" s="140"/>
      <c r="N49" s="140"/>
      <c r="O49" s="140"/>
      <c r="P49" s="140"/>
      <c r="Q49" s="140"/>
      <c r="R49" s="140"/>
      <c r="S49" s="140"/>
      <c r="T49" s="140"/>
      <c r="U49" s="140"/>
      <c r="V49" s="140"/>
      <c r="W49" s="140"/>
      <c r="X49" s="140"/>
    </row>
    <row r="50" spans="1:24">
      <c r="A50" s="140" t="s">
        <v>1348</v>
      </c>
      <c r="B50" s="140"/>
      <c r="C50" s="140"/>
      <c r="D50" s="140"/>
      <c r="E50" s="304" t="s">
        <v>1349</v>
      </c>
      <c r="F50" s="304"/>
      <c r="G50" s="304"/>
      <c r="H50" s="304"/>
      <c r="I50" s="304"/>
      <c r="J50" s="141" t="s">
        <v>1350</v>
      </c>
      <c r="K50" s="140"/>
      <c r="L50" s="140"/>
      <c r="M50" s="140"/>
      <c r="N50" s="140"/>
      <c r="O50" s="140"/>
      <c r="P50" s="140"/>
      <c r="Q50" s="140"/>
      <c r="R50" s="140"/>
      <c r="S50" s="140"/>
      <c r="T50" s="140"/>
      <c r="U50" s="140"/>
      <c r="V50" s="140"/>
      <c r="W50" s="140"/>
      <c r="X50" s="140"/>
    </row>
    <row r="51" spans="1:24">
      <c r="A51" s="305" t="s">
        <v>1351</v>
      </c>
      <c r="B51" s="305" t="s">
        <v>1352</v>
      </c>
      <c r="C51" s="305" t="s">
        <v>509</v>
      </c>
      <c r="D51" s="141" t="s">
        <v>1353</v>
      </c>
      <c r="E51" s="141" t="s">
        <v>1354</v>
      </c>
      <c r="F51" s="141" t="s">
        <v>1355</v>
      </c>
      <c r="G51" s="141" t="s">
        <v>1356</v>
      </c>
      <c r="H51" s="141"/>
      <c r="I51" s="141"/>
      <c r="J51" s="140" t="s">
        <v>1357</v>
      </c>
      <c r="K51" s="140"/>
      <c r="L51" s="140"/>
      <c r="M51" s="140"/>
      <c r="N51" s="140"/>
      <c r="O51" s="140"/>
      <c r="P51" s="140"/>
      <c r="Q51" s="140"/>
      <c r="R51" s="140"/>
      <c r="S51" s="140"/>
      <c r="T51" s="140"/>
      <c r="U51" s="140"/>
      <c r="V51" s="140"/>
      <c r="W51" s="140"/>
      <c r="X51" s="140"/>
    </row>
    <row r="52" spans="1:24">
      <c r="A52" s="637" t="s">
        <v>1358</v>
      </c>
      <c r="B52" s="637"/>
      <c r="C52" s="637"/>
      <c r="D52" s="140"/>
      <c r="E52" s="140"/>
      <c r="F52" s="140"/>
      <c r="G52" s="140"/>
      <c r="H52" s="140"/>
      <c r="I52" s="140"/>
      <c r="J52" s="301" t="s">
        <v>1359</v>
      </c>
      <c r="K52" s="302"/>
      <c r="L52" s="302"/>
      <c r="M52" s="302"/>
      <c r="N52" s="302"/>
      <c r="O52" s="302"/>
      <c r="P52" s="302"/>
      <c r="Q52" s="140"/>
      <c r="R52" s="140"/>
      <c r="S52" s="140"/>
      <c r="T52" s="140"/>
      <c r="U52" s="140"/>
      <c r="V52" s="140"/>
      <c r="W52" s="140"/>
      <c r="X52" s="140"/>
    </row>
    <row r="53" spans="1:24">
      <c r="A53" s="304" t="s">
        <v>1360</v>
      </c>
      <c r="B53" s="304" t="s">
        <v>1361</v>
      </c>
      <c r="C53" s="638" t="s">
        <v>1362</v>
      </c>
      <c r="D53" s="140" t="s">
        <v>1363</v>
      </c>
      <c r="E53" s="140" t="s">
        <v>1364</v>
      </c>
      <c r="F53" s="140" t="s">
        <v>1365</v>
      </c>
      <c r="G53" s="304" t="s">
        <v>449</v>
      </c>
      <c r="H53" s="140"/>
      <c r="I53" s="140"/>
      <c r="J53" s="140" t="s">
        <v>1366</v>
      </c>
      <c r="K53" s="140"/>
      <c r="L53" s="140"/>
      <c r="M53" s="140"/>
      <c r="N53" s="140"/>
      <c r="O53" s="140"/>
      <c r="P53" s="140"/>
      <c r="Q53" s="140"/>
      <c r="R53" s="140"/>
      <c r="S53" s="140"/>
      <c r="T53" s="140"/>
      <c r="U53" s="140"/>
      <c r="V53" s="140"/>
      <c r="W53" s="140"/>
      <c r="X53" s="140"/>
    </row>
    <row r="54" spans="1:24">
      <c r="A54" s="304" t="s">
        <v>1367</v>
      </c>
      <c r="B54" s="304" t="s">
        <v>1368</v>
      </c>
      <c r="C54" s="638"/>
      <c r="D54" s="140" t="s">
        <v>1369</v>
      </c>
      <c r="E54" s="140" t="s">
        <v>1370</v>
      </c>
      <c r="F54" s="140" t="s">
        <v>1371</v>
      </c>
      <c r="G54" s="304" t="s">
        <v>449</v>
      </c>
      <c r="H54" s="140"/>
      <c r="I54" s="140"/>
      <c r="J54" s="140" t="s">
        <v>1372</v>
      </c>
      <c r="K54" s="140"/>
      <c r="L54" s="140"/>
      <c r="M54" s="140"/>
      <c r="N54" s="140"/>
      <c r="O54" s="140"/>
      <c r="P54" s="140"/>
      <c r="Q54" s="140"/>
      <c r="R54" s="140"/>
      <c r="S54" s="140"/>
      <c r="T54" s="140"/>
      <c r="U54" s="140"/>
      <c r="V54" s="140"/>
      <c r="W54" s="140"/>
      <c r="X54" s="140"/>
    </row>
    <row r="55" spans="1:24">
      <c r="A55" s="304" t="s">
        <v>1373</v>
      </c>
      <c r="B55" s="304" t="s">
        <v>1374</v>
      </c>
      <c r="C55" s="638"/>
      <c r="D55" s="140" t="s">
        <v>1375</v>
      </c>
      <c r="E55" s="140" t="s">
        <v>1376</v>
      </c>
      <c r="F55" s="140" t="s">
        <v>1377</v>
      </c>
      <c r="G55" s="304" t="s">
        <v>449</v>
      </c>
      <c r="H55" s="140"/>
      <c r="I55" s="140"/>
      <c r="J55" s="140" t="s">
        <v>1378</v>
      </c>
      <c r="K55" s="140"/>
      <c r="L55" s="140"/>
      <c r="M55" s="140"/>
      <c r="N55" s="140"/>
      <c r="O55" s="140"/>
      <c r="P55" s="140"/>
      <c r="Q55" s="140"/>
      <c r="R55" s="140"/>
      <c r="S55" s="140"/>
      <c r="T55" s="140"/>
      <c r="U55" s="140"/>
      <c r="V55" s="140"/>
      <c r="W55" s="140"/>
      <c r="X55" s="140"/>
    </row>
    <row r="56" spans="1:24">
      <c r="A56" s="304" t="s">
        <v>1379</v>
      </c>
      <c r="B56" s="304" t="s">
        <v>1380</v>
      </c>
      <c r="C56" s="638"/>
      <c r="D56" s="140" t="s">
        <v>1381</v>
      </c>
      <c r="E56" s="140" t="s">
        <v>1382</v>
      </c>
      <c r="F56" s="140" t="s">
        <v>1383</v>
      </c>
      <c r="G56" s="304" t="s">
        <v>449</v>
      </c>
      <c r="H56" s="140"/>
      <c r="I56" s="140"/>
      <c r="J56" s="140"/>
      <c r="K56" s="140"/>
      <c r="L56" s="140"/>
      <c r="M56" s="140"/>
      <c r="N56" s="140"/>
      <c r="O56" s="140"/>
      <c r="P56" s="140"/>
      <c r="Q56" s="140"/>
      <c r="R56" s="140"/>
      <c r="S56" s="140"/>
      <c r="T56" s="140"/>
      <c r="U56" s="140"/>
      <c r="V56" s="140"/>
      <c r="W56" s="140"/>
      <c r="X56" s="140"/>
    </row>
    <row r="57" spans="1:24">
      <c r="A57" s="304" t="s">
        <v>1384</v>
      </c>
      <c r="B57" s="304" t="s">
        <v>1380</v>
      </c>
      <c r="C57" s="638"/>
      <c r="D57" s="140" t="s">
        <v>1381</v>
      </c>
      <c r="E57" s="140" t="s">
        <v>1382</v>
      </c>
      <c r="F57" s="140" t="s">
        <v>1383</v>
      </c>
      <c r="G57" s="304" t="s">
        <v>449</v>
      </c>
      <c r="H57" s="140"/>
      <c r="I57" s="140"/>
      <c r="J57" s="140"/>
      <c r="K57" s="140"/>
      <c r="L57" s="140"/>
      <c r="M57" s="140"/>
      <c r="N57" s="140"/>
      <c r="O57" s="140"/>
      <c r="P57" s="140"/>
      <c r="Q57" s="140"/>
      <c r="R57" s="140"/>
      <c r="S57" s="140"/>
      <c r="T57" s="140"/>
      <c r="U57" s="140"/>
      <c r="V57" s="140"/>
      <c r="W57" s="140"/>
      <c r="X57" s="140"/>
    </row>
    <row r="58" spans="1:24">
      <c r="A58" s="140" t="s">
        <v>1385</v>
      </c>
      <c r="B58" s="140" t="s">
        <v>1386</v>
      </c>
      <c r="C58" s="638"/>
      <c r="D58" s="140">
        <v>342</v>
      </c>
      <c r="E58" s="140" t="s">
        <v>1387</v>
      </c>
      <c r="F58" s="140" t="s">
        <v>1388</v>
      </c>
      <c r="G58" s="140" t="s">
        <v>448</v>
      </c>
      <c r="H58" s="140"/>
      <c r="I58" s="140">
        <v>1</v>
      </c>
      <c r="J58" s="140" t="s">
        <v>1389</v>
      </c>
      <c r="K58" s="140">
        <v>1</v>
      </c>
      <c r="L58" s="140" t="s">
        <v>1390</v>
      </c>
      <c r="M58" s="140" t="s">
        <v>1391</v>
      </c>
      <c r="N58" s="140" t="s">
        <v>1392</v>
      </c>
      <c r="O58" s="303" t="s">
        <v>1393</v>
      </c>
      <c r="P58" s="140" t="s">
        <v>1391</v>
      </c>
      <c r="Q58" s="303" t="s">
        <v>1393</v>
      </c>
      <c r="R58" s="140" t="s">
        <v>1394</v>
      </c>
      <c r="S58" s="140" t="s">
        <v>1389</v>
      </c>
      <c r="T58" s="140"/>
      <c r="U58" s="140"/>
      <c r="V58" s="140"/>
      <c r="W58" s="140"/>
      <c r="X58" s="140"/>
    </row>
    <row r="59" spans="1:24">
      <c r="A59" s="140" t="s">
        <v>6</v>
      </c>
      <c r="B59" s="140" t="s">
        <v>1395</v>
      </c>
      <c r="C59" s="638"/>
      <c r="D59" s="140">
        <v>4600</v>
      </c>
      <c r="E59" s="140" t="s">
        <v>1396</v>
      </c>
      <c r="F59" s="140" t="s">
        <v>1397</v>
      </c>
      <c r="G59" s="140" t="s">
        <v>458</v>
      </c>
      <c r="H59" s="140"/>
      <c r="I59" s="140" t="s">
        <v>1177</v>
      </c>
      <c r="J59" s="140" t="s">
        <v>1390</v>
      </c>
      <c r="K59" s="140" t="s">
        <v>1398</v>
      </c>
      <c r="L59" s="140" t="s">
        <v>1392</v>
      </c>
      <c r="M59" s="140" t="s">
        <v>1399</v>
      </c>
      <c r="N59" s="140" t="s">
        <v>1400</v>
      </c>
      <c r="O59" s="140"/>
      <c r="P59" s="140" t="s">
        <v>1401</v>
      </c>
      <c r="Q59" s="140"/>
      <c r="R59" s="140"/>
      <c r="S59" s="140" t="s">
        <v>1400</v>
      </c>
      <c r="T59" s="140"/>
      <c r="U59" s="140"/>
      <c r="V59" s="140"/>
      <c r="W59" s="140"/>
      <c r="X59" s="140"/>
    </row>
    <row r="60" spans="1:24">
      <c r="A60" s="639" t="s">
        <v>1402</v>
      </c>
      <c r="B60" s="639"/>
      <c r="C60" s="639"/>
      <c r="D60" s="140"/>
      <c r="E60" s="140"/>
      <c r="F60" s="140"/>
      <c r="G60" s="140"/>
      <c r="H60" s="140"/>
      <c r="I60" s="140"/>
      <c r="J60" s="140"/>
      <c r="K60" s="140">
        <v>1</v>
      </c>
      <c r="L60" s="140" t="s">
        <v>1390</v>
      </c>
      <c r="M60" s="140" t="s">
        <v>1391</v>
      </c>
      <c r="N60" s="140" t="s">
        <v>1392</v>
      </c>
      <c r="O60" s="303" t="s">
        <v>1393</v>
      </c>
      <c r="P60" s="140" t="s">
        <v>1391</v>
      </c>
      <c r="Q60" s="303" t="s">
        <v>1393</v>
      </c>
      <c r="R60" s="140" t="s">
        <v>1403</v>
      </c>
      <c r="S60" s="140" t="s">
        <v>1390</v>
      </c>
      <c r="T60" s="140"/>
      <c r="U60" s="140"/>
      <c r="V60" s="140"/>
      <c r="W60" s="140"/>
      <c r="X60" s="140"/>
    </row>
    <row r="61" spans="1:24">
      <c r="A61" s="140" t="s">
        <v>1297</v>
      </c>
      <c r="B61" s="140" t="s">
        <v>1404</v>
      </c>
      <c r="C61" s="640" t="s">
        <v>1405</v>
      </c>
      <c r="D61" s="140">
        <v>30</v>
      </c>
      <c r="E61" s="140" t="s">
        <v>1369</v>
      </c>
      <c r="F61" s="140" t="s">
        <v>1406</v>
      </c>
      <c r="G61" s="140" t="s">
        <v>458</v>
      </c>
      <c r="H61" s="140"/>
      <c r="I61" s="140"/>
      <c r="J61" s="140"/>
      <c r="K61" s="140" t="s">
        <v>1398</v>
      </c>
      <c r="L61" s="140" t="s">
        <v>1392</v>
      </c>
      <c r="M61" s="140" t="s">
        <v>1399</v>
      </c>
      <c r="N61" s="140" t="s">
        <v>1400</v>
      </c>
      <c r="O61" s="140"/>
      <c r="P61" s="140" t="s">
        <v>1407</v>
      </c>
      <c r="Q61" s="140"/>
      <c r="R61" s="140"/>
      <c r="S61" s="140" t="s">
        <v>1400</v>
      </c>
      <c r="T61" s="140"/>
      <c r="U61" s="140"/>
      <c r="V61" s="140"/>
      <c r="W61" s="140"/>
      <c r="X61" s="140"/>
    </row>
    <row r="62" spans="1:24">
      <c r="A62" s="140" t="s">
        <v>1408</v>
      </c>
      <c r="B62" s="140" t="s">
        <v>1404</v>
      </c>
      <c r="C62" s="640"/>
      <c r="D62" s="140">
        <v>30</v>
      </c>
      <c r="E62" s="140" t="s">
        <v>1369</v>
      </c>
      <c r="F62" s="140" t="s">
        <v>1406</v>
      </c>
      <c r="G62" s="140" t="s">
        <v>458</v>
      </c>
      <c r="H62" s="140"/>
      <c r="I62" s="140"/>
      <c r="J62" s="140"/>
      <c r="K62" s="140"/>
      <c r="L62" s="140"/>
      <c r="M62" s="140" t="s">
        <v>1391</v>
      </c>
      <c r="N62" s="140" t="s">
        <v>1392</v>
      </c>
      <c r="O62" s="303" t="s">
        <v>1393</v>
      </c>
      <c r="P62" s="140" t="s">
        <v>1409</v>
      </c>
      <c r="Q62" s="303" t="s">
        <v>1393</v>
      </c>
      <c r="R62" s="140" t="s">
        <v>1409</v>
      </c>
      <c r="S62" s="140" t="s">
        <v>1392</v>
      </c>
      <c r="T62" s="140"/>
      <c r="U62" s="140"/>
      <c r="V62" s="140"/>
      <c r="W62" s="140"/>
      <c r="X62" s="140"/>
    </row>
    <row r="63" spans="1:24">
      <c r="A63" s="140" t="s">
        <v>1410</v>
      </c>
      <c r="B63" s="140" t="s">
        <v>1411</v>
      </c>
      <c r="C63" s="640"/>
      <c r="D63" s="140">
        <v>100</v>
      </c>
      <c r="E63" s="140"/>
      <c r="F63" s="140"/>
      <c r="G63" s="140"/>
      <c r="H63" s="140"/>
      <c r="I63" s="140"/>
      <c r="J63" s="140"/>
      <c r="K63" s="140"/>
      <c r="L63" s="140"/>
      <c r="M63" s="140" t="s">
        <v>1399</v>
      </c>
      <c r="N63" s="140" t="s">
        <v>1400</v>
      </c>
      <c r="O63" s="140"/>
      <c r="P63" s="140"/>
      <c r="Q63" s="140"/>
      <c r="R63" s="140"/>
      <c r="S63" s="140" t="s">
        <v>1400</v>
      </c>
      <c r="T63" s="140"/>
      <c r="U63" s="140"/>
      <c r="V63" s="140"/>
      <c r="W63" s="140"/>
      <c r="X63" s="140"/>
    </row>
    <row r="64" spans="1:24">
      <c r="A64" s="639" t="s">
        <v>1412</v>
      </c>
      <c r="B64" s="639"/>
      <c r="C64" s="639"/>
      <c r="D64" s="140"/>
      <c r="E64" s="140"/>
      <c r="F64" s="140"/>
      <c r="G64" s="140"/>
      <c r="H64" s="140"/>
      <c r="I64" s="140"/>
      <c r="J64" s="140"/>
      <c r="K64" s="140"/>
      <c r="L64" s="140"/>
      <c r="M64" s="140"/>
      <c r="N64" s="140"/>
      <c r="O64" s="140"/>
      <c r="P64" s="140"/>
      <c r="Q64" s="140"/>
      <c r="R64" s="140"/>
      <c r="S64" s="140"/>
      <c r="T64" s="140"/>
      <c r="U64" s="140"/>
      <c r="V64" s="140"/>
      <c r="W64" s="140"/>
      <c r="X64" s="140"/>
    </row>
    <row r="65" spans="1:24">
      <c r="A65" s="140" t="s">
        <v>1413</v>
      </c>
      <c r="B65" s="140" t="s">
        <v>1414</v>
      </c>
      <c r="C65" s="638" t="s">
        <v>1415</v>
      </c>
      <c r="D65" s="140" t="s">
        <v>1416</v>
      </c>
      <c r="E65" s="140" t="s">
        <v>1417</v>
      </c>
      <c r="F65" s="140" t="s">
        <v>1418</v>
      </c>
      <c r="G65" s="140" t="s">
        <v>448</v>
      </c>
      <c r="H65" s="140"/>
      <c r="I65" s="140"/>
      <c r="J65" s="140"/>
      <c r="K65" s="140"/>
      <c r="L65" s="140"/>
      <c r="M65" s="140"/>
      <c r="N65" s="140"/>
      <c r="O65" s="140"/>
      <c r="P65" s="140"/>
      <c r="Q65" s="140"/>
      <c r="R65" s="140"/>
      <c r="S65" s="140"/>
      <c r="T65" s="140"/>
      <c r="U65" s="140"/>
      <c r="V65" s="140"/>
      <c r="W65" s="140"/>
      <c r="X65" s="140"/>
    </row>
    <row r="66" spans="1:24">
      <c r="A66" s="140" t="s">
        <v>6</v>
      </c>
      <c r="B66" s="140" t="s">
        <v>1419</v>
      </c>
      <c r="C66" s="638"/>
      <c r="D66" s="140" t="s">
        <v>1420</v>
      </c>
      <c r="E66" s="140" t="s">
        <v>1421</v>
      </c>
      <c r="F66" s="140" t="s">
        <v>1422</v>
      </c>
      <c r="G66" s="140" t="s">
        <v>449</v>
      </c>
      <c r="H66" s="140"/>
      <c r="I66" s="140"/>
      <c r="J66" s="140"/>
      <c r="K66" s="140"/>
      <c r="L66" s="140"/>
      <c r="M66" s="140"/>
      <c r="N66" s="140"/>
      <c r="O66" s="140"/>
      <c r="P66" s="140"/>
      <c r="Q66" s="140"/>
      <c r="R66" s="140"/>
      <c r="S66" s="140"/>
      <c r="T66" s="140"/>
      <c r="U66" s="140"/>
      <c r="V66" s="140"/>
      <c r="W66" s="140"/>
      <c r="X66" s="140"/>
    </row>
    <row r="67" spans="1:24">
      <c r="A67" s="140" t="s">
        <v>9</v>
      </c>
      <c r="B67" s="140" t="s">
        <v>1423</v>
      </c>
      <c r="C67" s="638"/>
      <c r="D67" s="140">
        <v>17</v>
      </c>
      <c r="E67" s="140" t="s">
        <v>1424</v>
      </c>
      <c r="F67" s="140" t="s">
        <v>1425</v>
      </c>
      <c r="G67" s="140" t="s">
        <v>449</v>
      </c>
      <c r="H67" s="140"/>
      <c r="I67" s="140"/>
      <c r="J67" s="140"/>
      <c r="K67" s="140"/>
      <c r="L67" s="140"/>
      <c r="M67" s="140"/>
      <c r="N67" s="140"/>
      <c r="O67" s="140"/>
      <c r="P67" s="140"/>
      <c r="Q67" s="140"/>
      <c r="R67" s="140"/>
      <c r="S67" s="140"/>
      <c r="T67" s="140"/>
      <c r="U67" s="140"/>
      <c r="V67" s="140"/>
      <c r="W67" s="140"/>
      <c r="X67" s="140"/>
    </row>
    <row r="68" spans="1:24">
      <c r="A68" s="140" t="s">
        <v>1294</v>
      </c>
      <c r="B68" s="140" t="s">
        <v>1426</v>
      </c>
      <c r="C68" s="638"/>
      <c r="D68" s="140">
        <v>33</v>
      </c>
      <c r="E68" s="140" t="s">
        <v>1427</v>
      </c>
      <c r="F68" s="140" t="s">
        <v>1428</v>
      </c>
      <c r="G68" s="140" t="s">
        <v>449</v>
      </c>
      <c r="H68" s="140"/>
      <c r="I68" s="140"/>
      <c r="J68" s="140"/>
      <c r="K68" s="140"/>
      <c r="L68" s="140"/>
      <c r="M68" s="140"/>
      <c r="N68" s="140"/>
      <c r="O68" s="140"/>
      <c r="P68" s="140"/>
      <c r="Q68" s="140"/>
      <c r="R68" s="140"/>
      <c r="S68" s="140"/>
      <c r="T68" s="140"/>
      <c r="U68" s="140"/>
      <c r="V68" s="140"/>
      <c r="W68" s="140"/>
      <c r="X68" s="140"/>
    </row>
    <row r="69" spans="1:24">
      <c r="A69" s="140" t="s">
        <v>1296</v>
      </c>
      <c r="B69" s="140" t="s">
        <v>1429</v>
      </c>
      <c r="C69" s="638"/>
      <c r="D69" s="140">
        <v>54</v>
      </c>
      <c r="E69" s="140" t="s">
        <v>1430</v>
      </c>
      <c r="F69" s="140" t="s">
        <v>1431</v>
      </c>
      <c r="G69" s="140" t="s">
        <v>449</v>
      </c>
      <c r="H69" s="140"/>
      <c r="I69" s="140"/>
      <c r="J69" s="140"/>
      <c r="K69" s="140"/>
      <c r="L69" s="140"/>
      <c r="M69" s="140"/>
      <c r="N69" s="140"/>
      <c r="O69" s="140"/>
      <c r="P69" s="140"/>
      <c r="Q69" s="140"/>
      <c r="R69" s="140"/>
      <c r="S69" s="140"/>
      <c r="T69" s="140"/>
      <c r="U69" s="140"/>
      <c r="V69" s="140"/>
      <c r="W69" s="140"/>
      <c r="X69" s="140"/>
    </row>
    <row r="70" spans="1:24">
      <c r="A70" s="140" t="s">
        <v>1432</v>
      </c>
      <c r="B70" s="140" t="s">
        <v>1433</v>
      </c>
      <c r="C70" s="638"/>
      <c r="D70" s="140">
        <v>21</v>
      </c>
      <c r="E70" s="140" t="s">
        <v>1434</v>
      </c>
      <c r="F70" s="140" t="s">
        <v>1435</v>
      </c>
      <c r="G70" s="140" t="s">
        <v>449</v>
      </c>
      <c r="H70" s="140"/>
      <c r="I70" s="140"/>
      <c r="J70" s="140"/>
      <c r="K70" s="140"/>
      <c r="L70" s="140"/>
      <c r="M70" s="140"/>
      <c r="N70" s="140"/>
      <c r="O70" s="140"/>
      <c r="P70" s="140"/>
      <c r="Q70" s="140"/>
      <c r="R70" s="140"/>
      <c r="S70" s="140"/>
      <c r="T70" s="140"/>
      <c r="U70" s="140"/>
      <c r="V70" s="140"/>
      <c r="W70" s="140"/>
      <c r="X70" s="140"/>
    </row>
    <row r="71" spans="1:24">
      <c r="A71" s="140" t="s">
        <v>1436</v>
      </c>
      <c r="B71" s="140" t="s">
        <v>1437</v>
      </c>
      <c r="C71" s="638"/>
      <c r="D71" s="140" t="s">
        <v>1438</v>
      </c>
      <c r="E71" s="140" t="s">
        <v>1439</v>
      </c>
      <c r="F71" s="140" t="s">
        <v>1440</v>
      </c>
      <c r="G71" s="140" t="s">
        <v>449</v>
      </c>
      <c r="H71" s="140"/>
      <c r="I71" s="140"/>
      <c r="J71" s="140"/>
      <c r="K71" s="140"/>
      <c r="L71" s="140"/>
      <c r="M71" s="140"/>
      <c r="N71" s="140"/>
      <c r="O71" s="140"/>
      <c r="P71" s="140"/>
      <c r="Q71" s="140"/>
      <c r="R71" s="140"/>
      <c r="S71" s="140"/>
      <c r="T71" s="140"/>
      <c r="U71" s="140"/>
      <c r="V71" s="140"/>
      <c r="W71" s="140"/>
      <c r="X71" s="140"/>
    </row>
    <row r="72" spans="1:24">
      <c r="A72" s="140" t="s">
        <v>1441</v>
      </c>
      <c r="B72" s="140" t="s">
        <v>1442</v>
      </c>
      <c r="C72" s="638"/>
      <c r="D72" s="140">
        <v>40</v>
      </c>
      <c r="E72" s="140" t="s">
        <v>1443</v>
      </c>
      <c r="F72" s="140" t="s">
        <v>1444</v>
      </c>
      <c r="G72" s="140" t="s">
        <v>449</v>
      </c>
      <c r="H72" s="140"/>
      <c r="I72" s="140"/>
      <c r="J72" s="140"/>
      <c r="K72" s="140"/>
      <c r="L72" s="140"/>
      <c r="M72" s="140"/>
      <c r="N72" s="140"/>
      <c r="O72" s="140"/>
      <c r="P72" s="140"/>
      <c r="Q72" s="140"/>
      <c r="R72" s="140"/>
      <c r="S72" s="140"/>
      <c r="T72" s="140"/>
      <c r="U72" s="140"/>
      <c r="V72" s="140"/>
      <c r="W72" s="140"/>
      <c r="X72" s="140"/>
    </row>
    <row r="73" spans="1:24">
      <c r="A73" s="140" t="s">
        <v>1445</v>
      </c>
      <c r="B73" s="140" t="s">
        <v>1446</v>
      </c>
      <c r="C73" s="638"/>
      <c r="D73" s="140">
        <v>1314</v>
      </c>
      <c r="E73" s="140" t="s">
        <v>1447</v>
      </c>
      <c r="F73" s="140" t="s">
        <v>1448</v>
      </c>
      <c r="G73" s="140" t="s">
        <v>448</v>
      </c>
      <c r="H73" s="140"/>
      <c r="I73" s="140"/>
      <c r="J73" s="140"/>
      <c r="K73" s="140"/>
      <c r="L73" s="140"/>
      <c r="M73" s="140"/>
      <c r="N73" s="140"/>
      <c r="O73" s="140"/>
      <c r="P73" s="140"/>
      <c r="Q73" s="140"/>
      <c r="R73" s="140"/>
      <c r="S73" s="140"/>
      <c r="T73" s="140"/>
      <c r="U73" s="140"/>
      <c r="V73" s="140"/>
      <c r="W73" s="140"/>
      <c r="X73" s="140"/>
    </row>
    <row r="74" spans="1:24">
      <c r="A74" s="140" t="s">
        <v>1290</v>
      </c>
      <c r="B74" s="140" t="s">
        <v>1449</v>
      </c>
      <c r="C74" s="638"/>
      <c r="D74" s="140">
        <v>119</v>
      </c>
      <c r="E74" s="140" t="s">
        <v>1450</v>
      </c>
      <c r="F74" s="140" t="s">
        <v>1451</v>
      </c>
      <c r="G74" s="140" t="s">
        <v>448</v>
      </c>
      <c r="H74" s="140"/>
      <c r="I74" s="140"/>
      <c r="J74" s="140"/>
      <c r="K74" s="140"/>
      <c r="L74" s="140"/>
      <c r="M74" s="140"/>
      <c r="N74" s="140"/>
      <c r="O74" s="140"/>
      <c r="P74" s="140"/>
      <c r="Q74" s="140"/>
      <c r="R74" s="140"/>
      <c r="S74" s="140"/>
      <c r="T74" s="140"/>
      <c r="U74" s="140"/>
      <c r="V74" s="140"/>
      <c r="W74" s="140"/>
      <c r="X74" s="140"/>
    </row>
    <row r="75" spans="1:24">
      <c r="A75" s="639" t="s">
        <v>1452</v>
      </c>
      <c r="B75" s="639"/>
      <c r="C75" s="639"/>
      <c r="D75" s="140"/>
      <c r="E75" s="140"/>
      <c r="F75" s="140"/>
      <c r="G75" s="140"/>
      <c r="H75" s="140"/>
      <c r="I75" s="140"/>
      <c r="J75" s="140"/>
      <c r="K75" s="140"/>
      <c r="L75" s="140"/>
      <c r="M75" s="140"/>
      <c r="N75" s="140"/>
      <c r="O75" s="140"/>
      <c r="P75" s="140"/>
      <c r="Q75" s="140"/>
      <c r="R75" s="140"/>
      <c r="S75" s="140"/>
      <c r="T75" s="140"/>
      <c r="U75" s="140"/>
      <c r="V75" s="140"/>
      <c r="W75" s="140"/>
      <c r="X75" s="140"/>
    </row>
    <row r="76" spans="1:24" ht="17.399999999999999">
      <c r="A76" s="140" t="s">
        <v>1453</v>
      </c>
      <c r="B76" s="140" t="s">
        <v>1454</v>
      </c>
      <c r="C76" s="636" t="s">
        <v>1455</v>
      </c>
      <c r="D76" s="140" t="s">
        <v>1456</v>
      </c>
      <c r="E76" s="140" t="s">
        <v>1457</v>
      </c>
      <c r="F76" s="140" t="s">
        <v>1458</v>
      </c>
      <c r="G76" s="140" t="s">
        <v>449</v>
      </c>
      <c r="H76" s="140"/>
      <c r="I76" s="140" t="s">
        <v>1459</v>
      </c>
      <c r="J76" s="306" t="s">
        <v>1460</v>
      </c>
      <c r="K76" s="140"/>
      <c r="L76" s="140"/>
      <c r="M76" s="140"/>
      <c r="N76" s="140"/>
      <c r="O76" s="140"/>
      <c r="P76" s="140"/>
      <c r="Q76" s="140"/>
      <c r="R76" s="140"/>
      <c r="S76" s="140"/>
      <c r="T76" s="140"/>
      <c r="U76" s="140"/>
      <c r="V76" s="140"/>
      <c r="W76" s="140"/>
      <c r="X76" s="140"/>
    </row>
    <row r="77" spans="1:24">
      <c r="A77" s="140" t="s">
        <v>1290</v>
      </c>
      <c r="B77" s="140" t="s">
        <v>1461</v>
      </c>
      <c r="C77" s="636"/>
      <c r="D77" s="140">
        <v>3050</v>
      </c>
      <c r="E77" s="140" t="s">
        <v>1462</v>
      </c>
      <c r="F77" s="140" t="s">
        <v>1463</v>
      </c>
      <c r="G77" s="140" t="s">
        <v>448</v>
      </c>
      <c r="H77" s="140"/>
      <c r="I77" s="140"/>
      <c r="J77" s="301" t="s">
        <v>1347</v>
      </c>
      <c r="K77" s="140"/>
      <c r="L77" s="140"/>
      <c r="M77" s="140"/>
      <c r="N77" s="140"/>
      <c r="O77" s="140"/>
      <c r="P77" s="140"/>
      <c r="Q77" s="140"/>
      <c r="R77" s="140"/>
      <c r="S77" s="140"/>
      <c r="T77" s="140"/>
      <c r="U77" s="140"/>
      <c r="V77" s="140"/>
      <c r="W77" s="140"/>
      <c r="X77" s="140"/>
    </row>
    <row r="78" spans="1:24">
      <c r="A78" s="140" t="s">
        <v>1464</v>
      </c>
      <c r="B78" s="140" t="s">
        <v>1465</v>
      </c>
      <c r="C78" s="636"/>
      <c r="D78" s="140" t="s">
        <v>1391</v>
      </c>
      <c r="E78" s="140"/>
      <c r="F78" s="140"/>
      <c r="G78" s="140"/>
      <c r="H78" s="140"/>
      <c r="I78" s="140"/>
      <c r="J78" s="140"/>
      <c r="K78" s="140"/>
      <c r="L78" s="140"/>
      <c r="M78" s="140"/>
      <c r="N78" s="140"/>
      <c r="O78" s="140"/>
      <c r="P78" s="140"/>
      <c r="Q78" s="140"/>
      <c r="R78" s="140"/>
      <c r="S78" s="140"/>
      <c r="T78" s="140"/>
      <c r="U78" s="140"/>
      <c r="V78" s="140"/>
      <c r="W78" s="140"/>
      <c r="X78" s="140"/>
    </row>
    <row r="79" spans="1:24">
      <c r="A79" s="140" t="s">
        <v>1466</v>
      </c>
      <c r="B79" s="140" t="s">
        <v>1467</v>
      </c>
      <c r="C79" s="636"/>
      <c r="D79" s="140" t="s">
        <v>1399</v>
      </c>
      <c r="E79" s="140"/>
      <c r="F79" s="140"/>
      <c r="G79" s="140"/>
      <c r="H79" s="140"/>
      <c r="I79" s="140"/>
      <c r="J79" s="140" t="s">
        <v>1468</v>
      </c>
      <c r="K79" s="140"/>
      <c r="L79" s="140"/>
      <c r="M79" s="140"/>
      <c r="N79" s="140"/>
      <c r="O79" s="140"/>
      <c r="P79" s="140"/>
      <c r="Q79" s="140"/>
      <c r="R79" s="140"/>
      <c r="S79" s="140"/>
      <c r="T79" s="140"/>
      <c r="U79" s="140"/>
      <c r="V79" s="140"/>
      <c r="W79" s="140"/>
      <c r="X79" s="140"/>
    </row>
    <row r="80" spans="1:24">
      <c r="A80" s="307" t="s">
        <v>1469</v>
      </c>
      <c r="B80" s="140"/>
      <c r="C80" s="636"/>
      <c r="D80" s="140"/>
      <c r="E80" s="140"/>
      <c r="F80" s="140"/>
      <c r="G80" s="140"/>
      <c r="H80" s="140"/>
      <c r="I80" s="140"/>
      <c r="J80" s="140" t="s">
        <v>1470</v>
      </c>
      <c r="K80" s="140"/>
      <c r="L80" s="140"/>
      <c r="M80" s="140"/>
      <c r="N80" s="140"/>
      <c r="O80" s="140"/>
      <c r="P80" s="140"/>
      <c r="Q80" s="140"/>
      <c r="R80" s="140"/>
      <c r="S80" s="140"/>
      <c r="T80" s="140"/>
      <c r="U80" s="140"/>
      <c r="V80" s="140"/>
      <c r="W80" s="140"/>
      <c r="X80" s="140"/>
    </row>
    <row r="81" spans="1:24">
      <c r="A81" s="308" t="s">
        <v>1471</v>
      </c>
      <c r="B81" s="308" t="s">
        <v>1472</v>
      </c>
      <c r="C81" s="636"/>
      <c r="D81" s="308" t="s">
        <v>1473</v>
      </c>
      <c r="E81" s="308" t="s">
        <v>1474</v>
      </c>
      <c r="F81" s="308" t="s">
        <v>1475</v>
      </c>
      <c r="G81" s="308" t="s">
        <v>449</v>
      </c>
      <c r="H81" s="140"/>
      <c r="I81" s="140"/>
      <c r="J81" s="309" t="s">
        <v>1476</v>
      </c>
      <c r="K81" s="309" t="s">
        <v>1477</v>
      </c>
      <c r="L81" s="309" t="s">
        <v>1478</v>
      </c>
      <c r="M81" s="140" t="s">
        <v>1352</v>
      </c>
      <c r="N81" s="140" t="s">
        <v>1479</v>
      </c>
      <c r="O81" s="140" t="s">
        <v>495</v>
      </c>
      <c r="P81" s="140" t="s">
        <v>1480</v>
      </c>
      <c r="Q81" s="140"/>
      <c r="R81" s="140"/>
      <c r="S81" s="140"/>
      <c r="T81" s="140" t="s">
        <v>1458</v>
      </c>
      <c r="U81" s="140" t="s">
        <v>1481</v>
      </c>
      <c r="V81" s="140"/>
      <c r="W81" s="140"/>
      <c r="X81" s="140"/>
    </row>
    <row r="82" spans="1:24" ht="17.399999999999999">
      <c r="A82" s="308" t="s">
        <v>1290</v>
      </c>
      <c r="B82" s="308" t="s">
        <v>1482</v>
      </c>
      <c r="C82" s="636"/>
      <c r="D82" s="308">
        <v>1860</v>
      </c>
      <c r="E82" s="308" t="s">
        <v>1483</v>
      </c>
      <c r="F82" s="308" t="s">
        <v>1484</v>
      </c>
      <c r="G82" s="308" t="s">
        <v>448</v>
      </c>
      <c r="H82" s="140"/>
      <c r="I82" s="158" t="s">
        <v>1485</v>
      </c>
      <c r="J82" s="310" t="s">
        <v>1486</v>
      </c>
      <c r="K82" s="310">
        <v>282</v>
      </c>
      <c r="L82" s="310">
        <v>67</v>
      </c>
      <c r="M82" s="140">
        <v>282</v>
      </c>
      <c r="N82" s="140" t="s">
        <v>1487</v>
      </c>
      <c r="O82" s="140" t="s">
        <v>449</v>
      </c>
      <c r="P82" s="140" t="s">
        <v>1488</v>
      </c>
      <c r="Q82" s="140"/>
      <c r="R82" s="140"/>
      <c r="S82" s="140"/>
      <c r="T82" s="140"/>
      <c r="U82" s="140"/>
      <c r="V82" s="140"/>
      <c r="W82" s="140"/>
      <c r="X82" s="140"/>
    </row>
    <row r="83" spans="1:24" ht="17.399999999999999">
      <c r="A83" s="308" t="s">
        <v>1464</v>
      </c>
      <c r="B83" s="308" t="s">
        <v>1489</v>
      </c>
      <c r="C83" s="636"/>
      <c r="D83" s="308" t="s">
        <v>1490</v>
      </c>
      <c r="E83" s="311" t="s">
        <v>1132</v>
      </c>
      <c r="F83" s="140"/>
      <c r="G83" s="140"/>
      <c r="H83" s="140"/>
      <c r="I83" s="158" t="s">
        <v>1491</v>
      </c>
      <c r="J83" s="310" t="s">
        <v>1492</v>
      </c>
      <c r="K83" s="310">
        <v>175</v>
      </c>
      <c r="L83" s="310">
        <v>385</v>
      </c>
      <c r="M83" s="140">
        <v>175</v>
      </c>
      <c r="N83" s="140" t="s">
        <v>1493</v>
      </c>
      <c r="O83" s="140" t="s">
        <v>449</v>
      </c>
      <c r="P83" s="140" t="s">
        <v>1494</v>
      </c>
      <c r="Q83" s="140"/>
      <c r="R83" s="140"/>
      <c r="S83" s="140"/>
      <c r="T83" s="140"/>
      <c r="U83" s="140"/>
      <c r="V83" s="140"/>
      <c r="W83" s="140"/>
      <c r="X83" s="140"/>
    </row>
    <row r="84" spans="1:24" ht="17.399999999999999">
      <c r="A84" s="308" t="s">
        <v>1466</v>
      </c>
      <c r="B84" s="308" t="s">
        <v>1495</v>
      </c>
      <c r="C84" s="636"/>
      <c r="D84" s="308" t="s">
        <v>1496</v>
      </c>
      <c r="E84" s="311" t="s">
        <v>1132</v>
      </c>
      <c r="F84" s="140"/>
      <c r="G84" s="140"/>
      <c r="H84" s="140"/>
      <c r="I84" s="158" t="s">
        <v>1497</v>
      </c>
      <c r="J84" s="310" t="s">
        <v>1498</v>
      </c>
      <c r="K84" s="310">
        <v>495</v>
      </c>
      <c r="L84" s="310">
        <v>529</v>
      </c>
      <c r="M84" s="140">
        <v>495</v>
      </c>
      <c r="N84" s="140" t="s">
        <v>1499</v>
      </c>
      <c r="O84" s="140" t="s">
        <v>449</v>
      </c>
      <c r="P84" s="140" t="s">
        <v>1500</v>
      </c>
      <c r="Q84" s="140"/>
      <c r="R84" s="140"/>
      <c r="S84" s="140"/>
      <c r="T84" s="140"/>
      <c r="U84" s="140"/>
      <c r="V84" s="140"/>
      <c r="W84" s="140"/>
      <c r="X84" s="140"/>
    </row>
    <row r="85" spans="1:24">
      <c r="A85" s="639" t="s">
        <v>1501</v>
      </c>
      <c r="B85" s="639"/>
      <c r="C85" s="639"/>
      <c r="D85" s="140"/>
      <c r="E85" s="140"/>
      <c r="F85" s="140"/>
      <c r="G85" s="140"/>
      <c r="H85" s="140"/>
      <c r="I85" s="140"/>
      <c r="J85" s="310" t="s">
        <v>1502</v>
      </c>
      <c r="K85" s="310" t="s">
        <v>1503</v>
      </c>
      <c r="L85" s="310" t="s">
        <v>1504</v>
      </c>
      <c r="M85" s="140" t="s">
        <v>1503</v>
      </c>
      <c r="N85" s="140" t="s">
        <v>1503</v>
      </c>
      <c r="O85" s="140" t="s">
        <v>448</v>
      </c>
      <c r="P85" s="140" t="s">
        <v>1505</v>
      </c>
      <c r="Q85" s="140"/>
      <c r="R85" s="140"/>
      <c r="S85" s="140"/>
      <c r="T85" s="140"/>
      <c r="U85" s="140"/>
      <c r="V85" s="140"/>
      <c r="W85" s="140"/>
      <c r="X85" s="140"/>
    </row>
    <row r="86" spans="1:24">
      <c r="A86" s="140" t="s">
        <v>1299</v>
      </c>
      <c r="B86" s="140" t="s">
        <v>1506</v>
      </c>
      <c r="C86" s="638" t="s">
        <v>1507</v>
      </c>
      <c r="D86" s="140">
        <v>66</v>
      </c>
      <c r="E86" s="140" t="s">
        <v>1508</v>
      </c>
      <c r="F86" s="140" t="s">
        <v>1508</v>
      </c>
      <c r="G86" s="140" t="s">
        <v>449</v>
      </c>
      <c r="H86" s="140"/>
      <c r="I86" s="140"/>
      <c r="J86" s="310" t="s">
        <v>1509</v>
      </c>
      <c r="K86" s="310">
        <v>480</v>
      </c>
      <c r="L86" s="310">
        <v>538</v>
      </c>
      <c r="M86" s="140">
        <v>480</v>
      </c>
      <c r="N86" s="140" t="s">
        <v>1510</v>
      </c>
      <c r="O86" s="140" t="s">
        <v>449</v>
      </c>
      <c r="P86" s="140" t="s">
        <v>1511</v>
      </c>
      <c r="Q86" s="140"/>
      <c r="R86" s="140"/>
      <c r="S86" s="140"/>
      <c r="T86" s="140"/>
      <c r="U86" s="140"/>
      <c r="V86" s="140"/>
      <c r="W86" s="140"/>
      <c r="X86" s="140"/>
    </row>
    <row r="87" spans="1:24">
      <c r="A87" s="140" t="s">
        <v>1290</v>
      </c>
      <c r="B87" s="140" t="s">
        <v>1512</v>
      </c>
      <c r="C87" s="638"/>
      <c r="D87" s="140">
        <v>500</v>
      </c>
      <c r="E87" s="140" t="s">
        <v>1513</v>
      </c>
      <c r="F87" s="140" t="s">
        <v>1514</v>
      </c>
      <c r="G87" s="140" t="s">
        <v>448</v>
      </c>
      <c r="H87" s="140"/>
      <c r="I87" s="140"/>
      <c r="J87" s="310" t="s">
        <v>1515</v>
      </c>
      <c r="K87" s="310">
        <v>46</v>
      </c>
      <c r="L87" s="310" t="s">
        <v>1516</v>
      </c>
      <c r="M87" s="140">
        <v>46</v>
      </c>
      <c r="N87" s="140" t="s">
        <v>1517</v>
      </c>
      <c r="O87" s="140" t="s">
        <v>449</v>
      </c>
      <c r="P87" s="140" t="s">
        <v>1518</v>
      </c>
      <c r="Q87" s="140"/>
      <c r="R87" s="140"/>
      <c r="S87" s="140"/>
      <c r="T87" s="635" t="s">
        <v>1519</v>
      </c>
      <c r="U87" s="635"/>
      <c r="V87" s="635"/>
      <c r="W87" s="140"/>
      <c r="X87" s="140"/>
    </row>
    <row r="88" spans="1:24">
      <c r="A88" s="140" t="s">
        <v>6</v>
      </c>
      <c r="B88" s="140" t="s">
        <v>1520</v>
      </c>
      <c r="C88" s="638"/>
      <c r="D88" s="140">
        <v>740</v>
      </c>
      <c r="E88" s="140" t="s">
        <v>1521</v>
      </c>
      <c r="F88" s="140" t="s">
        <v>1521</v>
      </c>
      <c r="G88" s="140" t="s">
        <v>449</v>
      </c>
      <c r="H88" s="140"/>
      <c r="I88" s="140"/>
      <c r="J88" s="310" t="s">
        <v>1522</v>
      </c>
      <c r="K88" s="310" t="s">
        <v>1523</v>
      </c>
      <c r="L88" s="310" t="s">
        <v>1524</v>
      </c>
      <c r="M88" s="140" t="s">
        <v>1523</v>
      </c>
      <c r="N88" s="140" t="s">
        <v>1525</v>
      </c>
      <c r="O88" s="140" t="s">
        <v>449</v>
      </c>
      <c r="P88" s="140" t="s">
        <v>1526</v>
      </c>
      <c r="Q88" s="140"/>
      <c r="R88" s="140"/>
      <c r="S88" s="140"/>
      <c r="T88" s="635"/>
      <c r="U88" s="635"/>
      <c r="V88" s="635"/>
      <c r="W88" s="140"/>
      <c r="X88" s="140"/>
    </row>
    <row r="89" spans="1:24">
      <c r="A89" s="140" t="s">
        <v>1300</v>
      </c>
      <c r="B89" s="140" t="s">
        <v>1527</v>
      </c>
      <c r="C89" s="638"/>
      <c r="D89" s="140" t="s">
        <v>1438</v>
      </c>
      <c r="E89" s="140" t="s">
        <v>1439</v>
      </c>
      <c r="F89" s="140" t="s">
        <v>1439</v>
      </c>
      <c r="G89" s="140" t="s">
        <v>449</v>
      </c>
      <c r="H89" s="140"/>
      <c r="I89" s="140"/>
      <c r="J89" s="310" t="s">
        <v>1528</v>
      </c>
      <c r="K89" s="310" t="s">
        <v>1529</v>
      </c>
      <c r="L89" s="310">
        <v>2</v>
      </c>
      <c r="M89" s="140" t="s">
        <v>1529</v>
      </c>
      <c r="N89" s="140" t="s">
        <v>1530</v>
      </c>
      <c r="O89" s="140" t="s">
        <v>449</v>
      </c>
      <c r="P89" s="140" t="s">
        <v>1531</v>
      </c>
      <c r="Q89" s="140"/>
      <c r="R89" s="140"/>
      <c r="S89" s="140"/>
      <c r="T89" s="635"/>
      <c r="U89" s="635"/>
      <c r="V89" s="635"/>
      <c r="W89" s="140"/>
      <c r="X89" s="140"/>
    </row>
    <row r="90" spans="1:24">
      <c r="A90" s="140" t="s">
        <v>1296</v>
      </c>
      <c r="B90" s="140" t="s">
        <v>1532</v>
      </c>
      <c r="C90" s="638"/>
      <c r="D90" s="140">
        <v>3</v>
      </c>
      <c r="E90" s="140" t="s">
        <v>1375</v>
      </c>
      <c r="F90" s="140" t="s">
        <v>1375</v>
      </c>
      <c r="G90" s="140" t="s">
        <v>449</v>
      </c>
      <c r="H90" s="140"/>
      <c r="I90" s="140"/>
      <c r="J90" s="310" t="s">
        <v>1533</v>
      </c>
      <c r="K90" s="310" t="s">
        <v>1200</v>
      </c>
      <c r="L90" s="310" t="s">
        <v>1534</v>
      </c>
      <c r="M90" s="140" t="s">
        <v>1200</v>
      </c>
      <c r="N90" s="140" t="s">
        <v>1535</v>
      </c>
      <c r="O90" s="140" t="s">
        <v>449</v>
      </c>
      <c r="P90" s="140" t="s">
        <v>1536</v>
      </c>
      <c r="Q90" s="140"/>
      <c r="R90" s="140"/>
      <c r="S90" s="140"/>
      <c r="T90" s="635"/>
      <c r="U90" s="635"/>
      <c r="V90" s="635"/>
      <c r="W90" s="140"/>
      <c r="X90" s="140"/>
    </row>
    <row r="91" spans="1:24">
      <c r="A91" s="140" t="s">
        <v>1537</v>
      </c>
      <c r="B91" s="140" t="s">
        <v>1538</v>
      </c>
      <c r="C91" s="638"/>
      <c r="D91" s="140">
        <v>5</v>
      </c>
      <c r="E91" s="140" t="s">
        <v>1539</v>
      </c>
      <c r="F91" s="140" t="s">
        <v>1539</v>
      </c>
      <c r="G91" s="140" t="s">
        <v>449</v>
      </c>
      <c r="H91" s="140"/>
      <c r="I91" s="140"/>
      <c r="J91" s="310" t="s">
        <v>1540</v>
      </c>
      <c r="K91" s="310" t="s">
        <v>1149</v>
      </c>
      <c r="L91" s="310" t="s">
        <v>1513</v>
      </c>
      <c r="M91" s="140" t="s">
        <v>1149</v>
      </c>
      <c r="N91" s="140" t="s">
        <v>1541</v>
      </c>
      <c r="O91" s="144" t="s">
        <v>449</v>
      </c>
      <c r="P91" s="140" t="s">
        <v>1542</v>
      </c>
      <c r="Q91" s="144"/>
      <c r="R91" s="140"/>
      <c r="S91" s="140"/>
      <c r="T91" s="635"/>
      <c r="U91" s="635"/>
      <c r="V91" s="635"/>
      <c r="W91" s="140"/>
      <c r="X91" s="140"/>
    </row>
    <row r="92" spans="1:24">
      <c r="A92" s="140" t="s">
        <v>1543</v>
      </c>
      <c r="B92" s="140" t="s">
        <v>1544</v>
      </c>
      <c r="C92" s="638"/>
      <c r="D92" s="140">
        <v>350</v>
      </c>
      <c r="E92" s="140" t="s">
        <v>1398</v>
      </c>
      <c r="F92" s="140" t="s">
        <v>1398</v>
      </c>
      <c r="G92" s="140" t="s">
        <v>448</v>
      </c>
      <c r="H92" s="140"/>
      <c r="I92" s="140"/>
      <c r="J92" s="310" t="s">
        <v>1545</v>
      </c>
      <c r="K92" s="310" t="s">
        <v>1514</v>
      </c>
      <c r="L92" s="310" t="s">
        <v>1546</v>
      </c>
      <c r="M92" s="140" t="s">
        <v>1514</v>
      </c>
      <c r="N92" s="140" t="s">
        <v>1514</v>
      </c>
      <c r="O92" s="144" t="s">
        <v>449</v>
      </c>
      <c r="P92" s="140" t="s">
        <v>1547</v>
      </c>
      <c r="Q92" s="144"/>
      <c r="R92" s="140"/>
      <c r="S92" s="140"/>
      <c r="T92" s="635"/>
      <c r="U92" s="635"/>
      <c r="V92" s="635"/>
      <c r="W92" s="140"/>
      <c r="X92" s="140"/>
    </row>
    <row r="93" spans="1:24">
      <c r="A93" s="140" t="s">
        <v>1548</v>
      </c>
      <c r="B93" s="140" t="s">
        <v>1549</v>
      </c>
      <c r="C93" s="638"/>
      <c r="D93" s="140">
        <v>13</v>
      </c>
      <c r="E93" s="140" t="s">
        <v>1550</v>
      </c>
      <c r="F93" s="140" t="s">
        <v>1551</v>
      </c>
      <c r="G93" s="140" t="s">
        <v>448</v>
      </c>
      <c r="H93" s="140"/>
      <c r="I93" s="140"/>
      <c r="J93" s="310" t="s">
        <v>1552</v>
      </c>
      <c r="K93" s="310" t="s">
        <v>1553</v>
      </c>
      <c r="L93" s="310" t="s">
        <v>1554</v>
      </c>
      <c r="M93" s="140" t="s">
        <v>1553</v>
      </c>
      <c r="N93" s="140"/>
      <c r="O93" s="144"/>
      <c r="P93" s="144"/>
      <c r="Q93" s="144"/>
      <c r="R93" s="140"/>
      <c r="S93" s="140"/>
      <c r="T93" s="635"/>
      <c r="U93" s="635"/>
      <c r="V93" s="635"/>
      <c r="W93" s="140"/>
      <c r="X93" s="140"/>
    </row>
    <row r="94" spans="1:24">
      <c r="A94" s="300" t="s">
        <v>1555</v>
      </c>
      <c r="B94" s="300" t="s">
        <v>1556</v>
      </c>
      <c r="C94" s="641"/>
      <c r="D94" s="140">
        <v>100</v>
      </c>
      <c r="E94" s="140" t="s">
        <v>1557</v>
      </c>
      <c r="F94" s="140" t="s">
        <v>1557</v>
      </c>
      <c r="G94" s="140" t="s">
        <v>449</v>
      </c>
      <c r="H94" s="140"/>
      <c r="I94" s="140"/>
      <c r="J94" s="310" t="s">
        <v>1558</v>
      </c>
      <c r="K94" s="310" t="s">
        <v>1559</v>
      </c>
      <c r="L94" s="310" t="s">
        <v>1560</v>
      </c>
      <c r="M94" s="140" t="s">
        <v>1559</v>
      </c>
      <c r="N94" s="140"/>
      <c r="O94" s="144"/>
      <c r="P94" s="144"/>
      <c r="Q94" s="144"/>
      <c r="R94" s="140"/>
      <c r="S94" s="140"/>
      <c r="T94" s="635"/>
      <c r="U94" s="635"/>
      <c r="V94" s="635"/>
      <c r="W94" s="140"/>
      <c r="X94" s="140"/>
    </row>
    <row r="95" spans="1:24">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row>
    <row r="96" spans="1:24">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row>
    <row r="97" spans="1:24">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row>
    <row r="98" spans="1:24">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row>
    <row r="99" spans="1:24">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row>
    <row r="100" spans="1:24" ht="17.399999999999999">
      <c r="A100" s="306" t="s">
        <v>1561</v>
      </c>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row>
    <row r="101" spans="1:24">
      <c r="A101" s="29" t="s">
        <v>1562</v>
      </c>
      <c r="B101" s="29"/>
      <c r="C101" s="29"/>
      <c r="D101" s="29"/>
      <c r="E101" s="29"/>
      <c r="F101" s="29"/>
      <c r="G101" s="140"/>
      <c r="H101" s="140"/>
      <c r="I101" s="140"/>
      <c r="J101" s="140"/>
      <c r="K101" s="140"/>
      <c r="L101" s="140"/>
      <c r="M101" s="140"/>
      <c r="N101" s="140"/>
      <c r="O101" s="140"/>
      <c r="P101" s="140"/>
      <c r="Q101" s="140"/>
      <c r="R101" s="140"/>
      <c r="S101" s="140"/>
      <c r="T101" s="140"/>
      <c r="U101" s="140"/>
      <c r="V101" s="140"/>
      <c r="W101" s="140"/>
      <c r="X101" s="140"/>
    </row>
    <row r="102" spans="1:24">
      <c r="A102" s="29" t="s">
        <v>1563</v>
      </c>
      <c r="B102" s="29"/>
      <c r="C102" s="29"/>
      <c r="D102" s="29"/>
      <c r="E102" s="29"/>
      <c r="F102" s="29"/>
      <c r="G102" s="29"/>
      <c r="H102" s="29"/>
      <c r="I102" s="29"/>
      <c r="J102" s="29"/>
      <c r="K102" s="140"/>
      <c r="L102" s="140"/>
      <c r="M102" s="140"/>
      <c r="N102" s="140"/>
      <c r="O102" s="140"/>
      <c r="P102" s="140"/>
      <c r="Q102" s="140"/>
      <c r="R102" s="140"/>
      <c r="S102" s="140"/>
      <c r="T102" s="140"/>
      <c r="U102" s="140"/>
      <c r="V102" s="140"/>
      <c r="W102" s="140"/>
      <c r="X102" s="140"/>
    </row>
    <row r="103" spans="1:24">
      <c r="A103" s="29" t="s">
        <v>1564</v>
      </c>
      <c r="B103" s="29"/>
      <c r="C103" s="29"/>
      <c r="D103" s="29"/>
      <c r="E103" s="29"/>
      <c r="F103" s="29"/>
      <c r="G103" s="29"/>
      <c r="H103" s="29"/>
      <c r="I103" s="29"/>
      <c r="J103" s="140"/>
      <c r="K103" s="140"/>
      <c r="L103" s="140"/>
      <c r="M103" s="140"/>
      <c r="N103" s="140"/>
      <c r="O103" s="140"/>
      <c r="P103" s="140"/>
      <c r="Q103" s="140"/>
      <c r="R103" s="140"/>
      <c r="S103" s="140"/>
      <c r="T103" s="140"/>
      <c r="U103" s="140"/>
      <c r="V103" s="140"/>
      <c r="W103" s="140"/>
      <c r="X103" s="140"/>
    </row>
    <row r="104" spans="1:24">
      <c r="A104" s="29" t="s">
        <v>1565</v>
      </c>
      <c r="B104" s="29"/>
      <c r="C104" s="29"/>
      <c r="D104" s="29"/>
      <c r="E104" s="29"/>
      <c r="F104" s="29"/>
      <c r="G104" s="29"/>
      <c r="H104" s="29"/>
      <c r="I104" s="29"/>
      <c r="J104" s="29"/>
      <c r="K104" s="140"/>
      <c r="L104" s="140"/>
      <c r="M104" s="140"/>
      <c r="N104" s="140"/>
      <c r="O104" s="140"/>
      <c r="P104" s="140"/>
      <c r="Q104" s="140"/>
      <c r="R104" s="140"/>
      <c r="S104" s="140"/>
      <c r="T104" s="140"/>
      <c r="U104" s="140"/>
      <c r="V104" s="140"/>
      <c r="W104" s="140"/>
      <c r="X104" s="140"/>
    </row>
    <row r="105" spans="1:24">
      <c r="A105" s="29" t="s">
        <v>1566</v>
      </c>
      <c r="B105" s="29"/>
      <c r="C105" s="29"/>
      <c r="D105" s="140"/>
      <c r="E105" s="140"/>
      <c r="F105" s="140"/>
      <c r="G105" s="140"/>
      <c r="H105" s="140"/>
      <c r="I105" s="140"/>
      <c r="J105" s="140"/>
      <c r="K105" s="140"/>
      <c r="L105" s="140"/>
      <c r="M105" s="140"/>
      <c r="N105" s="140"/>
      <c r="O105" s="140"/>
      <c r="P105" s="140"/>
      <c r="Q105" s="140"/>
      <c r="R105" s="140"/>
      <c r="S105" s="140"/>
      <c r="T105" s="140"/>
      <c r="U105" s="140"/>
      <c r="V105" s="140"/>
      <c r="W105" s="140"/>
      <c r="X105" s="140"/>
    </row>
    <row r="106" spans="1:24">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row>
    <row r="107" spans="1:24">
      <c r="A107" s="312" t="s">
        <v>1567</v>
      </c>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row>
    <row r="108" spans="1:24">
      <c r="A108" s="29" t="s">
        <v>1568</v>
      </c>
      <c r="B108" s="29"/>
      <c r="C108" s="29"/>
      <c r="D108" s="29"/>
      <c r="E108" s="29"/>
      <c r="F108" s="29"/>
      <c r="G108" s="29"/>
      <c r="H108" s="140"/>
      <c r="I108" s="140"/>
      <c r="J108" s="140"/>
      <c r="K108" s="140"/>
      <c r="L108" s="140"/>
      <c r="M108" s="140"/>
      <c r="N108" s="140"/>
      <c r="O108" s="140"/>
      <c r="P108" s="140"/>
      <c r="Q108" s="140"/>
      <c r="R108" s="140"/>
      <c r="S108" s="140"/>
      <c r="T108" s="140"/>
      <c r="U108" s="140"/>
      <c r="V108" s="140"/>
      <c r="W108" s="140"/>
      <c r="X108" s="140"/>
    </row>
    <row r="109" spans="1:24">
      <c r="A109" s="29" t="s">
        <v>1569</v>
      </c>
      <c r="B109" s="29"/>
      <c r="C109" s="29"/>
      <c r="D109" s="29"/>
      <c r="E109" s="29"/>
      <c r="F109" s="29"/>
      <c r="G109" s="29"/>
      <c r="H109" s="140"/>
      <c r="I109" s="140"/>
      <c r="J109" s="140"/>
      <c r="K109" s="140"/>
      <c r="L109" s="140"/>
      <c r="M109" s="140"/>
      <c r="N109" s="140"/>
      <c r="O109" s="140"/>
      <c r="P109" s="140"/>
      <c r="Q109" s="140"/>
      <c r="R109" s="140"/>
      <c r="S109" s="140"/>
      <c r="T109" s="140"/>
      <c r="U109" s="140"/>
      <c r="V109" s="140"/>
      <c r="W109" s="140"/>
      <c r="X109" s="140"/>
    </row>
    <row r="110" spans="1:24">
      <c r="A110" s="29" t="s">
        <v>1570</v>
      </c>
      <c r="B110" s="29"/>
      <c r="C110" s="29"/>
      <c r="D110" s="29"/>
      <c r="E110" s="29"/>
      <c r="F110" s="29"/>
      <c r="G110" s="29"/>
      <c r="H110" s="29"/>
      <c r="I110" s="29"/>
      <c r="J110" s="29"/>
      <c r="K110" s="29"/>
      <c r="L110" s="29"/>
      <c r="M110" s="140"/>
      <c r="N110" s="140"/>
      <c r="O110" s="140"/>
      <c r="P110" s="140"/>
      <c r="Q110" s="140"/>
      <c r="R110" s="140"/>
      <c r="S110" s="140"/>
      <c r="T110" s="140"/>
      <c r="U110" s="140"/>
      <c r="V110" s="140"/>
      <c r="W110" s="140"/>
      <c r="X110" s="140"/>
    </row>
    <row r="111" spans="1:24">
      <c r="A111" s="29" t="s">
        <v>1571</v>
      </c>
      <c r="B111" s="29"/>
      <c r="C111" s="29"/>
      <c r="D111" s="29"/>
      <c r="E111" s="29"/>
      <c r="F111" s="29"/>
      <c r="G111" s="29"/>
      <c r="H111" s="29"/>
      <c r="I111" s="29"/>
      <c r="J111" s="29"/>
      <c r="K111" s="29"/>
      <c r="L111" s="140"/>
      <c r="M111" s="140"/>
      <c r="N111" s="140"/>
      <c r="O111" s="140"/>
      <c r="P111" s="140"/>
      <c r="Q111" s="140"/>
      <c r="R111" s="140"/>
      <c r="S111" s="140"/>
      <c r="T111" s="140"/>
      <c r="U111" s="140"/>
      <c r="V111" s="140"/>
      <c r="W111" s="140"/>
      <c r="X111" s="140"/>
    </row>
  </sheetData>
  <mergeCells count="12">
    <mergeCell ref="T87:V94"/>
    <mergeCell ref="N21:X48"/>
    <mergeCell ref="A52:C52"/>
    <mergeCell ref="C53:C59"/>
    <mergeCell ref="A60:C60"/>
    <mergeCell ref="C61:C63"/>
    <mergeCell ref="A64:C64"/>
    <mergeCell ref="C65:C74"/>
    <mergeCell ref="A75:C75"/>
    <mergeCell ref="C76:C84"/>
    <mergeCell ref="A85:C85"/>
    <mergeCell ref="C86:C94"/>
  </mergeCells>
  <hyperlinks>
    <hyperlink ref="E3" r:id="rId1" location="s0090" xr:uid="{8F0697B5-B405-4E66-9F8E-BF3F632BD26E}"/>
    <hyperlink ref="A49" r:id="rId2" location="sec2.1.2" xr:uid="{73E554D8-0E68-459B-BC55-16A16EF25311}"/>
    <hyperlink ref="J52" r:id="rId3" location="bib32" xr:uid="{70E2B876-A816-4E78-A4BF-CD11F3F3FD96}"/>
    <hyperlink ref="C53" r:id="rId4" location="bib25" xr:uid="{F06B2E73-5727-40E4-9E58-72A5A65E6EA5}"/>
    <hyperlink ref="C65" r:id="rId5" location="bib16" xr:uid="{225D5DF3-2CBD-419E-9E02-57ABF177B158}"/>
    <hyperlink ref="J77" r:id="rId6" xr:uid="{B9E2776E-3567-4277-AF34-39186F525BC0}"/>
    <hyperlink ref="C86" r:id="rId7" location="bib9" xr:uid="{2A8751A9-585B-4A58-9D4F-2693CC79B75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1128-C811-436A-8BDF-7F2B34C92F56}">
  <dimension ref="A2:R213"/>
  <sheetViews>
    <sheetView topLeftCell="C1" workbookViewId="0">
      <selection activeCell="D3" sqref="D3"/>
    </sheetView>
  </sheetViews>
  <sheetFormatPr defaultRowHeight="14.4"/>
  <cols>
    <col min="1" max="1" width="36.6640625" customWidth="1"/>
    <col min="2" max="2" width="20.33203125" customWidth="1"/>
    <col min="3" max="3" width="22.6640625" customWidth="1"/>
    <col min="4" max="4" width="13.44140625" customWidth="1"/>
    <col min="5" max="7" width="14.33203125" customWidth="1"/>
    <col min="8" max="8" width="9.5546875" customWidth="1"/>
    <col min="9" max="9" width="42" customWidth="1"/>
    <col min="10" max="10" width="20.6640625" customWidth="1"/>
    <col min="11" max="11" width="9.33203125" bestFit="1" customWidth="1"/>
  </cols>
  <sheetData>
    <row r="2" spans="1:14" ht="19.8">
      <c r="A2" s="33" t="s">
        <v>1572</v>
      </c>
    </row>
    <row r="3" spans="1:14">
      <c r="C3" s="3" t="s">
        <v>1573</v>
      </c>
      <c r="D3" s="32" t="s">
        <v>894</v>
      </c>
      <c r="E3" t="s">
        <v>1574</v>
      </c>
    </row>
    <row r="4" spans="1:14">
      <c r="I4" s="403" t="s">
        <v>440</v>
      </c>
    </row>
    <row r="5" spans="1:14">
      <c r="A5" s="3" t="s">
        <v>252</v>
      </c>
      <c r="E5" s="3" t="s">
        <v>441</v>
      </c>
      <c r="I5" s="3" t="s">
        <v>442</v>
      </c>
    </row>
    <row r="6" spans="1:14">
      <c r="A6" t="s">
        <v>194</v>
      </c>
      <c r="B6" t="s">
        <v>443</v>
      </c>
      <c r="C6" t="s">
        <v>444</v>
      </c>
      <c r="E6" t="s">
        <v>445</v>
      </c>
      <c r="F6" t="s">
        <v>443</v>
      </c>
      <c r="G6" t="s">
        <v>444</v>
      </c>
      <c r="I6" t="s">
        <v>446</v>
      </c>
      <c r="J6" t="s">
        <v>443</v>
      </c>
      <c r="K6" t="s">
        <v>444</v>
      </c>
    </row>
    <row r="7" spans="1:14">
      <c r="A7" s="611" t="s">
        <v>114</v>
      </c>
      <c r="B7" s="398">
        <f>17.83*3.6</f>
        <v>64.188000000000002</v>
      </c>
      <c r="C7" s="398" t="s">
        <v>448</v>
      </c>
      <c r="E7" s="147" t="s">
        <v>1575</v>
      </c>
      <c r="F7" s="140" t="s">
        <v>1576</v>
      </c>
      <c r="G7" s="140"/>
      <c r="I7" s="140" t="s">
        <v>1577</v>
      </c>
      <c r="J7" s="140">
        <v>22.57</v>
      </c>
      <c r="K7" s="140" t="s">
        <v>449</v>
      </c>
    </row>
    <row r="8" spans="1:14">
      <c r="A8" s="611" t="s">
        <v>115</v>
      </c>
      <c r="B8" s="398">
        <f>0.05*3.6</f>
        <v>0.18000000000000002</v>
      </c>
      <c r="C8" s="398" t="s">
        <v>448</v>
      </c>
      <c r="E8" s="140"/>
      <c r="F8" s="140"/>
      <c r="G8" s="140"/>
      <c r="I8" s="140" t="s">
        <v>1578</v>
      </c>
      <c r="J8" s="140">
        <v>2.27</v>
      </c>
      <c r="K8" s="140" t="s">
        <v>449</v>
      </c>
    </row>
    <row r="9" spans="1:14">
      <c r="A9" s="398" t="s">
        <v>1579</v>
      </c>
      <c r="B9" s="398">
        <f>0.12*3.6</f>
        <v>0.432</v>
      </c>
      <c r="C9" s="398" t="s">
        <v>448</v>
      </c>
      <c r="E9" s="140"/>
      <c r="F9" s="140"/>
      <c r="G9" s="140"/>
      <c r="I9" t="s">
        <v>1580</v>
      </c>
      <c r="J9">
        <v>9.3908125000000001E-4</v>
      </c>
      <c r="K9" s="140" t="s">
        <v>449</v>
      </c>
      <c r="L9" s="672" t="s">
        <v>1581</v>
      </c>
      <c r="M9" s="140"/>
      <c r="N9" s="140"/>
    </row>
    <row r="10" spans="1:14">
      <c r="A10" s="611" t="s">
        <v>1582</v>
      </c>
      <c r="B10" s="79">
        <f>0.0795*3.6</f>
        <v>0.28620000000000001</v>
      </c>
      <c r="C10" s="398" t="s">
        <v>448</v>
      </c>
      <c r="I10" t="s">
        <v>1583</v>
      </c>
      <c r="J10">
        <v>1.8390624999999999E-4</v>
      </c>
      <c r="K10" s="140" t="s">
        <v>449</v>
      </c>
      <c r="L10" s="672"/>
    </row>
    <row r="11" spans="1:14">
      <c r="I11" t="s">
        <v>1584</v>
      </c>
      <c r="J11">
        <v>2.3202499999999999E-4</v>
      </c>
      <c r="K11" s="140" t="s">
        <v>449</v>
      </c>
      <c r="L11" s="672"/>
    </row>
    <row r="12" spans="1:14">
      <c r="I12" t="s">
        <v>1585</v>
      </c>
      <c r="J12">
        <v>2.426125E-4</v>
      </c>
      <c r="K12" s="140" t="s">
        <v>449</v>
      </c>
      <c r="L12" s="672"/>
    </row>
    <row r="13" spans="1:14">
      <c r="I13" t="s">
        <v>1586</v>
      </c>
      <c r="J13">
        <v>4.4093749999999998E-5</v>
      </c>
      <c r="K13" s="140" t="s">
        <v>449</v>
      </c>
      <c r="L13" s="672"/>
    </row>
    <row r="14" spans="1:14" ht="15" customHeight="1">
      <c r="E14" s="645" t="s">
        <v>1587</v>
      </c>
      <c r="F14" s="645"/>
      <c r="G14" s="645"/>
      <c r="I14" t="s">
        <v>1588</v>
      </c>
      <c r="J14">
        <v>2.28125E-6</v>
      </c>
      <c r="K14" s="140" t="s">
        <v>449</v>
      </c>
      <c r="L14" s="672"/>
    </row>
    <row r="15" spans="1:14">
      <c r="E15" s="645"/>
      <c r="F15" s="645"/>
      <c r="G15" s="645"/>
      <c r="I15" t="s">
        <v>1589</v>
      </c>
      <c r="J15">
        <v>5.0937500000000002E-8</v>
      </c>
      <c r="K15" s="140" t="s">
        <v>449</v>
      </c>
      <c r="L15" s="672"/>
    </row>
    <row r="16" spans="1:14">
      <c r="E16" s="645"/>
      <c r="F16" s="645"/>
      <c r="G16" s="645"/>
      <c r="I16" t="s">
        <v>1590</v>
      </c>
      <c r="J16">
        <v>3.9406249999999999E-5</v>
      </c>
      <c r="K16" s="140" t="s">
        <v>449</v>
      </c>
      <c r="L16" s="672"/>
    </row>
    <row r="17" spans="5:12">
      <c r="E17" s="645"/>
      <c r="F17" s="645"/>
      <c r="G17" s="645"/>
      <c r="I17" t="s">
        <v>1591</v>
      </c>
      <c r="J17">
        <v>9.2499999999999993E-7</v>
      </c>
      <c r="K17" s="140" t="s">
        <v>449</v>
      </c>
      <c r="L17" s="672"/>
    </row>
    <row r="18" spans="5:12">
      <c r="E18" s="645"/>
      <c r="F18" s="645"/>
      <c r="G18" s="645"/>
      <c r="I18" t="s">
        <v>1592</v>
      </c>
      <c r="J18">
        <v>1.3187500000000001E-7</v>
      </c>
      <c r="K18" s="140" t="s">
        <v>449</v>
      </c>
      <c r="L18" s="672"/>
    </row>
    <row r="19" spans="5:12">
      <c r="I19" t="s">
        <v>1593</v>
      </c>
      <c r="J19">
        <v>3.6187499999999998E-7</v>
      </c>
      <c r="K19" s="140" t="s">
        <v>449</v>
      </c>
      <c r="L19" s="672"/>
    </row>
    <row r="20" spans="5:12">
      <c r="I20" t="s">
        <v>1594</v>
      </c>
      <c r="J20">
        <v>7.1249999999999993E-8</v>
      </c>
      <c r="K20" s="140" t="s">
        <v>449</v>
      </c>
      <c r="L20" s="672"/>
    </row>
    <row r="21" spans="5:12">
      <c r="I21" t="s">
        <v>1595</v>
      </c>
      <c r="J21">
        <v>1.26875E-7</v>
      </c>
      <c r="K21" s="140" t="s">
        <v>449</v>
      </c>
      <c r="L21" s="672"/>
    </row>
    <row r="22" spans="5:12">
      <c r="I22" t="s">
        <v>1596</v>
      </c>
      <c r="J22">
        <v>2.4374999999999998E-8</v>
      </c>
      <c r="K22" s="140" t="s">
        <v>449</v>
      </c>
      <c r="L22" s="672"/>
    </row>
    <row r="23" spans="5:12">
      <c r="I23" s="140" t="s">
        <v>1597</v>
      </c>
      <c r="J23" s="140">
        <v>1.76</v>
      </c>
      <c r="K23" s="140" t="s">
        <v>449</v>
      </c>
    </row>
    <row r="24" spans="5:12">
      <c r="I24" t="s">
        <v>1598</v>
      </c>
      <c r="J24">
        <v>0.56999999999999995</v>
      </c>
      <c r="K24" s="140" t="s">
        <v>449</v>
      </c>
    </row>
    <row r="25" spans="5:12">
      <c r="I25" t="s">
        <v>1599</v>
      </c>
      <c r="J25">
        <v>4.93</v>
      </c>
      <c r="K25" s="140" t="s">
        <v>449</v>
      </c>
    </row>
    <row r="26" spans="5:12">
      <c r="I26" t="s">
        <v>1600</v>
      </c>
      <c r="J26">
        <v>1.8500000000000001E-3</v>
      </c>
      <c r="K26" s="140" t="s">
        <v>449</v>
      </c>
    </row>
    <row r="27" spans="5:12">
      <c r="I27" t="s">
        <v>1601</v>
      </c>
      <c r="J27">
        <v>1E-3</v>
      </c>
      <c r="K27" s="140" t="s">
        <v>449</v>
      </c>
    </row>
    <row r="28" spans="5:12">
      <c r="I28" t="s">
        <v>1602</v>
      </c>
      <c r="J28">
        <v>0.72299999999999998</v>
      </c>
      <c r="K28" s="140" t="s">
        <v>449</v>
      </c>
    </row>
    <row r="30" spans="5:12">
      <c r="I30" s="3"/>
    </row>
    <row r="31" spans="5:12">
      <c r="I31" s="141" t="s">
        <v>466</v>
      </c>
      <c r="K31" s="140" t="s">
        <v>467</v>
      </c>
    </row>
    <row r="32" spans="5:12">
      <c r="I32" s="140" t="s">
        <v>469</v>
      </c>
      <c r="J32" s="140" t="s">
        <v>1342</v>
      </c>
      <c r="K32">
        <v>1.7</v>
      </c>
    </row>
    <row r="33" spans="1:11">
      <c r="I33" s="140" t="s">
        <v>469</v>
      </c>
      <c r="J33" s="140" t="s">
        <v>927</v>
      </c>
      <c r="K33">
        <v>3.4</v>
      </c>
    </row>
    <row r="34" spans="1:11">
      <c r="I34" t="s">
        <v>930</v>
      </c>
      <c r="K34">
        <f>SUM(K32:K33)</f>
        <v>5.0999999999999996</v>
      </c>
    </row>
    <row r="36" spans="1:11">
      <c r="I36" s="3" t="s">
        <v>479</v>
      </c>
      <c r="J36">
        <f>J37*(K34/100)</f>
        <v>0.4280804748</v>
      </c>
      <c r="K36" t="s">
        <v>480</v>
      </c>
    </row>
    <row r="37" spans="1:11">
      <c r="I37" s="3" t="s">
        <v>481</v>
      </c>
      <c r="J37">
        <v>8.3937348000000007</v>
      </c>
      <c r="K37" t="s">
        <v>480</v>
      </c>
    </row>
    <row r="38" spans="1:11">
      <c r="A38" s="403" t="s">
        <v>440</v>
      </c>
    </row>
    <row r="39" spans="1:11" s="403" customFormat="1" ht="17.399999999999999">
      <c r="A39" s="402" t="s">
        <v>1603</v>
      </c>
    </row>
    <row r="40" spans="1:11" s="403" customFormat="1" ht="15" thickTop="1">
      <c r="A40" s="403" t="s">
        <v>1604</v>
      </c>
    </row>
    <row r="41" spans="1:11" s="403" customFormat="1"/>
    <row r="42" spans="1:11" s="403" customFormat="1" ht="15" thickBot="1">
      <c r="A42" s="516" t="s">
        <v>1605</v>
      </c>
    </row>
    <row r="43" spans="1:11" s="403" customFormat="1">
      <c r="A43" s="403" t="s">
        <v>1606</v>
      </c>
    </row>
    <row r="44" spans="1:11" s="403" customFormat="1" ht="46.2" customHeight="1">
      <c r="A44" s="649" t="s">
        <v>1607</v>
      </c>
      <c r="B44" s="649"/>
      <c r="C44" s="649"/>
    </row>
    <row r="45" spans="1:11" s="403" customFormat="1">
      <c r="A45" s="517" t="s">
        <v>1608</v>
      </c>
      <c r="B45" s="517"/>
      <c r="C45" s="517"/>
    </row>
    <row r="46" spans="1:11" s="403" customFormat="1">
      <c r="A46" s="517"/>
      <c r="B46" s="517"/>
      <c r="C46" s="517"/>
    </row>
    <row r="47" spans="1:11" s="403" customFormat="1">
      <c r="A47" s="517"/>
      <c r="B47" s="517"/>
      <c r="C47" s="517"/>
    </row>
    <row r="48" spans="1:11" s="403" customFormat="1" ht="15" thickBot="1">
      <c r="A48" s="518" t="s">
        <v>1609</v>
      </c>
      <c r="B48" s="517"/>
      <c r="C48" s="517"/>
    </row>
    <row r="49" spans="1:12" s="403" customFormat="1">
      <c r="A49" s="517"/>
      <c r="B49" s="517"/>
      <c r="C49" s="517"/>
    </row>
    <row r="50" spans="1:12" s="403" customFormat="1">
      <c r="B50" s="519" t="s">
        <v>916</v>
      </c>
      <c r="C50" s="519" t="s">
        <v>918</v>
      </c>
      <c r="D50" s="519" t="s">
        <v>914</v>
      </c>
      <c r="E50" s="519" t="s">
        <v>906</v>
      </c>
      <c r="F50" s="519" t="s">
        <v>909</v>
      </c>
      <c r="G50" s="519" t="s">
        <v>911</v>
      </c>
      <c r="H50" s="519" t="s">
        <v>1610</v>
      </c>
      <c r="I50" s="519" t="s">
        <v>1611</v>
      </c>
      <c r="J50" s="519" t="s">
        <v>1612</v>
      </c>
      <c r="K50" s="519" t="s">
        <v>1613</v>
      </c>
    </row>
    <row r="51" spans="1:12" s="403" customFormat="1">
      <c r="A51" s="520" t="s">
        <v>1614</v>
      </c>
      <c r="B51" s="521">
        <v>1000</v>
      </c>
      <c r="C51" s="521">
        <v>1000</v>
      </c>
      <c r="D51" s="521">
        <v>1000</v>
      </c>
      <c r="E51" s="521">
        <v>1000</v>
      </c>
      <c r="F51" s="521">
        <v>1000</v>
      </c>
      <c r="G51" s="521">
        <v>1000</v>
      </c>
      <c r="H51" s="521">
        <v>1000</v>
      </c>
      <c r="I51" s="521">
        <v>1000</v>
      </c>
      <c r="J51" s="521"/>
      <c r="K51" s="521" t="s">
        <v>1615</v>
      </c>
      <c r="L51" s="403" t="s">
        <v>1616</v>
      </c>
    </row>
    <row r="52" spans="1:12" s="403" customFormat="1">
      <c r="A52" s="520" t="s">
        <v>1617</v>
      </c>
      <c r="B52" s="521">
        <v>4.8065483842000001</v>
      </c>
      <c r="C52" s="521">
        <v>21.505317375000001</v>
      </c>
      <c r="D52" s="521">
        <v>17.391698048999999</v>
      </c>
      <c r="E52" s="521">
        <v>98.729765123999996</v>
      </c>
      <c r="F52" s="521">
        <v>97.501752687000007</v>
      </c>
      <c r="G52" s="521">
        <v>1.8980136603000001E-3</v>
      </c>
      <c r="H52" s="521">
        <v>43.703563808200002</v>
      </c>
      <c r="I52" s="521">
        <v>196.23341582466031</v>
      </c>
      <c r="J52" s="521">
        <f>H52+I52</f>
        <v>239.9369796328603</v>
      </c>
      <c r="K52" s="521" t="s">
        <v>1615</v>
      </c>
    </row>
    <row r="53" spans="1:12" s="403" customFormat="1">
      <c r="A53" s="520" t="s">
        <v>1618</v>
      </c>
      <c r="B53" s="521">
        <v>0.43651714268203601</v>
      </c>
      <c r="C53" s="521">
        <v>2.048235879996203</v>
      </c>
      <c r="D53" s="521">
        <v>1.6342399380027739</v>
      </c>
      <c r="E53" s="521">
        <v>11.268248349710319</v>
      </c>
      <c r="F53" s="521">
        <v>26.767045349084391</v>
      </c>
      <c r="G53" s="521">
        <v>3.6561733494781861E-4</v>
      </c>
      <c r="H53" s="521">
        <v>4.1100376188587111</v>
      </c>
      <c r="I53" s="521">
        <v>30.33950695070952</v>
      </c>
      <c r="J53" s="521">
        <v>32.826385432265475</v>
      </c>
      <c r="K53" s="521" t="s">
        <v>1615</v>
      </c>
    </row>
    <row r="54" spans="1:12" s="403" customFormat="1">
      <c r="A54" s="520" t="s">
        <v>1619</v>
      </c>
      <c r="B54" s="521">
        <v>3.7237239</v>
      </c>
      <c r="C54" s="521">
        <v>16.333314999999999</v>
      </c>
      <c r="D54" s="521">
        <v>13.201200999999999</v>
      </c>
      <c r="E54" s="521">
        <v>67.820800000000006</v>
      </c>
      <c r="F54" s="521">
        <v>41.273220000000002</v>
      </c>
      <c r="G54" s="521">
        <v>1.0762425E-3</v>
      </c>
      <c r="H54" s="521">
        <v>33.2582399</v>
      </c>
      <c r="I54" s="521">
        <v>117.9983450461</v>
      </c>
      <c r="J54" s="521">
        <f>H54+I54</f>
        <v>151.25658494609999</v>
      </c>
      <c r="K54" s="521" t="s">
        <v>1615</v>
      </c>
    </row>
    <row r="55" spans="1:12" s="403" customFormat="1">
      <c r="A55" s="520" t="s">
        <v>1620</v>
      </c>
      <c r="B55" s="521">
        <v>4.5009997999999998</v>
      </c>
      <c r="C55" s="521">
        <v>20.0699665</v>
      </c>
      <c r="D55" s="521">
        <v>16.248105750000001</v>
      </c>
      <c r="E55" s="521">
        <v>91.214474749999994</v>
      </c>
      <c r="F55" s="521">
        <v>77.151686999999995</v>
      </c>
      <c r="G55" s="521">
        <v>1.6440976E-3</v>
      </c>
      <c r="H55" s="521">
        <v>40.853295449999997</v>
      </c>
      <c r="I55" s="521">
        <v>174.50805349927501</v>
      </c>
      <c r="J55" s="521">
        <f>H55+I55</f>
        <v>215.361348949275</v>
      </c>
      <c r="K55" s="521" t="s">
        <v>1615</v>
      </c>
    </row>
    <row r="56" spans="1:12" s="403" customFormat="1">
      <c r="A56" s="520" t="s">
        <v>1621</v>
      </c>
      <c r="B56" s="521">
        <v>4.7900923500000001</v>
      </c>
      <c r="C56" s="521">
        <v>21.411039500000001</v>
      </c>
      <c r="D56" s="521">
        <v>17.350330499999998</v>
      </c>
      <c r="E56" s="521">
        <v>97.440691999999999</v>
      </c>
      <c r="F56" s="521">
        <v>95.095008000000007</v>
      </c>
      <c r="G56" s="521">
        <v>1.8426905000000001E-3</v>
      </c>
      <c r="H56" s="521">
        <v>43.556774050000001</v>
      </c>
      <c r="I56" s="521">
        <v>193.80249736075001</v>
      </c>
      <c r="J56" s="521">
        <f>H56+I56</f>
        <v>237.35927141075001</v>
      </c>
      <c r="K56" s="521" t="s">
        <v>1615</v>
      </c>
    </row>
    <row r="57" spans="1:12" s="403" customFormat="1">
      <c r="A57" s="520" t="s">
        <v>1622</v>
      </c>
      <c r="B57" s="521">
        <v>5.0937178249999997</v>
      </c>
      <c r="C57" s="521">
        <v>22.848428250000001</v>
      </c>
      <c r="D57" s="521">
        <v>18.484627</v>
      </c>
      <c r="E57" s="521">
        <v>105.821895</v>
      </c>
      <c r="F57" s="521">
        <v>111.7921175</v>
      </c>
      <c r="G57" s="521">
        <v>2.11006085E-3</v>
      </c>
      <c r="H57" s="521">
        <v>46.401816049999987</v>
      </c>
      <c r="I57" s="521">
        <v>213.63839421340001</v>
      </c>
      <c r="J57" s="521">
        <f>H57+I57</f>
        <v>260.04021026340001</v>
      </c>
      <c r="K57" s="521" t="s">
        <v>1615</v>
      </c>
    </row>
    <row r="58" spans="1:12" s="403" customFormat="1">
      <c r="A58" s="520" t="s">
        <v>1623</v>
      </c>
      <c r="B58" s="521">
        <v>6.4462845999999994</v>
      </c>
      <c r="C58" s="521">
        <v>29.145159</v>
      </c>
      <c r="D58" s="521">
        <v>23.448008000000002</v>
      </c>
      <c r="E58" s="521">
        <v>145.08539999999999</v>
      </c>
      <c r="F58" s="521">
        <v>221.11760000000001</v>
      </c>
      <c r="G58" s="521">
        <v>3.5191237000000001E-3</v>
      </c>
      <c r="H58" s="521">
        <v>58.9526872</v>
      </c>
      <c r="I58" s="521">
        <v>326.07946918919998</v>
      </c>
      <c r="J58" s="521">
        <f>H58+I58</f>
        <v>385.0321563892</v>
      </c>
      <c r="K58" s="521" t="s">
        <v>1615</v>
      </c>
    </row>
    <row r="59" spans="1:12" s="403" customFormat="1">
      <c r="A59" s="522" t="s">
        <v>1614</v>
      </c>
      <c r="B59" s="523">
        <v>1000</v>
      </c>
      <c r="C59" s="523">
        <v>1000</v>
      </c>
      <c r="D59" s="523">
        <v>1000</v>
      </c>
      <c r="E59" s="523">
        <v>1000</v>
      </c>
      <c r="F59" s="523">
        <v>1000</v>
      </c>
      <c r="G59" s="523">
        <v>1000</v>
      </c>
      <c r="H59" s="523">
        <v>1000</v>
      </c>
      <c r="I59" s="523">
        <v>1000</v>
      </c>
      <c r="J59" s="523"/>
      <c r="K59" s="523" t="s">
        <v>1624</v>
      </c>
      <c r="L59" s="403" t="s">
        <v>1625</v>
      </c>
    </row>
    <row r="60" spans="1:12" s="403" customFormat="1">
      <c r="A60" s="522" t="s">
        <v>1617</v>
      </c>
      <c r="B60" s="523">
        <v>4.5568543305999999E-2</v>
      </c>
      <c r="C60" s="523">
        <v>91.155692432999999</v>
      </c>
      <c r="D60" s="523">
        <v>0.130436840517</v>
      </c>
      <c r="E60" s="523">
        <v>9.4155658813999992</v>
      </c>
      <c r="F60" s="523">
        <v>0.45718754135</v>
      </c>
      <c r="G60" s="523">
        <v>5.6816716288000003E-4</v>
      </c>
      <c r="H60" s="523">
        <v>91.331697816822995</v>
      </c>
      <c r="I60" s="523">
        <v>9.8733215899128801</v>
      </c>
      <c r="J60" s="523">
        <f>$H$46+$I$46</f>
        <v>0</v>
      </c>
      <c r="K60" s="523" t="s">
        <v>1624</v>
      </c>
    </row>
    <row r="61" spans="1:12" s="403" customFormat="1">
      <c r="A61" s="522" t="s">
        <v>1618</v>
      </c>
      <c r="B61" s="523">
        <v>5.2288357715307302E-3</v>
      </c>
      <c r="C61" s="523">
        <v>3.1539161477760223E-2</v>
      </c>
      <c r="D61" s="523">
        <v>3.1196264841710279E-2</v>
      </c>
      <c r="E61" s="523">
        <v>0.70653788251939964</v>
      </c>
      <c r="F61" s="523">
        <v>0.13822382524020399</v>
      </c>
      <c r="G61" s="523">
        <v>1.8111736080428489E-4</v>
      </c>
      <c r="H61" s="523">
        <v>5.4070262584909823E-2</v>
      </c>
      <c r="I61" s="523">
        <v>0.7391069360711543</v>
      </c>
      <c r="J61" s="523">
        <f>((H61^2)+(I61^2))^0.5</f>
        <v>0.74108208468731085</v>
      </c>
      <c r="K61" s="523" t="s">
        <v>1624</v>
      </c>
    </row>
    <row r="62" spans="1:12" s="403" customFormat="1">
      <c r="A62" s="522" t="s">
        <v>1619</v>
      </c>
      <c r="B62" s="523">
        <v>3.3609868000000001E-2</v>
      </c>
      <c r="C62" s="523">
        <v>91.067132999999998</v>
      </c>
      <c r="D62" s="523">
        <v>7.2177627999999994E-2</v>
      </c>
      <c r="E62" s="523">
        <v>7.3229654000000011</v>
      </c>
      <c r="F62" s="523">
        <v>0.17255618</v>
      </c>
      <c r="G62" s="523">
        <v>2.3168203E-4</v>
      </c>
      <c r="H62" s="523">
        <v>91.187614144000008</v>
      </c>
      <c r="I62" s="523">
        <v>7.592500707040001</v>
      </c>
      <c r="J62" s="523">
        <f>H62+I62</f>
        <v>98.780114851040011</v>
      </c>
      <c r="K62" s="523" t="s">
        <v>1624</v>
      </c>
    </row>
    <row r="63" spans="1:12" s="403" customFormat="1">
      <c r="A63" s="522" t="s">
        <v>1620</v>
      </c>
      <c r="B63" s="523">
        <v>4.2002557750000002E-2</v>
      </c>
      <c r="C63" s="523">
        <v>91.133006499999993</v>
      </c>
      <c r="D63" s="523">
        <v>0.1106940475</v>
      </c>
      <c r="E63" s="523">
        <v>8.8963661000000016</v>
      </c>
      <c r="F63" s="523">
        <v>0.36185436500000001</v>
      </c>
      <c r="G63" s="523">
        <v>4.4232947749999998E-4</v>
      </c>
      <c r="H63" s="523">
        <v>91.295268968249999</v>
      </c>
      <c r="I63" s="523">
        <v>9.3261856771525</v>
      </c>
      <c r="J63" s="523">
        <f>H63+I63</f>
        <v>100.62145464540249</v>
      </c>
      <c r="K63" s="523" t="s">
        <v>1624</v>
      </c>
    </row>
    <row r="64" spans="1:12" s="403" customFormat="1">
      <c r="A64" s="522" t="s">
        <v>1621</v>
      </c>
      <c r="B64" s="523">
        <v>4.5031890999999998E-2</v>
      </c>
      <c r="C64" s="523">
        <v>91.153192500000003</v>
      </c>
      <c r="D64" s="523">
        <v>0.124022125</v>
      </c>
      <c r="E64" s="523">
        <v>9.39831605</v>
      </c>
      <c r="F64" s="523">
        <v>0.43654819499999997</v>
      </c>
      <c r="G64" s="523">
        <v>5.3734285999999993E-4</v>
      </c>
      <c r="H64" s="523">
        <v>91.326284539500008</v>
      </c>
      <c r="I64" s="523">
        <v>9.8418170308249984</v>
      </c>
      <c r="J64" s="523">
        <f>H64+I64</f>
        <v>101.16810157032501</v>
      </c>
      <c r="K64" s="523" t="s">
        <v>1624</v>
      </c>
    </row>
    <row r="65" spans="1:11" s="403" customFormat="1">
      <c r="A65" s="522" t="s">
        <v>1622</v>
      </c>
      <c r="B65" s="523">
        <v>4.8239866749999999E-2</v>
      </c>
      <c r="C65" s="523">
        <v>91.176875999999993</v>
      </c>
      <c r="D65" s="523">
        <v>0.14366327000000001</v>
      </c>
      <c r="E65" s="523">
        <v>9.8550516249999998</v>
      </c>
      <c r="F65" s="523">
        <v>0.52780622250000009</v>
      </c>
      <c r="G65" s="523">
        <v>6.6973998000000002E-4</v>
      </c>
      <c r="H65" s="523">
        <v>91.361501357500003</v>
      </c>
      <c r="I65" s="523">
        <v>10.350544740765001</v>
      </c>
      <c r="J65" s="523">
        <f>H65+I65</f>
        <v>101.71204609826501</v>
      </c>
      <c r="K65" s="523" t="s">
        <v>1624</v>
      </c>
    </row>
    <row r="66" spans="1:11" s="403" customFormat="1">
      <c r="A66" s="524" t="s">
        <v>1623</v>
      </c>
      <c r="B66" s="523">
        <v>7.0177085E-2</v>
      </c>
      <c r="C66" s="523">
        <v>91.286917000000003</v>
      </c>
      <c r="D66" s="523">
        <v>0.38500812000000001</v>
      </c>
      <c r="E66" s="523">
        <v>12.009031999999999</v>
      </c>
      <c r="F66" s="523">
        <v>1.1917944</v>
      </c>
      <c r="G66" s="523">
        <v>1.8183155E-3</v>
      </c>
      <c r="H66" s="523">
        <v>91.646353957999992</v>
      </c>
      <c r="I66" s="523">
        <v>12.532000569899999</v>
      </c>
      <c r="J66" s="523">
        <f>H66+I66</f>
        <v>104.17835452789998</v>
      </c>
      <c r="K66" s="523" t="s">
        <v>1624</v>
      </c>
    </row>
    <row r="67" spans="1:11" s="403" customFormat="1"/>
    <row r="68" spans="1:11" s="403" customFormat="1"/>
    <row r="69" spans="1:11" s="403" customFormat="1" ht="15" thickBot="1">
      <c r="A69" s="516" t="s">
        <v>1626</v>
      </c>
    </row>
    <row r="70" spans="1:11" s="403" customFormat="1"/>
    <row r="71" spans="1:11" s="403" customFormat="1" ht="18">
      <c r="A71" s="495" t="s">
        <v>935</v>
      </c>
      <c r="B71" s="525" t="s">
        <v>936</v>
      </c>
      <c r="C71" s="526" t="s">
        <v>807</v>
      </c>
    </row>
    <row r="72" spans="1:11" s="403" customFormat="1">
      <c r="A72" s="527" t="s">
        <v>1627</v>
      </c>
      <c r="B72" s="528" t="s">
        <v>1628</v>
      </c>
      <c r="C72" s="529" t="s">
        <v>1629</v>
      </c>
    </row>
    <row r="73" spans="1:11" s="403" customFormat="1">
      <c r="A73" s="527"/>
      <c r="B73" s="527" t="s">
        <v>1630</v>
      </c>
      <c r="C73" s="530" t="s">
        <v>1631</v>
      </c>
    </row>
    <row r="74" spans="1:11" s="403" customFormat="1">
      <c r="A74" s="531" t="s">
        <v>945</v>
      </c>
      <c r="B74" s="531" t="s">
        <v>1632</v>
      </c>
      <c r="C74" s="532" t="s">
        <v>1633</v>
      </c>
    </row>
    <row r="75" spans="1:11" s="403" customFormat="1">
      <c r="A75" s="533"/>
      <c r="B75" s="531" t="s">
        <v>1634</v>
      </c>
      <c r="C75" s="532" t="s">
        <v>1635</v>
      </c>
    </row>
    <row r="76" spans="1:11" s="403" customFormat="1">
      <c r="A76" s="533"/>
      <c r="B76" s="531" t="s">
        <v>1636</v>
      </c>
      <c r="C76" s="532" t="s">
        <v>1637</v>
      </c>
    </row>
    <row r="77" spans="1:11" s="403" customFormat="1">
      <c r="A77" s="533"/>
      <c r="B77" s="531" t="s">
        <v>1638</v>
      </c>
      <c r="C77" s="532" t="s">
        <v>1639</v>
      </c>
    </row>
    <row r="78" spans="1:11" s="403" customFormat="1">
      <c r="A78" s="534" t="s">
        <v>1640</v>
      </c>
      <c r="B78" s="534" t="s">
        <v>1641</v>
      </c>
      <c r="C78" s="535" t="s">
        <v>1642</v>
      </c>
    </row>
    <row r="79" spans="1:11" s="403" customFormat="1">
      <c r="A79" s="536" t="s">
        <v>1643</v>
      </c>
      <c r="B79" s="536" t="s">
        <v>1644</v>
      </c>
      <c r="C79" s="537" t="s">
        <v>1645</v>
      </c>
    </row>
    <row r="80" spans="1:11" s="403" customFormat="1">
      <c r="A80" s="538"/>
      <c r="B80" s="536" t="s">
        <v>1646</v>
      </c>
      <c r="C80" s="537" t="s">
        <v>1647</v>
      </c>
    </row>
    <row r="81" spans="1:18" s="403" customFormat="1">
      <c r="A81" s="538"/>
      <c r="B81" s="536" t="s">
        <v>1648</v>
      </c>
      <c r="C81" s="537" t="s">
        <v>1649</v>
      </c>
    </row>
    <row r="82" spans="1:18" s="403" customFormat="1">
      <c r="A82" s="538"/>
      <c r="B82" s="536" t="s">
        <v>1650</v>
      </c>
      <c r="C82" s="537" t="s">
        <v>1651</v>
      </c>
    </row>
    <row r="83" spans="1:18" s="403" customFormat="1">
      <c r="A83" s="539" t="s">
        <v>955</v>
      </c>
      <c r="B83" s="539" t="s">
        <v>1652</v>
      </c>
      <c r="C83" s="540" t="s">
        <v>1653</v>
      </c>
    </row>
    <row r="84" spans="1:18" s="403" customFormat="1">
      <c r="A84" s="541" t="s">
        <v>1654</v>
      </c>
      <c r="B84" s="541" t="s">
        <v>1655</v>
      </c>
      <c r="C84" s="542" t="s">
        <v>1656</v>
      </c>
    </row>
    <row r="85" spans="1:18" s="403" customFormat="1">
      <c r="A85" s="543" t="s">
        <v>940</v>
      </c>
      <c r="B85" s="543" t="s">
        <v>1657</v>
      </c>
      <c r="C85" s="544" t="s">
        <v>1658</v>
      </c>
    </row>
    <row r="86" spans="1:18" s="403" customFormat="1">
      <c r="A86" s="508"/>
      <c r="B86" s="543" t="s">
        <v>1659</v>
      </c>
      <c r="C86" s="544" t="s">
        <v>1660</v>
      </c>
    </row>
    <row r="87" spans="1:18" s="403" customFormat="1">
      <c r="A87" s="545" t="s">
        <v>968</v>
      </c>
      <c r="B87" s="545" t="s">
        <v>1661</v>
      </c>
      <c r="C87" s="546" t="s">
        <v>1662</v>
      </c>
    </row>
    <row r="88" spans="1:18" s="403" customFormat="1"/>
    <row r="89" spans="1:18" s="403" customFormat="1"/>
    <row r="90" spans="1:18" s="403" customFormat="1" ht="15" thickBot="1">
      <c r="A90" s="516" t="s">
        <v>252</v>
      </c>
    </row>
    <row r="91" spans="1:18" s="403" customFormat="1"/>
    <row r="92" spans="1:18" s="403" customFormat="1" ht="19.8">
      <c r="A92" s="621" t="s">
        <v>1663</v>
      </c>
      <c r="B92" s="621"/>
      <c r="C92" s="621"/>
      <c r="D92" s="621"/>
      <c r="E92" s="621"/>
      <c r="F92" s="621"/>
      <c r="G92" s="621"/>
      <c r="H92" s="621"/>
      <c r="I92" s="621"/>
      <c r="J92" s="621"/>
      <c r="K92" s="621"/>
      <c r="L92" s="621"/>
      <c r="M92" s="621"/>
      <c r="N92" s="621"/>
      <c r="O92" s="621"/>
      <c r="P92" s="621"/>
      <c r="Q92" s="621"/>
      <c r="R92" s="621"/>
    </row>
    <row r="93" spans="1:18" s="403" customFormat="1" ht="19.8">
      <c r="A93" s="513"/>
      <c r="B93" s="513"/>
      <c r="C93" s="513"/>
      <c r="D93" s="513"/>
      <c r="E93" s="513"/>
      <c r="F93" s="513"/>
      <c r="G93" s="513"/>
      <c r="H93" s="513"/>
      <c r="I93" s="513"/>
      <c r="J93" s="513"/>
      <c r="K93" s="513"/>
      <c r="L93" s="513"/>
      <c r="M93" s="513"/>
      <c r="N93" s="513"/>
      <c r="O93" s="513"/>
      <c r="P93" s="513"/>
      <c r="Q93" s="513"/>
      <c r="R93" s="513"/>
    </row>
    <row r="94" spans="1:18" s="403" customFormat="1" ht="17.399999999999999">
      <c r="A94" s="402" t="s">
        <v>994</v>
      </c>
      <c r="B94" s="547"/>
      <c r="C94" s="547"/>
      <c r="D94" s="547"/>
      <c r="E94" s="547"/>
      <c r="F94" s="547"/>
      <c r="G94" s="547"/>
      <c r="H94" s="547"/>
      <c r="I94" s="547"/>
    </row>
    <row r="95" spans="1:18" s="403" customFormat="1" ht="15" thickTop="1">
      <c r="A95" s="547" t="s">
        <v>1664</v>
      </c>
      <c r="B95" s="548">
        <f>160/0.95</f>
        <v>168.42105263157896</v>
      </c>
      <c r="C95" s="547" t="s">
        <v>449</v>
      </c>
      <c r="D95" s="547"/>
      <c r="E95" s="547"/>
      <c r="F95" s="547" t="s">
        <v>1665</v>
      </c>
      <c r="G95" s="547" t="s">
        <v>1023</v>
      </c>
      <c r="H95" s="547"/>
      <c r="I95" s="547" t="s">
        <v>1666</v>
      </c>
    </row>
    <row r="96" spans="1:18" s="403" customFormat="1"/>
    <row r="97" spans="1:9" s="403" customFormat="1">
      <c r="A97" s="547" t="s">
        <v>1010</v>
      </c>
      <c r="B97" s="547"/>
      <c r="C97" s="547"/>
      <c r="D97" s="547"/>
      <c r="E97" s="547"/>
      <c r="F97" s="547"/>
      <c r="G97" s="547"/>
      <c r="H97" s="547"/>
      <c r="I97" s="547"/>
    </row>
    <row r="98" spans="1:9" s="403" customFormat="1"/>
    <row r="99" spans="1:9" s="403" customFormat="1" ht="17.399999999999999">
      <c r="A99" s="402" t="s">
        <v>1017</v>
      </c>
      <c r="B99" s="547"/>
      <c r="C99" s="549" t="s">
        <v>443</v>
      </c>
      <c r="D99" s="549" t="s">
        <v>495</v>
      </c>
      <c r="E99" s="547"/>
      <c r="F99" s="547"/>
      <c r="G99" s="547"/>
      <c r="H99" s="547"/>
      <c r="I99" s="549" t="s">
        <v>997</v>
      </c>
    </row>
    <row r="100" spans="1:9" s="403" customFormat="1" ht="15" thickTop="1">
      <c r="A100" s="547" t="s">
        <v>1022</v>
      </c>
      <c r="B100" s="547" t="s">
        <v>1667</v>
      </c>
      <c r="C100" s="547">
        <v>0.19800000000000001</v>
      </c>
      <c r="D100" s="547" t="s">
        <v>1024</v>
      </c>
      <c r="E100" s="547" t="s">
        <v>1668</v>
      </c>
      <c r="F100" s="547" t="s">
        <v>1023</v>
      </c>
      <c r="G100" s="547" t="s">
        <v>1023</v>
      </c>
      <c r="H100" s="547" t="s">
        <v>1023</v>
      </c>
      <c r="I100" s="547" t="s">
        <v>1669</v>
      </c>
    </row>
    <row r="101" spans="1:9" s="403" customFormat="1">
      <c r="A101" s="547" t="s">
        <v>1670</v>
      </c>
      <c r="B101" s="547" t="s">
        <v>1667</v>
      </c>
      <c r="C101" s="547">
        <v>3.96E-3</v>
      </c>
      <c r="D101" s="547" t="s">
        <v>1029</v>
      </c>
      <c r="E101" s="547" t="s">
        <v>1668</v>
      </c>
      <c r="F101" s="547" t="s">
        <v>1023</v>
      </c>
      <c r="G101" s="547" t="s">
        <v>1023</v>
      </c>
      <c r="H101" s="547" t="s">
        <v>1023</v>
      </c>
    </row>
    <row r="102" spans="1:9" s="403" customFormat="1">
      <c r="A102" s="547" t="s">
        <v>1028</v>
      </c>
      <c r="B102" s="547" t="s">
        <v>1667</v>
      </c>
      <c r="C102" s="547">
        <v>3.96E-3</v>
      </c>
      <c r="D102" s="547" t="s">
        <v>1029</v>
      </c>
      <c r="E102" s="547" t="s">
        <v>1668</v>
      </c>
      <c r="F102" s="547" t="s">
        <v>1023</v>
      </c>
      <c r="G102" s="547" t="s">
        <v>1023</v>
      </c>
      <c r="H102" s="547" t="s">
        <v>1023</v>
      </c>
      <c r="I102" s="547" t="s">
        <v>1023</v>
      </c>
    </row>
    <row r="103" spans="1:9" s="403" customFormat="1"/>
    <row r="104" spans="1:9" s="403" customFormat="1" ht="17.399999999999999">
      <c r="A104" s="402" t="s">
        <v>1033</v>
      </c>
      <c r="B104" s="549" t="s">
        <v>443</v>
      </c>
      <c r="C104" s="549" t="s">
        <v>495</v>
      </c>
      <c r="D104" s="549" t="s">
        <v>1671</v>
      </c>
      <c r="E104" s="549" t="s">
        <v>1672</v>
      </c>
      <c r="F104" s="547"/>
      <c r="G104" s="547"/>
      <c r="H104" s="549" t="s">
        <v>997</v>
      </c>
      <c r="I104" s="547"/>
    </row>
    <row r="105" spans="1:9" s="403" customFormat="1" ht="15" thickTop="1">
      <c r="A105" s="547" t="s">
        <v>1673</v>
      </c>
      <c r="B105" s="547" t="s">
        <v>1674</v>
      </c>
      <c r="C105" s="547" t="s">
        <v>449</v>
      </c>
      <c r="D105" s="547" t="s">
        <v>1668</v>
      </c>
      <c r="E105" s="547" t="s">
        <v>1023</v>
      </c>
      <c r="F105" s="547" t="s">
        <v>1023</v>
      </c>
      <c r="G105" s="547" t="s">
        <v>1023</v>
      </c>
      <c r="H105" s="547" t="s">
        <v>1675</v>
      </c>
      <c r="I105" s="547"/>
    </row>
    <row r="106" spans="1:9" s="403" customFormat="1">
      <c r="A106" s="547" t="s">
        <v>1676</v>
      </c>
      <c r="B106" s="547" t="s">
        <v>1677</v>
      </c>
      <c r="C106" s="547" t="s">
        <v>449</v>
      </c>
      <c r="D106" s="547" t="s">
        <v>1668</v>
      </c>
      <c r="E106" s="547" t="s">
        <v>1023</v>
      </c>
      <c r="F106" s="547" t="s">
        <v>1023</v>
      </c>
      <c r="G106" s="547" t="s">
        <v>1023</v>
      </c>
      <c r="H106" s="547" t="s">
        <v>1678</v>
      </c>
    </row>
    <row r="107" spans="1:9" s="403" customFormat="1">
      <c r="A107" s="547"/>
      <c r="B107" s="547"/>
      <c r="C107" s="547"/>
      <c r="D107" s="547"/>
      <c r="E107" s="547"/>
      <c r="F107" s="547"/>
      <c r="G107" s="547"/>
      <c r="H107" s="547" t="s">
        <v>1679</v>
      </c>
    </row>
    <row r="108" spans="1:9" s="403" customFormat="1">
      <c r="A108" s="547"/>
      <c r="B108" s="547"/>
      <c r="C108" s="547"/>
      <c r="D108" s="547"/>
      <c r="E108" s="547"/>
      <c r="F108" s="547"/>
      <c r="G108" s="547"/>
      <c r="H108" s="547" t="s">
        <v>1680</v>
      </c>
    </row>
    <row r="109" spans="1:9" s="403" customFormat="1">
      <c r="A109" s="547" t="s">
        <v>925</v>
      </c>
      <c r="B109" s="547">
        <v>24.04</v>
      </c>
      <c r="C109" s="547" t="s">
        <v>449</v>
      </c>
      <c r="D109" s="547" t="s">
        <v>1668</v>
      </c>
      <c r="E109" s="547" t="s">
        <v>1023</v>
      </c>
      <c r="F109" s="547" t="s">
        <v>1023</v>
      </c>
      <c r="G109" s="547" t="s">
        <v>1023</v>
      </c>
      <c r="H109" s="547" t="s">
        <v>1681</v>
      </c>
    </row>
    <row r="110" spans="1:9" s="403" customFormat="1">
      <c r="A110" s="547" t="s">
        <v>1682</v>
      </c>
      <c r="B110" s="547">
        <v>72.12</v>
      </c>
      <c r="C110" s="547" t="s">
        <v>449</v>
      </c>
      <c r="D110" s="547" t="s">
        <v>1668</v>
      </c>
      <c r="E110" s="547" t="s">
        <v>1023</v>
      </c>
      <c r="F110" s="547" t="s">
        <v>1023</v>
      </c>
      <c r="G110" s="547" t="s">
        <v>1023</v>
      </c>
      <c r="H110" s="547" t="s">
        <v>1683</v>
      </c>
    </row>
    <row r="111" spans="1:9" s="403" customFormat="1">
      <c r="A111" s="547" t="s">
        <v>1684</v>
      </c>
      <c r="B111" s="547" t="s">
        <v>1685</v>
      </c>
      <c r="C111" s="547" t="s">
        <v>1686</v>
      </c>
      <c r="D111" s="547" t="s">
        <v>1668</v>
      </c>
      <c r="E111" s="547" t="s">
        <v>1023</v>
      </c>
      <c r="F111" s="547" t="s">
        <v>1023</v>
      </c>
      <c r="G111" s="547" t="s">
        <v>1023</v>
      </c>
      <c r="H111" s="547" t="s">
        <v>1687</v>
      </c>
    </row>
    <row r="112" spans="1:9" s="403" customFormat="1">
      <c r="A112" s="547" t="s">
        <v>1688</v>
      </c>
      <c r="B112" s="547">
        <v>6.21</v>
      </c>
      <c r="C112" s="547" t="s">
        <v>449</v>
      </c>
      <c r="D112" s="547" t="s">
        <v>1689</v>
      </c>
      <c r="E112" s="547">
        <v>1.1100000000000001</v>
      </c>
      <c r="F112" s="547" t="s">
        <v>1023</v>
      </c>
      <c r="G112" s="547" t="s">
        <v>1023</v>
      </c>
      <c r="H112" s="547" t="s">
        <v>1690</v>
      </c>
    </row>
    <row r="113" spans="1:8" s="403" customFormat="1">
      <c r="A113" s="547" t="s">
        <v>1691</v>
      </c>
      <c r="B113" s="547">
        <v>1.0089999999999999</v>
      </c>
      <c r="C113" s="547" t="s">
        <v>449</v>
      </c>
      <c r="D113" s="547" t="s">
        <v>1689</v>
      </c>
      <c r="E113" s="547">
        <v>1.1100000000000001</v>
      </c>
      <c r="F113" s="547" t="s">
        <v>1023</v>
      </c>
      <c r="G113" s="547" t="s">
        <v>1023</v>
      </c>
      <c r="H113" s="547" t="s">
        <v>1023</v>
      </c>
    </row>
    <row r="114" spans="1:8" s="403" customFormat="1">
      <c r="A114" s="547" t="s">
        <v>1684</v>
      </c>
      <c r="B114" s="547" t="s">
        <v>1692</v>
      </c>
      <c r="C114" s="547" t="s">
        <v>1686</v>
      </c>
      <c r="D114" s="547" t="s">
        <v>1668</v>
      </c>
      <c r="E114" s="547" t="s">
        <v>1023</v>
      </c>
      <c r="F114" s="547" t="s">
        <v>1023</v>
      </c>
      <c r="G114" s="547" t="s">
        <v>1023</v>
      </c>
      <c r="H114" s="547" t="s">
        <v>1693</v>
      </c>
    </row>
    <row r="115" spans="1:8" s="403" customFormat="1">
      <c r="A115" s="547" t="s">
        <v>1694</v>
      </c>
      <c r="B115" s="547" t="s">
        <v>1695</v>
      </c>
      <c r="C115" s="547" t="s">
        <v>1686</v>
      </c>
      <c r="D115" s="547" t="s">
        <v>1668</v>
      </c>
      <c r="E115" s="547" t="s">
        <v>1023</v>
      </c>
      <c r="F115" s="547" t="s">
        <v>1023</v>
      </c>
      <c r="G115" s="547" t="s">
        <v>1023</v>
      </c>
      <c r="H115" s="547" t="s">
        <v>1696</v>
      </c>
    </row>
    <row r="116" spans="1:8" s="403" customFormat="1">
      <c r="A116" s="547" t="s">
        <v>1697</v>
      </c>
      <c r="B116" s="547">
        <v>5.94</v>
      </c>
      <c r="C116" s="547" t="s">
        <v>449</v>
      </c>
      <c r="D116" s="547" t="s">
        <v>1689</v>
      </c>
      <c r="E116" s="547">
        <v>1.52</v>
      </c>
      <c r="F116" s="547" t="s">
        <v>1023</v>
      </c>
      <c r="G116" s="547" t="s">
        <v>1023</v>
      </c>
      <c r="H116" s="547" t="s">
        <v>1698</v>
      </c>
    </row>
    <row r="117" spans="1:8" s="403" customFormat="1">
      <c r="A117" s="547" t="s">
        <v>1684</v>
      </c>
      <c r="B117" s="547" t="s">
        <v>1699</v>
      </c>
      <c r="C117" s="547" t="s">
        <v>1686</v>
      </c>
      <c r="D117" s="547" t="s">
        <v>1668</v>
      </c>
      <c r="E117" s="547" t="s">
        <v>1023</v>
      </c>
      <c r="F117" s="547" t="s">
        <v>1023</v>
      </c>
      <c r="G117" s="547" t="s">
        <v>1023</v>
      </c>
      <c r="H117" s="547" t="s">
        <v>1700</v>
      </c>
    </row>
    <row r="118" spans="1:8" s="403" customFormat="1">
      <c r="A118" s="547" t="s">
        <v>1694</v>
      </c>
      <c r="B118" s="547" t="s">
        <v>1701</v>
      </c>
      <c r="C118" s="547" t="s">
        <v>1686</v>
      </c>
      <c r="D118" s="547" t="s">
        <v>1668</v>
      </c>
      <c r="E118" s="547" t="s">
        <v>1023</v>
      </c>
      <c r="F118" s="547" t="s">
        <v>1023</v>
      </c>
      <c r="G118" s="547" t="s">
        <v>1023</v>
      </c>
      <c r="H118" s="547" t="s">
        <v>1702</v>
      </c>
    </row>
    <row r="119" spans="1:8" s="403" customFormat="1">
      <c r="A119" s="547" t="s">
        <v>1703</v>
      </c>
      <c r="B119" s="547">
        <v>4.71</v>
      </c>
      <c r="C119" s="547" t="s">
        <v>449</v>
      </c>
      <c r="D119" s="547" t="s">
        <v>1689</v>
      </c>
      <c r="E119" s="547">
        <v>1.1100000000000001</v>
      </c>
      <c r="F119" s="547" t="s">
        <v>1023</v>
      </c>
      <c r="G119" s="547" t="s">
        <v>1023</v>
      </c>
      <c r="H119" s="547" t="s">
        <v>1023</v>
      </c>
    </row>
    <row r="120" spans="1:8" s="403" customFormat="1">
      <c r="A120" s="547" t="s">
        <v>1704</v>
      </c>
      <c r="B120" s="547">
        <v>1.1200000000000001</v>
      </c>
      <c r="C120" s="547" t="s">
        <v>449</v>
      </c>
      <c r="D120" s="547" t="s">
        <v>1689</v>
      </c>
      <c r="E120" s="547">
        <v>1.1100000000000001</v>
      </c>
      <c r="F120" s="547" t="s">
        <v>1023</v>
      </c>
      <c r="G120" s="547" t="s">
        <v>1023</v>
      </c>
      <c r="H120" s="547" t="s">
        <v>1023</v>
      </c>
    </row>
    <row r="121" spans="1:8" s="403" customFormat="1">
      <c r="A121" s="547" t="s">
        <v>920</v>
      </c>
      <c r="B121" s="547">
        <v>5.8000000000000003E-2</v>
      </c>
      <c r="C121" s="547" t="s">
        <v>449</v>
      </c>
      <c r="D121" s="547" t="s">
        <v>1689</v>
      </c>
      <c r="E121" s="547">
        <v>1.1100000000000001</v>
      </c>
      <c r="F121" s="547" t="s">
        <v>1023</v>
      </c>
      <c r="G121" s="547" t="s">
        <v>1023</v>
      </c>
      <c r="H121" s="547" t="s">
        <v>1023</v>
      </c>
    </row>
    <row r="122" spans="1:8" s="403" customFormat="1">
      <c r="A122" s="547" t="s">
        <v>1705</v>
      </c>
      <c r="B122" s="547">
        <v>1.2999999999999999E-3</v>
      </c>
      <c r="C122" s="547" t="s">
        <v>449</v>
      </c>
      <c r="D122" s="547" t="s">
        <v>1689</v>
      </c>
      <c r="E122" s="547">
        <v>1.52</v>
      </c>
      <c r="F122" s="547" t="s">
        <v>1023</v>
      </c>
      <c r="G122" s="547" t="s">
        <v>1023</v>
      </c>
      <c r="H122" s="547" t="s">
        <v>1698</v>
      </c>
    </row>
    <row r="123" spans="1:8" s="403" customFormat="1">
      <c r="A123" s="547" t="s">
        <v>1706</v>
      </c>
      <c r="B123" s="547">
        <v>3.3999999999999998E-3</v>
      </c>
      <c r="C123" s="547" t="s">
        <v>449</v>
      </c>
      <c r="D123" s="547" t="s">
        <v>1689</v>
      </c>
      <c r="E123" s="547">
        <v>1.1100000000000001</v>
      </c>
      <c r="F123" s="547" t="s">
        <v>1023</v>
      </c>
      <c r="G123" s="547" t="s">
        <v>1023</v>
      </c>
      <c r="H123" s="547" t="s">
        <v>1023</v>
      </c>
    </row>
    <row r="124" spans="1:8" s="403" customFormat="1">
      <c r="A124" s="547" t="s">
        <v>1707</v>
      </c>
      <c r="B124" s="547">
        <v>9.2700000000000005E-3</v>
      </c>
      <c r="C124" s="547" t="s">
        <v>449</v>
      </c>
      <c r="D124" s="547" t="s">
        <v>1689</v>
      </c>
      <c r="E124" s="547">
        <v>1.1100000000000001</v>
      </c>
      <c r="F124" s="547" t="s">
        <v>1023</v>
      </c>
      <c r="G124" s="547" t="s">
        <v>1023</v>
      </c>
      <c r="H124" s="547" t="s">
        <v>1023</v>
      </c>
    </row>
    <row r="125" spans="1:8" s="403" customFormat="1">
      <c r="A125" s="547" t="s">
        <v>1708</v>
      </c>
      <c r="B125" s="547">
        <v>2.3699999999999999E-2</v>
      </c>
      <c r="C125" s="547" t="s">
        <v>449</v>
      </c>
      <c r="D125" s="547" t="s">
        <v>1689</v>
      </c>
      <c r="E125" s="547">
        <v>1.1100000000000001</v>
      </c>
      <c r="F125" s="547" t="s">
        <v>1023</v>
      </c>
      <c r="G125" s="547" t="s">
        <v>1023</v>
      </c>
      <c r="H125" s="547" t="s">
        <v>1023</v>
      </c>
    </row>
    <row r="126" spans="1:8" s="403" customFormat="1">
      <c r="A126" s="547" t="s">
        <v>1709</v>
      </c>
      <c r="B126" s="547">
        <v>6.2399999999999999E-4</v>
      </c>
      <c r="C126" s="547" t="s">
        <v>449</v>
      </c>
      <c r="D126" s="547" t="s">
        <v>1689</v>
      </c>
      <c r="E126" s="547">
        <v>1.1100000000000001</v>
      </c>
      <c r="F126" s="547" t="s">
        <v>1023</v>
      </c>
      <c r="G126" s="547" t="s">
        <v>1023</v>
      </c>
      <c r="H126" s="547" t="s">
        <v>1023</v>
      </c>
    </row>
    <row r="127" spans="1:8" s="403" customFormat="1">
      <c r="A127" s="547" t="s">
        <v>1710</v>
      </c>
      <c r="B127" s="547">
        <v>3.2399999999999998E-3</v>
      </c>
      <c r="C127" s="547" t="s">
        <v>449</v>
      </c>
      <c r="D127" s="547" t="s">
        <v>1689</v>
      </c>
      <c r="E127" s="547">
        <v>1.1100000000000001</v>
      </c>
      <c r="F127" s="547" t="s">
        <v>1023</v>
      </c>
      <c r="G127" s="547" t="s">
        <v>1023</v>
      </c>
      <c r="H127" s="547" t="s">
        <v>1023</v>
      </c>
    </row>
    <row r="128" spans="1:8" s="403" customFormat="1">
      <c r="A128" s="547" t="s">
        <v>1711</v>
      </c>
      <c r="B128" s="547">
        <v>1.83E-3</v>
      </c>
      <c r="C128" s="547" t="s">
        <v>449</v>
      </c>
      <c r="D128" s="547" t="s">
        <v>1689</v>
      </c>
      <c r="E128" s="547">
        <v>1.1100000000000001</v>
      </c>
      <c r="F128" s="547" t="s">
        <v>1023</v>
      </c>
      <c r="G128" s="547" t="s">
        <v>1023</v>
      </c>
      <c r="H128" s="547" t="s">
        <v>1023</v>
      </c>
    </row>
    <row r="129" spans="1:9" s="403" customFormat="1">
      <c r="A129" s="547" t="s">
        <v>1712</v>
      </c>
      <c r="B129" s="547" t="s">
        <v>1713</v>
      </c>
      <c r="C129" s="547" t="s">
        <v>1714</v>
      </c>
      <c r="D129" s="547" t="s">
        <v>1668</v>
      </c>
      <c r="E129" s="547" t="s">
        <v>1023</v>
      </c>
      <c r="F129" s="547" t="s">
        <v>1023</v>
      </c>
      <c r="G129" s="547" t="s">
        <v>1023</v>
      </c>
      <c r="H129" s="547" t="s">
        <v>1023</v>
      </c>
    </row>
    <row r="130" spans="1:9" s="403" customFormat="1">
      <c r="A130" s="547" t="s">
        <v>1715</v>
      </c>
      <c r="B130" s="547" t="s">
        <v>1716</v>
      </c>
      <c r="C130" s="547" t="s">
        <v>1714</v>
      </c>
      <c r="D130" s="547" t="s">
        <v>1668</v>
      </c>
      <c r="E130" s="547" t="s">
        <v>1023</v>
      </c>
      <c r="F130" s="547" t="s">
        <v>1023</v>
      </c>
      <c r="G130" s="547" t="s">
        <v>1023</v>
      </c>
      <c r="H130" s="547" t="s">
        <v>1023</v>
      </c>
    </row>
    <row r="131" spans="1:9" s="403" customFormat="1">
      <c r="A131" s="547" t="s">
        <v>1717</v>
      </c>
      <c r="B131" s="547">
        <v>6.0882799999999995E-4</v>
      </c>
      <c r="C131" s="547" t="s">
        <v>449</v>
      </c>
      <c r="D131" s="547" t="s">
        <v>1668</v>
      </c>
      <c r="E131" s="547" t="s">
        <v>1023</v>
      </c>
      <c r="F131" s="547" t="s">
        <v>1023</v>
      </c>
      <c r="G131" s="547" t="s">
        <v>1023</v>
      </c>
      <c r="H131" s="547" t="s">
        <v>1718</v>
      </c>
    </row>
    <row r="132" spans="1:9" s="403" customFormat="1">
      <c r="A132" s="547" t="s">
        <v>1676</v>
      </c>
      <c r="B132" s="547" t="s">
        <v>1719</v>
      </c>
      <c r="C132" s="547" t="s">
        <v>449</v>
      </c>
      <c r="D132" s="547" t="s">
        <v>1668</v>
      </c>
      <c r="E132" s="547" t="s">
        <v>1023</v>
      </c>
      <c r="F132" s="547" t="s">
        <v>1023</v>
      </c>
      <c r="G132" s="547" t="s">
        <v>1023</v>
      </c>
      <c r="H132" s="547" t="s">
        <v>1023</v>
      </c>
    </row>
    <row r="133" spans="1:9" s="403" customFormat="1"/>
    <row r="134" spans="1:9" s="403" customFormat="1" ht="17.399999999999999">
      <c r="A134" s="402" t="s">
        <v>1063</v>
      </c>
      <c r="B134" s="549" t="s">
        <v>443</v>
      </c>
      <c r="C134" s="549" t="s">
        <v>495</v>
      </c>
      <c r="D134" s="549" t="s">
        <v>1671</v>
      </c>
      <c r="E134" s="547"/>
      <c r="F134" s="547"/>
      <c r="G134" s="547"/>
      <c r="H134" s="547"/>
    </row>
    <row r="135" spans="1:9" s="403" customFormat="1" ht="15" thickTop="1">
      <c r="A135" s="547" t="s">
        <v>1720</v>
      </c>
      <c r="B135" s="547" t="s">
        <v>1721</v>
      </c>
      <c r="C135" s="547" t="s">
        <v>448</v>
      </c>
      <c r="D135" s="547" t="s">
        <v>1668</v>
      </c>
      <c r="E135" s="547" t="s">
        <v>1023</v>
      </c>
      <c r="F135" s="547" t="s">
        <v>1023</v>
      </c>
      <c r="G135" s="547" t="s">
        <v>1023</v>
      </c>
      <c r="H135" s="547" t="s">
        <v>1722</v>
      </c>
    </row>
    <row r="136" spans="1:9" s="403" customFormat="1">
      <c r="A136" s="547" t="s">
        <v>1066</v>
      </c>
      <c r="B136" s="547" t="s">
        <v>1723</v>
      </c>
      <c r="C136" s="547" t="s">
        <v>707</v>
      </c>
      <c r="D136" s="547" t="s">
        <v>1668</v>
      </c>
      <c r="E136" s="547" t="s">
        <v>1023</v>
      </c>
      <c r="F136" s="547" t="s">
        <v>1023</v>
      </c>
      <c r="G136" s="547" t="s">
        <v>1023</v>
      </c>
      <c r="H136" s="547" t="s">
        <v>1675</v>
      </c>
      <c r="I136" s="547"/>
    </row>
    <row r="137" spans="1:9" s="403" customFormat="1">
      <c r="A137" s="547" t="s">
        <v>1724</v>
      </c>
      <c r="B137" s="547" t="s">
        <v>1725</v>
      </c>
      <c r="C137" s="547" t="s">
        <v>707</v>
      </c>
      <c r="D137" s="547" t="s">
        <v>1668</v>
      </c>
      <c r="E137" s="547" t="s">
        <v>1023</v>
      </c>
      <c r="F137" s="547" t="s">
        <v>1023</v>
      </c>
      <c r="G137" s="547" t="s">
        <v>1023</v>
      </c>
      <c r="H137" s="547" t="s">
        <v>1726</v>
      </c>
      <c r="I137" s="547"/>
    </row>
    <row r="138" spans="1:9" s="403" customFormat="1">
      <c r="A138" s="547" t="s">
        <v>1727</v>
      </c>
      <c r="B138" s="547" t="s">
        <v>1728</v>
      </c>
      <c r="C138" s="547" t="s">
        <v>707</v>
      </c>
      <c r="D138" s="547" t="s">
        <v>1668</v>
      </c>
      <c r="E138" s="547" t="s">
        <v>1023</v>
      </c>
      <c r="F138" s="547" t="s">
        <v>1023</v>
      </c>
      <c r="G138" s="547" t="s">
        <v>1023</v>
      </c>
      <c r="H138" s="547" t="s">
        <v>1729</v>
      </c>
      <c r="I138" s="547"/>
    </row>
    <row r="139" spans="1:9" s="403" customFormat="1">
      <c r="A139" s="547" t="s">
        <v>1730</v>
      </c>
      <c r="B139" s="547" t="s">
        <v>1731</v>
      </c>
      <c r="C139" s="547" t="s">
        <v>707</v>
      </c>
      <c r="D139" s="547" t="s">
        <v>1668</v>
      </c>
      <c r="E139" s="547" t="s">
        <v>1023</v>
      </c>
      <c r="F139" s="547" t="s">
        <v>1023</v>
      </c>
      <c r="G139" s="547" t="s">
        <v>1023</v>
      </c>
      <c r="H139" s="547" t="s">
        <v>1690</v>
      </c>
      <c r="I139" s="547"/>
    </row>
    <row r="140" spans="1:9" s="403" customFormat="1">
      <c r="A140" s="547" t="s">
        <v>1732</v>
      </c>
      <c r="B140" s="547" t="s">
        <v>1733</v>
      </c>
      <c r="C140" s="547" t="s">
        <v>707</v>
      </c>
      <c r="D140" s="547" t="s">
        <v>1668</v>
      </c>
      <c r="E140" s="547" t="s">
        <v>1023</v>
      </c>
      <c r="F140" s="547" t="s">
        <v>1023</v>
      </c>
      <c r="G140" s="547" t="s">
        <v>1023</v>
      </c>
      <c r="H140" s="547" t="s">
        <v>1690</v>
      </c>
      <c r="I140" s="547"/>
    </row>
    <row r="141" spans="1:9" s="403" customFormat="1"/>
    <row r="142" spans="1:9" s="403" customFormat="1" ht="17.399999999999999">
      <c r="A142" s="402" t="s">
        <v>1072</v>
      </c>
      <c r="B142" s="547"/>
      <c r="C142" s="549" t="s">
        <v>443</v>
      </c>
      <c r="D142" s="549" t="s">
        <v>495</v>
      </c>
      <c r="E142" s="549" t="s">
        <v>1671</v>
      </c>
      <c r="F142" s="547"/>
      <c r="G142" s="547"/>
      <c r="H142" s="547"/>
      <c r="I142" s="549" t="s">
        <v>997</v>
      </c>
    </row>
    <row r="143" spans="1:9" s="403" customFormat="1" ht="15" thickTop="1">
      <c r="A143" s="547" t="s">
        <v>450</v>
      </c>
      <c r="B143" s="547" t="s">
        <v>1023</v>
      </c>
      <c r="C143" s="547" t="s">
        <v>1734</v>
      </c>
      <c r="D143" s="547" t="s">
        <v>449</v>
      </c>
      <c r="E143" s="547" t="s">
        <v>1668</v>
      </c>
      <c r="F143" s="547"/>
      <c r="G143" s="547" t="s">
        <v>1023</v>
      </c>
      <c r="H143" s="547" t="s">
        <v>1023</v>
      </c>
      <c r="I143" s="547" t="s">
        <v>1690</v>
      </c>
    </row>
    <row r="144" spans="1:9" s="403" customFormat="1">
      <c r="A144" s="547" t="s">
        <v>1735</v>
      </c>
      <c r="B144" s="547" t="s">
        <v>1023</v>
      </c>
      <c r="C144" s="547">
        <v>0.45</v>
      </c>
      <c r="D144" s="547" t="s">
        <v>449</v>
      </c>
      <c r="E144" s="547" t="s">
        <v>1668</v>
      </c>
      <c r="F144" s="547"/>
      <c r="G144" s="547" t="s">
        <v>1023</v>
      </c>
      <c r="H144" s="547" t="s">
        <v>1023</v>
      </c>
      <c r="I144" s="547" t="s">
        <v>1690</v>
      </c>
    </row>
    <row r="145" spans="1:11" s="403" customFormat="1">
      <c r="A145" s="547" t="s">
        <v>6</v>
      </c>
      <c r="B145" s="547" t="s">
        <v>1023</v>
      </c>
      <c r="C145" s="547">
        <v>600</v>
      </c>
      <c r="D145" s="547" t="s">
        <v>449</v>
      </c>
      <c r="E145" s="547" t="s">
        <v>1668</v>
      </c>
      <c r="F145" s="547" t="s">
        <v>1023</v>
      </c>
      <c r="G145" s="547" t="s">
        <v>1023</v>
      </c>
      <c r="H145" s="547" t="s">
        <v>1023</v>
      </c>
      <c r="I145" s="547" t="s">
        <v>1023</v>
      </c>
    </row>
    <row r="146" spans="1:11" s="403" customFormat="1">
      <c r="A146" s="547" t="s">
        <v>1736</v>
      </c>
      <c r="B146" s="547" t="s">
        <v>1023</v>
      </c>
      <c r="C146" s="547">
        <v>2.96</v>
      </c>
      <c r="D146" s="547" t="s">
        <v>449</v>
      </c>
      <c r="E146" s="547" t="s">
        <v>1668</v>
      </c>
      <c r="F146" s="547"/>
      <c r="G146" s="547"/>
      <c r="H146" s="547"/>
      <c r="I146" s="547"/>
    </row>
    <row r="147" spans="1:11" s="403" customFormat="1">
      <c r="I147" s="404" t="s">
        <v>1737</v>
      </c>
      <c r="J147" s="404" t="s">
        <v>1738</v>
      </c>
      <c r="K147" s="404" t="s">
        <v>1739</v>
      </c>
    </row>
    <row r="148" spans="1:11" s="403" customFormat="1">
      <c r="I148" s="405" t="s">
        <v>1740</v>
      </c>
    </row>
    <row r="149" spans="1:11" s="403" customFormat="1" ht="21">
      <c r="A149" s="550" t="s">
        <v>1741</v>
      </c>
      <c r="I149" s="487" t="s">
        <v>1742</v>
      </c>
    </row>
    <row r="150" spans="1:11" s="403" customFormat="1" ht="15" thickBot="1">
      <c r="A150" s="551" t="s">
        <v>1743</v>
      </c>
      <c r="I150" s="552" t="s">
        <v>1744</v>
      </c>
    </row>
    <row r="151" spans="1:11" s="403" customFormat="1">
      <c r="A151" s="553" t="s">
        <v>1745</v>
      </c>
      <c r="B151" s="554" t="s">
        <v>1351</v>
      </c>
      <c r="C151" s="554" t="s">
        <v>1746</v>
      </c>
      <c r="D151" s="554" t="s">
        <v>1747</v>
      </c>
      <c r="E151" s="554" t="s">
        <v>1748</v>
      </c>
      <c r="I151" s="555" t="s">
        <v>1749</v>
      </c>
      <c r="J151" s="555" t="s">
        <v>1750</v>
      </c>
      <c r="K151" s="403" t="s">
        <v>1751</v>
      </c>
    </row>
    <row r="152" spans="1:11" s="403" customFormat="1" ht="45">
      <c r="A152" s="556" t="s">
        <v>1752</v>
      </c>
      <c r="B152" s="557" t="s">
        <v>1753</v>
      </c>
      <c r="C152" s="558">
        <v>1.17E-3</v>
      </c>
      <c r="D152" s="559"/>
      <c r="E152" s="559"/>
      <c r="I152" s="560" t="s">
        <v>1754</v>
      </c>
      <c r="J152" s="560">
        <v>0.150253</v>
      </c>
      <c r="K152" s="403">
        <f>J152/160</f>
        <v>9.3908125000000001E-4</v>
      </c>
    </row>
    <row r="153" spans="1:11" s="403" customFormat="1" ht="43.2">
      <c r="A153" s="556"/>
      <c r="B153" s="557" t="s">
        <v>1755</v>
      </c>
      <c r="C153" s="561">
        <v>2.357E-5</v>
      </c>
      <c r="D153" s="559"/>
      <c r="E153" s="559"/>
      <c r="I153" s="560" t="s">
        <v>1756</v>
      </c>
      <c r="J153" s="560">
        <v>2.9425E-2</v>
      </c>
      <c r="K153" s="403">
        <f t="shared" ref="K153:K165" si="0">J153/160</f>
        <v>1.8390624999999999E-4</v>
      </c>
    </row>
    <row r="154" spans="1:11" s="403" customFormat="1" ht="28.8">
      <c r="A154" s="556"/>
      <c r="B154" s="557" t="s">
        <v>1757</v>
      </c>
      <c r="C154" s="561">
        <v>2.357E-5</v>
      </c>
      <c r="D154" s="562"/>
      <c r="E154" s="559"/>
      <c r="I154" s="560" t="s">
        <v>1758</v>
      </c>
      <c r="J154" s="560">
        <v>3.7123999999999997E-2</v>
      </c>
      <c r="K154" s="403">
        <f t="shared" si="0"/>
        <v>2.3202499999999999E-4</v>
      </c>
    </row>
    <row r="155" spans="1:11" s="403" customFormat="1" ht="30.6">
      <c r="A155" s="556"/>
      <c r="B155" s="557" t="s">
        <v>1759</v>
      </c>
      <c r="C155" s="561">
        <v>3.6239999999999999E-6</v>
      </c>
      <c r="D155" s="562"/>
      <c r="E155" s="559"/>
      <c r="I155" s="560" t="s">
        <v>1760</v>
      </c>
      <c r="J155" s="560">
        <v>3.8817999999999998E-2</v>
      </c>
      <c r="K155" s="403">
        <f t="shared" si="0"/>
        <v>2.426125E-4</v>
      </c>
    </row>
    <row r="156" spans="1:11" s="403" customFormat="1" ht="15.6">
      <c r="A156" s="650"/>
      <c r="B156" s="651"/>
      <c r="C156" s="651"/>
      <c r="D156" s="651"/>
      <c r="E156" s="652"/>
      <c r="I156" s="560" t="s">
        <v>1761</v>
      </c>
      <c r="J156" s="560">
        <v>7.0549999999999996E-3</v>
      </c>
      <c r="K156" s="403">
        <f t="shared" si="0"/>
        <v>4.4093749999999998E-5</v>
      </c>
    </row>
    <row r="157" spans="1:11" s="403" customFormat="1" ht="15.6">
      <c r="A157" s="653" t="s">
        <v>114</v>
      </c>
      <c r="B157" s="557" t="s">
        <v>1577</v>
      </c>
      <c r="C157" s="558">
        <v>22.57</v>
      </c>
      <c r="D157" s="559"/>
      <c r="E157" s="559"/>
      <c r="I157" s="560" t="s">
        <v>1762</v>
      </c>
      <c r="J157" s="560">
        <v>3.6499999999999998E-4</v>
      </c>
      <c r="K157" s="403">
        <f t="shared" si="0"/>
        <v>2.28125E-6</v>
      </c>
    </row>
    <row r="158" spans="1:11" s="403" customFormat="1" ht="16.2">
      <c r="A158" s="654"/>
      <c r="B158" s="557" t="s">
        <v>1763</v>
      </c>
      <c r="C158" s="558">
        <v>2.27</v>
      </c>
      <c r="D158" s="559"/>
      <c r="E158" s="559"/>
      <c r="I158" s="560" t="s">
        <v>1764</v>
      </c>
      <c r="J158" s="563">
        <v>8.1499999999999999E-6</v>
      </c>
      <c r="K158" s="403">
        <f t="shared" si="0"/>
        <v>5.0937500000000002E-8</v>
      </c>
    </row>
    <row r="159" spans="1:11" s="403" customFormat="1" ht="28.8">
      <c r="A159" s="654"/>
      <c r="B159" s="558" t="s">
        <v>1765</v>
      </c>
      <c r="C159" s="557">
        <v>1.24</v>
      </c>
      <c r="D159" s="559"/>
      <c r="E159" s="559"/>
      <c r="I159" s="560" t="s">
        <v>1766</v>
      </c>
      <c r="J159" s="560">
        <v>6.3049999999999998E-3</v>
      </c>
      <c r="K159" s="403">
        <f t="shared" si="0"/>
        <v>3.9406249999999999E-5</v>
      </c>
    </row>
    <row r="160" spans="1:11" s="403" customFormat="1" ht="28.8">
      <c r="A160" s="654"/>
      <c r="B160" s="558" t="s">
        <v>1767</v>
      </c>
      <c r="C160" s="557">
        <v>1.03</v>
      </c>
      <c r="D160" s="559"/>
      <c r="E160" s="559"/>
      <c r="I160" s="560" t="s">
        <v>1768</v>
      </c>
      <c r="J160" s="560">
        <v>1.4799999999999999E-4</v>
      </c>
      <c r="K160" s="403">
        <f t="shared" si="0"/>
        <v>9.2499999999999993E-7</v>
      </c>
    </row>
    <row r="161" spans="1:17" s="403" customFormat="1" ht="28.8">
      <c r="A161" s="654"/>
      <c r="B161" s="557" t="s">
        <v>1769</v>
      </c>
      <c r="C161" s="558">
        <v>17.829999999999998</v>
      </c>
      <c r="D161" s="559"/>
      <c r="E161" s="559"/>
      <c r="I161" s="560" t="s">
        <v>1770</v>
      </c>
      <c r="J161" s="563">
        <v>2.1100000000000001E-5</v>
      </c>
      <c r="K161" s="403">
        <f t="shared" si="0"/>
        <v>1.3187500000000001E-7</v>
      </c>
    </row>
    <row r="162" spans="1:17" s="403" customFormat="1" ht="28.8">
      <c r="A162" s="654"/>
      <c r="B162" s="558" t="s">
        <v>1765</v>
      </c>
      <c r="C162" s="557">
        <v>4.12</v>
      </c>
      <c r="D162" s="559"/>
      <c r="E162" s="559"/>
      <c r="I162" s="560" t="s">
        <v>1771</v>
      </c>
      <c r="J162" s="563">
        <v>5.7899999999999998E-5</v>
      </c>
      <c r="K162" s="403">
        <f t="shared" si="0"/>
        <v>3.6187499999999998E-7</v>
      </c>
    </row>
    <row r="163" spans="1:17" s="403" customFormat="1" ht="28.8">
      <c r="A163" s="655"/>
      <c r="B163" s="558" t="s">
        <v>1767</v>
      </c>
      <c r="C163" s="557">
        <v>0.08</v>
      </c>
      <c r="D163" s="559"/>
      <c r="E163" s="559"/>
      <c r="I163" s="560" t="s">
        <v>1772</v>
      </c>
      <c r="J163" s="563">
        <v>1.1399999999999999E-5</v>
      </c>
      <c r="K163" s="403">
        <f t="shared" si="0"/>
        <v>7.1249999999999993E-8</v>
      </c>
    </row>
    <row r="164" spans="1:17" s="403" customFormat="1" ht="15.6">
      <c r="A164" s="564"/>
      <c r="B164" s="558" t="s">
        <v>1773</v>
      </c>
      <c r="C164" s="557">
        <v>13.45</v>
      </c>
      <c r="D164" s="559"/>
      <c r="E164" s="559"/>
      <c r="I164" s="560" t="s">
        <v>1774</v>
      </c>
      <c r="J164" s="563">
        <v>2.0299999999999999E-5</v>
      </c>
      <c r="K164" s="403">
        <f t="shared" si="0"/>
        <v>1.26875E-7</v>
      </c>
    </row>
    <row r="165" spans="1:17" s="403" customFormat="1" ht="15.6">
      <c r="A165" s="564"/>
      <c r="B165" s="557" t="s">
        <v>1775</v>
      </c>
      <c r="C165" s="558">
        <v>0.11</v>
      </c>
      <c r="D165" s="559"/>
      <c r="E165" s="559"/>
      <c r="I165" s="560" t="s">
        <v>1776</v>
      </c>
      <c r="J165" s="563">
        <v>3.8999999999999999E-6</v>
      </c>
      <c r="K165" s="403">
        <f t="shared" si="0"/>
        <v>2.4374999999999998E-8</v>
      </c>
    </row>
    <row r="166" spans="1:17" s="403" customFormat="1" ht="16.8">
      <c r="A166" s="564"/>
      <c r="B166" s="557" t="s">
        <v>1777</v>
      </c>
      <c r="C166" s="558">
        <v>1.76</v>
      </c>
      <c r="D166" s="559"/>
      <c r="E166" s="559"/>
    </row>
    <row r="167" spans="1:17" s="403" customFormat="1" ht="30">
      <c r="A167" s="564"/>
      <c r="B167" s="557" t="s">
        <v>1778</v>
      </c>
      <c r="C167" s="558">
        <v>0.56999999999999995</v>
      </c>
      <c r="D167" s="559"/>
      <c r="E167" s="559"/>
    </row>
    <row r="168" spans="1:17" s="403" customFormat="1" ht="30.6">
      <c r="A168" s="564"/>
      <c r="B168" s="557" t="s">
        <v>1779</v>
      </c>
      <c r="C168" s="558">
        <v>0.19</v>
      </c>
      <c r="D168" s="559"/>
      <c r="E168" s="559"/>
    </row>
    <row r="169" spans="1:17" s="403" customFormat="1" ht="30.6">
      <c r="A169" s="564"/>
      <c r="B169" s="557" t="s">
        <v>1780</v>
      </c>
      <c r="C169" s="558">
        <v>6.6000000000000003E-2</v>
      </c>
      <c r="D169" s="559"/>
      <c r="E169" s="559"/>
      <c r="I169" s="565" t="s">
        <v>1781</v>
      </c>
    </row>
    <row r="170" spans="1:17" s="403" customFormat="1">
      <c r="A170" s="564"/>
      <c r="B170" s="557"/>
      <c r="C170" s="557"/>
      <c r="D170" s="559" t="s">
        <v>1782</v>
      </c>
      <c r="E170" s="566">
        <v>24.17</v>
      </c>
      <c r="I170" s="552" t="s">
        <v>1783</v>
      </c>
    </row>
    <row r="171" spans="1:17" s="403" customFormat="1" ht="16.2" customHeight="1">
      <c r="A171" s="564"/>
      <c r="B171" s="557"/>
      <c r="C171" s="557"/>
      <c r="D171" s="559" t="s">
        <v>1784</v>
      </c>
      <c r="E171" s="566">
        <v>1.39</v>
      </c>
      <c r="I171" s="668" t="s">
        <v>1745</v>
      </c>
      <c r="J171" s="669"/>
      <c r="K171" s="555" t="s">
        <v>449</v>
      </c>
      <c r="L171" s="555" t="s">
        <v>1785</v>
      </c>
      <c r="M171" s="555" t="s">
        <v>448</v>
      </c>
      <c r="N171" s="555" t="s">
        <v>707</v>
      </c>
      <c r="O171" s="555" t="s">
        <v>1786</v>
      </c>
      <c r="Q171" s="403" t="s">
        <v>1787</v>
      </c>
    </row>
    <row r="172" spans="1:17" s="403" customFormat="1" ht="15.6">
      <c r="A172" s="564"/>
      <c r="B172" s="557"/>
      <c r="C172" s="557"/>
      <c r="D172" s="559" t="s">
        <v>1788</v>
      </c>
      <c r="E172" s="566">
        <v>0.02</v>
      </c>
      <c r="I172" s="670" t="s">
        <v>1789</v>
      </c>
      <c r="J172" s="671"/>
      <c r="K172" s="560">
        <v>210</v>
      </c>
      <c r="L172" s="567">
        <v>562044</v>
      </c>
      <c r="M172" s="560">
        <v>562.04</v>
      </c>
      <c r="N172" s="560" t="s">
        <v>1790</v>
      </c>
      <c r="O172" s="674" t="s">
        <v>1791</v>
      </c>
      <c r="Q172" s="403">
        <f>M172/160</f>
        <v>3.5127499999999996</v>
      </c>
    </row>
    <row r="173" spans="1:17" s="403" customFormat="1" ht="15.6">
      <c r="A173" s="564"/>
      <c r="B173" s="557"/>
      <c r="C173" s="557"/>
      <c r="D173" s="559" t="s">
        <v>1792</v>
      </c>
      <c r="E173" s="566">
        <v>3.0000000000000001E-3</v>
      </c>
      <c r="I173" s="670" t="s">
        <v>1793</v>
      </c>
      <c r="J173" s="671"/>
      <c r="K173" s="560">
        <v>173</v>
      </c>
      <c r="L173" s="560" t="s">
        <v>1794</v>
      </c>
      <c r="M173" s="560">
        <v>463.02</v>
      </c>
      <c r="N173" s="560" t="s">
        <v>1795</v>
      </c>
      <c r="O173" s="675"/>
      <c r="Q173" s="403">
        <f t="shared" ref="Q173:Q175" si="1">M173/160</f>
        <v>2.893875</v>
      </c>
    </row>
    <row r="174" spans="1:17" s="403" customFormat="1">
      <c r="A174" s="656"/>
      <c r="B174" s="657"/>
      <c r="C174" s="657"/>
      <c r="D174" s="657"/>
      <c r="E174" s="658"/>
      <c r="I174" s="670" t="s">
        <v>1579</v>
      </c>
      <c r="J174" s="671"/>
      <c r="K174" s="560">
        <v>831</v>
      </c>
      <c r="L174" s="560" t="s">
        <v>1796</v>
      </c>
      <c r="M174" s="560">
        <v>2224.09</v>
      </c>
      <c r="N174" s="560" t="s">
        <v>1797</v>
      </c>
      <c r="O174" s="676"/>
      <c r="Q174" s="403">
        <f t="shared" si="1"/>
        <v>13.900562500000001</v>
      </c>
    </row>
    <row r="175" spans="1:17" s="403" customFormat="1">
      <c r="A175" s="556" t="s">
        <v>115</v>
      </c>
      <c r="B175" s="557" t="s">
        <v>1782</v>
      </c>
      <c r="C175" s="558">
        <v>24.17</v>
      </c>
      <c r="D175" s="559"/>
      <c r="E175" s="559"/>
      <c r="I175" s="668" t="s">
        <v>462</v>
      </c>
      <c r="J175" s="669"/>
      <c r="K175" s="555">
        <v>1215</v>
      </c>
      <c r="L175" s="555" t="s">
        <v>1798</v>
      </c>
      <c r="M175" s="555">
        <v>3251.83</v>
      </c>
      <c r="N175" s="555" t="s">
        <v>1799</v>
      </c>
      <c r="O175" s="555" t="s">
        <v>325</v>
      </c>
      <c r="Q175" s="403">
        <f t="shared" si="1"/>
        <v>20.3239375</v>
      </c>
    </row>
    <row r="176" spans="1:17" s="403" customFormat="1">
      <c r="A176" s="556"/>
      <c r="B176" s="557" t="s">
        <v>1800</v>
      </c>
      <c r="C176" s="558">
        <v>0.05</v>
      </c>
      <c r="D176" s="559"/>
      <c r="E176" s="559"/>
      <c r="I176" s="560" t="s">
        <v>325</v>
      </c>
      <c r="J176" s="670" t="s">
        <v>1801</v>
      </c>
      <c r="K176" s="673"/>
      <c r="L176" s="673"/>
      <c r="M176" s="673"/>
      <c r="N176" s="673"/>
      <c r="O176" s="671"/>
    </row>
    <row r="177" spans="1:17" s="403" customFormat="1" ht="30.6">
      <c r="A177" s="556"/>
      <c r="B177" s="557"/>
      <c r="C177" s="557"/>
      <c r="D177" s="559" t="s">
        <v>1802</v>
      </c>
      <c r="E177" s="566">
        <v>19.07</v>
      </c>
    </row>
    <row r="178" spans="1:17" s="403" customFormat="1" ht="28.8">
      <c r="A178" s="564"/>
      <c r="B178" s="557"/>
      <c r="C178" s="557"/>
      <c r="D178" s="559" t="s">
        <v>1803</v>
      </c>
      <c r="E178" s="566" t="s">
        <v>1804</v>
      </c>
    </row>
    <row r="179" spans="1:17" s="403" customFormat="1" ht="16.2">
      <c r="A179" s="564"/>
      <c r="B179" s="557"/>
      <c r="C179" s="557"/>
      <c r="D179" s="559" t="s">
        <v>1805</v>
      </c>
      <c r="E179" s="566">
        <v>1.1399999999999999</v>
      </c>
      <c r="I179" s="552" t="s">
        <v>1806</v>
      </c>
    </row>
    <row r="180" spans="1:17" s="403" customFormat="1" ht="30.6">
      <c r="A180" s="564"/>
      <c r="B180" s="557"/>
      <c r="C180" s="557"/>
      <c r="D180" s="559" t="s">
        <v>1807</v>
      </c>
      <c r="E180" s="566">
        <v>0.59</v>
      </c>
      <c r="I180" s="555" t="s">
        <v>1745</v>
      </c>
      <c r="J180" s="555" t="s">
        <v>1351</v>
      </c>
      <c r="K180" s="555" t="s">
        <v>443</v>
      </c>
      <c r="L180" s="555" t="s">
        <v>1747</v>
      </c>
      <c r="M180" s="555" t="s">
        <v>443</v>
      </c>
      <c r="N180" s="555" t="s">
        <v>1786</v>
      </c>
      <c r="Q180" s="403" t="s">
        <v>1787</v>
      </c>
    </row>
    <row r="181" spans="1:17" s="403" customFormat="1" ht="16.2">
      <c r="A181" s="564"/>
      <c r="B181" s="557"/>
      <c r="C181" s="557"/>
      <c r="D181" s="559" t="s">
        <v>1808</v>
      </c>
      <c r="E181" s="566">
        <v>6.66</v>
      </c>
      <c r="I181" s="555" t="s">
        <v>1809</v>
      </c>
      <c r="J181" s="560" t="s">
        <v>1800</v>
      </c>
      <c r="K181" s="560">
        <v>52.3</v>
      </c>
      <c r="L181" s="560" t="s">
        <v>325</v>
      </c>
      <c r="M181" s="560" t="s">
        <v>325</v>
      </c>
      <c r="N181" s="560">
        <v>1</v>
      </c>
      <c r="Q181" s="403">
        <f>(K181*3.6)/160</f>
        <v>1.17675</v>
      </c>
    </row>
    <row r="182" spans="1:17" s="403" customFormat="1" ht="15.6">
      <c r="A182" s="659"/>
      <c r="B182" s="660"/>
      <c r="C182" s="660"/>
      <c r="D182" s="660"/>
      <c r="E182" s="661"/>
      <c r="I182" s="560" t="s">
        <v>325</v>
      </c>
      <c r="J182" s="560" t="s">
        <v>325</v>
      </c>
      <c r="K182" s="560" t="s">
        <v>325</v>
      </c>
      <c r="L182" s="560" t="s">
        <v>1810</v>
      </c>
      <c r="M182" s="560" t="s">
        <v>1811</v>
      </c>
      <c r="N182" s="560" t="s">
        <v>325</v>
      </c>
    </row>
    <row r="183" spans="1:17" s="403" customFormat="1" ht="33" customHeight="1">
      <c r="A183" s="556" t="s">
        <v>1579</v>
      </c>
      <c r="B183" s="557" t="s">
        <v>1803</v>
      </c>
      <c r="C183" s="558">
        <v>4.5199999999999996</v>
      </c>
      <c r="D183" s="559"/>
      <c r="E183" s="559"/>
      <c r="I183" s="642" t="s">
        <v>1812</v>
      </c>
      <c r="J183" s="643"/>
      <c r="K183" s="643"/>
      <c r="L183" s="643"/>
      <c r="M183" s="643"/>
      <c r="N183" s="644"/>
    </row>
    <row r="184" spans="1:17" s="403" customFormat="1">
      <c r="A184" s="556"/>
      <c r="B184" s="557" t="s">
        <v>1599</v>
      </c>
      <c r="C184" s="558">
        <v>4.93</v>
      </c>
      <c r="D184" s="559"/>
      <c r="E184" s="559"/>
    </row>
    <row r="185" spans="1:17" s="403" customFormat="1" ht="15" thickBot="1">
      <c r="A185" s="556"/>
      <c r="B185" s="557" t="s">
        <v>1800</v>
      </c>
      <c r="C185" s="558">
        <v>0.12</v>
      </c>
      <c r="D185" s="559"/>
      <c r="E185" s="559"/>
    </row>
    <row r="186" spans="1:17" s="403" customFormat="1" ht="15" thickBot="1">
      <c r="A186" s="556"/>
      <c r="B186" s="557"/>
      <c r="C186" s="557"/>
      <c r="D186" s="559" t="s">
        <v>1602</v>
      </c>
      <c r="E186" s="566">
        <v>3.57</v>
      </c>
    </row>
    <row r="187" spans="1:17" s="403" customFormat="1" ht="28.8">
      <c r="A187" s="564"/>
      <c r="B187" s="557"/>
      <c r="C187" s="557"/>
      <c r="D187" s="559" t="s">
        <v>1813</v>
      </c>
      <c r="E187" s="566">
        <v>1</v>
      </c>
      <c r="I187" s="568" t="s">
        <v>1814</v>
      </c>
    </row>
    <row r="188" spans="1:17" s="403" customFormat="1" ht="15" thickBot="1">
      <c r="A188" s="659"/>
      <c r="B188" s="660"/>
      <c r="C188" s="660"/>
      <c r="D188" s="660"/>
      <c r="E188" s="661"/>
      <c r="I188" s="555" t="s">
        <v>68</v>
      </c>
      <c r="J188" s="555" t="s">
        <v>325</v>
      </c>
    </row>
    <row r="189" spans="1:17" s="403" customFormat="1" ht="28.8">
      <c r="A189" s="556" t="s">
        <v>1815</v>
      </c>
      <c r="B189" s="557" t="s">
        <v>1600</v>
      </c>
      <c r="C189" s="558">
        <v>1.8500000000000001E-3</v>
      </c>
      <c r="D189" s="559"/>
      <c r="E189" s="559"/>
      <c r="I189" s="560" t="s">
        <v>1816</v>
      </c>
      <c r="J189" s="560">
        <v>500</v>
      </c>
    </row>
    <row r="190" spans="1:17" s="403" customFormat="1" ht="15.6">
      <c r="A190" s="564"/>
      <c r="B190" s="557" t="s">
        <v>1817</v>
      </c>
      <c r="C190" s="558">
        <v>1E-3</v>
      </c>
      <c r="D190" s="559"/>
      <c r="E190" s="559"/>
      <c r="I190" s="560" t="s">
        <v>1818</v>
      </c>
      <c r="J190" s="560">
        <v>300</v>
      </c>
    </row>
    <row r="191" spans="1:17" s="403" customFormat="1" ht="15" thickBot="1">
      <c r="A191" s="564"/>
      <c r="B191" s="557" t="s">
        <v>1602</v>
      </c>
      <c r="C191" s="558">
        <v>0.72299999999999998</v>
      </c>
      <c r="D191" s="559"/>
      <c r="E191" s="559"/>
      <c r="I191" s="560" t="s">
        <v>656</v>
      </c>
      <c r="J191" s="567">
        <v>200000</v>
      </c>
    </row>
    <row r="192" spans="1:17" s="403" customFormat="1" ht="15" thickBot="1">
      <c r="A192" s="564"/>
      <c r="B192" s="557" t="s">
        <v>1800</v>
      </c>
      <c r="C192" s="558">
        <v>7.9500000000000001E-2</v>
      </c>
      <c r="D192" s="559"/>
      <c r="E192" s="559"/>
      <c r="I192" s="560" t="s">
        <v>1800</v>
      </c>
      <c r="J192" s="567">
        <v>22000</v>
      </c>
      <c r="K192" s="453">
        <f>(J192*3.6)*C155</f>
        <v>0.28702080000000002</v>
      </c>
    </row>
    <row r="193" spans="1:10" s="403" customFormat="1" ht="28.8">
      <c r="A193" s="564"/>
      <c r="B193" s="557"/>
      <c r="C193" s="557"/>
      <c r="D193" s="559" t="s">
        <v>1819</v>
      </c>
      <c r="E193" s="569">
        <v>3.6239999999999999E-6</v>
      </c>
      <c r="I193" s="555" t="s">
        <v>991</v>
      </c>
      <c r="J193" s="555" t="s">
        <v>325</v>
      </c>
    </row>
    <row r="194" spans="1:10" s="403" customFormat="1" ht="16.2">
      <c r="A194" s="564"/>
      <c r="B194" s="557"/>
      <c r="C194" s="557"/>
      <c r="D194" s="559" t="s">
        <v>1805</v>
      </c>
      <c r="E194" s="566">
        <v>8.5699999999999998E-2</v>
      </c>
      <c r="I194" s="560" t="s">
        <v>1819</v>
      </c>
      <c r="J194" s="560">
        <v>1</v>
      </c>
    </row>
    <row r="195" spans="1:10" s="403" customFormat="1" ht="30.6">
      <c r="A195" s="564"/>
      <c r="B195" s="557"/>
      <c r="C195" s="557"/>
      <c r="D195" s="559" t="s">
        <v>1807</v>
      </c>
      <c r="E195" s="566">
        <v>1.66E-2</v>
      </c>
      <c r="I195" s="560" t="s">
        <v>1820</v>
      </c>
      <c r="J195" s="567">
        <v>23700</v>
      </c>
    </row>
    <row r="196" spans="1:10" s="403" customFormat="1" ht="16.2">
      <c r="A196" s="564"/>
      <c r="B196" s="557"/>
      <c r="C196" s="557"/>
      <c r="D196" s="559" t="s">
        <v>1808</v>
      </c>
      <c r="E196" s="566">
        <v>2.3098999999999998</v>
      </c>
      <c r="I196" s="560" t="s">
        <v>1821</v>
      </c>
      <c r="J196" s="567">
        <v>4600</v>
      </c>
    </row>
    <row r="197" spans="1:10" s="403" customFormat="1" ht="16.2">
      <c r="A197" s="564"/>
      <c r="B197" s="557"/>
      <c r="C197" s="557"/>
      <c r="D197" s="559" t="s">
        <v>1822</v>
      </c>
      <c r="E197" s="566">
        <v>3.8477000000000001</v>
      </c>
      <c r="I197" s="560" t="s">
        <v>1823</v>
      </c>
      <c r="J197" s="567">
        <v>639000</v>
      </c>
    </row>
    <row r="198" spans="1:10" s="403" customFormat="1" ht="31.2" customHeight="1">
      <c r="A198" s="662" t="s">
        <v>1824</v>
      </c>
      <c r="B198" s="663"/>
      <c r="C198" s="663"/>
      <c r="D198" s="663"/>
      <c r="E198" s="664"/>
      <c r="I198" s="560" t="s">
        <v>1825</v>
      </c>
      <c r="J198" s="560" t="s">
        <v>1826</v>
      </c>
    </row>
    <row r="199" spans="1:10" s="403" customFormat="1" ht="16.5" customHeight="1">
      <c r="A199" s="665" t="s">
        <v>1827</v>
      </c>
      <c r="B199" s="666"/>
      <c r="C199" s="666"/>
      <c r="D199" s="666"/>
      <c r="E199" s="667"/>
      <c r="I199" s="487" t="s">
        <v>325</v>
      </c>
    </row>
    <row r="200" spans="1:10" s="403" customFormat="1" ht="16.5" customHeight="1">
      <c r="A200" s="665" t="s">
        <v>1828</v>
      </c>
      <c r="B200" s="666"/>
      <c r="C200" s="666"/>
      <c r="D200" s="666"/>
      <c r="E200" s="667"/>
    </row>
    <row r="201" spans="1:10" s="403" customFormat="1" ht="16.5" customHeight="1">
      <c r="A201" s="665" t="s">
        <v>1829</v>
      </c>
      <c r="B201" s="666"/>
      <c r="C201" s="666"/>
      <c r="D201" s="666"/>
      <c r="E201" s="667"/>
    </row>
    <row r="202" spans="1:10" s="403" customFormat="1" ht="16.2">
      <c r="A202" s="646" t="s">
        <v>1830</v>
      </c>
      <c r="B202" s="647"/>
      <c r="C202" s="647"/>
      <c r="D202" s="647"/>
      <c r="E202" s="648"/>
    </row>
    <row r="203" spans="1:10" s="403" customFormat="1"/>
    <row r="204" spans="1:10" s="403" customFormat="1"/>
    <row r="205" spans="1:10" s="403" customFormat="1"/>
    <row r="206" spans="1:10" s="403" customFormat="1" ht="17.399999999999999">
      <c r="A206" s="402" t="s">
        <v>1831</v>
      </c>
    </row>
    <row r="207" spans="1:10" s="403" customFormat="1" ht="15" thickTop="1">
      <c r="A207" s="403" t="s">
        <v>1832</v>
      </c>
    </row>
    <row r="208" spans="1:10" s="403" customFormat="1">
      <c r="A208" s="403" t="s">
        <v>1833</v>
      </c>
    </row>
    <row r="209" spans="1:1" s="403" customFormat="1">
      <c r="A209" s="403" t="s">
        <v>1834</v>
      </c>
    </row>
    <row r="210" spans="1:1" s="403" customFormat="1"/>
    <row r="211" spans="1:1" s="403" customFormat="1"/>
    <row r="212" spans="1:1" s="403" customFormat="1"/>
    <row r="213" spans="1:1" s="403" customFormat="1"/>
  </sheetData>
  <mergeCells count="22">
    <mergeCell ref="L9:L22"/>
    <mergeCell ref="I173:J173"/>
    <mergeCell ref="I174:J174"/>
    <mergeCell ref="I175:J175"/>
    <mergeCell ref="J176:O176"/>
    <mergeCell ref="O172:O174"/>
    <mergeCell ref="I183:N183"/>
    <mergeCell ref="E14:G18"/>
    <mergeCell ref="A202:E202"/>
    <mergeCell ref="A44:C44"/>
    <mergeCell ref="A92:R92"/>
    <mergeCell ref="A156:E156"/>
    <mergeCell ref="A157:A163"/>
    <mergeCell ref="A174:E174"/>
    <mergeCell ref="A182:E182"/>
    <mergeCell ref="A188:E188"/>
    <mergeCell ref="A198:E198"/>
    <mergeCell ref="A199:E199"/>
    <mergeCell ref="A200:E200"/>
    <mergeCell ref="A201:E201"/>
    <mergeCell ref="I171:J171"/>
    <mergeCell ref="I172:J172"/>
  </mergeCells>
  <hyperlinks>
    <hyperlink ref="B73" location="'Results various energy options'!A1" display="Results various energy options" xr:uid="{9E79ED53-6A17-4657-9012-4B9E365C157D}"/>
    <hyperlink ref="B74" location="FAEM_MC_95!A1" display="FAEM_MC_95" xr:uid="{BAF51B02-8A86-4609-A420-1EFD420E8454}"/>
    <hyperlink ref="B75" location="FAEM_MC_90!A1" display="FAEM_MC_90" xr:uid="{01FE87B4-F230-4BE6-9CE1-57ACBF861B95}"/>
    <hyperlink ref="B76" location="FHE_MC_95!A1" display="FHE_MC_95" xr:uid="{3B73CD84-78D7-45BB-8BC0-FBA38C932E29}"/>
    <hyperlink ref="B77" location="FHE_MC_90!A1" display="FHE_MC_90" xr:uid="{4935C05E-011B-4AD9-8941-BA0108227D05}"/>
    <hyperlink ref="B78" location="Comparison!A1" display="Comparison" xr:uid="{94B581F1-CF32-44C1-8F73-C1E3D8F806B5}"/>
    <hyperlink ref="B79" location="Data!A1" display="Data" xr:uid="{2772EEE5-4B33-40FD-98A3-D007E579E160}"/>
    <hyperlink ref="B80" location="'LCI (perFU)'!A1" display="LCI(perFU)" xr:uid="{143E3BD5-CAA7-4604-9B38-66D42B115B98}"/>
    <hyperlink ref="B81" location="WWTP!A1" display="WWTP" xr:uid="{5FD92EF2-5510-4FCE-981B-74DAA53C9495}"/>
    <hyperlink ref="B82" location="'WWTP (CIP)'!A1" display="WWTP (CIP)" xr:uid="{E944C335-1386-40A1-B38D-F3EBFCDDC221}"/>
    <hyperlink ref="B83" location="Sensitivity_analysis!A1" display="Sensitivity_analysis" xr:uid="{2820E1DD-E229-458B-B486-EFA7F5BA099F}"/>
    <hyperlink ref="B84" location="CED!A1" display="CED" xr:uid="{58EC4D61-2DAD-4877-BD25-22EDF9E6425A}"/>
    <hyperlink ref="B85" location="'Contribution analysis%'!A1" display="Contribution analysis %" xr:uid="{25089961-F26E-44BB-87AE-41FDF4855EAF}"/>
    <hyperlink ref="B86" location="Contribution_totals!A1" display="Contribution_totals" xr:uid="{BEE13BC9-308C-4568-9C79-B51368E2F34C}"/>
    <hyperlink ref="B87" location="'Uncert. rang. &amp; Simapro model'!A1" display="Uncert. rang. &amp; Simapro model" xr:uid="{5F7DE7E5-B5D2-448E-A035-B5D030053CDF}"/>
    <hyperlink ref="A74" location="'Monte Carlo'!A1" display="Monte Carlo" xr:uid="{8E53BCF3-4633-4F86-BABB-D23AF5A2195F}"/>
    <hyperlink ref="A78" location="'Protein comparison'!A1" display="Protein  comparison results" xr:uid="{14687CB3-A8FB-4877-8596-4A6B84B3A080}"/>
    <hyperlink ref="A79" location="'Wastewater treatment'!A1" display="Wastewater treatment" xr:uid="{AF37CA9F-F470-487B-AEE8-75905463CF5F}"/>
    <hyperlink ref="A83" location="'Sensitivity analysis'!A1" display="Sensitivity analysis" xr:uid="{5AABACF7-BD91-49AD-B1AB-D5DB5E072345}"/>
    <hyperlink ref="A84" location="'Cumulative energy demand'!A1" display="Cumulative energy demand results" xr:uid="{2B93A3DA-08A0-43A0-B8F9-66B71B96C231}"/>
    <hyperlink ref="A85" location="'Contibution analysis'!A1" display="Contribution analysis" xr:uid="{7ED25E7B-F9B4-4431-974D-33E2CFB98946}"/>
    <hyperlink ref="A87" location="'Simapro model'!A1" display="Simapro model" xr:uid="{40C0084F-F5EA-4310-8AFB-6005BCA90DE0}"/>
    <hyperlink ref="A72" location="'ReCiPe results FAEM &amp; FHE'!A1" display="ReCiPe results FAEM &amp; FHE" xr:uid="{872E0134-AB84-4E57-BF48-A9C7F31D9867}"/>
    <hyperlink ref="B72" location="ReCiPe!A1" display="ReCiPe" xr:uid="{168B4C56-FC59-45F1-BBEC-8D36B0B5E1C5}"/>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D1DD-A335-4FC6-A57D-C251A9C76332}">
  <dimension ref="A2:P203"/>
  <sheetViews>
    <sheetView workbookViewId="0">
      <selection activeCell="I18" sqref="I18"/>
    </sheetView>
  </sheetViews>
  <sheetFormatPr defaultRowHeight="14.4"/>
  <cols>
    <col min="1" max="1" width="20" customWidth="1"/>
    <col min="2" max="2" width="10.6640625" customWidth="1"/>
    <col min="3" max="4" width="21.44140625" customWidth="1"/>
    <col min="5" max="5" width="16.6640625" customWidth="1"/>
    <col min="6" max="6" width="21.44140625" customWidth="1"/>
    <col min="7" max="7" width="17.33203125" customWidth="1"/>
    <col min="8" max="8" width="12.33203125" customWidth="1"/>
    <col min="9" max="9" width="24.6640625" customWidth="1"/>
    <col min="10" max="10" width="16.33203125" customWidth="1"/>
    <col min="11" max="12" width="20.5546875" customWidth="1"/>
  </cols>
  <sheetData>
    <row r="2" spans="1:11" ht="19.8">
      <c r="A2" s="150" t="s">
        <v>1835</v>
      </c>
    </row>
    <row r="3" spans="1:11">
      <c r="C3" s="151" t="s">
        <v>1836</v>
      </c>
      <c r="D3" t="s">
        <v>1837</v>
      </c>
    </row>
    <row r="4" spans="1:11">
      <c r="C4" t="s">
        <v>1838</v>
      </c>
    </row>
    <row r="5" spans="1:11">
      <c r="A5" s="3" t="s">
        <v>252</v>
      </c>
      <c r="E5" s="3" t="s">
        <v>441</v>
      </c>
      <c r="I5" s="3" t="s">
        <v>442</v>
      </c>
    </row>
    <row r="6" spans="1:11">
      <c r="A6" t="s">
        <v>194</v>
      </c>
      <c r="B6" t="s">
        <v>443</v>
      </c>
      <c r="C6" t="s">
        <v>444</v>
      </c>
      <c r="E6" t="s">
        <v>445</v>
      </c>
      <c r="F6" t="s">
        <v>443</v>
      </c>
      <c r="G6" t="s">
        <v>444</v>
      </c>
      <c r="I6" t="s">
        <v>446</v>
      </c>
      <c r="J6" t="s">
        <v>443</v>
      </c>
      <c r="K6" t="s">
        <v>444</v>
      </c>
    </row>
    <row r="7" spans="1:11">
      <c r="A7" s="140" t="s">
        <v>116</v>
      </c>
      <c r="B7" s="140">
        <f>C28*D19</f>
        <v>3.4260000000000002</v>
      </c>
      <c r="C7" s="140" t="s">
        <v>448</v>
      </c>
      <c r="E7" s="140" t="s">
        <v>1839</v>
      </c>
      <c r="F7" s="140">
        <f>20.66*D19</f>
        <v>4.1320000000000006</v>
      </c>
      <c r="G7" s="140" t="s">
        <v>449</v>
      </c>
      <c r="I7" s="140" t="s">
        <v>1840</v>
      </c>
      <c r="J7" s="140">
        <f>E28*D19</f>
        <v>3.7520000000000007</v>
      </c>
      <c r="K7" s="140" t="s">
        <v>449</v>
      </c>
    </row>
    <row r="8" spans="1:11">
      <c r="A8" s="140" t="s">
        <v>117</v>
      </c>
      <c r="B8" s="140">
        <f>D28*D19</f>
        <v>1.02</v>
      </c>
      <c r="C8" s="140" t="s">
        <v>448</v>
      </c>
      <c r="E8" s="140" t="s">
        <v>1841</v>
      </c>
      <c r="F8" s="140">
        <f>0.76*D19</f>
        <v>0.15200000000000002</v>
      </c>
      <c r="G8" s="140" t="s">
        <v>449</v>
      </c>
      <c r="I8" s="140" t="s">
        <v>1842</v>
      </c>
      <c r="J8" s="140">
        <f>E39</f>
        <v>0.6</v>
      </c>
      <c r="K8" s="140" t="s">
        <v>449</v>
      </c>
    </row>
    <row r="9" spans="1:11">
      <c r="A9" s="140" t="s">
        <v>118</v>
      </c>
      <c r="B9" s="140">
        <f>C39</f>
        <v>0.24299999999999999</v>
      </c>
      <c r="C9" s="140" t="s">
        <v>448</v>
      </c>
      <c r="E9" s="140" t="s">
        <v>1843</v>
      </c>
      <c r="F9" s="140">
        <v>0.2</v>
      </c>
      <c r="G9" s="140" t="s">
        <v>449</v>
      </c>
      <c r="I9" s="140"/>
      <c r="J9" s="140"/>
      <c r="K9" s="140"/>
    </row>
    <row r="10" spans="1:11">
      <c r="I10" s="140"/>
      <c r="J10" s="140"/>
    </row>
    <row r="12" spans="1:11">
      <c r="I12" s="141" t="s">
        <v>466</v>
      </c>
      <c r="K12" s="140" t="s">
        <v>467</v>
      </c>
    </row>
    <row r="13" spans="1:11">
      <c r="I13" s="140" t="s">
        <v>469</v>
      </c>
      <c r="J13" s="140" t="s">
        <v>1844</v>
      </c>
    </row>
    <row r="14" spans="1:11">
      <c r="I14" s="140" t="s">
        <v>469</v>
      </c>
    </row>
    <row r="16" spans="1:11">
      <c r="I16" s="3" t="s">
        <v>479</v>
      </c>
      <c r="K16" t="s">
        <v>480</v>
      </c>
    </row>
    <row r="17" spans="1:12">
      <c r="J17">
        <f>AVERAGEA(1.36,15.1)</f>
        <v>8.23</v>
      </c>
    </row>
    <row r="18" spans="1:12">
      <c r="I18" t="s">
        <v>481</v>
      </c>
      <c r="J18" s="32" t="s">
        <v>1845</v>
      </c>
      <c r="K18" t="s">
        <v>480</v>
      </c>
    </row>
    <row r="19" spans="1:12">
      <c r="D19">
        <v>0.2</v>
      </c>
      <c r="E19" t="s">
        <v>1846</v>
      </c>
    </row>
    <row r="23" spans="1:12" ht="18" thickBot="1">
      <c r="A23" s="43" t="s">
        <v>1847</v>
      </c>
    </row>
    <row r="24" spans="1:12" ht="15" thickTop="1"/>
    <row r="25" spans="1:12" ht="15" thickBot="1">
      <c r="A25" s="59" t="s">
        <v>1848</v>
      </c>
      <c r="B25" s="48"/>
      <c r="C25" s="48"/>
      <c r="D25" s="48"/>
      <c r="E25" s="48"/>
      <c r="F25" s="48"/>
      <c r="I25" s="47" t="s">
        <v>1849</v>
      </c>
      <c r="J25" s="48"/>
      <c r="K25" s="48"/>
      <c r="L25" s="48"/>
    </row>
    <row r="26" spans="1:12" ht="15" thickBot="1">
      <c r="A26" s="682" t="s">
        <v>1850</v>
      </c>
      <c r="B26" s="684" t="s">
        <v>1851</v>
      </c>
      <c r="C26" s="684"/>
      <c r="D26" s="684"/>
      <c r="E26" s="684"/>
      <c r="F26" s="684"/>
      <c r="I26" s="682" t="s">
        <v>1852</v>
      </c>
      <c r="J26" s="684" t="s">
        <v>1853</v>
      </c>
      <c r="K26" s="684"/>
      <c r="L26" s="684"/>
    </row>
    <row r="27" spans="1:12" ht="42" thickBot="1">
      <c r="A27" s="683"/>
      <c r="B27" s="58" t="s">
        <v>1854</v>
      </c>
      <c r="C27" s="58" t="s">
        <v>1855</v>
      </c>
      <c r="D27" s="58" t="s">
        <v>1856</v>
      </c>
      <c r="E27" s="58" t="s">
        <v>1857</v>
      </c>
      <c r="F27" s="58" t="s">
        <v>388</v>
      </c>
      <c r="I27" s="683"/>
      <c r="J27" s="58" t="s">
        <v>1858</v>
      </c>
      <c r="K27" s="58" t="s">
        <v>1859</v>
      </c>
      <c r="L27" s="58" t="s">
        <v>1860</v>
      </c>
    </row>
    <row r="28" spans="1:12" ht="27.6">
      <c r="A28" s="50" t="s">
        <v>1861</v>
      </c>
      <c r="B28" s="50" t="s">
        <v>1862</v>
      </c>
      <c r="C28" s="50">
        <v>17.13</v>
      </c>
      <c r="D28" s="50">
        <v>5.0999999999999996</v>
      </c>
      <c r="E28" s="50">
        <v>18.760000000000002</v>
      </c>
      <c r="F28" s="50" t="s">
        <v>1863</v>
      </c>
      <c r="I28" s="51" t="s">
        <v>1864</v>
      </c>
      <c r="J28" s="50">
        <v>0.77</v>
      </c>
      <c r="K28" s="50">
        <v>9.3000000000000007</v>
      </c>
      <c r="L28" s="50">
        <v>3.2000000000000001E-2</v>
      </c>
    </row>
    <row r="29" spans="1:12" ht="41.4">
      <c r="A29" s="50" t="s">
        <v>1865</v>
      </c>
      <c r="B29" s="50" t="s">
        <v>1866</v>
      </c>
      <c r="C29" s="50">
        <v>20.88</v>
      </c>
      <c r="D29" s="50">
        <v>5.0999999999999996</v>
      </c>
      <c r="E29" s="50">
        <v>18.760000000000002</v>
      </c>
      <c r="F29" s="50" t="s">
        <v>1867</v>
      </c>
      <c r="I29" s="51" t="s">
        <v>1868</v>
      </c>
      <c r="J29" s="50" t="s">
        <v>1129</v>
      </c>
      <c r="K29" s="50" t="s">
        <v>1869</v>
      </c>
      <c r="L29" s="50" t="s">
        <v>1870</v>
      </c>
    </row>
    <row r="30" spans="1:12" ht="41.4">
      <c r="A30" s="50" t="s">
        <v>1871</v>
      </c>
      <c r="B30" s="50" t="s">
        <v>1872</v>
      </c>
      <c r="C30" s="50">
        <v>20.88</v>
      </c>
      <c r="D30" s="50">
        <v>5.0999999999999996</v>
      </c>
      <c r="E30" s="50">
        <v>18.760000000000002</v>
      </c>
      <c r="F30" s="50" t="s">
        <v>1867</v>
      </c>
      <c r="I30" s="51" t="s">
        <v>1873</v>
      </c>
      <c r="J30" s="50">
        <v>1.24</v>
      </c>
      <c r="K30" s="50">
        <v>1.512</v>
      </c>
      <c r="L30" s="50" t="s">
        <v>1129</v>
      </c>
    </row>
    <row r="31" spans="1:12" ht="27.6">
      <c r="A31" s="50" t="s">
        <v>1874</v>
      </c>
      <c r="B31" s="50" t="s">
        <v>1875</v>
      </c>
      <c r="C31" s="50">
        <v>71.599999999999994</v>
      </c>
      <c r="D31" s="50">
        <v>12.86</v>
      </c>
      <c r="E31" s="50">
        <v>80.430000000000007</v>
      </c>
      <c r="F31" s="50" t="s">
        <v>1129</v>
      </c>
      <c r="I31" s="51" t="s">
        <v>1876</v>
      </c>
      <c r="J31" s="50" t="s">
        <v>1129</v>
      </c>
      <c r="K31" s="50" t="s">
        <v>1877</v>
      </c>
      <c r="L31" s="50" t="s">
        <v>1878</v>
      </c>
    </row>
    <row r="32" spans="1:12" ht="27.6">
      <c r="A32" s="50" t="s">
        <v>1879</v>
      </c>
      <c r="B32" s="50" t="s">
        <v>1880</v>
      </c>
      <c r="C32" s="50">
        <v>17.13</v>
      </c>
      <c r="D32" s="50">
        <v>5.0999999999999996</v>
      </c>
      <c r="E32" s="50">
        <v>66.930000000000007</v>
      </c>
      <c r="F32" s="50" t="s">
        <v>1129</v>
      </c>
      <c r="I32" s="51" t="s">
        <v>1881</v>
      </c>
      <c r="J32" s="50">
        <v>3.5</v>
      </c>
      <c r="K32" s="50">
        <v>44.32</v>
      </c>
      <c r="L32" s="50">
        <v>4.68</v>
      </c>
    </row>
    <row r="33" spans="1:12" ht="55.2">
      <c r="A33" s="50" t="s">
        <v>1882</v>
      </c>
      <c r="B33" s="50" t="s">
        <v>1883</v>
      </c>
      <c r="C33" s="50">
        <v>9.35</v>
      </c>
      <c r="D33" s="50">
        <v>3.9</v>
      </c>
      <c r="E33" s="50" t="s">
        <v>1129</v>
      </c>
      <c r="F33" s="50" t="s">
        <v>1884</v>
      </c>
      <c r="I33" s="51" t="s">
        <v>1885</v>
      </c>
      <c r="J33" s="50" t="s">
        <v>1886</v>
      </c>
      <c r="K33" s="50" t="s">
        <v>1887</v>
      </c>
      <c r="L33" s="50" t="s">
        <v>1888</v>
      </c>
    </row>
    <row r="34" spans="1:12" ht="124.2">
      <c r="A34" s="50" t="s">
        <v>1889</v>
      </c>
      <c r="B34" s="50" t="s">
        <v>1890</v>
      </c>
      <c r="C34" s="50" t="s">
        <v>1129</v>
      </c>
      <c r="D34" s="50" t="s">
        <v>1129</v>
      </c>
      <c r="E34" s="50" t="s">
        <v>1129</v>
      </c>
      <c r="F34" s="50" t="s">
        <v>1891</v>
      </c>
      <c r="I34" s="51" t="s">
        <v>1892</v>
      </c>
      <c r="J34" s="50">
        <v>2.1</v>
      </c>
      <c r="K34" s="50">
        <v>15.1</v>
      </c>
      <c r="L34" s="50">
        <v>0.05</v>
      </c>
    </row>
    <row r="35" spans="1:12" ht="55.2">
      <c r="A35" s="50" t="s">
        <v>1893</v>
      </c>
      <c r="B35" s="50" t="s">
        <v>1894</v>
      </c>
      <c r="C35" s="50">
        <v>6.2</v>
      </c>
      <c r="D35" s="50">
        <v>0.68</v>
      </c>
      <c r="E35" s="50" t="s">
        <v>1129</v>
      </c>
      <c r="F35" s="50" t="s">
        <v>1129</v>
      </c>
      <c r="I35" s="54" t="s">
        <v>1895</v>
      </c>
      <c r="J35" s="54" t="s">
        <v>1845</v>
      </c>
      <c r="K35" s="54" t="s">
        <v>1896</v>
      </c>
      <c r="L35" s="54" t="s">
        <v>1897</v>
      </c>
    </row>
    <row r="36" spans="1:12" ht="78" customHeight="1">
      <c r="A36" s="50" t="s">
        <v>1898</v>
      </c>
      <c r="B36" s="50" t="s">
        <v>1899</v>
      </c>
      <c r="C36" s="50">
        <v>0.252</v>
      </c>
      <c r="D36" s="50">
        <v>0.438</v>
      </c>
      <c r="E36" s="50">
        <v>0.14199999999999999</v>
      </c>
      <c r="F36" s="50" t="s">
        <v>1900</v>
      </c>
      <c r="I36" s="685" t="s">
        <v>1901</v>
      </c>
      <c r="J36" s="685"/>
      <c r="K36" s="685"/>
      <c r="L36" s="685"/>
    </row>
    <row r="37" spans="1:12">
      <c r="A37" s="50" t="s">
        <v>1902</v>
      </c>
      <c r="B37" s="50" t="s">
        <v>1903</v>
      </c>
      <c r="C37" s="50">
        <v>0.18</v>
      </c>
      <c r="D37" s="50">
        <v>1.28</v>
      </c>
      <c r="E37" s="50">
        <v>0.79</v>
      </c>
      <c r="F37" s="50" t="s">
        <v>1129</v>
      </c>
    </row>
    <row r="38" spans="1:12" ht="41.4">
      <c r="A38" s="50" t="s">
        <v>1904</v>
      </c>
      <c r="B38" s="50" t="s">
        <v>1905</v>
      </c>
      <c r="C38" s="50">
        <v>0.24299999999999999</v>
      </c>
      <c r="D38" s="50" t="s">
        <v>1129</v>
      </c>
      <c r="E38" s="50">
        <v>0.6</v>
      </c>
      <c r="F38" s="50" t="s">
        <v>1129</v>
      </c>
    </row>
    <row r="39" spans="1:12" ht="69">
      <c r="A39" s="50" t="s">
        <v>1906</v>
      </c>
      <c r="B39" s="50" t="s">
        <v>1907</v>
      </c>
      <c r="C39" s="50">
        <v>0.24299999999999999</v>
      </c>
      <c r="D39" s="50" t="s">
        <v>1129</v>
      </c>
      <c r="E39" s="50">
        <v>0.6</v>
      </c>
      <c r="F39" s="50" t="s">
        <v>1129</v>
      </c>
    </row>
    <row r="40" spans="1:12" ht="69.599999999999994" thickBot="1">
      <c r="A40" s="54" t="s">
        <v>1908</v>
      </c>
      <c r="B40" s="54" t="s">
        <v>1909</v>
      </c>
      <c r="C40" s="54">
        <v>1.032</v>
      </c>
      <c r="D40" s="54">
        <v>0.5</v>
      </c>
      <c r="E40" s="54">
        <v>12.38</v>
      </c>
      <c r="F40" s="54" t="s">
        <v>1129</v>
      </c>
    </row>
    <row r="41" spans="1:12">
      <c r="A41" s="48" t="s">
        <v>1910</v>
      </c>
      <c r="B41" s="48"/>
      <c r="C41" s="48"/>
      <c r="D41" s="48"/>
      <c r="E41" s="48"/>
      <c r="F41" s="48"/>
    </row>
    <row r="45" spans="1:12" ht="18" thickBot="1">
      <c r="A45" s="43" t="s">
        <v>1911</v>
      </c>
    </row>
    <row r="46" spans="1:12" ht="15" thickTop="1"/>
    <row r="47" spans="1:12">
      <c r="A47" t="s">
        <v>1912</v>
      </c>
    </row>
    <row r="49" spans="1:12">
      <c r="A49" s="30" t="s">
        <v>903</v>
      </c>
      <c r="B49" t="s">
        <v>495</v>
      </c>
      <c r="C49" t="s">
        <v>1913</v>
      </c>
      <c r="D49" t="s">
        <v>1914</v>
      </c>
      <c r="E49" t="s">
        <v>1915</v>
      </c>
      <c r="F49" t="s">
        <v>1916</v>
      </c>
      <c r="G49" t="s">
        <v>1917</v>
      </c>
      <c r="H49" t="s">
        <v>1918</v>
      </c>
      <c r="I49" t="s">
        <v>1919</v>
      </c>
      <c r="J49" t="s">
        <v>1920</v>
      </c>
      <c r="K49" t="s">
        <v>1921</v>
      </c>
      <c r="L49" t="s">
        <v>1922</v>
      </c>
    </row>
    <row r="50" spans="1:12">
      <c r="A50" t="s">
        <v>1923</v>
      </c>
      <c r="B50" t="s">
        <v>1924</v>
      </c>
      <c r="C50">
        <v>1.4E-2</v>
      </c>
      <c r="D50">
        <v>6.8000000000000005E-2</v>
      </c>
      <c r="E50">
        <v>3.4000000000000002E-2</v>
      </c>
      <c r="F50">
        <v>2.7E-2</v>
      </c>
      <c r="G50">
        <v>2.5000000000000001E-2</v>
      </c>
      <c r="H50">
        <v>6.0000000000000001E-3</v>
      </c>
      <c r="I50">
        <v>9.9000000000000005E-2</v>
      </c>
      <c r="J50">
        <v>8.1000000000000003E-2</v>
      </c>
      <c r="K50">
        <v>7.2999999999999995E-2</v>
      </c>
      <c r="L50">
        <v>2.5000000000000001E-2</v>
      </c>
    </row>
    <row r="51" spans="1:12">
      <c r="A51" t="s">
        <v>1925</v>
      </c>
      <c r="B51" t="s">
        <v>1924</v>
      </c>
      <c r="C51">
        <v>2.9000000000000001E-2</v>
      </c>
      <c r="D51">
        <v>9.2999999999999999E-2</v>
      </c>
      <c r="E51">
        <v>3.2000000000000001E-2</v>
      </c>
      <c r="F51">
        <v>2.5999999999999999E-2</v>
      </c>
      <c r="G51">
        <v>1.2999999999999999E-2</v>
      </c>
      <c r="H51">
        <v>1.0999999999999999E-2</v>
      </c>
      <c r="I51">
        <v>0.128</v>
      </c>
      <c r="J51">
        <v>0.10299999999999999</v>
      </c>
      <c r="K51">
        <v>5.2999999999999999E-2</v>
      </c>
      <c r="L51">
        <v>4.2999999999999997E-2</v>
      </c>
    </row>
    <row r="52" spans="1:12">
      <c r="A52" t="s">
        <v>1926</v>
      </c>
      <c r="B52" t="s">
        <v>1927</v>
      </c>
      <c r="C52">
        <v>0.56699999999999995</v>
      </c>
      <c r="D52">
        <v>2.08</v>
      </c>
      <c r="E52">
        <v>0.65800000000000003</v>
      </c>
      <c r="F52">
        <v>0.52</v>
      </c>
      <c r="G52">
        <v>0.308</v>
      </c>
      <c r="H52">
        <v>0.38100000000000001</v>
      </c>
      <c r="I52">
        <v>2.8519999999999999</v>
      </c>
      <c r="J52">
        <v>2.2240000000000002</v>
      </c>
      <c r="K52">
        <v>1.4059999999999999</v>
      </c>
      <c r="L52">
        <v>1.512</v>
      </c>
    </row>
    <row r="53" spans="1:12">
      <c r="A53" t="s">
        <v>1041</v>
      </c>
      <c r="B53" t="s">
        <v>1928</v>
      </c>
      <c r="C53">
        <v>7.944</v>
      </c>
      <c r="D53">
        <v>39.173000000000002</v>
      </c>
      <c r="E53">
        <v>9.3109999999999999</v>
      </c>
      <c r="F53">
        <v>7.7590000000000003</v>
      </c>
      <c r="G53">
        <v>6.89</v>
      </c>
      <c r="H53">
        <v>2.621</v>
      </c>
      <c r="I53">
        <v>53.146000000000001</v>
      </c>
      <c r="J53">
        <v>41.749000000000002</v>
      </c>
      <c r="K53">
        <v>38.4</v>
      </c>
      <c r="L53">
        <v>10.375</v>
      </c>
    </row>
    <row r="54" spans="1:12">
      <c r="A54" t="s">
        <v>1929</v>
      </c>
      <c r="B54" t="s">
        <v>1930</v>
      </c>
      <c r="C54">
        <v>6.8000000000000005E-2</v>
      </c>
      <c r="D54">
        <v>0.313</v>
      </c>
      <c r="E54">
        <v>9.0999999999999998E-2</v>
      </c>
      <c r="F54">
        <v>7.3999999999999996E-2</v>
      </c>
      <c r="G54">
        <v>6.6000000000000003E-2</v>
      </c>
      <c r="H54">
        <v>4.2000000000000003E-2</v>
      </c>
      <c r="I54">
        <v>0.43</v>
      </c>
      <c r="J54">
        <v>0.33900000000000002</v>
      </c>
      <c r="K54">
        <v>0.309</v>
      </c>
      <c r="L54">
        <v>0.16900000000000001</v>
      </c>
    </row>
    <row r="55" spans="1:12">
      <c r="A55" t="s">
        <v>1931</v>
      </c>
      <c r="B55" t="s">
        <v>1932</v>
      </c>
      <c r="C55">
        <v>0.14299999999999999</v>
      </c>
      <c r="D55">
        <v>0.58099999999999996</v>
      </c>
      <c r="E55">
        <v>0.21</v>
      </c>
      <c r="F55">
        <v>0.16500000000000001</v>
      </c>
      <c r="G55">
        <v>0.13700000000000001</v>
      </c>
      <c r="H55">
        <v>0.14000000000000001</v>
      </c>
      <c r="I55">
        <v>0.81100000000000005</v>
      </c>
      <c r="J55">
        <v>0.64100000000000001</v>
      </c>
      <c r="K55">
        <v>0.53100000000000003</v>
      </c>
      <c r="L55">
        <v>0.55400000000000005</v>
      </c>
    </row>
    <row r="56" spans="1:12">
      <c r="A56" t="s">
        <v>1933</v>
      </c>
      <c r="B56" t="s">
        <v>1934</v>
      </c>
      <c r="C56">
        <v>163.292</v>
      </c>
      <c r="D56">
        <v>535.702</v>
      </c>
      <c r="E56">
        <v>0.17599999999999999</v>
      </c>
      <c r="F56">
        <v>0.157</v>
      </c>
      <c r="G56">
        <v>0.125</v>
      </c>
      <c r="H56">
        <v>0.11</v>
      </c>
      <c r="I56">
        <v>0.73299999999999998</v>
      </c>
      <c r="J56">
        <v>0.64300000000000002</v>
      </c>
      <c r="K56">
        <v>0.52200000000000002</v>
      </c>
      <c r="L56">
        <v>0.43</v>
      </c>
    </row>
    <row r="57" spans="1:12">
      <c r="A57" t="s">
        <v>1054</v>
      </c>
      <c r="B57" t="s">
        <v>1935</v>
      </c>
      <c r="C57">
        <v>79.043000000000006</v>
      </c>
      <c r="D57">
        <v>247.422</v>
      </c>
      <c r="E57">
        <v>8.1000000000000003E-2</v>
      </c>
      <c r="F57">
        <v>6.8000000000000005E-2</v>
      </c>
      <c r="G57">
        <v>3.5999999999999997E-2</v>
      </c>
      <c r="H57">
        <v>3.2000000000000001E-2</v>
      </c>
      <c r="I57">
        <v>0.33700000000000002</v>
      </c>
      <c r="J57">
        <v>0.27800000000000002</v>
      </c>
      <c r="K57">
        <v>0.157</v>
      </c>
      <c r="L57">
        <v>0.122</v>
      </c>
    </row>
    <row r="58" spans="1:12">
      <c r="A58" t="s">
        <v>1936</v>
      </c>
      <c r="B58" t="s">
        <v>1937</v>
      </c>
      <c r="C58">
        <v>2.9000000000000001E-2</v>
      </c>
      <c r="D58">
        <v>9.1999999999999998E-2</v>
      </c>
      <c r="E58">
        <v>0.03</v>
      </c>
      <c r="F58">
        <v>2.3E-2</v>
      </c>
      <c r="G58">
        <v>7.0000000000000001E-3</v>
      </c>
      <c r="H58">
        <v>5.0000000000000001E-3</v>
      </c>
      <c r="I58">
        <v>0.125</v>
      </c>
      <c r="J58">
        <v>9.6000000000000002E-2</v>
      </c>
      <c r="K58">
        <v>3.1E-2</v>
      </c>
      <c r="L58">
        <v>0.02</v>
      </c>
    </row>
    <row r="59" spans="1:12">
      <c r="A59" t="s">
        <v>1938</v>
      </c>
      <c r="B59" t="s">
        <v>1939</v>
      </c>
      <c r="C59">
        <v>0.47299999999999998</v>
      </c>
      <c r="D59">
        <v>1.383</v>
      </c>
      <c r="E59">
        <v>0.47699999999999998</v>
      </c>
      <c r="F59">
        <v>0.36</v>
      </c>
      <c r="G59">
        <v>2.8000000000000001E-2</v>
      </c>
      <c r="H59">
        <v>5.6000000000000001E-2</v>
      </c>
      <c r="I59">
        <v>1.8879999999999999</v>
      </c>
      <c r="J59">
        <v>1.423</v>
      </c>
      <c r="K59">
        <v>0.14299999999999999</v>
      </c>
      <c r="L59">
        <v>0.224</v>
      </c>
    </row>
    <row r="60" spans="1:12">
      <c r="A60" t="s">
        <v>1940</v>
      </c>
      <c r="B60" t="s">
        <v>1937</v>
      </c>
      <c r="C60">
        <v>5.0000000000000001E-3</v>
      </c>
      <c r="D60">
        <v>1.4999999999999999E-2</v>
      </c>
      <c r="E60">
        <v>5.0000000000000001E-3</v>
      </c>
      <c r="F60">
        <v>4.0000000000000001E-3</v>
      </c>
      <c r="G60">
        <v>2E-3</v>
      </c>
      <c r="H60">
        <v>1E-3</v>
      </c>
      <c r="I60">
        <v>2.1000000000000001E-2</v>
      </c>
      <c r="J60">
        <v>1.6E-2</v>
      </c>
      <c r="K60">
        <v>7.0000000000000001E-3</v>
      </c>
      <c r="L60">
        <v>5.0000000000000001E-3</v>
      </c>
    </row>
    <row r="61" spans="1:12">
      <c r="A61" t="s">
        <v>1941</v>
      </c>
      <c r="B61" t="s">
        <v>1942</v>
      </c>
      <c r="C61">
        <v>0.19600000000000001</v>
      </c>
      <c r="D61">
        <v>0.79200000000000004</v>
      </c>
      <c r="E61">
        <v>0.215</v>
      </c>
      <c r="F61">
        <v>0.188</v>
      </c>
      <c r="G61">
        <v>0.16300000000000001</v>
      </c>
      <c r="H61">
        <v>0.14599999999999999</v>
      </c>
      <c r="I61">
        <v>1.0760000000000001</v>
      </c>
      <c r="J61">
        <v>0.89500000000000002</v>
      </c>
      <c r="K61">
        <v>0.79700000000000004</v>
      </c>
      <c r="L61">
        <v>0.57399999999999995</v>
      </c>
    </row>
    <row r="62" spans="1:12">
      <c r="A62" t="s">
        <v>1035</v>
      </c>
      <c r="B62" t="s">
        <v>1943</v>
      </c>
      <c r="C62">
        <v>0.877</v>
      </c>
      <c r="D62">
        <v>3.8719999999999999</v>
      </c>
      <c r="E62">
        <v>1.157</v>
      </c>
      <c r="F62">
        <v>0.92800000000000005</v>
      </c>
      <c r="G62">
        <v>0.71199999999999997</v>
      </c>
      <c r="H62">
        <v>0.23499999999999999</v>
      </c>
      <c r="I62">
        <v>5.3250000000000002</v>
      </c>
      <c r="J62">
        <v>4.1740000000000004</v>
      </c>
      <c r="K62">
        <v>3.339</v>
      </c>
      <c r="L62">
        <v>0.93100000000000005</v>
      </c>
    </row>
    <row r="63" spans="1:12">
      <c r="A63" t="s">
        <v>1944</v>
      </c>
      <c r="B63" t="s">
        <v>1945</v>
      </c>
      <c r="C63">
        <v>13.01</v>
      </c>
      <c r="D63">
        <v>61.183</v>
      </c>
      <c r="E63">
        <v>17.876000000000001</v>
      </c>
      <c r="F63">
        <v>14.446999999999999</v>
      </c>
      <c r="G63">
        <v>12.234999999999999</v>
      </c>
      <c r="H63">
        <v>3.387</v>
      </c>
      <c r="I63">
        <v>84.177999999999997</v>
      </c>
      <c r="J63">
        <v>66.2</v>
      </c>
      <c r="K63">
        <v>57.674999999999997</v>
      </c>
      <c r="L63">
        <v>13.356</v>
      </c>
    </row>
    <row r="64" spans="1:12">
      <c r="A64" t="s">
        <v>1946</v>
      </c>
      <c r="B64" t="s">
        <v>1947</v>
      </c>
      <c r="C64">
        <v>2.3E-2</v>
      </c>
      <c r="D64">
        <v>0.108</v>
      </c>
      <c r="E64">
        <v>2.8000000000000001E-2</v>
      </c>
      <c r="F64">
        <v>2.3E-2</v>
      </c>
      <c r="G64">
        <v>2.1999999999999999E-2</v>
      </c>
      <c r="H64">
        <v>4.2999999999999997E-2</v>
      </c>
      <c r="I64">
        <v>0.14699999999999999</v>
      </c>
      <c r="J64">
        <v>0.11799999999999999</v>
      </c>
      <c r="K64">
        <v>0.113</v>
      </c>
      <c r="L64">
        <v>0.17100000000000001</v>
      </c>
    </row>
    <row r="65" spans="1:12">
      <c r="A65" t="s">
        <v>1948</v>
      </c>
      <c r="B65" t="s">
        <v>1949</v>
      </c>
      <c r="C65">
        <v>5.0000000000000001E-3</v>
      </c>
      <c r="D65">
        <v>0.02</v>
      </c>
      <c r="E65">
        <v>0.56499999999999995</v>
      </c>
      <c r="F65">
        <v>0.45300000000000001</v>
      </c>
      <c r="G65">
        <v>0.23799999999999999</v>
      </c>
      <c r="H65">
        <v>0.13</v>
      </c>
      <c r="I65">
        <v>2.77</v>
      </c>
      <c r="J65">
        <v>2.1850000000000001</v>
      </c>
      <c r="K65">
        <v>1.3540000000000001</v>
      </c>
      <c r="L65">
        <v>0.61</v>
      </c>
    </row>
    <row r="66" spans="1:12" ht="31.5" customHeight="1">
      <c r="A66" s="681" t="s">
        <v>1950</v>
      </c>
      <c r="B66" s="681"/>
      <c r="C66" s="681"/>
      <c r="D66" s="681"/>
      <c r="E66" s="681"/>
      <c r="F66" s="681"/>
      <c r="G66" s="681"/>
      <c r="H66" s="681"/>
      <c r="I66" s="681"/>
      <c r="J66" s="681"/>
      <c r="K66" s="681"/>
      <c r="L66" s="681"/>
    </row>
    <row r="68" spans="1:12">
      <c r="A68" s="3" t="s">
        <v>1951</v>
      </c>
      <c r="B68" s="48"/>
      <c r="C68" s="48"/>
    </row>
    <row r="69" spans="1:12">
      <c r="A69" s="3"/>
      <c r="B69" s="48"/>
      <c r="C69" s="48"/>
    </row>
    <row r="70" spans="1:12">
      <c r="A70" s="86" t="s">
        <v>1952</v>
      </c>
      <c r="B70" s="86" t="s">
        <v>1953</v>
      </c>
      <c r="C70" s="86" t="s">
        <v>1954</v>
      </c>
      <c r="D70" t="s">
        <v>1955</v>
      </c>
      <c r="E70" s="3" t="s">
        <v>1956</v>
      </c>
      <c r="F70" t="s">
        <v>1957</v>
      </c>
    </row>
    <row r="71" spans="1:12" ht="41.4">
      <c r="A71" s="87" t="s">
        <v>1958</v>
      </c>
      <c r="B71" s="88" t="s">
        <v>1297</v>
      </c>
      <c r="C71" s="83" t="s">
        <v>1959</v>
      </c>
      <c r="D71">
        <v>2.4180000000000001</v>
      </c>
      <c r="E71">
        <f>D71*I73</f>
        <v>15.13668</v>
      </c>
      <c r="H71" t="s">
        <v>1960</v>
      </c>
      <c r="I71">
        <v>32.24</v>
      </c>
      <c r="J71" t="s">
        <v>449</v>
      </c>
    </row>
    <row r="72" spans="1:12">
      <c r="A72" s="87" t="s">
        <v>1961</v>
      </c>
      <c r="B72" s="677" t="s">
        <v>1290</v>
      </c>
      <c r="C72" s="678" t="s">
        <v>1962</v>
      </c>
      <c r="H72" t="s">
        <v>1963</v>
      </c>
      <c r="I72">
        <v>6.26</v>
      </c>
      <c r="J72" t="s">
        <v>449</v>
      </c>
    </row>
    <row r="73" spans="1:12">
      <c r="A73" s="87" t="s">
        <v>1132</v>
      </c>
      <c r="B73" s="677"/>
      <c r="C73" s="678"/>
      <c r="D73">
        <v>2.5000000000000001E-3</v>
      </c>
      <c r="E73">
        <f>D73*I71</f>
        <v>8.0600000000000005E-2</v>
      </c>
      <c r="F73">
        <f>E73*3.6</f>
        <v>0.29016000000000003</v>
      </c>
      <c r="H73" t="s">
        <v>1964</v>
      </c>
      <c r="I73">
        <v>6.26</v>
      </c>
      <c r="J73" t="s">
        <v>449</v>
      </c>
    </row>
    <row r="74" spans="1:12">
      <c r="A74" s="87" t="s">
        <v>1965</v>
      </c>
      <c r="B74" s="677"/>
      <c r="C74" s="678"/>
    </row>
    <row r="75" spans="1:12" ht="27.6">
      <c r="A75" s="87" t="s">
        <v>1132</v>
      </c>
      <c r="B75" s="677"/>
      <c r="C75" s="83" t="s">
        <v>1966</v>
      </c>
      <c r="D75">
        <v>1.7500000000000002E-2</v>
      </c>
      <c r="E75">
        <f>D75*I71</f>
        <v>0.56420000000000003</v>
      </c>
      <c r="F75">
        <f t="shared" ref="F75:F76" si="0">E75*3.6</f>
        <v>2.03112</v>
      </c>
    </row>
    <row r="76" spans="1:12" ht="27.6">
      <c r="A76" s="87" t="s">
        <v>1967</v>
      </c>
      <c r="B76" s="677"/>
      <c r="C76" s="83" t="s">
        <v>1968</v>
      </c>
      <c r="D76">
        <v>5.0000000000000001E-3</v>
      </c>
      <c r="E76">
        <f>D76*I71</f>
        <v>0.16120000000000001</v>
      </c>
      <c r="F76">
        <f t="shared" si="0"/>
        <v>0.58032000000000006</v>
      </c>
      <c r="H76" s="90" t="s">
        <v>1969</v>
      </c>
      <c r="I76" s="48"/>
      <c r="J76" s="48"/>
      <c r="K76" s="48"/>
      <c r="L76" s="48"/>
    </row>
    <row r="77" spans="1:12">
      <c r="A77" s="87" t="s">
        <v>1132</v>
      </c>
      <c r="B77" s="677" t="s">
        <v>1970</v>
      </c>
      <c r="C77" s="83" t="s">
        <v>1971</v>
      </c>
      <c r="D77">
        <v>5.0000000000000001E-3</v>
      </c>
      <c r="E77">
        <f>D77*I71</f>
        <v>0.16120000000000001</v>
      </c>
      <c r="H77" s="90"/>
      <c r="I77" s="48"/>
      <c r="J77" s="48"/>
      <c r="K77" s="48"/>
      <c r="L77" s="48"/>
    </row>
    <row r="78" spans="1:12" ht="27.6">
      <c r="A78" s="87" t="s">
        <v>1972</v>
      </c>
      <c r="B78" s="677"/>
      <c r="C78" s="83" t="s">
        <v>1973</v>
      </c>
      <c r="D78">
        <v>0.67</v>
      </c>
      <c r="E78">
        <f>D78*I73</f>
        <v>4.1942000000000004</v>
      </c>
      <c r="H78" s="81" t="s">
        <v>1974</v>
      </c>
      <c r="I78" s="81" t="s">
        <v>1975</v>
      </c>
      <c r="J78" s="81" t="s">
        <v>1976</v>
      </c>
      <c r="K78" s="81" t="s">
        <v>495</v>
      </c>
      <c r="L78" s="81" t="s">
        <v>1977</v>
      </c>
    </row>
    <row r="79" spans="1:12" ht="27.6">
      <c r="A79" s="87" t="s">
        <v>1978</v>
      </c>
      <c r="B79" s="88" t="s">
        <v>1290</v>
      </c>
      <c r="C79" s="83" t="s">
        <v>1979</v>
      </c>
      <c r="D79">
        <v>1524.6</v>
      </c>
      <c r="E79">
        <f>D79*I72</f>
        <v>9543.9959999999992</v>
      </c>
      <c r="F79">
        <f>E79*3.6</f>
        <v>34358.385600000001</v>
      </c>
      <c r="H79" s="82" t="s">
        <v>1980</v>
      </c>
      <c r="I79" s="83"/>
      <c r="J79" s="83"/>
      <c r="K79" s="83"/>
      <c r="L79" s="83"/>
    </row>
    <row r="80" spans="1:12" ht="55.2">
      <c r="A80" s="87" t="s">
        <v>1132</v>
      </c>
      <c r="B80" s="88" t="s">
        <v>284</v>
      </c>
      <c r="C80" s="83" t="s">
        <v>1981</v>
      </c>
      <c r="D80">
        <v>37.270000000000003</v>
      </c>
      <c r="E80">
        <f>D80*I72</f>
        <v>233.31020000000001</v>
      </c>
      <c r="H80" s="82" t="s">
        <v>1982</v>
      </c>
      <c r="I80" s="83" t="s">
        <v>1983</v>
      </c>
      <c r="J80" s="83" t="s">
        <v>1984</v>
      </c>
      <c r="K80" s="83" t="s">
        <v>1985</v>
      </c>
      <c r="L80" s="83" t="s">
        <v>1986</v>
      </c>
    </row>
    <row r="81" spans="1:12" ht="41.4">
      <c r="A81" s="87" t="s">
        <v>1987</v>
      </c>
      <c r="B81" s="88" t="s">
        <v>1970</v>
      </c>
      <c r="C81" s="83" t="s">
        <v>1988</v>
      </c>
      <c r="D81">
        <v>50</v>
      </c>
      <c r="E81">
        <f>D81*I72</f>
        <v>313</v>
      </c>
      <c r="F81">
        <f>E81*1000</f>
        <v>313000</v>
      </c>
      <c r="H81" s="82" t="s">
        <v>692</v>
      </c>
      <c r="I81" s="83" t="s">
        <v>1989</v>
      </c>
      <c r="J81" s="83" t="s">
        <v>1990</v>
      </c>
      <c r="K81" s="83" t="s">
        <v>449</v>
      </c>
      <c r="L81" s="83" t="s">
        <v>1991</v>
      </c>
    </row>
    <row r="82" spans="1:12" ht="55.2">
      <c r="A82" s="87" t="s">
        <v>1992</v>
      </c>
      <c r="B82" s="677" t="s">
        <v>1290</v>
      </c>
      <c r="C82" s="678" t="s">
        <v>1993</v>
      </c>
      <c r="H82" s="82" t="s">
        <v>740</v>
      </c>
      <c r="I82" s="83" t="s">
        <v>38</v>
      </c>
      <c r="J82" s="83" t="s">
        <v>1994</v>
      </c>
      <c r="K82" s="83" t="s">
        <v>707</v>
      </c>
      <c r="L82" s="83" t="s">
        <v>1995</v>
      </c>
    </row>
    <row r="83" spans="1:12" ht="27.6">
      <c r="A83" s="87" t="s">
        <v>1132</v>
      </c>
      <c r="B83" s="677"/>
      <c r="C83" s="678"/>
      <c r="D83">
        <v>0.02</v>
      </c>
      <c r="E83">
        <f>D83*I73</f>
        <v>0.12520000000000001</v>
      </c>
      <c r="F83">
        <f>E83*3.6</f>
        <v>0.45072000000000001</v>
      </c>
      <c r="H83" s="82" t="s">
        <v>1996</v>
      </c>
      <c r="I83" s="83" t="s">
        <v>1989</v>
      </c>
      <c r="J83" s="83" t="s">
        <v>1997</v>
      </c>
      <c r="K83" s="83" t="s">
        <v>923</v>
      </c>
      <c r="L83" s="83" t="s">
        <v>1998</v>
      </c>
    </row>
    <row r="84" spans="1:12" ht="55.2">
      <c r="A84" s="87" t="s">
        <v>1999</v>
      </c>
      <c r="B84" s="677"/>
      <c r="C84" s="678"/>
      <c r="H84" s="82" t="s">
        <v>2000</v>
      </c>
      <c r="I84" s="83" t="s">
        <v>1983</v>
      </c>
      <c r="J84" s="83" t="s">
        <v>2001</v>
      </c>
      <c r="K84" s="83" t="s">
        <v>449</v>
      </c>
      <c r="L84" s="83" t="s">
        <v>2002</v>
      </c>
    </row>
    <row r="85" spans="1:12" ht="69">
      <c r="A85" s="87" t="s">
        <v>1132</v>
      </c>
      <c r="B85" s="677"/>
      <c r="C85" s="678"/>
      <c r="H85" s="82" t="s">
        <v>460</v>
      </c>
      <c r="I85" s="83" t="s">
        <v>1983</v>
      </c>
      <c r="J85" s="83" t="s">
        <v>2003</v>
      </c>
      <c r="K85" s="83" t="s">
        <v>449</v>
      </c>
      <c r="L85" s="83" t="s">
        <v>2004</v>
      </c>
    </row>
    <row r="86" spans="1:12" ht="41.4">
      <c r="A86" s="87" t="s">
        <v>2005</v>
      </c>
      <c r="B86" s="677"/>
      <c r="C86" s="83" t="s">
        <v>2006</v>
      </c>
      <c r="D86">
        <v>0.43</v>
      </c>
      <c r="E86">
        <f>D86*I73</f>
        <v>2.6917999999999997</v>
      </c>
      <c r="F86">
        <f>E86*3.6</f>
        <v>9.6904799999999991</v>
      </c>
      <c r="H86" s="82" t="s">
        <v>2007</v>
      </c>
      <c r="I86" s="83" t="s">
        <v>1989</v>
      </c>
      <c r="J86" s="83" t="s">
        <v>2008</v>
      </c>
      <c r="K86" s="83" t="s">
        <v>448</v>
      </c>
      <c r="L86" s="83" t="s">
        <v>2009</v>
      </c>
    </row>
    <row r="87" spans="1:12" ht="27.6">
      <c r="A87" s="87" t="s">
        <v>1132</v>
      </c>
      <c r="B87" s="677"/>
      <c r="C87" s="83" t="s">
        <v>2010</v>
      </c>
      <c r="D87">
        <v>1.2E-2</v>
      </c>
      <c r="E87">
        <f>D87*I73</f>
        <v>7.5119999999999992E-2</v>
      </c>
      <c r="F87">
        <f>E87*3.6</f>
        <v>0.27043200000000001</v>
      </c>
      <c r="H87" s="82" t="s">
        <v>1996</v>
      </c>
      <c r="I87" s="83" t="s">
        <v>1989</v>
      </c>
      <c r="J87" s="83" t="s">
        <v>1997</v>
      </c>
      <c r="K87" s="83" t="s">
        <v>923</v>
      </c>
      <c r="L87" s="83" t="s">
        <v>1998</v>
      </c>
    </row>
    <row r="88" spans="1:12" ht="82.8">
      <c r="A88" s="87" t="s">
        <v>2011</v>
      </c>
      <c r="B88" s="677"/>
      <c r="C88" s="83" t="s">
        <v>2012</v>
      </c>
      <c r="D88">
        <v>0.1</v>
      </c>
      <c r="E88">
        <f>D88*I73</f>
        <v>0.626</v>
      </c>
      <c r="F88">
        <f>E88*3.6</f>
        <v>2.2536</v>
      </c>
      <c r="H88" s="82" t="s">
        <v>2013</v>
      </c>
      <c r="I88" s="83" t="s">
        <v>1983</v>
      </c>
      <c r="J88" s="83" t="s">
        <v>2014</v>
      </c>
      <c r="K88" s="83" t="s">
        <v>449</v>
      </c>
      <c r="L88" s="83" t="s">
        <v>2015</v>
      </c>
    </row>
    <row r="89" spans="1:12" ht="82.8">
      <c r="A89" s="87" t="s">
        <v>1132</v>
      </c>
      <c r="B89" s="88" t="s">
        <v>284</v>
      </c>
      <c r="C89" s="83" t="s">
        <v>2016</v>
      </c>
      <c r="D89">
        <v>0.06</v>
      </c>
      <c r="E89">
        <f>D89*I73</f>
        <v>0.37559999999999999</v>
      </c>
      <c r="H89" s="82" t="s">
        <v>2017</v>
      </c>
      <c r="I89" s="83" t="s">
        <v>1983</v>
      </c>
      <c r="J89" s="83" t="s">
        <v>2014</v>
      </c>
      <c r="K89" s="83" t="s">
        <v>449</v>
      </c>
      <c r="L89" s="83" t="s">
        <v>2018</v>
      </c>
    </row>
    <row r="90" spans="1:12" ht="41.4">
      <c r="A90" s="87" t="s">
        <v>2019</v>
      </c>
      <c r="B90" s="88" t="s">
        <v>1970</v>
      </c>
      <c r="C90" s="83" t="s">
        <v>2020</v>
      </c>
      <c r="D90">
        <v>16.14</v>
      </c>
      <c r="E90">
        <f>D90*I73</f>
        <v>101.0364</v>
      </c>
      <c r="H90" s="82" t="s">
        <v>2021</v>
      </c>
      <c r="I90" s="83" t="s">
        <v>1983</v>
      </c>
      <c r="J90" s="83" t="s">
        <v>2022</v>
      </c>
      <c r="K90" s="83" t="s">
        <v>449</v>
      </c>
      <c r="L90" s="83" t="s">
        <v>2023</v>
      </c>
    </row>
    <row r="91" spans="1:12">
      <c r="A91" s="87" t="s">
        <v>2024</v>
      </c>
      <c r="B91" s="677" t="s">
        <v>1290</v>
      </c>
      <c r="C91" s="678" t="s">
        <v>2025</v>
      </c>
      <c r="H91" s="82" t="s">
        <v>2026</v>
      </c>
      <c r="I91" s="83"/>
      <c r="J91" s="83"/>
      <c r="K91" s="83"/>
      <c r="L91" s="83"/>
    </row>
    <row r="92" spans="1:12" ht="82.8">
      <c r="A92" s="87" t="s">
        <v>1132</v>
      </c>
      <c r="B92" s="677"/>
      <c r="C92" s="678"/>
      <c r="H92" s="82" t="s">
        <v>2027</v>
      </c>
      <c r="I92" s="83" t="s">
        <v>38</v>
      </c>
      <c r="J92" s="83"/>
      <c r="K92" s="83" t="s">
        <v>449</v>
      </c>
      <c r="L92" s="83"/>
    </row>
    <row r="93" spans="1:12" ht="69">
      <c r="A93" s="87" t="s">
        <v>2028</v>
      </c>
      <c r="B93" s="677"/>
      <c r="C93" s="678"/>
      <c r="H93" s="84" t="s">
        <v>2029</v>
      </c>
      <c r="I93" s="85" t="s">
        <v>38</v>
      </c>
      <c r="J93" s="85"/>
      <c r="K93" s="85" t="s">
        <v>449</v>
      </c>
      <c r="L93" s="80"/>
    </row>
    <row r="94" spans="1:12">
      <c r="A94" s="87" t="s">
        <v>1132</v>
      </c>
      <c r="B94" s="677"/>
      <c r="C94" s="678"/>
      <c r="D94">
        <v>7.0000000000000001E-3</v>
      </c>
      <c r="E94">
        <f>D94*I73</f>
        <v>4.3819999999999998E-2</v>
      </c>
      <c r="F94">
        <f>E94*3.6</f>
        <v>0.157752</v>
      </c>
    </row>
    <row r="95" spans="1:12">
      <c r="A95" s="87" t="s">
        <v>2030</v>
      </c>
      <c r="B95" s="677"/>
      <c r="C95" s="678"/>
    </row>
    <row r="96" spans="1:12">
      <c r="A96" s="87" t="s">
        <v>1132</v>
      </c>
      <c r="B96" s="677"/>
      <c r="C96" s="678"/>
    </row>
    <row r="97" spans="1:6">
      <c r="A97" s="87" t="s">
        <v>2031</v>
      </c>
      <c r="B97" s="677"/>
      <c r="C97" s="678"/>
    </row>
    <row r="98" spans="1:6">
      <c r="A98" s="87" t="s">
        <v>1132</v>
      </c>
      <c r="B98" s="677"/>
      <c r="C98" s="678"/>
    </row>
    <row r="99" spans="1:6" ht="42" customHeight="1">
      <c r="A99" s="87" t="s">
        <v>2032</v>
      </c>
      <c r="B99" s="677"/>
      <c r="C99" s="83" t="s">
        <v>2033</v>
      </c>
      <c r="D99">
        <v>5.0000000000000001E-3</v>
      </c>
      <c r="E99">
        <f>D99*$I$73</f>
        <v>3.1300000000000001E-2</v>
      </c>
      <c r="F99">
        <f>E99*3.6</f>
        <v>0.11268</v>
      </c>
    </row>
    <row r="100" spans="1:6" ht="27.6">
      <c r="A100" s="87" t="s">
        <v>1132</v>
      </c>
      <c r="B100" s="677"/>
      <c r="C100" s="83" t="s">
        <v>2034</v>
      </c>
      <c r="D100">
        <v>8.9999999999999993E-3</v>
      </c>
      <c r="E100">
        <f t="shared" ref="E100:E105" si="1">D100*$I$73</f>
        <v>5.6339999999999994E-2</v>
      </c>
      <c r="F100">
        <f t="shared" ref="F100:F103" si="2">E100*3.6</f>
        <v>0.20282399999999998</v>
      </c>
    </row>
    <row r="101" spans="1:6" ht="27.6">
      <c r="A101" s="87" t="s">
        <v>2035</v>
      </c>
      <c r="B101" s="677"/>
      <c r="C101" s="83" t="s">
        <v>2036</v>
      </c>
      <c r="D101">
        <v>0.24</v>
      </c>
      <c r="E101">
        <f t="shared" si="1"/>
        <v>1.5024</v>
      </c>
      <c r="F101">
        <f t="shared" si="2"/>
        <v>5.4086400000000001</v>
      </c>
    </row>
    <row r="102" spans="1:6" ht="27.6">
      <c r="A102" s="87" t="s">
        <v>1132</v>
      </c>
      <c r="B102" s="677"/>
      <c r="C102" s="83" t="s">
        <v>2037</v>
      </c>
      <c r="D102">
        <v>0.13900000000000001</v>
      </c>
      <c r="E102">
        <f t="shared" si="1"/>
        <v>0.87014000000000002</v>
      </c>
      <c r="F102">
        <f t="shared" si="2"/>
        <v>3.132504</v>
      </c>
    </row>
    <row r="103" spans="1:6" ht="27.6">
      <c r="A103" s="87" t="s">
        <v>2019</v>
      </c>
      <c r="B103" s="677"/>
      <c r="C103" s="83" t="s">
        <v>2038</v>
      </c>
      <c r="D103">
        <v>0.08</v>
      </c>
      <c r="E103">
        <f t="shared" si="1"/>
        <v>0.50080000000000002</v>
      </c>
      <c r="F103">
        <f t="shared" si="2"/>
        <v>1.80288</v>
      </c>
    </row>
    <row r="104" spans="1:6" ht="27.6">
      <c r="A104" s="87" t="s">
        <v>1132</v>
      </c>
      <c r="B104" s="88" t="s">
        <v>1970</v>
      </c>
      <c r="C104" s="83" t="s">
        <v>2039</v>
      </c>
      <c r="D104">
        <v>10.76</v>
      </c>
      <c r="E104">
        <f t="shared" si="1"/>
        <v>67.357599999999991</v>
      </c>
    </row>
    <row r="105" spans="1:6" ht="27.6">
      <c r="A105" s="87" t="s">
        <v>1579</v>
      </c>
      <c r="B105" s="88" t="s">
        <v>284</v>
      </c>
      <c r="C105" s="83" t="s">
        <v>2040</v>
      </c>
      <c r="D105">
        <v>0.04</v>
      </c>
      <c r="E105">
        <f t="shared" si="1"/>
        <v>0.25040000000000001</v>
      </c>
    </row>
    <row r="106" spans="1:6">
      <c r="A106" s="87" t="s">
        <v>2041</v>
      </c>
      <c r="B106" s="677" t="s">
        <v>1290</v>
      </c>
      <c r="C106" s="678" t="s">
        <v>2042</v>
      </c>
    </row>
    <row r="107" spans="1:6">
      <c r="A107" s="87" t="s">
        <v>1132</v>
      </c>
      <c r="B107" s="677"/>
      <c r="C107" s="678"/>
      <c r="D107">
        <v>7.5999999999999998E-2</v>
      </c>
      <c r="E107">
        <f>D107</f>
        <v>7.5999999999999998E-2</v>
      </c>
      <c r="F107">
        <f>E107*3.6</f>
        <v>0.27360000000000001</v>
      </c>
    </row>
    <row r="108" spans="1:6">
      <c r="A108" s="87" t="s">
        <v>2043</v>
      </c>
      <c r="B108" s="677"/>
      <c r="C108" s="678"/>
    </row>
    <row r="109" spans="1:6" ht="27.6">
      <c r="A109" s="87" t="s">
        <v>1132</v>
      </c>
      <c r="B109" s="677"/>
      <c r="C109" s="83" t="s">
        <v>2044</v>
      </c>
      <c r="D109">
        <v>5.0000000000000001E-3</v>
      </c>
      <c r="E109">
        <f>D109</f>
        <v>5.0000000000000001E-3</v>
      </c>
      <c r="F109">
        <f t="shared" ref="F109:F110" si="3">E109*3.6</f>
        <v>1.8000000000000002E-2</v>
      </c>
    </row>
    <row r="110" spans="1:6" ht="27.6">
      <c r="A110" s="87" t="s">
        <v>2045</v>
      </c>
      <c r="B110" s="677"/>
      <c r="C110" s="83" t="s">
        <v>2046</v>
      </c>
      <c r="D110">
        <v>3.4000000000000002E-2</v>
      </c>
      <c r="E110">
        <f t="shared" ref="E110:E112" si="4">D110</f>
        <v>3.4000000000000002E-2</v>
      </c>
      <c r="F110">
        <f t="shared" si="3"/>
        <v>0.12240000000000001</v>
      </c>
    </row>
    <row r="111" spans="1:6" ht="27.6">
      <c r="A111" s="87" t="s">
        <v>1132</v>
      </c>
      <c r="B111" s="88" t="s">
        <v>1970</v>
      </c>
      <c r="C111" s="83" t="s">
        <v>2047</v>
      </c>
      <c r="D111">
        <v>2.62</v>
      </c>
      <c r="E111">
        <f t="shared" si="4"/>
        <v>2.62</v>
      </c>
    </row>
    <row r="112" spans="1:6" ht="27.6">
      <c r="A112" s="87" t="s">
        <v>2019</v>
      </c>
      <c r="B112" s="88" t="s">
        <v>284</v>
      </c>
      <c r="C112" s="83" t="s">
        <v>2048</v>
      </c>
      <c r="D112">
        <v>0.02</v>
      </c>
      <c r="E112">
        <f t="shared" si="4"/>
        <v>0.02</v>
      </c>
    </row>
    <row r="113" spans="1:7" ht="27.6">
      <c r="A113" s="679" t="s">
        <v>2049</v>
      </c>
      <c r="B113" s="88" t="s">
        <v>1290</v>
      </c>
      <c r="C113" s="83" t="s">
        <v>2050</v>
      </c>
      <c r="D113">
        <v>0.13</v>
      </c>
      <c r="E113">
        <f>D113*$I$73</f>
        <v>0.81379999999999997</v>
      </c>
      <c r="F113">
        <f>E113*3.6</f>
        <v>2.9296799999999998</v>
      </c>
    </row>
    <row r="114" spans="1:7">
      <c r="A114" s="679"/>
      <c r="B114" s="88" t="s">
        <v>1970</v>
      </c>
      <c r="C114" s="83" t="s">
        <v>2051</v>
      </c>
      <c r="D114">
        <v>1.82</v>
      </c>
      <c r="E114">
        <f t="shared" ref="E114:E115" si="5">D114*$I$73</f>
        <v>11.3932</v>
      </c>
    </row>
    <row r="115" spans="1:7" ht="27.6">
      <c r="A115" s="680"/>
      <c r="B115" s="89" t="s">
        <v>284</v>
      </c>
      <c r="C115" s="85" t="s">
        <v>2052</v>
      </c>
      <c r="D115">
        <v>4.2199999999999998E-3</v>
      </c>
      <c r="E115">
        <f t="shared" si="5"/>
        <v>2.6417199999999998E-2</v>
      </c>
    </row>
    <row r="117" spans="1:7" ht="14.7" customHeight="1"/>
    <row r="120" spans="1:7" ht="18" thickBot="1">
      <c r="A120" s="43" t="s">
        <v>2053</v>
      </c>
    </row>
    <row r="121" spans="1:7" ht="15" thickTop="1"/>
    <row r="122" spans="1:7">
      <c r="A122" s="62" t="s">
        <v>2054</v>
      </c>
      <c r="B122" s="48"/>
      <c r="C122" s="48"/>
      <c r="D122" s="48"/>
      <c r="E122" s="48"/>
      <c r="F122" s="48"/>
      <c r="G122" s="48"/>
    </row>
    <row r="123" spans="1:7" ht="15" thickBot="1">
      <c r="A123" s="59" t="s">
        <v>2055</v>
      </c>
      <c r="B123" s="48"/>
      <c r="C123" s="48"/>
      <c r="D123" s="48"/>
      <c r="E123" s="48"/>
      <c r="F123" s="48"/>
      <c r="G123" s="48"/>
    </row>
    <row r="124" spans="1:7" ht="28.2" thickBot="1">
      <c r="A124" s="63" t="s">
        <v>2056</v>
      </c>
      <c r="B124" s="64" t="s">
        <v>15</v>
      </c>
      <c r="C124" s="64" t="s">
        <v>2057</v>
      </c>
      <c r="D124" s="64" t="s">
        <v>2058</v>
      </c>
      <c r="E124" s="64" t="s">
        <v>2059</v>
      </c>
      <c r="F124" s="64" t="s">
        <v>2060</v>
      </c>
      <c r="G124" s="64" t="s">
        <v>1786</v>
      </c>
    </row>
    <row r="125" spans="1:7" ht="55.8" thickBot="1">
      <c r="A125" s="65" t="s">
        <v>2061</v>
      </c>
      <c r="B125" s="66" t="s">
        <v>37</v>
      </c>
      <c r="C125" s="67">
        <v>1</v>
      </c>
      <c r="D125" s="66" t="s">
        <v>2062</v>
      </c>
      <c r="E125" s="66" t="s">
        <v>2063</v>
      </c>
      <c r="F125" s="66" t="s">
        <v>2064</v>
      </c>
      <c r="G125" s="60" t="s">
        <v>2065</v>
      </c>
    </row>
    <row r="126" spans="1:7" ht="55.8" thickBot="1">
      <c r="A126" s="65" t="s">
        <v>2066</v>
      </c>
      <c r="B126" s="66" t="s">
        <v>37</v>
      </c>
      <c r="C126" s="67">
        <v>2</v>
      </c>
      <c r="D126" s="66" t="s">
        <v>2067</v>
      </c>
      <c r="E126" s="66" t="s">
        <v>2068</v>
      </c>
      <c r="F126" s="66" t="s">
        <v>2069</v>
      </c>
      <c r="G126" s="60" t="s">
        <v>2070</v>
      </c>
    </row>
    <row r="127" spans="1:7" ht="28.2" thickBot="1">
      <c r="A127" s="65" t="s">
        <v>2066</v>
      </c>
      <c r="B127" s="66" t="s">
        <v>2071</v>
      </c>
      <c r="C127" s="67" t="s">
        <v>2072</v>
      </c>
      <c r="D127" s="66" t="s">
        <v>2073</v>
      </c>
      <c r="E127" s="66" t="s">
        <v>2074</v>
      </c>
      <c r="F127" s="66" t="s">
        <v>1628</v>
      </c>
      <c r="G127" s="60" t="s">
        <v>2075</v>
      </c>
    </row>
    <row r="128" spans="1:7" ht="111" thickBot="1">
      <c r="A128" s="65" t="s">
        <v>2061</v>
      </c>
      <c r="B128" s="66" t="s">
        <v>37</v>
      </c>
      <c r="C128" s="67">
        <v>5</v>
      </c>
      <c r="D128" s="66" t="s">
        <v>2076</v>
      </c>
      <c r="E128" s="66" t="s">
        <v>2077</v>
      </c>
      <c r="F128" s="66" t="s">
        <v>2078</v>
      </c>
      <c r="G128" s="60" t="s">
        <v>2079</v>
      </c>
    </row>
    <row r="129" spans="1:14" ht="55.8" thickBot="1">
      <c r="A129" s="65" t="s">
        <v>2080</v>
      </c>
      <c r="B129" s="66" t="s">
        <v>186</v>
      </c>
      <c r="C129" s="67">
        <v>6</v>
      </c>
      <c r="D129" s="66" t="s">
        <v>2081</v>
      </c>
      <c r="E129" s="66" t="s">
        <v>2082</v>
      </c>
      <c r="F129" s="66" t="s">
        <v>2083</v>
      </c>
      <c r="G129" s="60" t="s">
        <v>2084</v>
      </c>
    </row>
    <row r="130" spans="1:14" ht="83.4" thickBot="1">
      <c r="A130" s="68" t="s">
        <v>2080</v>
      </c>
      <c r="B130" s="69" t="s">
        <v>47</v>
      </c>
      <c r="C130" s="70">
        <v>7</v>
      </c>
      <c r="D130" s="69" t="s">
        <v>2085</v>
      </c>
      <c r="E130" s="69" t="s">
        <v>2086</v>
      </c>
      <c r="F130" s="69" t="s">
        <v>2087</v>
      </c>
      <c r="G130" s="61" t="s">
        <v>2088</v>
      </c>
    </row>
    <row r="131" spans="1:14" ht="67.95" customHeight="1">
      <c r="A131" s="686" t="s">
        <v>2089</v>
      </c>
      <c r="B131" s="686"/>
      <c r="C131" s="686"/>
      <c r="D131" s="686"/>
      <c r="E131" s="686"/>
      <c r="F131" s="686"/>
      <c r="G131" s="686"/>
    </row>
    <row r="135" spans="1:14" ht="18" thickBot="1">
      <c r="A135" s="43" t="s">
        <v>2090</v>
      </c>
    </row>
    <row r="136" spans="1:14" ht="15" thickTop="1"/>
    <row r="138" spans="1:14" ht="15" thickBot="1">
      <c r="A138" s="47" t="s">
        <v>2091</v>
      </c>
      <c r="B138" s="48"/>
      <c r="C138" s="48"/>
      <c r="D138" s="48"/>
      <c r="E138" s="48"/>
      <c r="F138" s="48"/>
      <c r="G138" s="48"/>
      <c r="K138" s="47" t="s">
        <v>2092</v>
      </c>
      <c r="L138" s="48"/>
      <c r="M138" s="48"/>
      <c r="N138" s="48"/>
    </row>
    <row r="139" spans="1:14" ht="25.95" customHeight="1" thickBot="1">
      <c r="A139" s="49" t="s">
        <v>2093</v>
      </c>
      <c r="B139" s="49" t="s">
        <v>495</v>
      </c>
      <c r="C139" s="49" t="s">
        <v>2094</v>
      </c>
      <c r="D139" s="49" t="s">
        <v>2095</v>
      </c>
      <c r="E139" s="49" t="s">
        <v>2096</v>
      </c>
      <c r="F139" s="49" t="s">
        <v>2097</v>
      </c>
      <c r="G139" s="49" t="s">
        <v>2098</v>
      </c>
      <c r="K139" s="49" t="s">
        <v>252</v>
      </c>
      <c r="L139" s="49" t="s">
        <v>2099</v>
      </c>
      <c r="M139" s="49" t="s">
        <v>2096</v>
      </c>
      <c r="N139" s="49" t="s">
        <v>2097</v>
      </c>
    </row>
    <row r="140" spans="1:14" ht="25.95" customHeight="1">
      <c r="A140" s="50" t="s">
        <v>2100</v>
      </c>
      <c r="B140" s="50" t="s">
        <v>449</v>
      </c>
      <c r="C140" s="50">
        <v>1</v>
      </c>
      <c r="D140" s="50">
        <v>3808</v>
      </c>
      <c r="E140" s="50">
        <v>12.2</v>
      </c>
      <c r="F140" s="50">
        <v>1.34</v>
      </c>
      <c r="G140" s="51" t="s">
        <v>2101</v>
      </c>
      <c r="K140" s="50" t="s">
        <v>1987</v>
      </c>
      <c r="L140" s="50">
        <v>26</v>
      </c>
      <c r="M140" s="50">
        <v>84</v>
      </c>
      <c r="N140" s="50">
        <v>7</v>
      </c>
    </row>
    <row r="141" spans="1:14" ht="25.95" customHeight="1">
      <c r="A141" s="50" t="s">
        <v>2102</v>
      </c>
      <c r="B141" s="50" t="s">
        <v>449</v>
      </c>
      <c r="C141" s="50">
        <v>17</v>
      </c>
      <c r="D141" s="50">
        <v>1351</v>
      </c>
      <c r="E141" s="50">
        <v>3.9</v>
      </c>
      <c r="F141" s="50">
        <v>0.34</v>
      </c>
      <c r="G141" s="51" t="s">
        <v>2101</v>
      </c>
      <c r="K141" s="50" t="s">
        <v>2103</v>
      </c>
      <c r="L141" s="50">
        <v>23</v>
      </c>
      <c r="M141" s="50">
        <v>67</v>
      </c>
      <c r="N141" s="50">
        <v>6</v>
      </c>
    </row>
    <row r="142" spans="1:14" ht="25.95" customHeight="1">
      <c r="A142" s="50" t="s">
        <v>2104</v>
      </c>
      <c r="B142" s="50" t="s">
        <v>449</v>
      </c>
      <c r="C142" s="52">
        <v>11079</v>
      </c>
      <c r="D142" s="50">
        <v>11</v>
      </c>
      <c r="E142" s="50">
        <v>0.2</v>
      </c>
      <c r="F142" s="50">
        <v>0</v>
      </c>
      <c r="G142" s="53" t="s">
        <v>2105</v>
      </c>
      <c r="K142" s="50" t="s">
        <v>2106</v>
      </c>
      <c r="L142" s="50">
        <v>2</v>
      </c>
      <c r="M142" s="50">
        <v>7</v>
      </c>
      <c r="N142" s="50">
        <v>1</v>
      </c>
    </row>
    <row r="143" spans="1:14" ht="25.95" customHeight="1">
      <c r="A143" s="50" t="s">
        <v>2107</v>
      </c>
      <c r="B143" s="50" t="s">
        <v>449</v>
      </c>
      <c r="C143" s="50">
        <v>3693</v>
      </c>
      <c r="D143" s="50">
        <v>42</v>
      </c>
      <c r="E143" s="50">
        <v>0.2</v>
      </c>
      <c r="F143" s="50">
        <v>0</v>
      </c>
      <c r="G143" s="53" t="s">
        <v>2108</v>
      </c>
      <c r="K143" s="50" t="s">
        <v>2109</v>
      </c>
      <c r="L143" s="50">
        <v>1</v>
      </c>
      <c r="M143" s="50">
        <v>11</v>
      </c>
      <c r="N143" s="50">
        <v>0</v>
      </c>
    </row>
    <row r="144" spans="1:14" ht="25.95" customHeight="1">
      <c r="A144" s="50" t="s">
        <v>2110</v>
      </c>
      <c r="B144" s="50" t="s">
        <v>449</v>
      </c>
      <c r="C144" s="50">
        <v>57</v>
      </c>
      <c r="D144" s="50">
        <v>1362</v>
      </c>
      <c r="E144" s="50">
        <v>3.9</v>
      </c>
      <c r="F144" s="50">
        <v>0.34</v>
      </c>
      <c r="G144" s="53" t="s">
        <v>2111</v>
      </c>
      <c r="K144" s="693"/>
      <c r="L144" s="693"/>
      <c r="M144" s="693"/>
      <c r="N144" s="693"/>
    </row>
    <row r="145" spans="1:16" ht="25.95" customHeight="1">
      <c r="A145" s="50" t="s">
        <v>6</v>
      </c>
      <c r="B145" s="50" t="s">
        <v>449</v>
      </c>
      <c r="C145" s="52">
        <v>10309</v>
      </c>
      <c r="D145" s="50">
        <v>0</v>
      </c>
      <c r="E145" s="50">
        <v>0</v>
      </c>
      <c r="F145" s="50">
        <v>0</v>
      </c>
      <c r="G145" s="51" t="s">
        <v>2112</v>
      </c>
      <c r="K145" s="50" t="s">
        <v>2113</v>
      </c>
      <c r="L145" s="50">
        <v>353</v>
      </c>
      <c r="M145" s="50">
        <v>2733</v>
      </c>
      <c r="N145" s="50">
        <v>23</v>
      </c>
    </row>
    <row r="146" spans="1:16" ht="25.95" customHeight="1">
      <c r="A146" s="50" t="s">
        <v>1290</v>
      </c>
      <c r="B146" s="50" t="s">
        <v>707</v>
      </c>
      <c r="C146" s="50">
        <v>378</v>
      </c>
      <c r="D146" s="50">
        <v>753</v>
      </c>
      <c r="E146" s="50">
        <v>11.8</v>
      </c>
      <c r="F146" s="50">
        <v>0.01</v>
      </c>
      <c r="G146" s="51" t="s">
        <v>2112</v>
      </c>
      <c r="K146" s="50" t="s">
        <v>2114</v>
      </c>
      <c r="L146" s="50">
        <v>350</v>
      </c>
      <c r="M146" s="50">
        <v>2686</v>
      </c>
      <c r="N146" s="50">
        <v>22</v>
      </c>
    </row>
    <row r="147" spans="1:16" ht="25.95" customHeight="1" thickBot="1">
      <c r="A147" s="54" t="s">
        <v>74</v>
      </c>
      <c r="B147" s="54" t="s">
        <v>707</v>
      </c>
      <c r="C147" s="54">
        <v>183</v>
      </c>
      <c r="D147" s="54">
        <v>586</v>
      </c>
      <c r="E147" s="54">
        <v>11.2</v>
      </c>
      <c r="F147" s="54">
        <v>0</v>
      </c>
      <c r="G147" s="55" t="s">
        <v>2112</v>
      </c>
      <c r="K147" s="50" t="s">
        <v>2109</v>
      </c>
      <c r="L147" s="50">
        <v>3</v>
      </c>
      <c r="M147" s="50">
        <v>46</v>
      </c>
      <c r="N147" s="50">
        <v>0</v>
      </c>
    </row>
    <row r="148" spans="1:16" ht="25.95" customHeight="1">
      <c r="K148" s="693"/>
      <c r="L148" s="693"/>
      <c r="M148" s="693"/>
      <c r="N148" s="693"/>
    </row>
    <row r="149" spans="1:16" ht="25.95" customHeight="1">
      <c r="K149" s="50" t="s">
        <v>2115</v>
      </c>
      <c r="L149" s="50">
        <v>284</v>
      </c>
      <c r="M149" s="50">
        <v>4458</v>
      </c>
      <c r="N149" s="50">
        <v>2</v>
      </c>
    </row>
    <row r="150" spans="1:16" ht="25.95" customHeight="1" thickBot="1">
      <c r="A150" s="47" t="s">
        <v>2116</v>
      </c>
      <c r="B150" s="48"/>
      <c r="C150" s="48"/>
      <c r="D150" s="48"/>
      <c r="E150" s="48"/>
      <c r="F150" s="48"/>
      <c r="G150" s="48"/>
      <c r="H150" s="48"/>
      <c r="I150" s="48"/>
      <c r="K150" s="50" t="s">
        <v>2117</v>
      </c>
      <c r="L150" s="50">
        <v>21</v>
      </c>
      <c r="M150" s="50">
        <v>322</v>
      </c>
      <c r="N150" s="50">
        <v>0</v>
      </c>
    </row>
    <row r="151" spans="1:16" ht="25.95" customHeight="1" thickBot="1">
      <c r="A151" s="49" t="s">
        <v>2118</v>
      </c>
      <c r="B151" s="49" t="s">
        <v>2119</v>
      </c>
      <c r="C151" s="49" t="s">
        <v>2120</v>
      </c>
      <c r="D151" s="49" t="s">
        <v>2121</v>
      </c>
      <c r="E151" s="49" t="s">
        <v>2122</v>
      </c>
      <c r="F151" s="49" t="s">
        <v>2123</v>
      </c>
      <c r="G151" s="49" t="s">
        <v>2124</v>
      </c>
      <c r="H151" s="49" t="s">
        <v>2125</v>
      </c>
      <c r="I151" s="48"/>
      <c r="K151" s="50" t="s">
        <v>2126</v>
      </c>
      <c r="L151" s="50">
        <v>164</v>
      </c>
      <c r="M151" s="50">
        <v>2575</v>
      </c>
      <c r="N151" s="50">
        <v>1</v>
      </c>
    </row>
    <row r="152" spans="1:16" ht="25.95" customHeight="1">
      <c r="A152" s="50" t="s">
        <v>2127</v>
      </c>
      <c r="B152" s="50">
        <v>38</v>
      </c>
      <c r="C152" s="50">
        <v>260</v>
      </c>
      <c r="D152" s="50">
        <v>65</v>
      </c>
      <c r="E152" s="50">
        <v>17</v>
      </c>
      <c r="F152" s="50">
        <v>3.28</v>
      </c>
      <c r="G152" s="50">
        <v>0.76</v>
      </c>
      <c r="H152" s="50">
        <v>0.98</v>
      </c>
      <c r="I152" s="48"/>
      <c r="K152" s="50" t="s">
        <v>2128</v>
      </c>
      <c r="L152" s="50">
        <v>41</v>
      </c>
      <c r="M152" s="50">
        <v>644</v>
      </c>
      <c r="N152" s="50">
        <v>0</v>
      </c>
    </row>
    <row r="153" spans="1:16" ht="25.95" customHeight="1">
      <c r="A153" s="50" t="s">
        <v>2129</v>
      </c>
      <c r="B153" s="50">
        <v>30</v>
      </c>
      <c r="C153" s="50">
        <v>103</v>
      </c>
      <c r="D153" s="50">
        <v>56</v>
      </c>
      <c r="E153" s="50">
        <v>8</v>
      </c>
      <c r="F153" s="50">
        <v>2.86</v>
      </c>
      <c r="G153" s="50">
        <v>3.32</v>
      </c>
      <c r="H153" s="50">
        <v>2.99</v>
      </c>
      <c r="I153" s="48"/>
      <c r="K153" s="50" t="s">
        <v>2130</v>
      </c>
      <c r="L153" s="50">
        <v>38</v>
      </c>
      <c r="M153" s="50">
        <v>595</v>
      </c>
      <c r="N153" s="50">
        <v>0</v>
      </c>
    </row>
    <row r="154" spans="1:16" ht="25.95" customHeight="1" thickBot="1">
      <c r="A154" s="54" t="s">
        <v>2104</v>
      </c>
      <c r="B154" s="54">
        <v>32</v>
      </c>
      <c r="C154" s="54">
        <v>218</v>
      </c>
      <c r="D154" s="54">
        <v>65</v>
      </c>
      <c r="E154" s="54">
        <v>18</v>
      </c>
      <c r="F154" s="54">
        <v>2.76</v>
      </c>
      <c r="G154" s="54">
        <v>0.64</v>
      </c>
      <c r="H154" s="54">
        <v>0.5</v>
      </c>
      <c r="I154" s="48"/>
      <c r="K154" s="50" t="s">
        <v>2131</v>
      </c>
      <c r="L154" s="50">
        <v>21</v>
      </c>
      <c r="M154" s="50">
        <v>322</v>
      </c>
      <c r="N154" s="50">
        <v>0</v>
      </c>
    </row>
    <row r="155" spans="1:16" ht="25.95" customHeight="1">
      <c r="A155" s="50"/>
      <c r="B155" s="50"/>
      <c r="C155" s="50"/>
      <c r="D155" s="50"/>
      <c r="E155" s="50"/>
      <c r="F155" s="50"/>
      <c r="G155" s="50"/>
      <c r="H155" s="50"/>
      <c r="I155" s="48"/>
      <c r="K155" s="693"/>
      <c r="L155" s="693"/>
      <c r="M155" s="693"/>
      <c r="N155" s="693"/>
    </row>
    <row r="156" spans="1:16" ht="25.95" customHeight="1" thickBot="1">
      <c r="A156" s="47" t="s">
        <v>2132</v>
      </c>
      <c r="B156" s="48"/>
      <c r="C156" s="48"/>
      <c r="D156" s="48"/>
      <c r="E156" s="48"/>
      <c r="F156" s="48"/>
      <c r="G156" s="48"/>
      <c r="H156" s="48"/>
      <c r="I156" s="48"/>
      <c r="K156" s="50" t="s">
        <v>2133</v>
      </c>
      <c r="L156" s="50">
        <v>107</v>
      </c>
      <c r="M156" s="50">
        <v>2054</v>
      </c>
      <c r="N156" s="50">
        <v>0</v>
      </c>
    </row>
    <row r="157" spans="1:16" ht="25.95" customHeight="1" thickBot="1">
      <c r="A157" s="49" t="s">
        <v>2093</v>
      </c>
      <c r="B157" s="49" t="s">
        <v>2134</v>
      </c>
      <c r="C157" s="49" t="s">
        <v>2095</v>
      </c>
      <c r="D157" s="49" t="s">
        <v>2096</v>
      </c>
      <c r="E157" s="49" t="s">
        <v>2097</v>
      </c>
      <c r="F157" s="49" t="s">
        <v>2098</v>
      </c>
      <c r="G157" s="48"/>
      <c r="H157" s="48"/>
      <c r="I157" s="48"/>
      <c r="K157" s="693"/>
      <c r="L157" s="693"/>
      <c r="M157" s="693"/>
      <c r="N157" s="693"/>
    </row>
    <row r="158" spans="1:16" ht="25.95" customHeight="1" thickBot="1">
      <c r="A158" s="50" t="s">
        <v>1843</v>
      </c>
      <c r="B158" s="50" t="s">
        <v>2135</v>
      </c>
      <c r="C158" s="50">
        <v>710</v>
      </c>
      <c r="D158" s="50">
        <v>6.89</v>
      </c>
      <c r="E158" s="50">
        <v>3.5430000000000001</v>
      </c>
      <c r="F158" s="51" t="s">
        <v>2101</v>
      </c>
      <c r="G158" s="48"/>
      <c r="H158" s="48"/>
      <c r="I158" s="48"/>
      <c r="K158" s="54" t="s">
        <v>2136</v>
      </c>
      <c r="L158" s="54">
        <v>770</v>
      </c>
      <c r="M158" s="54">
        <v>9329</v>
      </c>
      <c r="N158" s="54">
        <v>32</v>
      </c>
      <c r="P158" t="s">
        <v>2137</v>
      </c>
    </row>
    <row r="159" spans="1:16" ht="25.95" customHeight="1">
      <c r="A159" s="50" t="s">
        <v>2138</v>
      </c>
      <c r="B159" s="50" t="s">
        <v>2135</v>
      </c>
      <c r="C159" s="50">
        <v>2375</v>
      </c>
      <c r="D159" s="50">
        <v>6.89</v>
      </c>
      <c r="E159" s="50">
        <v>3.5430000000000001</v>
      </c>
      <c r="F159" s="51" t="s">
        <v>2139</v>
      </c>
      <c r="G159" s="48"/>
      <c r="H159" s="48"/>
      <c r="I159" s="48"/>
      <c r="J159" s="48"/>
      <c r="K159" s="48"/>
      <c r="L159" s="48"/>
    </row>
    <row r="160" spans="1:16">
      <c r="A160" s="50" t="s">
        <v>2140</v>
      </c>
      <c r="B160" s="50" t="s">
        <v>2135</v>
      </c>
      <c r="C160" s="50">
        <v>1636</v>
      </c>
      <c r="D160" s="50">
        <v>23.45</v>
      </c>
      <c r="E160" s="50">
        <v>1.4999999999999999E-2</v>
      </c>
      <c r="F160" s="51" t="s">
        <v>2101</v>
      </c>
      <c r="G160" s="48"/>
      <c r="H160" s="48"/>
      <c r="I160" s="48"/>
      <c r="J160" s="48"/>
      <c r="K160" s="48" t="s">
        <v>2141</v>
      </c>
      <c r="L160" s="48">
        <f>L158/1000</f>
        <v>0.77</v>
      </c>
      <c r="M160" s="48">
        <f t="shared" ref="M160:N160" si="6">M158/1000</f>
        <v>9.3290000000000006</v>
      </c>
      <c r="N160" s="48">
        <f t="shared" si="6"/>
        <v>3.2000000000000001E-2</v>
      </c>
      <c r="P160" t="s">
        <v>2142</v>
      </c>
    </row>
    <row r="161" spans="1:12">
      <c r="A161" s="50" t="s">
        <v>1290</v>
      </c>
      <c r="B161" s="50" t="s">
        <v>707</v>
      </c>
      <c r="C161" s="50">
        <v>753</v>
      </c>
      <c r="D161" s="50">
        <v>11.8</v>
      </c>
      <c r="E161" s="50">
        <v>6.0000000000000001E-3</v>
      </c>
      <c r="F161" s="51" t="s">
        <v>2112</v>
      </c>
      <c r="G161" s="48"/>
      <c r="H161" s="48"/>
      <c r="I161" s="48"/>
      <c r="J161" s="48"/>
      <c r="K161" s="48"/>
      <c r="L161" s="48"/>
    </row>
    <row r="162" spans="1:12">
      <c r="A162" s="50" t="s">
        <v>333</v>
      </c>
      <c r="B162" s="50" t="s">
        <v>449</v>
      </c>
      <c r="C162" s="50">
        <v>8543</v>
      </c>
      <c r="D162" s="50">
        <v>55.35</v>
      </c>
      <c r="E162" s="50">
        <v>9.5000000000000001E-2</v>
      </c>
      <c r="F162" s="51" t="s">
        <v>2112</v>
      </c>
      <c r="G162" s="48"/>
      <c r="H162" s="48"/>
      <c r="I162" s="48"/>
      <c r="J162" s="48"/>
      <c r="K162" s="48"/>
      <c r="L162" s="48"/>
    </row>
    <row r="163" spans="1:12">
      <c r="A163" s="50" t="s">
        <v>2143</v>
      </c>
      <c r="B163" s="50" t="s">
        <v>449</v>
      </c>
      <c r="C163" s="50">
        <v>2014</v>
      </c>
      <c r="D163" s="50">
        <v>25.96</v>
      </c>
      <c r="E163" s="50">
        <v>8.6999999999999994E-2</v>
      </c>
      <c r="F163" s="51" t="s">
        <v>2112</v>
      </c>
      <c r="G163" s="48"/>
      <c r="H163" s="48"/>
      <c r="I163" s="48"/>
      <c r="J163" s="48"/>
      <c r="K163" s="48"/>
      <c r="L163" s="48"/>
    </row>
    <row r="164" spans="1:12">
      <c r="A164" s="50" t="s">
        <v>2144</v>
      </c>
      <c r="B164" s="50" t="s">
        <v>449</v>
      </c>
      <c r="C164" s="50">
        <v>495</v>
      </c>
      <c r="D164" s="50">
        <v>8.06</v>
      </c>
      <c r="E164" s="50">
        <v>5.0999999999999997E-2</v>
      </c>
      <c r="F164" s="51" t="s">
        <v>2112</v>
      </c>
      <c r="G164" s="48"/>
      <c r="H164" s="48"/>
      <c r="I164" s="48"/>
      <c r="J164" s="48"/>
      <c r="K164" s="48"/>
      <c r="L164" s="48"/>
    </row>
    <row r="165" spans="1:12" ht="15" thickBot="1">
      <c r="A165" s="54" t="s">
        <v>2145</v>
      </c>
      <c r="B165" s="54" t="s">
        <v>2146</v>
      </c>
      <c r="C165" s="54">
        <v>164</v>
      </c>
      <c r="D165" s="54">
        <v>2.57</v>
      </c>
      <c r="E165" s="54">
        <v>3.0000000000000001E-3</v>
      </c>
      <c r="F165" s="55" t="s">
        <v>2112</v>
      </c>
      <c r="G165" s="48"/>
      <c r="H165" s="48"/>
      <c r="I165" s="48"/>
      <c r="J165" s="48"/>
      <c r="K165" s="48"/>
      <c r="L165" s="48"/>
    </row>
    <row r="166" spans="1:12">
      <c r="A166" s="48"/>
      <c r="B166" s="48"/>
      <c r="C166" s="48"/>
      <c r="D166" s="48"/>
      <c r="E166" s="48"/>
      <c r="F166" s="48"/>
      <c r="G166" s="48"/>
      <c r="H166" s="48"/>
      <c r="I166" s="48"/>
      <c r="J166" s="48"/>
      <c r="K166" s="48"/>
      <c r="L166" s="48"/>
    </row>
    <row r="167" spans="1:12">
      <c r="A167" s="48"/>
      <c r="B167" s="48"/>
      <c r="C167" s="48"/>
      <c r="D167" s="48"/>
      <c r="E167" s="48"/>
      <c r="F167" s="48"/>
      <c r="G167" s="48"/>
      <c r="H167" s="48"/>
      <c r="I167" s="48"/>
      <c r="J167" s="48"/>
      <c r="K167" s="48"/>
      <c r="L167" s="48"/>
    </row>
    <row r="169" spans="1:12" ht="18" thickBot="1">
      <c r="A169" s="43" t="s">
        <v>1106</v>
      </c>
    </row>
    <row r="170" spans="1:12" ht="15" thickTop="1">
      <c r="A170" t="s">
        <v>1108</v>
      </c>
    </row>
    <row r="171" spans="1:12" ht="15" thickBot="1">
      <c r="A171" s="40" t="s">
        <v>1109</v>
      </c>
    </row>
    <row r="172" spans="1:12" ht="17.399999999999999" thickBot="1">
      <c r="A172" s="694" t="s">
        <v>66</v>
      </c>
      <c r="B172" s="696" t="s">
        <v>1110</v>
      </c>
      <c r="C172" s="697"/>
      <c r="D172" s="697"/>
      <c r="E172" s="697"/>
      <c r="F172" s="698"/>
    </row>
    <row r="173" spans="1:12" ht="51" thickBot="1">
      <c r="A173" s="695"/>
      <c r="B173" s="34" t="s">
        <v>1112</v>
      </c>
      <c r="C173" s="34" t="s">
        <v>2147</v>
      </c>
      <c r="D173" s="34" t="s">
        <v>2148</v>
      </c>
      <c r="E173" s="34" t="s">
        <v>2149</v>
      </c>
      <c r="F173" s="34" t="s">
        <v>2150</v>
      </c>
    </row>
    <row r="174" spans="1:12" ht="34.200000000000003" thickBot="1">
      <c r="A174" s="38" t="s">
        <v>1124</v>
      </c>
      <c r="B174" s="35" t="s">
        <v>2151</v>
      </c>
      <c r="C174" s="35" t="s">
        <v>1126</v>
      </c>
      <c r="D174" s="35" t="s">
        <v>1127</v>
      </c>
      <c r="E174" s="35" t="s">
        <v>1128</v>
      </c>
      <c r="F174" s="35" t="s">
        <v>1129</v>
      </c>
    </row>
    <row r="175" spans="1:12" ht="51" thickBot="1">
      <c r="A175" s="38" t="s">
        <v>2152</v>
      </c>
      <c r="B175" s="35" t="s">
        <v>2153</v>
      </c>
      <c r="C175" s="35" t="s">
        <v>1137</v>
      </c>
      <c r="D175" s="35" t="s">
        <v>1138</v>
      </c>
      <c r="E175" s="35" t="s">
        <v>1139</v>
      </c>
      <c r="F175" s="35" t="s">
        <v>2154</v>
      </c>
    </row>
    <row r="176" spans="1:12" ht="17.399999999999999" thickBot="1">
      <c r="A176" s="38" t="s">
        <v>2155</v>
      </c>
      <c r="B176" s="35" t="s">
        <v>2156</v>
      </c>
      <c r="C176" s="35">
        <v>103.5</v>
      </c>
      <c r="D176" s="35">
        <v>420</v>
      </c>
      <c r="E176" s="35">
        <v>110</v>
      </c>
      <c r="F176" s="35" t="s">
        <v>1129</v>
      </c>
    </row>
    <row r="177" spans="1:6" ht="33.6">
      <c r="A177" s="687" t="s">
        <v>2157</v>
      </c>
      <c r="B177" s="689" t="s">
        <v>2158</v>
      </c>
      <c r="C177" s="689" t="s">
        <v>2159</v>
      </c>
      <c r="D177" s="689" t="s">
        <v>2160</v>
      </c>
      <c r="E177" s="689">
        <v>128.5</v>
      </c>
      <c r="F177" s="36" t="s">
        <v>2161</v>
      </c>
    </row>
    <row r="178" spans="1:6" ht="17.399999999999999" thickBot="1">
      <c r="A178" s="691"/>
      <c r="B178" s="692"/>
      <c r="C178" s="692"/>
      <c r="D178" s="692"/>
      <c r="E178" s="692"/>
      <c r="F178" s="37" t="s">
        <v>2162</v>
      </c>
    </row>
    <row r="179" spans="1:6" ht="51" thickBot="1">
      <c r="A179" s="38" t="s">
        <v>2163</v>
      </c>
      <c r="B179" s="35" t="s">
        <v>2164</v>
      </c>
      <c r="C179" s="35">
        <v>8.94</v>
      </c>
      <c r="D179" s="35">
        <v>0.95399999999999996</v>
      </c>
      <c r="E179" s="35">
        <v>141.1</v>
      </c>
      <c r="F179" s="35" t="s">
        <v>2165</v>
      </c>
    </row>
    <row r="180" spans="1:6" ht="34.200000000000003" thickBot="1">
      <c r="A180" s="38" t="s">
        <v>2166</v>
      </c>
      <c r="B180" s="35" t="s">
        <v>2167</v>
      </c>
      <c r="C180" s="35" t="s">
        <v>2168</v>
      </c>
      <c r="D180" s="35" t="s">
        <v>2169</v>
      </c>
      <c r="E180" s="35" t="s">
        <v>1175</v>
      </c>
      <c r="F180" s="35" t="s">
        <v>2165</v>
      </c>
    </row>
    <row r="181" spans="1:6" ht="33.6">
      <c r="A181" s="687" t="s">
        <v>2170</v>
      </c>
      <c r="B181" s="689" t="s">
        <v>2171</v>
      </c>
      <c r="C181" s="689">
        <v>21.32</v>
      </c>
      <c r="D181" s="689">
        <v>40</v>
      </c>
      <c r="E181" s="689">
        <v>215.45</v>
      </c>
      <c r="F181" s="36" t="s">
        <v>2172</v>
      </c>
    </row>
    <row r="182" spans="1:6" ht="17.399999999999999" thickBot="1">
      <c r="A182" s="688"/>
      <c r="B182" s="690"/>
      <c r="C182" s="690"/>
      <c r="D182" s="690"/>
      <c r="E182" s="690"/>
      <c r="F182" s="39" t="s">
        <v>1184</v>
      </c>
    </row>
    <row r="184" spans="1:6">
      <c r="A184" s="41" t="s">
        <v>2173</v>
      </c>
    </row>
    <row r="185" spans="1:6">
      <c r="A185" s="41" t="s">
        <v>2174</v>
      </c>
    </row>
    <row r="186" spans="1:6">
      <c r="A186" s="41" t="s">
        <v>2175</v>
      </c>
    </row>
    <row r="187" spans="1:6">
      <c r="A187" s="41" t="s">
        <v>2176</v>
      </c>
    </row>
    <row r="188" spans="1:6">
      <c r="A188" s="41" t="s">
        <v>2177</v>
      </c>
    </row>
    <row r="189" spans="1:6">
      <c r="A189" s="41" t="s">
        <v>2178</v>
      </c>
    </row>
    <row r="190" spans="1:6">
      <c r="A190" s="42" t="s">
        <v>1217</v>
      </c>
    </row>
    <row r="191" spans="1:6">
      <c r="A191" s="42" t="s">
        <v>1221</v>
      </c>
    </row>
    <row r="192" spans="1:6">
      <c r="A192" s="41" t="s">
        <v>2179</v>
      </c>
    </row>
    <row r="193" spans="1:1">
      <c r="A193" s="42" t="s">
        <v>1227</v>
      </c>
    </row>
    <row r="194" spans="1:1">
      <c r="A194" s="41" t="s">
        <v>2180</v>
      </c>
    </row>
    <row r="195" spans="1:1">
      <c r="A195" s="41" t="s">
        <v>2181</v>
      </c>
    </row>
    <row r="196" spans="1:1">
      <c r="A196" s="41" t="s">
        <v>2182</v>
      </c>
    </row>
    <row r="197" spans="1:1">
      <c r="A197" s="41" t="s">
        <v>2183</v>
      </c>
    </row>
    <row r="198" spans="1:1">
      <c r="A198" s="41" t="s">
        <v>2184</v>
      </c>
    </row>
    <row r="199" spans="1:1">
      <c r="A199" s="42" t="s">
        <v>1252</v>
      </c>
    </row>
    <row r="202" spans="1:1" ht="18" thickBot="1">
      <c r="A202" s="43" t="s">
        <v>1259</v>
      </c>
    </row>
    <row r="203" spans="1:1" ht="15" thickTop="1"/>
  </sheetData>
  <mergeCells count="33">
    <mergeCell ref="K144:N144"/>
    <mergeCell ref="K148:N148"/>
    <mergeCell ref="K155:N155"/>
    <mergeCell ref="K157:N157"/>
    <mergeCell ref="A172:A173"/>
    <mergeCell ref="B172:F172"/>
    <mergeCell ref="A131:G131"/>
    <mergeCell ref="A181:A182"/>
    <mergeCell ref="B181:B182"/>
    <mergeCell ref="C181:C182"/>
    <mergeCell ref="D181:D182"/>
    <mergeCell ref="E181:E182"/>
    <mergeCell ref="A177:A178"/>
    <mergeCell ref="B177:B178"/>
    <mergeCell ref="C177:C178"/>
    <mergeCell ref="D177:D178"/>
    <mergeCell ref="E177:E178"/>
    <mergeCell ref="A26:A27"/>
    <mergeCell ref="B26:F26"/>
    <mergeCell ref="I26:I27"/>
    <mergeCell ref="J26:L26"/>
    <mergeCell ref="I36:L36"/>
    <mergeCell ref="B106:B110"/>
    <mergeCell ref="C106:C108"/>
    <mergeCell ref="A113:A115"/>
    <mergeCell ref="A66:L66"/>
    <mergeCell ref="B72:B76"/>
    <mergeCell ref="C72:C74"/>
    <mergeCell ref="B77:B78"/>
    <mergeCell ref="B82:B88"/>
    <mergeCell ref="C82:C85"/>
    <mergeCell ref="B91:B103"/>
    <mergeCell ref="C91:C98"/>
  </mergeCells>
  <hyperlinks>
    <hyperlink ref="A171" r:id="rId1" display="https://link.springer.com/article/10.1007/s11367-015-0931-6" xr:uid="{EBA2C661-7BAA-447A-97A0-9A7414980E9D}"/>
    <hyperlink ref="A190" r:id="rId2" location="ref-CR17" tooltip="Foster C, Green K, Bleda M et al. (2006) Environmental impacts of food production and consumption: a report to the department for environment, food and rural affairs. London" display="https://link.springer.com/article/10.1007/s11367-015-0931-6 - ref-CR17" xr:uid="{794F16F9-6537-4E9D-97EE-9DB7D24409E3}"/>
    <hyperlink ref="A191" r:id="rId3" location="ref-CR34" tooltip="McEachern MG, Warnaby G (2006) Food shopping behaviour in Scotland: the influence of relative rurality. Int J Consum Stud 30:189–201" display="https://link.springer.com/article/10.1007/s11367-015-0931-6 - ref-CR34" xr:uid="{5259FCF7-917F-4220-ADD7-04F5DF5F5D77}"/>
    <hyperlink ref="A193" r:id="rId4" location="ref-CR47" tooltip="PYR Ltd (2014) Packaging weight units. _x000a_                    http://www.pyr.fi/eng/forms/packaging-data-declaration-form/packaging-weight-units.html#6_x000a_                    _x000a_                  _x000a_                        " display="https://link.springer.com/article/10.1007/s11367-015-0931-6 - ref-CR47" xr:uid="{3047B1F5-1818-4D96-A91D-3583EF9BC5D5}"/>
    <hyperlink ref="A199" r:id="rId5" location="Tab1" display="https://link.springer.com/article/10.1007/s11367-015-0931-6 - Tab1" xr:uid="{32F01BB8-C1AC-470E-BDE4-81861A1B50AC}"/>
    <hyperlink ref="G140" r:id="rId6" location="bib42" display="https://www.sciencedirect.com/science/article/pii/S0959652615004813?casa_token=BNFr1eV7GTQAAAAA:Bv3tY5HrfJyNV-i0kwllNGtVBjaoywCB7DdwWhC8NvF-bVYb9sdROjfjxWZMZHA90WX-vu3hToiN - bib42" xr:uid="{44991F93-3EA7-4CE7-A4F6-A082CA5DDB55}"/>
    <hyperlink ref="G141" r:id="rId7" location="bib42" display="https://www.sciencedirect.com/science/article/pii/S0959652615004813?casa_token=BNFr1eV7GTQAAAAA:Bv3tY5HrfJyNV-i0kwllNGtVBjaoywCB7DdwWhC8NvF-bVYb9sdROjfjxWZMZHA90WX-vu3hToiN - bib42" xr:uid="{75F6D2AE-5910-412B-9CE3-E86B0CCCEE7F}"/>
    <hyperlink ref="G145" r:id="rId8" location="bib12" display="https://www.sciencedirect.com/science/article/pii/S0959652615004813?casa_token=BNFr1eV7GTQAAAAA:Bv3tY5HrfJyNV-i0kwllNGtVBjaoywCB7DdwWhC8NvF-bVYb9sdROjfjxWZMZHA90WX-vu3hToiN - bib12" xr:uid="{EC5F5E24-5614-40F9-89E0-3A1E7DC4B843}"/>
    <hyperlink ref="G146" r:id="rId9" location="bib12" display="https://www.sciencedirect.com/science/article/pii/S0959652615004813?casa_token=BNFr1eV7GTQAAAAA:Bv3tY5HrfJyNV-i0kwllNGtVBjaoywCB7DdwWhC8NvF-bVYb9sdROjfjxWZMZHA90WX-vu3hToiN - bib12" xr:uid="{E36E768B-62F6-49D8-88DF-2ADCA025FA83}"/>
    <hyperlink ref="G147" r:id="rId10" location="bib12" display="https://www.sciencedirect.com/science/article/pii/S0959652615004813?casa_token=BNFr1eV7GTQAAAAA:Bv3tY5HrfJyNV-i0kwllNGtVBjaoywCB7DdwWhC8NvF-bVYb9sdROjfjxWZMZHA90WX-vu3hToiN - bib12" xr:uid="{0333E16C-0EB4-46D3-B3C2-A9206A48D4BB}"/>
    <hyperlink ref="F158" r:id="rId11" location="bib42" display="https://www.sciencedirect.com/science/article/pii/S0959652615004813?casa_token=BNFr1eV7GTQAAAAA:Bv3tY5HrfJyNV-i0kwllNGtVBjaoywCB7DdwWhC8NvF-bVYb9sdROjfjxWZMZHA90WX-vu3hToiN - bib42" xr:uid="{58EDB74B-665B-4902-A1FD-53550302EDE6}"/>
    <hyperlink ref="F159" r:id="rId12" location="bib8" display="https://www.sciencedirect.com/science/article/pii/S0959652615004813?casa_token=BNFr1eV7GTQAAAAA:Bv3tY5HrfJyNV-i0kwllNGtVBjaoywCB7DdwWhC8NvF-bVYb9sdROjfjxWZMZHA90WX-vu3hToiN - bib8" xr:uid="{1FE7846E-5F34-47FF-9310-4B869B6B446E}"/>
    <hyperlink ref="F160" r:id="rId13" location="bib42" display="https://www.sciencedirect.com/science/article/pii/S0959652615004813?casa_token=BNFr1eV7GTQAAAAA:Bv3tY5HrfJyNV-i0kwllNGtVBjaoywCB7DdwWhC8NvF-bVYb9sdROjfjxWZMZHA90WX-vu3hToiN - bib42" xr:uid="{7DE78D24-114D-4E0E-A21C-62CF95566271}"/>
    <hyperlink ref="F161" r:id="rId14" location="bib12" display="https://www.sciencedirect.com/science/article/pii/S0959652615004813?casa_token=BNFr1eV7GTQAAAAA:Bv3tY5HrfJyNV-i0kwllNGtVBjaoywCB7DdwWhC8NvF-bVYb9sdROjfjxWZMZHA90WX-vu3hToiN - bib12" xr:uid="{F08C8880-7595-4268-9D18-D59594538A37}"/>
    <hyperlink ref="F162" r:id="rId15" location="bib12" display="https://www.sciencedirect.com/science/article/pii/S0959652615004813?casa_token=BNFr1eV7GTQAAAAA:Bv3tY5HrfJyNV-i0kwllNGtVBjaoywCB7DdwWhC8NvF-bVYb9sdROjfjxWZMZHA90WX-vu3hToiN - bib12" xr:uid="{64A0C60B-D2B1-4480-A94B-85D7E659531B}"/>
    <hyperlink ref="F163" r:id="rId16" location="bib12" display="https://www.sciencedirect.com/science/article/pii/S0959652615004813?casa_token=BNFr1eV7GTQAAAAA:Bv3tY5HrfJyNV-i0kwllNGtVBjaoywCB7DdwWhC8NvF-bVYb9sdROjfjxWZMZHA90WX-vu3hToiN - bib12" xr:uid="{0C3A11D3-B4AA-4367-92D5-6D72713C0E82}"/>
    <hyperlink ref="F164" r:id="rId17" location="bib12" display="https://www.sciencedirect.com/science/article/pii/S0959652615004813?casa_token=BNFr1eV7GTQAAAAA:Bv3tY5HrfJyNV-i0kwllNGtVBjaoywCB7DdwWhC8NvF-bVYb9sdROjfjxWZMZHA90WX-vu3hToiN - bib12" xr:uid="{F3DB9D9B-0D0F-4872-9F06-709926A963D3}"/>
    <hyperlink ref="F165" r:id="rId18" location="bib12" display="https://www.sciencedirect.com/science/article/pii/S0959652615004813?casa_token=BNFr1eV7GTQAAAAA:Bv3tY5HrfJyNV-i0kwllNGtVBjaoywCB7DdwWhC8NvF-bVYb9sdROjfjxWZMZHA90WX-vu3hToiN - bib12" xr:uid="{BE7602DE-6E9D-47DB-B5BC-7A2EF4AB23F5}"/>
    <hyperlink ref="A25" r:id="rId19" tooltip="Learn more about Life cycle inventory from ScienceDirect's AI-generated Topic Pages" display="https://www.sciencedirect.com/topics/engineering/life-cycle-inventory" xr:uid="{3E89B8CA-8B13-4751-8DF1-18D0D6E51069}"/>
    <hyperlink ref="I28" r:id="rId20" location="bib61" display="https://www.sciencedirect.com/science/article/pii/S0959652616310447?casa_token=biIWC8GkVWEAAAAA:ogFqF0vxlBtcvxZzgO5m0Anm78s2QOfZnGv-Y-XNKENEnN8CUlut5CJWbfBDu6nUt25ezBSFzaDG - bib61" xr:uid="{6A573FA7-43A3-4FB9-A470-28714944E806}"/>
    <hyperlink ref="I29" r:id="rId21" location="bib44" display="https://www.sciencedirect.com/science/article/pii/S0959652616310447?casa_token=biIWC8GkVWEAAAAA:ogFqF0vxlBtcvxZzgO5m0Anm78s2QOfZnGv-Y-XNKENEnN8CUlut5CJWbfBDu6nUt25ezBSFzaDG - bib44" xr:uid="{4D2AB3F5-C745-480D-BB36-92AB88737F95}"/>
    <hyperlink ref="I30" r:id="rId22" location="bib27" display="https://www.sciencedirect.com/science/article/pii/S0959652616310447?casa_token=biIWC8GkVWEAAAAA:ogFqF0vxlBtcvxZzgO5m0Anm78s2QOfZnGv-Y-XNKENEnN8CUlut5CJWbfBDu6nUt25ezBSFzaDG - bib27" xr:uid="{F144DC43-DA61-4132-A074-A50A30113557}"/>
    <hyperlink ref="I31" r:id="rId23" location="bib33" display="https://www.sciencedirect.com/science/article/pii/S0959652616310447?casa_token=biIWC8GkVWEAAAAA:ogFqF0vxlBtcvxZzgO5m0Anm78s2QOfZnGv-Y-XNKENEnN8CUlut5CJWbfBDu6nUt25ezBSFzaDG - bib33" xr:uid="{E24AD511-3391-4392-9AA1-346A5C12A95A}"/>
    <hyperlink ref="I32" r:id="rId24" location="bib35" display="https://www.sciencedirect.com/science/article/pii/S0959652616310447?casa_token=biIWC8GkVWEAAAAA:ogFqF0vxlBtcvxZzgO5m0Anm78s2QOfZnGv-Y-XNKENEnN8CUlut5CJWbfBDu6nUt25ezBSFzaDG - bib35" xr:uid="{AE9A73E9-483E-4628-A3A3-7E638BF8D4DA}"/>
    <hyperlink ref="I33" r:id="rId25" location="bib50" display="https://www.sciencedirect.com/science/article/pii/S0959652616310447?casa_token=biIWC8GkVWEAAAAA:ogFqF0vxlBtcvxZzgO5m0Anm78s2QOfZnGv-Y-XNKENEnN8CUlut5CJWbfBDu6nUt25ezBSFzaDG - bib50" xr:uid="{743E376D-2110-4474-A242-CC4E5F3B7820}"/>
    <hyperlink ref="I34" r:id="rId26" location="bib46" display="https://www.sciencedirect.com/science/article/pii/S0959652616310447?casa_token=biIWC8GkVWEAAAAA:ogFqF0vxlBtcvxZzgO5m0Anm78s2QOfZnGv-Y-XNKENEnN8CUlut5CJWbfBDu6nUt25ezBSFzaDG - bib46" xr:uid="{93BDE55E-16CB-4BC8-8DA2-C3AA18FE7730}"/>
    <hyperlink ref="A123" r:id="rId27" display="https://link.springer.com/article/10.1007/s13593-016-0392-8" xr:uid="{9932D3DB-B375-451C-9E93-4E9D1C6E3A1A}"/>
    <hyperlink ref="G125" r:id="rId28" location="ref-CR39" tooltip="Oonincx DGAB, de Boer IJM (2012) Environmental impact of the production of mealworms as a protein source for humans—a life cycle assessment. PLoS One 7:e51145. doi:_x000a_                    10.1371/journal.pone.0051145_x000a_                    _x000a_                  _x000a_ " display="https://link.springer.com/article/10.1007/s13593-016-0392-8 - ref-CR39" xr:uid="{0C715797-9553-4EA1-ABD9-D34FC3F474E1}"/>
    <hyperlink ref="G126" r:id="rId29" location="ref-CR59" tooltip="van Zanten HHE, Mollenhorst H, Oonincx DGAB, et al. (2015) From environmental nuisance to environmental opportunity: housefly larvae convert waste to livestock feed. J Clean Prod 102:362–369. doi:_x000a_                    10.1016/j.jclepro.2015.04.106_x000a_        " display="https://link.springer.com/article/10.1007/s13593-016-0392-8 - ref-CR59" xr:uid="{8E465EF1-7D90-4CB1-AB27-67421BA9D4CC}"/>
    <hyperlink ref="G127" r:id="rId30" location="ref-CR48" tooltip="Roffeis M, Muys B, Almeida J, et al. (2015) Pig manure treatment with housefly ( Musca domestica ) rearing—an environmental life cycle assessment. J Insect Food Feed 1:195–214. doi:_x000a_                    10.3920/JIFF2014.0021_x000a_                    _x000a_          " display="https://link.springer.com/article/10.1007/s13593-016-0392-8 - ref-CR48" xr:uid="{2157ED0B-4BD2-43F4-AD79-5BE2AF840F82}"/>
    <hyperlink ref="G128" r:id="rId31" location="ref-CR54" tooltip="Smetana S, Mathys A, Knoch A, Heinz V (2015) Meat alternatives: life cycle assessment of most known meat substitutes. Int J Life Cycle Assess 20:1254–1267. doi:_x000a_                    10.1007/s11367-015-0931-6_x000a_                    _x000a_                  _x000a_        " display="https://link.springer.com/article/10.1007/s13593-016-0392-8 - ref-CR54" xr:uid="{66938F05-0862-468C-B526-A602D19CD19B}"/>
    <hyperlink ref="G129" r:id="rId32" location="ref-CR52" tooltip="Salomone R, Saija G, Mondello G, et al. (2016) Environmental impact of food waste bioconversion by insects: application of life cycle assessment to process using Hermetia illucens. J Clean Prod, in press. doi:_x000a_                    10.1016/j.jclepro.2016.06" display="https://link.springer.com/article/10.1007/s13593-016-0392-8 - ref-CR52" xr:uid="{BE378CF2-812C-4BBA-B0CC-15262829DCE6}"/>
    <hyperlink ref="G130" r:id="rId33" location="ref-CR55" tooltip="Smetana S, Palanisamy M, Heinz V (2016) Sustainability of insect use for feed and food: life cycle assessment perspective. J Clean Prod, in press. doi:_x000a_                    10.1016/j.jclepro.2016.07.148_x000a_                    _x000a_                  _x000a_             " display="https://link.springer.com/article/10.1007/s13593-016-0392-8 - ref-CR55" xr:uid="{BAF6A664-6128-4B02-9C0C-1DA24D3F36FF}"/>
  </hyperlinks>
  <pageMargins left="0.7" right="0.7" top="0.75" bottom="0.75" header="0.3" footer="0.3"/>
  <drawing r:id="rId3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CB5C4-CB87-42BB-9BAA-3A6566F9B64E}">
  <dimension ref="A2:K50"/>
  <sheetViews>
    <sheetView topLeftCell="A21" workbookViewId="0">
      <selection activeCell="B25" sqref="B25"/>
    </sheetView>
  </sheetViews>
  <sheetFormatPr defaultRowHeight="14.4"/>
  <cols>
    <col min="1" max="1" width="27.6640625" customWidth="1"/>
    <col min="2" max="2" width="25.33203125" customWidth="1"/>
    <col min="3" max="3" width="31.5546875" customWidth="1"/>
    <col min="5" max="5" width="24.5546875" customWidth="1"/>
    <col min="9" max="9" width="27.6640625" customWidth="1"/>
    <col min="10" max="10" width="19.33203125" customWidth="1"/>
  </cols>
  <sheetData>
    <row r="2" spans="1:11" ht="19.8">
      <c r="A2" s="150" t="s">
        <v>2185</v>
      </c>
    </row>
    <row r="3" spans="1:11">
      <c r="C3" s="141" t="s">
        <v>2186</v>
      </c>
      <c r="D3" t="s">
        <v>2187</v>
      </c>
    </row>
    <row r="4" spans="1:11">
      <c r="C4" s="161" t="s">
        <v>2188</v>
      </c>
    </row>
    <row r="5" spans="1:11">
      <c r="A5" s="3" t="s">
        <v>252</v>
      </c>
      <c r="E5" s="3" t="s">
        <v>441</v>
      </c>
      <c r="I5" s="3" t="s">
        <v>442</v>
      </c>
    </row>
    <row r="6" spans="1:11">
      <c r="A6" t="s">
        <v>194</v>
      </c>
      <c r="B6" t="s">
        <v>443</v>
      </c>
      <c r="C6" t="s">
        <v>444</v>
      </c>
      <c r="E6" t="s">
        <v>445</v>
      </c>
      <c r="F6" t="s">
        <v>443</v>
      </c>
      <c r="G6" t="s">
        <v>444</v>
      </c>
      <c r="I6" t="s">
        <v>446</v>
      </c>
      <c r="J6" t="s">
        <v>443</v>
      </c>
      <c r="K6" t="s">
        <v>444</v>
      </c>
    </row>
    <row r="7" spans="1:11">
      <c r="B7" s="140"/>
      <c r="C7" s="140"/>
      <c r="E7" s="25"/>
      <c r="F7" s="140"/>
      <c r="G7" s="140"/>
      <c r="H7" s="25"/>
      <c r="J7" s="140"/>
      <c r="K7" s="140"/>
    </row>
    <row r="8" spans="1:11">
      <c r="B8" s="140"/>
      <c r="C8" s="140"/>
      <c r="E8" s="25"/>
      <c r="F8" s="25"/>
      <c r="G8" s="25"/>
      <c r="H8" s="25"/>
      <c r="J8" s="140"/>
      <c r="K8" s="140"/>
    </row>
    <row r="9" spans="1:11">
      <c r="B9" s="140"/>
      <c r="C9" s="140"/>
      <c r="J9" s="140"/>
      <c r="K9" s="140"/>
    </row>
    <row r="10" spans="1:11">
      <c r="J10" s="140"/>
    </row>
    <row r="16" spans="1:11">
      <c r="I16" s="3" t="s">
        <v>479</v>
      </c>
    </row>
    <row r="17" spans="1:11">
      <c r="I17" t="s">
        <v>2189</v>
      </c>
      <c r="J17" t="s">
        <v>2190</v>
      </c>
      <c r="K17" t="s">
        <v>480</v>
      </c>
    </row>
    <row r="19" spans="1:11">
      <c r="I19" t="s">
        <v>481</v>
      </c>
      <c r="J19" s="32"/>
      <c r="K19" t="s">
        <v>480</v>
      </c>
    </row>
    <row r="20" spans="1:11">
      <c r="J20" s="140"/>
      <c r="K20" s="140"/>
    </row>
    <row r="21" spans="1:11">
      <c r="J21" s="140"/>
      <c r="K21" s="140"/>
    </row>
    <row r="22" spans="1:11" ht="17.399999999999999">
      <c r="A22" s="146" t="s">
        <v>2191</v>
      </c>
    </row>
    <row r="23" spans="1:11">
      <c r="A23" s="135" t="s">
        <v>1347</v>
      </c>
    </row>
    <row r="24" spans="1:11">
      <c r="A24" s="152" t="s">
        <v>2192</v>
      </c>
    </row>
    <row r="25" spans="1:11" ht="15" customHeight="1">
      <c r="A25" s="162" t="s">
        <v>2193</v>
      </c>
      <c r="B25" s="30"/>
      <c r="C25" s="30"/>
      <c r="D25" s="30"/>
      <c r="E25" s="30"/>
      <c r="F25" s="30"/>
      <c r="G25" s="30"/>
      <c r="H25" s="30"/>
      <c r="I25" s="30"/>
      <c r="J25" s="30"/>
    </row>
    <row r="26" spans="1:11">
      <c r="A26" t="s">
        <v>2194</v>
      </c>
      <c r="B26" s="30"/>
      <c r="C26" s="30"/>
      <c r="D26" s="30"/>
      <c r="E26" s="30"/>
      <c r="F26" s="30"/>
      <c r="G26" s="30"/>
      <c r="H26" s="30"/>
      <c r="I26" s="30"/>
      <c r="J26" s="30"/>
    </row>
    <row r="27" spans="1:11">
      <c r="A27" t="s">
        <v>2195</v>
      </c>
      <c r="B27" s="30"/>
      <c r="C27" s="30"/>
      <c r="D27" s="30"/>
      <c r="E27" s="30"/>
      <c r="F27" s="30"/>
      <c r="G27" s="30"/>
      <c r="H27" s="30"/>
      <c r="I27" s="30"/>
      <c r="J27" s="30"/>
    </row>
    <row r="28" spans="1:11">
      <c r="A28" t="s">
        <v>2196</v>
      </c>
    </row>
    <row r="29" spans="1:11">
      <c r="A29" t="s">
        <v>2197</v>
      </c>
    </row>
    <row r="30" spans="1:11">
      <c r="A30" t="s">
        <v>2198</v>
      </c>
    </row>
    <row r="31" spans="1:11">
      <c r="A31" t="s">
        <v>2199</v>
      </c>
    </row>
    <row r="32" spans="1:11">
      <c r="A32" t="s">
        <v>2200</v>
      </c>
    </row>
    <row r="33" spans="1:9">
      <c r="A33" t="s">
        <v>2201</v>
      </c>
    </row>
    <row r="34" spans="1:9">
      <c r="I34" s="149"/>
    </row>
    <row r="45" spans="1:9" ht="17.399999999999999">
      <c r="A45" s="146" t="s">
        <v>1561</v>
      </c>
    </row>
    <row r="46" spans="1:9">
      <c r="A46" s="29" t="s">
        <v>2202</v>
      </c>
      <c r="B46" s="29" t="s">
        <v>2203</v>
      </c>
    </row>
    <row r="47" spans="1:9">
      <c r="A47" s="29" t="s">
        <v>2204</v>
      </c>
      <c r="B47" s="29" t="s">
        <v>2205</v>
      </c>
    </row>
    <row r="48" spans="1:9">
      <c r="A48" s="29" t="s">
        <v>2206</v>
      </c>
      <c r="B48" s="29" t="s">
        <v>2207</v>
      </c>
    </row>
    <row r="49" spans="1:1">
      <c r="A49" s="29"/>
    </row>
    <row r="50" spans="1:1">
      <c r="A50" s="29"/>
    </row>
  </sheetData>
  <hyperlinks>
    <hyperlink ref="A23" r:id="rId1" xr:uid="{5F92447C-7DF0-4150-8161-21E68CAF8895}"/>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623C-6380-45E2-A0FE-2E78F07BD010}">
  <dimension ref="A2:Y64"/>
  <sheetViews>
    <sheetView workbookViewId="0">
      <selection activeCell="D13" sqref="D13"/>
    </sheetView>
  </sheetViews>
  <sheetFormatPr defaultColWidth="8.6640625" defaultRowHeight="14.4"/>
  <cols>
    <col min="1" max="1" width="14.33203125" customWidth="1"/>
    <col min="2" max="2" width="25" customWidth="1"/>
    <col min="3" max="3" width="17" customWidth="1"/>
    <col min="4" max="4" width="18.33203125" customWidth="1"/>
    <col min="5" max="6" width="12.6640625" customWidth="1"/>
    <col min="7" max="11" width="8.5546875" customWidth="1"/>
    <col min="12" max="21" width="12.6640625" customWidth="1"/>
    <col min="23" max="23" width="31.5546875" customWidth="1"/>
    <col min="24" max="24" width="13" customWidth="1"/>
    <col min="25" max="25" width="15.6640625" customWidth="1"/>
  </cols>
  <sheetData>
    <row r="2" spans="1:25" ht="21">
      <c r="A2" s="2" t="s">
        <v>0</v>
      </c>
    </row>
    <row r="3" spans="1:25" ht="45.75" customHeight="1">
      <c r="A3" s="2"/>
      <c r="G3" s="699" t="s">
        <v>2208</v>
      </c>
      <c r="H3" s="699"/>
      <c r="I3" s="699"/>
      <c r="J3" s="699"/>
      <c r="K3" s="699"/>
      <c r="M3" s="699" t="s">
        <v>2209</v>
      </c>
      <c r="N3" s="699"/>
    </row>
    <row r="4" spans="1:25">
      <c r="A4" s="7" t="s">
        <v>1</v>
      </c>
      <c r="B4" s="8"/>
      <c r="C4" s="8"/>
      <c r="D4" s="8"/>
      <c r="E4" s="9"/>
      <c r="F4" s="10" t="s">
        <v>2</v>
      </c>
      <c r="G4" s="9"/>
      <c r="H4" s="11"/>
      <c r="I4" s="11"/>
      <c r="J4" s="11"/>
      <c r="K4" s="11"/>
      <c r="L4" s="12" t="s">
        <v>3</v>
      </c>
      <c r="M4" s="12" t="s">
        <v>4</v>
      </c>
      <c r="N4" s="12" t="s">
        <v>5</v>
      </c>
      <c r="O4" s="12" t="s">
        <v>6</v>
      </c>
      <c r="P4" s="13" t="s">
        <v>7</v>
      </c>
      <c r="Q4" s="13" t="s">
        <v>8</v>
      </c>
      <c r="R4" s="13" t="s">
        <v>9</v>
      </c>
      <c r="S4" s="13" t="s">
        <v>10</v>
      </c>
      <c r="T4" s="14" t="s">
        <v>11</v>
      </c>
      <c r="U4" s="14" t="s">
        <v>12</v>
      </c>
      <c r="W4" s="3" t="s">
        <v>319</v>
      </c>
      <c r="X4" s="3" t="s">
        <v>2098</v>
      </c>
      <c r="Y4" s="3" t="s">
        <v>2210</v>
      </c>
    </row>
    <row r="5" spans="1:25" s="5" customFormat="1" ht="72">
      <c r="A5" s="15" t="s">
        <v>2211</v>
      </c>
      <c r="B5" s="16" t="s">
        <v>1</v>
      </c>
      <c r="C5" s="16" t="s">
        <v>14</v>
      </c>
      <c r="D5" s="16" t="s">
        <v>15</v>
      </c>
      <c r="E5" s="17" t="s">
        <v>16</v>
      </c>
      <c r="F5" s="18" t="s">
        <v>17</v>
      </c>
      <c r="G5" s="19" t="s">
        <v>18</v>
      </c>
      <c r="H5" s="18" t="s">
        <v>19</v>
      </c>
      <c r="I5" s="18" t="s">
        <v>20</v>
      </c>
      <c r="J5" s="18" t="s">
        <v>21</v>
      </c>
      <c r="K5" s="19" t="s">
        <v>22</v>
      </c>
      <c r="L5" s="19" t="s">
        <v>23</v>
      </c>
      <c r="M5" s="19" t="s">
        <v>24</v>
      </c>
      <c r="N5" s="19" t="s">
        <v>25</v>
      </c>
      <c r="O5" s="20" t="s">
        <v>26</v>
      </c>
      <c r="P5" s="21" t="s">
        <v>27</v>
      </c>
      <c r="Q5" s="22" t="s">
        <v>28</v>
      </c>
      <c r="R5" s="22" t="s">
        <v>29</v>
      </c>
      <c r="S5" s="22" t="s">
        <v>30</v>
      </c>
      <c r="T5" s="23" t="s">
        <v>2212</v>
      </c>
      <c r="U5" s="24"/>
    </row>
    <row r="6" spans="1:25" ht="57.6">
      <c r="A6" s="1" t="s">
        <v>32</v>
      </c>
      <c r="B6" s="1" t="s">
        <v>58</v>
      </c>
      <c r="C6" s="1" t="s">
        <v>34</v>
      </c>
      <c r="D6" s="1" t="s">
        <v>2213</v>
      </c>
      <c r="E6" s="1" t="s">
        <v>2214</v>
      </c>
      <c r="F6" s="6">
        <v>6</v>
      </c>
      <c r="L6" s="6">
        <v>16</v>
      </c>
      <c r="M6" s="6"/>
      <c r="N6" s="6"/>
      <c r="O6" s="6">
        <v>0.6</v>
      </c>
      <c r="T6" t="s">
        <v>2215</v>
      </c>
      <c r="U6" t="s">
        <v>2215</v>
      </c>
      <c r="W6" s="30" t="s">
        <v>2216</v>
      </c>
      <c r="X6" s="29" t="s">
        <v>2217</v>
      </c>
      <c r="Y6" t="s">
        <v>2218</v>
      </c>
    </row>
    <row r="7" spans="1:25" ht="72">
      <c r="A7" s="1" t="s">
        <v>43</v>
      </c>
      <c r="B7" s="1" t="s">
        <v>54</v>
      </c>
      <c r="C7" s="1" t="s">
        <v>34</v>
      </c>
      <c r="D7" s="1" t="s">
        <v>55</v>
      </c>
      <c r="E7" s="1" t="s">
        <v>56</v>
      </c>
      <c r="F7" s="6">
        <v>8.1999999999999993</v>
      </c>
      <c r="L7" s="6">
        <v>0.75</v>
      </c>
      <c r="M7" s="6"/>
      <c r="N7" s="6"/>
      <c r="O7" s="6">
        <v>2.48</v>
      </c>
      <c r="P7" s="3"/>
      <c r="T7" t="s">
        <v>2215</v>
      </c>
      <c r="U7" t="s">
        <v>2215</v>
      </c>
      <c r="W7" s="30" t="s">
        <v>2219</v>
      </c>
      <c r="X7" s="29" t="s">
        <v>2220</v>
      </c>
      <c r="Y7" t="s">
        <v>2221</v>
      </c>
    </row>
    <row r="8" spans="1:25" ht="57.6">
      <c r="A8" s="1" t="s">
        <v>51</v>
      </c>
      <c r="B8" s="1" t="s">
        <v>2222</v>
      </c>
      <c r="C8" s="1" t="s">
        <v>34</v>
      </c>
      <c r="D8" s="1" t="s">
        <v>37</v>
      </c>
      <c r="E8" s="1" t="s">
        <v>38</v>
      </c>
      <c r="F8" s="6">
        <v>0.77</v>
      </c>
      <c r="L8" s="57">
        <v>3.2000000000000001E-2</v>
      </c>
      <c r="M8" s="6"/>
      <c r="N8" s="6"/>
      <c r="O8" s="6">
        <v>1.1000000000000001</v>
      </c>
      <c r="W8" s="30" t="s">
        <v>2223</v>
      </c>
      <c r="X8" s="29" t="s">
        <v>2090</v>
      </c>
      <c r="Y8" t="s">
        <v>2224</v>
      </c>
    </row>
    <row r="9" spans="1:25" ht="57.6">
      <c r="A9" s="1" t="s">
        <v>53</v>
      </c>
      <c r="B9" s="1" t="s">
        <v>550</v>
      </c>
      <c r="C9" s="1" t="s">
        <v>34</v>
      </c>
      <c r="D9" s="1" t="s">
        <v>2225</v>
      </c>
      <c r="E9" s="1" t="s">
        <v>59</v>
      </c>
      <c r="F9" s="6">
        <v>25.19</v>
      </c>
      <c r="L9" s="6">
        <v>6.89</v>
      </c>
      <c r="M9" s="6"/>
      <c r="N9" s="6"/>
      <c r="O9" s="6">
        <v>0.54</v>
      </c>
      <c r="R9">
        <v>1E-3</v>
      </c>
      <c r="W9" s="30" t="s">
        <v>2226</v>
      </c>
      <c r="X9" s="31" t="s">
        <v>2227</v>
      </c>
      <c r="Y9" t="s">
        <v>2228</v>
      </c>
    </row>
    <row r="10" spans="1:25" ht="129.6">
      <c r="A10" s="1" t="s">
        <v>57</v>
      </c>
      <c r="B10" s="1" t="s">
        <v>2229</v>
      </c>
      <c r="C10" s="1" t="s">
        <v>34</v>
      </c>
      <c r="D10" s="1" t="s">
        <v>55</v>
      </c>
      <c r="E10" s="1" t="s">
        <v>56</v>
      </c>
      <c r="F10" s="6">
        <v>6.53</v>
      </c>
      <c r="L10" s="6">
        <v>22.4</v>
      </c>
      <c r="M10" s="6"/>
      <c r="N10" s="6"/>
      <c r="O10" s="6">
        <v>5.89</v>
      </c>
      <c r="W10" s="30" t="s">
        <v>2230</v>
      </c>
      <c r="X10" t="s">
        <v>2231</v>
      </c>
      <c r="Y10" t="s">
        <v>2232</v>
      </c>
    </row>
    <row r="11" spans="1:25" ht="115.2">
      <c r="A11" s="1" t="s">
        <v>61</v>
      </c>
      <c r="B11" s="1" t="s">
        <v>2233</v>
      </c>
      <c r="C11" s="1" t="s">
        <v>34</v>
      </c>
      <c r="D11" s="1" t="s">
        <v>2234</v>
      </c>
      <c r="E11" s="1" t="s">
        <v>2235</v>
      </c>
      <c r="F11" s="6">
        <v>65</v>
      </c>
      <c r="G11" s="4"/>
      <c r="H11" s="4"/>
      <c r="I11" s="4"/>
      <c r="J11" s="4"/>
      <c r="K11" s="4"/>
      <c r="L11" s="6">
        <v>1.1100000000000001</v>
      </c>
      <c r="M11" s="6"/>
      <c r="N11" s="6"/>
      <c r="O11" s="6">
        <v>47.03</v>
      </c>
      <c r="T11" t="s">
        <v>2215</v>
      </c>
      <c r="U11" t="s">
        <v>2215</v>
      </c>
      <c r="W11" s="30" t="s">
        <v>2236</v>
      </c>
      <c r="X11" t="s">
        <v>2231</v>
      </c>
      <c r="Y11" t="s">
        <v>2237</v>
      </c>
    </row>
    <row r="12" spans="1:25" ht="57.6">
      <c r="A12" s="1" t="s">
        <v>63</v>
      </c>
      <c r="B12" s="1" t="s">
        <v>2238</v>
      </c>
      <c r="C12" s="1" t="s">
        <v>34</v>
      </c>
      <c r="D12" s="1" t="s">
        <v>2213</v>
      </c>
      <c r="E12" s="1" t="s">
        <v>2214</v>
      </c>
      <c r="F12" s="6">
        <v>50</v>
      </c>
      <c r="K12" s="4"/>
      <c r="L12" s="6">
        <v>20</v>
      </c>
      <c r="M12" s="6"/>
      <c r="N12" s="6"/>
      <c r="O12" s="6">
        <v>1</v>
      </c>
      <c r="T12" t="s">
        <v>2215</v>
      </c>
      <c r="U12" t="s">
        <v>2215</v>
      </c>
      <c r="W12" s="30" t="s">
        <v>2216</v>
      </c>
      <c r="X12" s="29" t="s">
        <v>2217</v>
      </c>
    </row>
    <row r="13" spans="1:25" ht="100.8">
      <c r="A13" s="1" t="s">
        <v>2239</v>
      </c>
      <c r="B13" s="1" t="s">
        <v>2240</v>
      </c>
      <c r="C13" s="1" t="s">
        <v>34</v>
      </c>
      <c r="D13" s="1" t="s">
        <v>2234</v>
      </c>
      <c r="E13" s="1" t="s">
        <v>2235</v>
      </c>
      <c r="F13" s="6">
        <v>84.75</v>
      </c>
      <c r="K13" s="4"/>
      <c r="L13" s="6">
        <v>41.42</v>
      </c>
      <c r="M13" s="6"/>
      <c r="N13" s="6"/>
      <c r="O13" s="6">
        <v>1.07</v>
      </c>
      <c r="T13" t="s">
        <v>2215</v>
      </c>
      <c r="U13" t="s">
        <v>2215</v>
      </c>
      <c r="W13" s="30" t="s">
        <v>2241</v>
      </c>
      <c r="X13" t="s">
        <v>2231</v>
      </c>
      <c r="Y13" s="32" t="s">
        <v>2242</v>
      </c>
    </row>
    <row r="14" spans="1:25">
      <c r="A14" s="1"/>
      <c r="B14" s="1"/>
      <c r="C14" s="1"/>
      <c r="D14" s="1"/>
      <c r="E14" s="1"/>
      <c r="F14" s="6"/>
      <c r="L14" s="6"/>
      <c r="M14" s="6"/>
      <c r="N14" s="6"/>
      <c r="O14" s="6"/>
    </row>
    <row r="15" spans="1:25">
      <c r="A15" s="1"/>
      <c r="B15" s="1"/>
      <c r="C15" s="1"/>
      <c r="D15" s="1"/>
      <c r="E15" s="1"/>
      <c r="F15" s="6"/>
      <c r="L15" s="6"/>
      <c r="M15" s="6"/>
      <c r="N15" s="6"/>
      <c r="O15" s="6"/>
    </row>
    <row r="16" spans="1:25">
      <c r="A16" s="1"/>
      <c r="B16" s="1"/>
      <c r="C16" s="1"/>
      <c r="D16" s="1"/>
      <c r="E16" s="1"/>
      <c r="F16" s="6"/>
      <c r="K16" s="4"/>
      <c r="L16" s="6"/>
      <c r="M16" s="6"/>
      <c r="N16" s="6"/>
      <c r="O16" s="6"/>
    </row>
    <row r="17" spans="1:15">
      <c r="A17" s="1"/>
      <c r="B17" s="1"/>
      <c r="C17" s="1"/>
      <c r="D17" s="1"/>
      <c r="E17" s="1"/>
      <c r="F17" s="6"/>
      <c r="K17" s="4"/>
      <c r="L17" s="6"/>
      <c r="M17" s="6"/>
      <c r="N17" s="6"/>
      <c r="O17" s="6"/>
    </row>
    <row r="18" spans="1:15">
      <c r="A18" s="1"/>
      <c r="B18" s="1"/>
      <c r="C18" s="1"/>
      <c r="D18" s="1"/>
      <c r="E18" s="1"/>
      <c r="F18" s="6"/>
      <c r="K18" s="4"/>
      <c r="L18" s="6"/>
      <c r="M18" s="6"/>
      <c r="N18" s="6"/>
      <c r="O18" s="6"/>
    </row>
    <row r="19" spans="1:15">
      <c r="A19" s="1"/>
      <c r="B19" s="1"/>
      <c r="C19" s="1"/>
      <c r="D19" s="1"/>
      <c r="E19" s="1"/>
      <c r="F19" s="6"/>
      <c r="K19" s="4"/>
      <c r="L19" s="6"/>
      <c r="M19" s="6"/>
      <c r="N19" s="6"/>
      <c r="O19" s="6"/>
    </row>
    <row r="20" spans="1:15">
      <c r="A20" s="1"/>
      <c r="B20" s="1"/>
      <c r="C20" s="1"/>
      <c r="D20" s="1"/>
      <c r="E20" s="1"/>
      <c r="F20" s="6"/>
      <c r="K20" s="4"/>
      <c r="L20" s="6"/>
      <c r="M20" s="6"/>
      <c r="N20" s="6"/>
      <c r="O20" s="6"/>
    </row>
    <row r="21" spans="1:15">
      <c r="A21" s="1"/>
      <c r="B21" s="1"/>
      <c r="C21" s="1"/>
      <c r="D21" s="1"/>
      <c r="E21" s="1"/>
      <c r="F21" s="6"/>
      <c r="K21" s="4"/>
      <c r="L21" s="6"/>
      <c r="M21" s="6"/>
      <c r="N21" s="6"/>
      <c r="O21" s="6"/>
    </row>
    <row r="22" spans="1:15">
      <c r="A22" s="1"/>
      <c r="B22" s="1"/>
      <c r="C22" s="1"/>
      <c r="D22" s="1"/>
      <c r="E22" s="1"/>
      <c r="F22" s="6"/>
      <c r="G22" s="1"/>
      <c r="L22" s="6"/>
      <c r="M22" s="6"/>
      <c r="N22" s="6"/>
      <c r="O22" s="6"/>
    </row>
    <row r="23" spans="1:15">
      <c r="A23" s="1"/>
      <c r="B23" s="1"/>
      <c r="C23" s="1"/>
      <c r="D23" s="1"/>
      <c r="E23" s="1"/>
      <c r="F23" s="6"/>
      <c r="G23" s="1"/>
      <c r="L23" s="6"/>
      <c r="M23" s="6"/>
      <c r="N23" s="6"/>
      <c r="O23" s="6"/>
    </row>
    <row r="24" spans="1:15">
      <c r="A24" s="1"/>
      <c r="B24" s="1"/>
      <c r="C24" s="1"/>
      <c r="D24" s="1"/>
      <c r="E24" s="1"/>
      <c r="F24" s="6"/>
      <c r="G24" s="1"/>
      <c r="L24" s="6"/>
      <c r="M24" s="6"/>
      <c r="N24" s="6"/>
      <c r="O24" s="6"/>
    </row>
    <row r="25" spans="1:15">
      <c r="A25" s="1"/>
      <c r="B25" s="1"/>
      <c r="C25" s="1"/>
      <c r="D25" s="1"/>
      <c r="E25" s="1"/>
      <c r="F25" s="6"/>
      <c r="G25" s="25"/>
      <c r="L25" s="6"/>
      <c r="M25" s="6"/>
      <c r="N25" s="6"/>
      <c r="O25" s="6"/>
    </row>
    <row r="26" spans="1:15">
      <c r="A26" s="1"/>
      <c r="B26" s="1"/>
      <c r="C26" s="1"/>
      <c r="D26" s="1"/>
      <c r="E26" s="1"/>
      <c r="F26" s="6"/>
      <c r="G26" s="25"/>
      <c r="L26" s="6"/>
      <c r="M26" s="6"/>
      <c r="N26" s="6"/>
      <c r="O26" s="6"/>
    </row>
    <row r="27" spans="1:15">
      <c r="A27" s="1"/>
      <c r="B27" s="1"/>
      <c r="C27" s="1"/>
      <c r="D27" s="1"/>
      <c r="E27" s="1"/>
      <c r="F27" s="6"/>
      <c r="G27" s="25"/>
      <c r="L27" s="6"/>
      <c r="M27" s="6"/>
      <c r="N27" s="6"/>
      <c r="O27" s="6"/>
    </row>
    <row r="28" spans="1:15">
      <c r="A28" s="1"/>
      <c r="B28" s="1"/>
      <c r="C28" s="1"/>
      <c r="D28" s="1"/>
      <c r="E28" s="1"/>
      <c r="F28" s="6"/>
      <c r="G28" s="25"/>
      <c r="L28" s="6"/>
      <c r="M28" s="6"/>
      <c r="N28" s="6"/>
      <c r="O28" s="6"/>
    </row>
    <row r="29" spans="1:15">
      <c r="A29" s="1"/>
      <c r="B29" s="1"/>
      <c r="C29" s="1"/>
      <c r="D29" s="1"/>
      <c r="E29" s="1"/>
      <c r="F29" s="6"/>
      <c r="G29" s="25"/>
      <c r="L29" s="6"/>
      <c r="M29" s="6"/>
      <c r="N29" s="6"/>
      <c r="O29" s="6"/>
    </row>
    <row r="30" spans="1:15">
      <c r="A30" s="1"/>
      <c r="B30" s="1"/>
      <c r="C30" s="1"/>
      <c r="D30" s="1"/>
      <c r="E30" s="1"/>
      <c r="F30" s="6"/>
      <c r="G30" s="1"/>
      <c r="L30" s="6"/>
      <c r="M30" s="6"/>
      <c r="N30" s="6"/>
      <c r="O30" s="6"/>
    </row>
    <row r="31" spans="1:15">
      <c r="A31" s="1"/>
      <c r="B31" s="1"/>
      <c r="C31" s="1"/>
      <c r="D31" s="1"/>
      <c r="E31" s="1"/>
      <c r="F31" s="6"/>
      <c r="G31" s="1"/>
      <c r="L31" s="6"/>
      <c r="M31" s="6"/>
      <c r="N31" s="6"/>
      <c r="O31" s="6"/>
    </row>
    <row r="32" spans="1:15">
      <c r="A32" s="1"/>
      <c r="B32" s="1"/>
      <c r="C32" s="1"/>
      <c r="D32" s="1"/>
      <c r="E32" s="1"/>
      <c r="F32" s="6"/>
      <c r="G32" s="1"/>
      <c r="L32" s="6"/>
      <c r="M32" s="6"/>
      <c r="N32" s="6"/>
      <c r="O32" s="6"/>
    </row>
    <row r="33" spans="1:15">
      <c r="A33" s="1"/>
      <c r="B33" s="1"/>
      <c r="C33" s="1"/>
      <c r="D33" s="1"/>
      <c r="E33" s="1"/>
      <c r="F33" s="6"/>
      <c r="G33" s="1"/>
      <c r="L33" s="6"/>
      <c r="M33" s="6"/>
      <c r="N33" s="6"/>
      <c r="O33" s="6"/>
    </row>
    <row r="34" spans="1:15">
      <c r="A34" s="1"/>
      <c r="B34" s="1"/>
      <c r="C34" s="1"/>
      <c r="D34" s="1"/>
      <c r="E34" s="1"/>
      <c r="F34" s="6"/>
      <c r="G34" s="1"/>
      <c r="L34" s="6"/>
      <c r="M34" s="6"/>
      <c r="N34" s="6"/>
      <c r="O34" s="6"/>
    </row>
    <row r="35" spans="1:15">
      <c r="A35" s="1"/>
      <c r="B35" s="1"/>
      <c r="C35" s="1"/>
      <c r="D35" s="1"/>
      <c r="E35" s="1"/>
      <c r="F35" s="6"/>
      <c r="G35" s="1"/>
      <c r="L35" s="6"/>
      <c r="M35" s="6"/>
      <c r="N35" s="6"/>
      <c r="O35" s="6"/>
    </row>
    <row r="36" spans="1:15">
      <c r="A36" s="1"/>
      <c r="B36" s="1"/>
      <c r="C36" s="1"/>
      <c r="D36" s="1"/>
      <c r="E36" s="1"/>
      <c r="F36" s="6"/>
      <c r="G36" s="1"/>
      <c r="L36" s="6"/>
      <c r="M36" s="6"/>
      <c r="N36" s="6"/>
      <c r="O36" s="6"/>
    </row>
    <row r="37" spans="1:15">
      <c r="A37" s="1"/>
      <c r="B37" s="1"/>
      <c r="C37" s="1"/>
      <c r="D37" s="1"/>
      <c r="E37" s="1"/>
      <c r="F37" s="6"/>
      <c r="G37" s="26"/>
      <c r="H37" s="26"/>
      <c r="I37" s="26"/>
      <c r="J37" s="26"/>
      <c r="K37" s="26"/>
      <c r="L37" s="6"/>
      <c r="M37" s="6"/>
      <c r="N37" s="6"/>
      <c r="O37" s="6"/>
    </row>
    <row r="38" spans="1:15">
      <c r="A38" s="1"/>
      <c r="B38" s="1"/>
      <c r="C38" s="1"/>
      <c r="D38" s="1"/>
      <c r="E38" s="1"/>
      <c r="F38" s="6"/>
      <c r="G38" s="26"/>
      <c r="H38" s="26"/>
      <c r="I38" s="26"/>
      <c r="J38" s="26"/>
      <c r="K38" s="26"/>
      <c r="L38" s="6"/>
      <c r="M38" s="6"/>
      <c r="N38" s="6"/>
      <c r="O38" s="6"/>
    </row>
    <row r="39" spans="1:15">
      <c r="A39" s="1"/>
      <c r="B39" s="1"/>
      <c r="C39" s="1"/>
      <c r="D39" s="1"/>
      <c r="E39" s="1"/>
      <c r="F39" s="6"/>
      <c r="G39" s="1"/>
      <c r="L39" s="6"/>
      <c r="M39" s="6"/>
      <c r="N39" s="6"/>
      <c r="O39" s="6"/>
    </row>
    <row r="40" spans="1:15">
      <c r="A40" s="1"/>
      <c r="B40" s="1"/>
      <c r="C40" s="1"/>
      <c r="D40" s="1"/>
      <c r="E40" s="1"/>
      <c r="F40" s="6"/>
      <c r="G40" s="1"/>
      <c r="L40" s="6"/>
      <c r="M40" s="6"/>
      <c r="N40" s="6"/>
      <c r="O40" s="6"/>
    </row>
    <row r="41" spans="1:15">
      <c r="A41" s="1"/>
      <c r="B41" s="1"/>
      <c r="C41" s="1"/>
      <c r="D41" s="1"/>
      <c r="E41" s="1"/>
      <c r="F41" s="6"/>
      <c r="G41" s="1"/>
      <c r="L41" s="6"/>
      <c r="M41" s="6"/>
      <c r="N41" s="6"/>
      <c r="O41" s="6"/>
    </row>
    <row r="42" spans="1:15">
      <c r="A42" s="1"/>
      <c r="B42" s="1"/>
      <c r="C42" s="1"/>
      <c r="D42" s="1"/>
      <c r="E42" s="1"/>
      <c r="F42" s="6"/>
      <c r="G42" s="1"/>
      <c r="L42" s="6"/>
      <c r="M42" s="6"/>
      <c r="N42" s="6"/>
      <c r="O42" s="6"/>
    </row>
    <row r="43" spans="1:15">
      <c r="A43" s="1"/>
      <c r="B43" s="1"/>
      <c r="C43" s="1"/>
      <c r="D43" s="1"/>
      <c r="E43" s="1"/>
      <c r="F43" s="6"/>
      <c r="G43" s="1"/>
      <c r="L43" s="6"/>
      <c r="M43" s="6"/>
      <c r="N43" s="6"/>
      <c r="O43" s="6"/>
    </row>
    <row r="44" spans="1:15">
      <c r="A44" s="1"/>
      <c r="B44" s="1"/>
      <c r="C44" s="1"/>
      <c r="D44" s="1"/>
      <c r="E44" s="1"/>
      <c r="F44" s="6"/>
      <c r="G44" s="1"/>
      <c r="L44" s="6"/>
      <c r="M44" s="6"/>
      <c r="N44" s="6"/>
      <c r="O44" s="6"/>
    </row>
    <row r="45" spans="1:15">
      <c r="A45" s="1"/>
      <c r="B45" s="1"/>
      <c r="C45" s="1"/>
      <c r="D45" s="1"/>
      <c r="E45" s="1"/>
      <c r="F45" s="6"/>
      <c r="G45" s="1"/>
      <c r="L45" s="6"/>
      <c r="M45" s="6"/>
      <c r="N45" s="6"/>
      <c r="O45" s="6"/>
    </row>
    <row r="46" spans="1:15">
      <c r="A46" s="1"/>
      <c r="B46" s="1"/>
      <c r="C46" s="1"/>
      <c r="D46" s="1"/>
      <c r="E46" s="1"/>
      <c r="F46" s="6"/>
      <c r="G46" s="27"/>
      <c r="H46" s="4"/>
      <c r="I46" s="26"/>
      <c r="J46" s="26"/>
      <c r="K46" s="26"/>
      <c r="L46" s="6"/>
      <c r="M46" s="6"/>
      <c r="N46" s="6"/>
      <c r="O46" s="6"/>
    </row>
    <row r="47" spans="1:15">
      <c r="A47" s="1"/>
      <c r="B47" s="1"/>
      <c r="C47" s="1"/>
      <c r="D47" s="1"/>
      <c r="E47" s="1"/>
      <c r="F47" s="6"/>
      <c r="G47" s="27"/>
      <c r="H47" s="4"/>
      <c r="I47" s="26"/>
      <c r="J47" s="26"/>
      <c r="K47" s="26"/>
      <c r="L47" s="6"/>
      <c r="M47" s="6"/>
      <c r="N47" s="6"/>
      <c r="O47" s="6"/>
    </row>
    <row r="48" spans="1:15">
      <c r="A48" s="1"/>
      <c r="B48" s="1"/>
      <c r="C48" s="1"/>
      <c r="D48" s="1"/>
      <c r="E48" s="1"/>
      <c r="F48" s="6"/>
      <c r="G48" s="1"/>
      <c r="L48" s="6"/>
      <c r="M48" s="6"/>
      <c r="N48" s="6"/>
      <c r="O48" s="6"/>
    </row>
    <row r="49" spans="1:20">
      <c r="A49" s="1"/>
      <c r="B49" s="1"/>
      <c r="C49" s="1"/>
      <c r="D49" s="1"/>
      <c r="E49" s="1"/>
      <c r="F49" s="6"/>
      <c r="G49" s="1"/>
      <c r="L49" s="6"/>
      <c r="M49" s="6"/>
      <c r="N49" s="6"/>
      <c r="O49" s="6"/>
    </row>
    <row r="50" spans="1:20">
      <c r="A50" s="1"/>
      <c r="B50" s="1"/>
      <c r="C50" s="1"/>
      <c r="D50" s="1"/>
      <c r="E50" s="1"/>
      <c r="F50" s="6"/>
      <c r="G50" s="1"/>
      <c r="L50" s="6"/>
      <c r="M50" s="6"/>
      <c r="N50" s="6"/>
      <c r="O50" s="6"/>
    </row>
    <row r="51" spans="1:20">
      <c r="A51" s="1"/>
      <c r="B51" s="1"/>
      <c r="C51" s="1"/>
      <c r="D51" s="1"/>
      <c r="E51" s="1"/>
      <c r="F51" s="6"/>
      <c r="G51" s="1"/>
      <c r="L51" s="6"/>
      <c r="M51" s="6"/>
      <c r="N51" s="6"/>
      <c r="O51" s="6"/>
    </row>
    <row r="52" spans="1:20">
      <c r="A52" s="1"/>
      <c r="B52" s="1"/>
      <c r="C52" s="1"/>
      <c r="D52" s="1"/>
      <c r="E52" s="1"/>
      <c r="F52" s="6"/>
      <c r="G52" s="1"/>
      <c r="L52" s="6"/>
      <c r="M52" s="6"/>
      <c r="N52" s="6"/>
      <c r="O52" s="6"/>
    </row>
    <row r="53" spans="1:20">
      <c r="A53" s="1"/>
      <c r="B53" s="1"/>
      <c r="C53" s="1"/>
      <c r="D53" s="1"/>
      <c r="E53" s="1"/>
      <c r="F53" s="6"/>
      <c r="G53" s="26"/>
      <c r="H53" s="26"/>
      <c r="I53" s="26"/>
      <c r="J53" s="26"/>
      <c r="K53" s="26"/>
      <c r="L53" s="6"/>
      <c r="M53" s="6"/>
      <c r="N53" s="6"/>
      <c r="O53" s="6"/>
      <c r="T53">
        <v>0.56000000000000005</v>
      </c>
    </row>
    <row r="54" spans="1:20">
      <c r="A54" s="1"/>
      <c r="B54" s="1"/>
      <c r="C54" s="1"/>
      <c r="D54" s="1"/>
      <c r="E54" s="1"/>
      <c r="F54" s="6"/>
      <c r="G54" s="4"/>
      <c r="H54" s="4"/>
      <c r="I54" s="4"/>
      <c r="J54" s="4"/>
      <c r="K54" s="4"/>
      <c r="L54" s="6"/>
      <c r="M54" s="6"/>
      <c r="N54" s="6"/>
      <c r="O54" s="6"/>
    </row>
    <row r="55" spans="1:20">
      <c r="A55" s="1"/>
      <c r="B55" s="1"/>
      <c r="C55" s="1"/>
      <c r="D55" s="1"/>
      <c r="E55" s="1"/>
      <c r="F55" s="6"/>
      <c r="G55" s="26"/>
      <c r="H55" s="26"/>
      <c r="I55" s="26"/>
      <c r="J55" s="26"/>
      <c r="K55" s="26"/>
      <c r="L55" s="6"/>
      <c r="M55" s="6"/>
      <c r="N55" s="6"/>
      <c r="O55" s="6"/>
    </row>
    <row r="56" spans="1:20">
      <c r="A56" s="1"/>
      <c r="B56" s="1"/>
      <c r="C56" s="1"/>
      <c r="D56" s="1"/>
      <c r="E56" s="1"/>
      <c r="F56" s="6"/>
      <c r="H56" s="28"/>
      <c r="L56" s="6"/>
      <c r="M56" s="6"/>
      <c r="N56" s="6"/>
      <c r="O56" s="6"/>
    </row>
    <row r="57" spans="1:20">
      <c r="A57" s="1"/>
      <c r="B57" s="1"/>
      <c r="C57" s="1"/>
      <c r="D57" s="1"/>
      <c r="E57" s="1"/>
      <c r="F57" s="6"/>
      <c r="G57" s="1"/>
      <c r="H57" s="28"/>
      <c r="L57" s="6"/>
      <c r="M57" s="6"/>
      <c r="N57" s="6"/>
      <c r="O57" s="6"/>
    </row>
    <row r="58" spans="1:20">
      <c r="A58" s="1"/>
      <c r="B58" s="1"/>
      <c r="C58" s="1"/>
      <c r="D58" s="1"/>
      <c r="E58" s="1"/>
      <c r="F58" s="6"/>
      <c r="G58" s="1"/>
      <c r="H58" s="28"/>
      <c r="L58" s="6"/>
      <c r="M58" s="6"/>
      <c r="N58" s="6"/>
      <c r="O58" s="6"/>
    </row>
    <row r="59" spans="1:20">
      <c r="A59" s="1"/>
      <c r="B59" s="1"/>
      <c r="C59" s="1"/>
      <c r="D59" s="1"/>
      <c r="E59" s="1"/>
      <c r="F59" s="6"/>
      <c r="G59" s="1"/>
      <c r="H59" s="28"/>
      <c r="L59" s="6"/>
      <c r="M59" s="6"/>
      <c r="N59" s="6"/>
      <c r="O59" s="6"/>
    </row>
    <row r="60" spans="1:20">
      <c r="A60" s="1"/>
      <c r="B60" s="1"/>
      <c r="C60" s="1"/>
      <c r="D60" s="1"/>
      <c r="E60" s="1"/>
      <c r="F60" s="6"/>
      <c r="G60" s="1"/>
      <c r="H60" s="28"/>
      <c r="L60" s="6"/>
      <c r="M60" s="6"/>
      <c r="N60" s="6"/>
      <c r="O60" s="6"/>
    </row>
    <row r="61" spans="1:20">
      <c r="A61" s="1"/>
      <c r="B61" s="1"/>
      <c r="C61" s="1"/>
      <c r="D61" s="1"/>
      <c r="E61" s="1"/>
      <c r="F61" s="6"/>
      <c r="G61" s="1"/>
      <c r="H61" s="28"/>
      <c r="L61" s="6"/>
      <c r="M61" s="6"/>
      <c r="N61" s="6"/>
      <c r="O61" s="6"/>
    </row>
    <row r="62" spans="1:20">
      <c r="A62" s="1"/>
      <c r="B62" s="1"/>
      <c r="C62" s="1"/>
      <c r="D62" s="1"/>
      <c r="E62" s="1"/>
      <c r="F62" s="6"/>
      <c r="G62" s="1"/>
      <c r="H62" s="28"/>
      <c r="L62" s="6"/>
      <c r="M62" s="6"/>
      <c r="N62" s="6"/>
      <c r="O62" s="6"/>
    </row>
    <row r="63" spans="1:20">
      <c r="L63" s="6"/>
      <c r="M63" s="6"/>
      <c r="N63" s="6"/>
      <c r="O63" s="6"/>
    </row>
    <row r="64" spans="1:20">
      <c r="L64" s="6"/>
      <c r="M64" s="6"/>
      <c r="N64" s="6"/>
      <c r="O64" s="6"/>
    </row>
  </sheetData>
  <mergeCells count="2">
    <mergeCell ref="G3:K3"/>
    <mergeCell ref="M3:N3"/>
  </mergeCell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1AEA-8D95-4C0A-8B10-EA3848B4314E}">
  <dimension ref="A1:L22"/>
  <sheetViews>
    <sheetView workbookViewId="0">
      <selection activeCell="A2" sqref="A2"/>
    </sheetView>
  </sheetViews>
  <sheetFormatPr defaultRowHeight="15" customHeight="1"/>
  <cols>
    <col min="1" max="1" width="15" customWidth="1"/>
    <col min="3" max="3" width="14.6640625" customWidth="1"/>
    <col min="6" max="6" width="10.5546875" customWidth="1"/>
  </cols>
  <sheetData>
    <row r="1" spans="1:12" ht="15" customHeight="1">
      <c r="A1" s="138" t="s">
        <v>550</v>
      </c>
    </row>
    <row r="2" spans="1:12" ht="15" customHeight="1">
      <c r="A2" t="s">
        <v>252</v>
      </c>
      <c r="F2" t="s">
        <v>441</v>
      </c>
      <c r="J2" t="s">
        <v>442</v>
      </c>
    </row>
    <row r="3" spans="1:12" ht="14.4">
      <c r="A3" t="s">
        <v>194</v>
      </c>
      <c r="B3" t="s">
        <v>1745</v>
      </c>
      <c r="C3" t="s">
        <v>2243</v>
      </c>
      <c r="F3" t="s">
        <v>445</v>
      </c>
      <c r="G3" t="s">
        <v>2244</v>
      </c>
      <c r="J3" t="s">
        <v>2245</v>
      </c>
      <c r="K3" t="s">
        <v>443</v>
      </c>
      <c r="L3" t="s">
        <v>495</v>
      </c>
    </row>
    <row r="4" spans="1:12" ht="14.4">
      <c r="A4" t="s">
        <v>447</v>
      </c>
      <c r="B4">
        <v>1</v>
      </c>
      <c r="C4">
        <v>15</v>
      </c>
      <c r="F4" t="s">
        <v>129</v>
      </c>
      <c r="G4">
        <v>2</v>
      </c>
      <c r="J4" t="s">
        <v>2189</v>
      </c>
      <c r="K4">
        <v>1</v>
      </c>
      <c r="L4" t="s">
        <v>480</v>
      </c>
    </row>
    <row r="5" spans="1:12" ht="14.4">
      <c r="A5" t="s">
        <v>2246</v>
      </c>
      <c r="B5">
        <v>2</v>
      </c>
      <c r="C5">
        <v>10</v>
      </c>
    </row>
    <row r="6" spans="1:12" ht="14.4"/>
    <row r="7" spans="1:12" ht="14.4"/>
    <row r="8" spans="1:12" ht="14.4"/>
    <row r="9" spans="1:12" ht="14.4">
      <c r="A9" t="s">
        <v>37</v>
      </c>
    </row>
    <row r="10" spans="1:12" ht="27.6">
      <c r="A10" s="104"/>
      <c r="B10" s="105" t="s">
        <v>267</v>
      </c>
      <c r="C10" s="105" t="s">
        <v>268</v>
      </c>
      <c r="D10" s="105" t="s">
        <v>269</v>
      </c>
    </row>
    <row r="11" spans="1:12" ht="14.4">
      <c r="A11" s="106" t="s">
        <v>2247</v>
      </c>
      <c r="B11" s="107">
        <v>0.13798108144761106</v>
      </c>
      <c r="C11" s="108">
        <v>2.7318679253405555E-4</v>
      </c>
      <c r="D11" s="108">
        <v>5.5395644583333336E-6</v>
      </c>
    </row>
    <row r="13" spans="1:12" ht="14.4"/>
    <row r="14" spans="1:12" ht="14.4">
      <c r="B14" t="s">
        <v>2248</v>
      </c>
      <c r="C14" t="s">
        <v>2249</v>
      </c>
      <c r="D14" t="s">
        <v>2250</v>
      </c>
    </row>
    <row r="15" spans="1:12" ht="14.4">
      <c r="B15">
        <f>C4*B11</f>
        <v>2.0697162217141658</v>
      </c>
    </row>
    <row r="18" spans="1:7" ht="14.4">
      <c r="A18" t="s">
        <v>2189</v>
      </c>
    </row>
    <row r="19" spans="1:7" ht="55.2">
      <c r="A19" s="109" t="s">
        <v>306</v>
      </c>
      <c r="B19" s="109" t="s">
        <v>307</v>
      </c>
      <c r="C19" s="110" t="s">
        <v>308</v>
      </c>
      <c r="D19" s="109" t="s">
        <v>309</v>
      </c>
      <c r="E19" s="111" t="s">
        <v>310</v>
      </c>
      <c r="F19" s="136"/>
      <c r="G19" s="136"/>
    </row>
    <row r="20" spans="1:7" ht="14.4">
      <c r="A20" s="112">
        <v>1</v>
      </c>
      <c r="B20" s="112">
        <v>27</v>
      </c>
      <c r="C20" s="112">
        <v>29.8</v>
      </c>
      <c r="D20" s="112">
        <v>273</v>
      </c>
      <c r="E20" s="113">
        <v>1960</v>
      </c>
      <c r="F20" s="137"/>
      <c r="G20" s="137"/>
    </row>
    <row r="22" spans="1:7" ht="14.4">
      <c r="A22" t="s">
        <v>2189</v>
      </c>
      <c r="B22">
        <f>B15+C15*B20+D15*D20</f>
        <v>2.0697162217141658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6C2C-09D0-41E4-8E60-3CF6719693CC}">
  <dimension ref="A2:V111"/>
  <sheetViews>
    <sheetView workbookViewId="0">
      <selection activeCell="B3" sqref="B3"/>
    </sheetView>
  </sheetViews>
  <sheetFormatPr defaultRowHeight="14.4"/>
  <cols>
    <col min="1" max="1" width="34.33203125" customWidth="1"/>
    <col min="2" max="2" width="19.5546875" customWidth="1"/>
    <col min="3" max="3" width="31.5546875" customWidth="1"/>
    <col min="5" max="5" width="24.5546875" customWidth="1"/>
    <col min="9" max="9" width="27.6640625" customWidth="1"/>
    <col min="10" max="10" width="19.33203125" customWidth="1"/>
  </cols>
  <sheetData>
    <row r="2" spans="1:11" ht="19.8">
      <c r="A2" s="150" t="s">
        <v>2251</v>
      </c>
      <c r="B2" t="s">
        <v>2252</v>
      </c>
    </row>
    <row r="3" spans="1:11">
      <c r="C3" s="141" t="s">
        <v>2253</v>
      </c>
      <c r="D3" t="s">
        <v>2254</v>
      </c>
    </row>
    <row r="4" spans="1:11">
      <c r="C4" s="32" t="s">
        <v>2255</v>
      </c>
    </row>
    <row r="5" spans="1:11">
      <c r="A5" s="3" t="s">
        <v>252</v>
      </c>
      <c r="E5" s="3" t="s">
        <v>441</v>
      </c>
      <c r="I5" s="3" t="s">
        <v>442</v>
      </c>
    </row>
    <row r="6" spans="1:11">
      <c r="A6" t="s">
        <v>194</v>
      </c>
      <c r="B6" t="s">
        <v>443</v>
      </c>
      <c r="C6" t="s">
        <v>444</v>
      </c>
      <c r="E6" t="s">
        <v>445</v>
      </c>
      <c r="F6" t="s">
        <v>443</v>
      </c>
      <c r="G6" t="s">
        <v>444</v>
      </c>
      <c r="I6" t="s">
        <v>446</v>
      </c>
      <c r="J6" t="s">
        <v>443</v>
      </c>
      <c r="K6" t="s">
        <v>444</v>
      </c>
    </row>
    <row r="7" spans="1:11">
      <c r="A7" t="s">
        <v>119</v>
      </c>
      <c r="B7" s="140">
        <v>14.65714285714286</v>
      </c>
      <c r="C7" s="140" t="s">
        <v>448</v>
      </c>
      <c r="E7" s="74" t="s">
        <v>2256</v>
      </c>
      <c r="F7" s="153">
        <v>0.28571428571428598</v>
      </c>
      <c r="G7" s="153" t="s">
        <v>449</v>
      </c>
      <c r="I7" t="s">
        <v>1360</v>
      </c>
      <c r="J7" s="140">
        <v>9.5238095238095249E-4</v>
      </c>
      <c r="K7" s="140" t="s">
        <v>449</v>
      </c>
    </row>
    <row r="8" spans="1:11">
      <c r="A8" t="s">
        <v>120</v>
      </c>
      <c r="B8" s="140">
        <v>9.3857142857142861</v>
      </c>
      <c r="C8" s="140" t="s">
        <v>448</v>
      </c>
      <c r="I8" t="s">
        <v>1367</v>
      </c>
      <c r="J8" s="140">
        <v>3.5714285714285714E-4</v>
      </c>
      <c r="K8" s="140" t="s">
        <v>449</v>
      </c>
    </row>
    <row r="9" spans="1:11">
      <c r="A9" t="s">
        <v>121</v>
      </c>
      <c r="B9" s="140">
        <v>3.06</v>
      </c>
      <c r="C9" s="140" t="s">
        <v>448</v>
      </c>
      <c r="I9" t="s">
        <v>1373</v>
      </c>
      <c r="J9" s="140">
        <v>3.5714285714285717E-5</v>
      </c>
      <c r="K9" s="140" t="s">
        <v>449</v>
      </c>
    </row>
    <row r="10" spans="1:11">
      <c r="A10" t="s">
        <v>122</v>
      </c>
      <c r="B10">
        <v>9.6249999999999999E-3</v>
      </c>
      <c r="C10" t="s">
        <v>448</v>
      </c>
      <c r="I10" t="s">
        <v>1379</v>
      </c>
      <c r="J10" s="140">
        <v>2.3809523809523812E-4</v>
      </c>
      <c r="K10" t="s">
        <v>449</v>
      </c>
    </row>
    <row r="11" spans="1:11">
      <c r="A11" t="s">
        <v>2257</v>
      </c>
      <c r="B11">
        <v>27.45</v>
      </c>
      <c r="C11" t="s">
        <v>448</v>
      </c>
      <c r="I11" t="s">
        <v>1384</v>
      </c>
      <c r="J11">
        <v>2.3809523809523812E-4</v>
      </c>
      <c r="K11" t="s">
        <v>449</v>
      </c>
    </row>
    <row r="12" spans="1:11">
      <c r="A12" t="s">
        <v>123</v>
      </c>
      <c r="B12">
        <v>1.8</v>
      </c>
      <c r="C12" t="s">
        <v>448</v>
      </c>
      <c r="I12" t="s">
        <v>2258</v>
      </c>
      <c r="J12">
        <v>54.761904761904759</v>
      </c>
      <c r="K12" t="s">
        <v>449</v>
      </c>
    </row>
    <row r="13" spans="1:11">
      <c r="A13" t="s">
        <v>124</v>
      </c>
      <c r="B13">
        <v>0.35</v>
      </c>
      <c r="C13" t="s">
        <v>448</v>
      </c>
      <c r="I13" t="s">
        <v>1297</v>
      </c>
      <c r="J13">
        <v>0.35714285714285715</v>
      </c>
      <c r="K13" t="s">
        <v>458</v>
      </c>
    </row>
    <row r="14" spans="1:11">
      <c r="A14" t="s">
        <v>125</v>
      </c>
      <c r="B14">
        <v>4.6800000000000001E-2</v>
      </c>
      <c r="C14" t="s">
        <v>448</v>
      </c>
      <c r="I14" t="s">
        <v>1408</v>
      </c>
      <c r="J14">
        <v>0.35714285714285715</v>
      </c>
      <c r="K14" t="s">
        <v>458</v>
      </c>
    </row>
    <row r="15" spans="1:11">
      <c r="I15" t="s">
        <v>9</v>
      </c>
      <c r="J15">
        <v>0.12142857142857144</v>
      </c>
      <c r="K15" t="s">
        <v>449</v>
      </c>
    </row>
    <row r="16" spans="1:11">
      <c r="I16" t="s">
        <v>1294</v>
      </c>
      <c r="J16">
        <v>0.23571428571428574</v>
      </c>
      <c r="K16" t="s">
        <v>449</v>
      </c>
    </row>
    <row r="17" spans="9:11">
      <c r="I17" t="s">
        <v>1296</v>
      </c>
      <c r="J17">
        <v>0.38571428571428573</v>
      </c>
      <c r="K17" t="s">
        <v>449</v>
      </c>
    </row>
    <row r="18" spans="9:11">
      <c r="I18" t="s">
        <v>1432</v>
      </c>
      <c r="J18">
        <v>0.15000000000000002</v>
      </c>
      <c r="K18" t="s">
        <v>449</v>
      </c>
    </row>
    <row r="19" spans="9:11">
      <c r="I19" t="s">
        <v>1436</v>
      </c>
      <c r="J19">
        <v>2.142857142857143E-3</v>
      </c>
      <c r="K19" t="s">
        <v>449</v>
      </c>
    </row>
    <row r="20" spans="9:11">
      <c r="I20" t="s">
        <v>2259</v>
      </c>
      <c r="J20" s="140">
        <v>1.551E-4</v>
      </c>
      <c r="K20" s="140" t="s">
        <v>449</v>
      </c>
    </row>
    <row r="21" spans="9:11">
      <c r="I21" t="s">
        <v>2260</v>
      </c>
      <c r="J21" s="140">
        <v>9.6249999999999995E-5</v>
      </c>
      <c r="K21" s="140" t="s">
        <v>449</v>
      </c>
    </row>
    <row r="22" spans="9:11">
      <c r="I22" t="s">
        <v>2261</v>
      </c>
      <c r="J22">
        <v>2.7225000000000003E-4</v>
      </c>
      <c r="K22" t="s">
        <v>449</v>
      </c>
    </row>
    <row r="23" spans="9:11">
      <c r="I23" t="s">
        <v>2262</v>
      </c>
      <c r="J23">
        <v>2.6400000000000002E-4</v>
      </c>
      <c r="K23" t="s">
        <v>449</v>
      </c>
    </row>
    <row r="24" spans="9:11">
      <c r="I24" t="s">
        <v>2263</v>
      </c>
      <c r="J24">
        <v>2.5300000000000002E-5</v>
      </c>
      <c r="K24" t="s">
        <v>449</v>
      </c>
    </row>
    <row r="25" spans="9:11">
      <c r="I25" t="s">
        <v>2264</v>
      </c>
      <c r="J25">
        <v>5.4450000000000004E-6</v>
      </c>
      <c r="K25" t="s">
        <v>449</v>
      </c>
    </row>
    <row r="26" spans="9:11">
      <c r="I26" t="s">
        <v>2265</v>
      </c>
      <c r="J26">
        <v>4.51E-6</v>
      </c>
      <c r="K26" t="s">
        <v>449</v>
      </c>
    </row>
    <row r="27" spans="9:11">
      <c r="I27" t="s">
        <v>2266</v>
      </c>
      <c r="J27">
        <v>2.0900000000000003E-6</v>
      </c>
      <c r="K27" t="s">
        <v>449</v>
      </c>
    </row>
    <row r="28" spans="9:11">
      <c r="I28" t="s">
        <v>2267</v>
      </c>
      <c r="J28">
        <v>1.2100000000000001E-6</v>
      </c>
      <c r="K28" t="s">
        <v>449</v>
      </c>
    </row>
    <row r="29" spans="9:11">
      <c r="I29" t="s">
        <v>2268</v>
      </c>
      <c r="J29">
        <v>9.8999999999999999E-4</v>
      </c>
      <c r="K29" t="s">
        <v>449</v>
      </c>
    </row>
    <row r="30" spans="9:11">
      <c r="I30" t="s">
        <v>1299</v>
      </c>
      <c r="J30">
        <v>6.6000000000000003E-2</v>
      </c>
      <c r="K30" t="s">
        <v>449</v>
      </c>
    </row>
    <row r="31" spans="9:11">
      <c r="I31" t="s">
        <v>2269</v>
      </c>
      <c r="J31">
        <v>0.74</v>
      </c>
      <c r="K31" t="s">
        <v>449</v>
      </c>
    </row>
    <row r="32" spans="9:11">
      <c r="I32" t="s">
        <v>1300</v>
      </c>
      <c r="J32">
        <v>2.9999999999999997E-4</v>
      </c>
      <c r="K32" t="s">
        <v>449</v>
      </c>
    </row>
    <row r="33" spans="1:11">
      <c r="I33" t="s">
        <v>1296</v>
      </c>
      <c r="J33">
        <v>3.0000000000000001E-3</v>
      </c>
      <c r="K33" t="s">
        <v>449</v>
      </c>
    </row>
    <row r="34" spans="1:11">
      <c r="I34" t="s">
        <v>1537</v>
      </c>
      <c r="J34">
        <v>5.0000000000000001E-3</v>
      </c>
      <c r="K34" t="s">
        <v>449</v>
      </c>
    </row>
    <row r="35" spans="1:11">
      <c r="I35" s="149" t="s">
        <v>2270</v>
      </c>
      <c r="J35">
        <v>0.1</v>
      </c>
      <c r="K35" t="s">
        <v>449</v>
      </c>
    </row>
    <row r="37" spans="1:11">
      <c r="I37" s="3"/>
    </row>
    <row r="38" spans="1:11">
      <c r="I38" s="141" t="s">
        <v>466</v>
      </c>
      <c r="K38" s="140" t="s">
        <v>467</v>
      </c>
    </row>
    <row r="39" spans="1:11">
      <c r="I39" s="140" t="s">
        <v>1341</v>
      </c>
      <c r="J39" s="140" t="s">
        <v>1342</v>
      </c>
      <c r="K39">
        <v>1.7</v>
      </c>
    </row>
    <row r="40" spans="1:11">
      <c r="I40" s="140" t="s">
        <v>1344</v>
      </c>
      <c r="J40" s="140" t="s">
        <v>927</v>
      </c>
      <c r="K40">
        <v>3.4</v>
      </c>
    </row>
    <row r="41" spans="1:11">
      <c r="I41" t="s">
        <v>930</v>
      </c>
      <c r="K41">
        <f>SUM(K39:K40)</f>
        <v>5.0999999999999996</v>
      </c>
    </row>
    <row r="43" spans="1:11">
      <c r="I43" s="3" t="s">
        <v>479</v>
      </c>
      <c r="J43">
        <f>J44*(K41/100)</f>
        <v>0.28881299999999999</v>
      </c>
      <c r="K43" t="s">
        <v>480</v>
      </c>
    </row>
    <row r="44" spans="1:11">
      <c r="I44" t="s">
        <v>481</v>
      </c>
      <c r="J44" s="32">
        <f>5663/1000</f>
        <v>5.6630000000000003</v>
      </c>
      <c r="K44" t="s">
        <v>480</v>
      </c>
    </row>
    <row r="45" spans="1:11">
      <c r="J45" s="32"/>
    </row>
    <row r="46" spans="1:11">
      <c r="J46" s="32"/>
    </row>
    <row r="47" spans="1:11">
      <c r="J47" s="32"/>
    </row>
    <row r="48" spans="1:11" ht="19.8">
      <c r="A48" s="138" t="s">
        <v>1346</v>
      </c>
    </row>
    <row r="49" spans="1:19">
      <c r="A49" s="135" t="s">
        <v>1347</v>
      </c>
    </row>
    <row r="50" spans="1:19">
      <c r="A50" t="s">
        <v>1348</v>
      </c>
      <c r="E50" s="154" t="s">
        <v>1349</v>
      </c>
      <c r="J50" s="3" t="s">
        <v>1350</v>
      </c>
    </row>
    <row r="51" spans="1:19">
      <c r="A51" s="148" t="s">
        <v>1351</v>
      </c>
      <c r="B51" s="148" t="s">
        <v>1352</v>
      </c>
      <c r="C51" s="148" t="s">
        <v>509</v>
      </c>
      <c r="D51" s="3" t="s">
        <v>1353</v>
      </c>
      <c r="E51" s="3" t="s">
        <v>1354</v>
      </c>
      <c r="F51" s="3" t="s">
        <v>1355</v>
      </c>
      <c r="G51" s="3" t="s">
        <v>1356</v>
      </c>
      <c r="J51" t="s">
        <v>1357</v>
      </c>
    </row>
    <row r="52" spans="1:19">
      <c r="A52" s="705" t="s">
        <v>1358</v>
      </c>
      <c r="B52" s="705"/>
      <c r="C52" s="705"/>
      <c r="J52" s="135" t="s">
        <v>1359</v>
      </c>
    </row>
    <row r="53" spans="1:19">
      <c r="A53" s="154" t="s">
        <v>1360</v>
      </c>
      <c r="B53" s="154" t="s">
        <v>2271</v>
      </c>
      <c r="C53" s="703" t="s">
        <v>1362</v>
      </c>
      <c r="D53">
        <v>0.08</v>
      </c>
      <c r="E53">
        <f>D53/1000</f>
        <v>8.0000000000000007E-5</v>
      </c>
      <c r="F53">
        <f>E53*$R$58</f>
        <v>9.5238095238095249E-4</v>
      </c>
      <c r="G53" s="154" t="s">
        <v>449</v>
      </c>
      <c r="J53" t="s">
        <v>1366</v>
      </c>
    </row>
    <row r="54" spans="1:19">
      <c r="A54" s="154" t="s">
        <v>1367</v>
      </c>
      <c r="B54" s="154" t="s">
        <v>2272</v>
      </c>
      <c r="C54" s="703"/>
      <c r="D54">
        <v>0.03</v>
      </c>
      <c r="E54">
        <f t="shared" ref="E54:E94" si="0">D54/1000</f>
        <v>2.9999999999999997E-5</v>
      </c>
      <c r="F54">
        <f t="shared" ref="F54:F62" si="1">E54*$R$58</f>
        <v>3.5714285714285714E-4</v>
      </c>
      <c r="G54" s="154" t="s">
        <v>449</v>
      </c>
      <c r="J54" t="s">
        <v>1372</v>
      </c>
    </row>
    <row r="55" spans="1:19">
      <c r="A55" s="154" t="s">
        <v>1373</v>
      </c>
      <c r="B55" s="154" t="s">
        <v>2273</v>
      </c>
      <c r="C55" s="703"/>
      <c r="D55">
        <v>3.0000000000000001E-3</v>
      </c>
      <c r="E55">
        <f t="shared" si="0"/>
        <v>3.0000000000000001E-6</v>
      </c>
      <c r="F55">
        <f t="shared" si="1"/>
        <v>3.5714285714285717E-5</v>
      </c>
      <c r="G55" s="154" t="s">
        <v>449</v>
      </c>
      <c r="J55" t="s">
        <v>1378</v>
      </c>
    </row>
    <row r="56" spans="1:19">
      <c r="A56" s="154" t="s">
        <v>1379</v>
      </c>
      <c r="B56" s="154" t="s">
        <v>2274</v>
      </c>
      <c r="C56" s="703"/>
      <c r="D56">
        <v>0.02</v>
      </c>
      <c r="E56">
        <f t="shared" si="0"/>
        <v>2.0000000000000002E-5</v>
      </c>
      <c r="F56">
        <f t="shared" si="1"/>
        <v>2.3809523809523812E-4</v>
      </c>
      <c r="G56" s="154" t="s">
        <v>449</v>
      </c>
    </row>
    <row r="57" spans="1:19">
      <c r="A57" s="154" t="s">
        <v>1384</v>
      </c>
      <c r="B57" s="154" t="s">
        <v>2274</v>
      </c>
      <c r="C57" s="703"/>
      <c r="D57">
        <v>0.02</v>
      </c>
      <c r="E57">
        <f t="shared" si="0"/>
        <v>2.0000000000000002E-5</v>
      </c>
      <c r="F57">
        <f t="shared" si="1"/>
        <v>2.3809523809523812E-4</v>
      </c>
      <c r="G57" s="154" t="s">
        <v>449</v>
      </c>
    </row>
    <row r="58" spans="1:19">
      <c r="A58" t="s">
        <v>1385</v>
      </c>
      <c r="B58" t="s">
        <v>2275</v>
      </c>
      <c r="C58" s="703"/>
      <c r="D58">
        <v>342</v>
      </c>
      <c r="E58">
        <f t="shared" si="0"/>
        <v>0.34200000000000003</v>
      </c>
      <c r="F58">
        <f>(E58*$R$58)*3.6</f>
        <v>14.65714285714286</v>
      </c>
      <c r="G58" t="s">
        <v>448</v>
      </c>
      <c r="I58">
        <v>1</v>
      </c>
      <c r="J58" t="s">
        <v>1389</v>
      </c>
      <c r="K58">
        <v>1</v>
      </c>
      <c r="L58" t="s">
        <v>1390</v>
      </c>
      <c r="M58">
        <v>1.3</v>
      </c>
      <c r="N58" t="s">
        <v>1392</v>
      </c>
      <c r="O58" t="s">
        <v>1393</v>
      </c>
      <c r="P58">
        <f>I58*K58*M58</f>
        <v>1.3</v>
      </c>
      <c r="Q58" t="s">
        <v>1393</v>
      </c>
      <c r="R58">
        <f>P58/P59</f>
        <v>11.904761904761905</v>
      </c>
      <c r="S58" t="s">
        <v>1389</v>
      </c>
    </row>
    <row r="59" spans="1:19">
      <c r="A59" t="s">
        <v>6</v>
      </c>
      <c r="B59" t="s">
        <v>2276</v>
      </c>
      <c r="C59" s="703"/>
      <c r="D59">
        <v>4600</v>
      </c>
      <c r="E59">
        <f t="shared" si="0"/>
        <v>4.5999999999999996</v>
      </c>
      <c r="F59">
        <f t="shared" si="1"/>
        <v>54.761904761904759</v>
      </c>
      <c r="G59" t="s">
        <v>458</v>
      </c>
      <c r="I59">
        <v>0.6</v>
      </c>
      <c r="J59" t="s">
        <v>1390</v>
      </c>
      <c r="K59">
        <v>0.35</v>
      </c>
      <c r="L59" t="s">
        <v>1392</v>
      </c>
      <c r="M59">
        <v>0.52</v>
      </c>
      <c r="N59" t="s">
        <v>1400</v>
      </c>
      <c r="P59">
        <f>I59*K59*M59</f>
        <v>0.10920000000000001</v>
      </c>
      <c r="S59" t="s">
        <v>1400</v>
      </c>
    </row>
    <row r="60" spans="1:19">
      <c r="A60" s="701" t="s">
        <v>1402</v>
      </c>
      <c r="B60" s="701"/>
      <c r="C60" s="701"/>
      <c r="K60">
        <v>1</v>
      </c>
      <c r="L60" t="s">
        <v>1390</v>
      </c>
      <c r="M60">
        <v>1.3</v>
      </c>
      <c r="N60" t="s">
        <v>1392</v>
      </c>
      <c r="O60" t="s">
        <v>1393</v>
      </c>
      <c r="P60">
        <f>K60*M60</f>
        <v>1.3</v>
      </c>
      <c r="Q60" t="s">
        <v>1393</v>
      </c>
      <c r="R60">
        <f>P60/P61</f>
        <v>7.1428571428571432</v>
      </c>
      <c r="S60" t="s">
        <v>1390</v>
      </c>
    </row>
    <row r="61" spans="1:19">
      <c r="A61" t="s">
        <v>1297</v>
      </c>
      <c r="B61" t="s">
        <v>2277</v>
      </c>
      <c r="C61" s="706" t="s">
        <v>2278</v>
      </c>
      <c r="D61">
        <v>30</v>
      </c>
      <c r="E61">
        <f t="shared" si="0"/>
        <v>0.03</v>
      </c>
      <c r="F61">
        <f t="shared" si="1"/>
        <v>0.35714285714285715</v>
      </c>
      <c r="G61" t="s">
        <v>458</v>
      </c>
      <c r="K61">
        <v>0.35</v>
      </c>
      <c r="L61" t="s">
        <v>1392</v>
      </c>
      <c r="M61">
        <v>0.52</v>
      </c>
      <c r="N61" t="s">
        <v>1400</v>
      </c>
      <c r="P61">
        <f>K61*M61</f>
        <v>0.182</v>
      </c>
      <c r="S61" t="s">
        <v>1400</v>
      </c>
    </row>
    <row r="62" spans="1:19">
      <c r="A62" t="s">
        <v>1408</v>
      </c>
      <c r="B62" t="s">
        <v>2277</v>
      </c>
      <c r="C62" s="706"/>
      <c r="D62">
        <v>30</v>
      </c>
      <c r="E62">
        <f t="shared" si="0"/>
        <v>0.03</v>
      </c>
      <c r="F62">
        <f t="shared" si="1"/>
        <v>0.35714285714285715</v>
      </c>
      <c r="G62" t="s">
        <v>458</v>
      </c>
      <c r="M62">
        <v>1.3</v>
      </c>
      <c r="N62" t="s">
        <v>1392</v>
      </c>
      <c r="O62" t="s">
        <v>1393</v>
      </c>
      <c r="P62">
        <f>M62/M63</f>
        <v>2.5</v>
      </c>
      <c r="Q62" t="s">
        <v>1393</v>
      </c>
      <c r="R62">
        <f>P62</f>
        <v>2.5</v>
      </c>
      <c r="S62" t="s">
        <v>1392</v>
      </c>
    </row>
    <row r="63" spans="1:19">
      <c r="A63" t="s">
        <v>1410</v>
      </c>
      <c r="B63" t="s">
        <v>1411</v>
      </c>
      <c r="C63" s="706"/>
      <c r="D63">
        <v>100</v>
      </c>
      <c r="M63">
        <v>0.52</v>
      </c>
      <c r="N63" t="s">
        <v>1400</v>
      </c>
      <c r="S63" t="s">
        <v>1400</v>
      </c>
    </row>
    <row r="64" spans="1:19">
      <c r="A64" s="701" t="s">
        <v>1412</v>
      </c>
      <c r="B64" s="701"/>
      <c r="C64" s="701"/>
    </row>
    <row r="65" spans="1:10">
      <c r="A65" t="s">
        <v>1413</v>
      </c>
      <c r="B65" t="s">
        <v>2279</v>
      </c>
      <c r="C65" s="703" t="s">
        <v>1415</v>
      </c>
      <c r="D65">
        <v>9.83</v>
      </c>
      <c r="E65">
        <f t="shared" si="0"/>
        <v>9.8300000000000002E-3</v>
      </c>
      <c r="F65">
        <f>(E65*$R$58)*3.6</f>
        <v>0.42128571428571432</v>
      </c>
      <c r="G65" t="s">
        <v>448</v>
      </c>
    </row>
    <row r="66" spans="1:10">
      <c r="A66" t="s">
        <v>6</v>
      </c>
      <c r="B66" t="s">
        <v>2280</v>
      </c>
      <c r="C66" s="703"/>
      <c r="D66">
        <v>2.44</v>
      </c>
      <c r="E66">
        <f t="shared" si="0"/>
        <v>2.4399999999999999E-3</v>
      </c>
      <c r="F66">
        <f>(E66*$R$60)/1000</f>
        <v>1.7428571428571429E-5</v>
      </c>
      <c r="G66" t="s">
        <v>449</v>
      </c>
    </row>
    <row r="67" spans="1:10">
      <c r="A67" t="s">
        <v>9</v>
      </c>
      <c r="B67" t="s">
        <v>2281</v>
      </c>
      <c r="C67" s="703"/>
      <c r="D67">
        <v>17</v>
      </c>
      <c r="E67">
        <f t="shared" si="0"/>
        <v>1.7000000000000001E-2</v>
      </c>
      <c r="F67">
        <f t="shared" ref="F67:F73" si="2">E67*$R$60</f>
        <v>0.12142857142857144</v>
      </c>
      <c r="G67" t="s">
        <v>449</v>
      </c>
    </row>
    <row r="68" spans="1:10">
      <c r="A68" t="s">
        <v>1294</v>
      </c>
      <c r="B68" t="s">
        <v>2282</v>
      </c>
      <c r="C68" s="703"/>
      <c r="D68">
        <v>33</v>
      </c>
      <c r="E68">
        <f t="shared" si="0"/>
        <v>3.3000000000000002E-2</v>
      </c>
      <c r="F68">
        <f t="shared" si="2"/>
        <v>0.23571428571428574</v>
      </c>
      <c r="G68" t="s">
        <v>449</v>
      </c>
    </row>
    <row r="69" spans="1:10">
      <c r="A69" t="s">
        <v>1296</v>
      </c>
      <c r="B69" t="s">
        <v>2283</v>
      </c>
      <c r="C69" s="703"/>
      <c r="D69">
        <v>54</v>
      </c>
      <c r="E69">
        <f t="shared" si="0"/>
        <v>5.3999999999999999E-2</v>
      </c>
      <c r="F69">
        <f t="shared" si="2"/>
        <v>0.38571428571428573</v>
      </c>
      <c r="G69" t="s">
        <v>449</v>
      </c>
    </row>
    <row r="70" spans="1:10">
      <c r="A70" t="s">
        <v>1432</v>
      </c>
      <c r="B70" t="s">
        <v>2284</v>
      </c>
      <c r="C70" s="703"/>
      <c r="D70">
        <v>21</v>
      </c>
      <c r="E70">
        <f t="shared" si="0"/>
        <v>2.1000000000000001E-2</v>
      </c>
      <c r="F70">
        <f t="shared" si="2"/>
        <v>0.15000000000000002</v>
      </c>
      <c r="G70" t="s">
        <v>449</v>
      </c>
    </row>
    <row r="71" spans="1:10">
      <c r="A71" t="s">
        <v>1436</v>
      </c>
      <c r="B71" t="s">
        <v>2285</v>
      </c>
      <c r="C71" s="703"/>
      <c r="D71">
        <v>0.3</v>
      </c>
      <c r="E71">
        <f t="shared" si="0"/>
        <v>2.9999999999999997E-4</v>
      </c>
      <c r="F71">
        <f t="shared" si="2"/>
        <v>2.142857142857143E-3</v>
      </c>
      <c r="G71" t="s">
        <v>449</v>
      </c>
    </row>
    <row r="72" spans="1:10">
      <c r="A72" t="s">
        <v>1441</v>
      </c>
      <c r="B72" t="s">
        <v>2286</v>
      </c>
      <c r="C72" s="703"/>
      <c r="D72">
        <v>40</v>
      </c>
      <c r="E72">
        <f t="shared" si="0"/>
        <v>0.04</v>
      </c>
      <c r="F72">
        <f t="shared" si="2"/>
        <v>0.28571428571428575</v>
      </c>
      <c r="G72" t="s">
        <v>449</v>
      </c>
    </row>
    <row r="73" spans="1:10">
      <c r="A73" t="s">
        <v>1445</v>
      </c>
      <c r="B73" t="s">
        <v>2287</v>
      </c>
      <c r="C73" s="703"/>
      <c r="D73">
        <v>1314</v>
      </c>
      <c r="E73">
        <f t="shared" si="0"/>
        <v>1.3140000000000001</v>
      </c>
      <c r="F73">
        <f t="shared" si="2"/>
        <v>9.3857142857142861</v>
      </c>
      <c r="G73" t="s">
        <v>448</v>
      </c>
    </row>
    <row r="74" spans="1:10">
      <c r="A74" t="s">
        <v>1290</v>
      </c>
      <c r="B74" t="s">
        <v>2288</v>
      </c>
      <c r="C74" s="703"/>
      <c r="D74">
        <v>119</v>
      </c>
      <c r="E74">
        <f t="shared" si="0"/>
        <v>0.11899999999999999</v>
      </c>
      <c r="F74">
        <f>(E74*$R$60)*3.6</f>
        <v>3.06</v>
      </c>
      <c r="G74" t="s">
        <v>448</v>
      </c>
    </row>
    <row r="75" spans="1:10">
      <c r="A75" s="701" t="s">
        <v>1452</v>
      </c>
      <c r="B75" s="701"/>
      <c r="C75" s="701"/>
    </row>
    <row r="76" spans="1:10" ht="17.399999999999999">
      <c r="A76" t="s">
        <v>1453</v>
      </c>
      <c r="B76" t="s">
        <v>2289</v>
      </c>
      <c r="C76" s="702" t="s">
        <v>2290</v>
      </c>
      <c r="D76">
        <v>0.22</v>
      </c>
      <c r="E76">
        <f t="shared" si="0"/>
        <v>2.2000000000000001E-4</v>
      </c>
      <c r="F76">
        <f>E76*$R$62</f>
        <v>5.5000000000000003E-4</v>
      </c>
      <c r="G76" t="s">
        <v>449</v>
      </c>
      <c r="I76" s="28" t="s">
        <v>1459</v>
      </c>
      <c r="J76" s="146" t="s">
        <v>1460</v>
      </c>
    </row>
    <row r="77" spans="1:10">
      <c r="A77" t="s">
        <v>1290</v>
      </c>
      <c r="B77" t="s">
        <v>2291</v>
      </c>
      <c r="C77" s="702"/>
      <c r="D77">
        <v>3050</v>
      </c>
      <c r="E77">
        <f t="shared" si="0"/>
        <v>3.05</v>
      </c>
      <c r="F77">
        <f>(E77*$R$62)*3.6</f>
        <v>27.45</v>
      </c>
      <c r="G77" t="s">
        <v>448</v>
      </c>
      <c r="J77" s="135" t="s">
        <v>1347</v>
      </c>
    </row>
    <row r="78" spans="1:10">
      <c r="A78" t="s">
        <v>1464</v>
      </c>
      <c r="B78" t="s">
        <v>2292</v>
      </c>
      <c r="C78" s="702"/>
      <c r="D78">
        <v>1.3</v>
      </c>
    </row>
    <row r="79" spans="1:10">
      <c r="A79" t="s">
        <v>1466</v>
      </c>
      <c r="B79" t="s">
        <v>2293</v>
      </c>
      <c r="C79" s="702"/>
      <c r="D79">
        <v>0.52</v>
      </c>
      <c r="J79" t="s">
        <v>1468</v>
      </c>
    </row>
    <row r="80" spans="1:10">
      <c r="A80" s="159" t="s">
        <v>1469</v>
      </c>
      <c r="B80" s="139"/>
      <c r="C80" s="702"/>
      <c r="J80" t="s">
        <v>2294</v>
      </c>
    </row>
    <row r="81" spans="1:22" ht="24.75" customHeight="1">
      <c r="A81" s="139" t="s">
        <v>1471</v>
      </c>
      <c r="B81" s="139" t="s">
        <v>2295</v>
      </c>
      <c r="C81" s="702"/>
      <c r="D81" s="139">
        <v>0.28000000000000003</v>
      </c>
      <c r="E81" s="139">
        <f t="shared" si="0"/>
        <v>2.8000000000000003E-4</v>
      </c>
      <c r="F81" s="139">
        <f>E81*$R$62</f>
        <v>7.000000000000001E-4</v>
      </c>
      <c r="G81" s="139" t="s">
        <v>449</v>
      </c>
      <c r="J81" s="224" t="s">
        <v>1476</v>
      </c>
      <c r="K81" s="224" t="s">
        <v>1477</v>
      </c>
      <c r="L81" s="224" t="s">
        <v>1478</v>
      </c>
      <c r="M81" t="s">
        <v>1352</v>
      </c>
      <c r="N81" t="s">
        <v>1479</v>
      </c>
      <c r="O81" t="s">
        <v>495</v>
      </c>
      <c r="P81" t="s">
        <v>1480</v>
      </c>
      <c r="T81">
        <v>5.5000000000000003E-4</v>
      </c>
      <c r="U81" t="s">
        <v>1481</v>
      </c>
    </row>
    <row r="82" spans="1:22" ht="16.5" customHeight="1">
      <c r="A82" s="139" t="s">
        <v>1290</v>
      </c>
      <c r="B82" s="139" t="s">
        <v>2296</v>
      </c>
      <c r="C82" s="702"/>
      <c r="D82" s="139">
        <v>1860</v>
      </c>
      <c r="E82" s="139">
        <f t="shared" si="0"/>
        <v>1.86</v>
      </c>
      <c r="F82" s="139">
        <f>(E82*$R$62)*3.6</f>
        <v>16.740000000000002</v>
      </c>
      <c r="G82" s="139" t="s">
        <v>448</v>
      </c>
      <c r="I82" s="158" t="s">
        <v>1485</v>
      </c>
      <c r="J82" s="155" t="s">
        <v>2297</v>
      </c>
      <c r="K82" s="155">
        <v>282</v>
      </c>
      <c r="L82" s="155">
        <v>67</v>
      </c>
      <c r="M82">
        <v>282</v>
      </c>
      <c r="N82">
        <f>M82/1000</f>
        <v>0.28199999999999997</v>
      </c>
      <c r="O82" t="s">
        <v>449</v>
      </c>
      <c r="P82">
        <f>N82*$T$81</f>
        <v>1.551E-4</v>
      </c>
    </row>
    <row r="83" spans="1:22" ht="15" customHeight="1">
      <c r="A83" s="139" t="s">
        <v>1464</v>
      </c>
      <c r="B83" s="139" t="s">
        <v>2298</v>
      </c>
      <c r="C83" s="702"/>
      <c r="D83" s="139">
        <v>1.1399999999999999</v>
      </c>
      <c r="E83" s="139" t="s">
        <v>1132</v>
      </c>
      <c r="F83" s="139"/>
      <c r="G83" s="139"/>
      <c r="I83" s="158" t="s">
        <v>1491</v>
      </c>
      <c r="J83" s="155" t="s">
        <v>2299</v>
      </c>
      <c r="K83" s="155">
        <v>175</v>
      </c>
      <c r="L83" s="155">
        <v>385</v>
      </c>
      <c r="M83">
        <v>175</v>
      </c>
      <c r="N83">
        <f t="shared" ref="N83:N84" si="3">M83/1000</f>
        <v>0.17499999999999999</v>
      </c>
      <c r="O83" t="s">
        <v>449</v>
      </c>
      <c r="P83">
        <f t="shared" ref="P83:P92" si="4">N83*$T$81</f>
        <v>9.6249999999999995E-5</v>
      </c>
    </row>
    <row r="84" spans="1:22" ht="17.399999999999999">
      <c r="A84" s="139" t="s">
        <v>1466</v>
      </c>
      <c r="B84" s="139" t="s">
        <v>2300</v>
      </c>
      <c r="C84" s="702"/>
      <c r="D84" s="139">
        <v>0.4</v>
      </c>
      <c r="E84" s="139" t="s">
        <v>1132</v>
      </c>
      <c r="F84" s="139"/>
      <c r="G84" s="139"/>
      <c r="I84" s="158" t="s">
        <v>1497</v>
      </c>
      <c r="J84" s="317" t="s">
        <v>2301</v>
      </c>
      <c r="K84" s="155">
        <v>495</v>
      </c>
      <c r="L84" s="155">
        <v>529</v>
      </c>
      <c r="M84">
        <v>495</v>
      </c>
      <c r="N84">
        <f t="shared" si="3"/>
        <v>0.495</v>
      </c>
      <c r="O84" t="s">
        <v>449</v>
      </c>
      <c r="P84">
        <f t="shared" si="4"/>
        <v>2.7225000000000003E-4</v>
      </c>
    </row>
    <row r="85" spans="1:22">
      <c r="A85" s="701" t="s">
        <v>1501</v>
      </c>
      <c r="B85" s="701"/>
      <c r="C85" s="701"/>
      <c r="J85" s="155" t="s">
        <v>2302</v>
      </c>
      <c r="K85" s="155" t="s">
        <v>1503</v>
      </c>
      <c r="L85" s="155" t="s">
        <v>1504</v>
      </c>
      <c r="M85">
        <v>17.5</v>
      </c>
      <c r="N85">
        <f>M85</f>
        <v>17.5</v>
      </c>
      <c r="O85" t="s">
        <v>448</v>
      </c>
      <c r="P85">
        <f t="shared" si="4"/>
        <v>9.6249999999999999E-3</v>
      </c>
    </row>
    <row r="86" spans="1:22">
      <c r="A86" t="s">
        <v>1299</v>
      </c>
      <c r="B86" t="s">
        <v>2303</v>
      </c>
      <c r="C86" s="703" t="s">
        <v>1507</v>
      </c>
      <c r="D86">
        <v>66</v>
      </c>
      <c r="E86">
        <f t="shared" si="0"/>
        <v>6.6000000000000003E-2</v>
      </c>
      <c r="F86">
        <f>E86</f>
        <v>6.6000000000000003E-2</v>
      </c>
      <c r="G86" t="s">
        <v>449</v>
      </c>
      <c r="J86" s="155" t="s">
        <v>2304</v>
      </c>
      <c r="K86" s="155">
        <v>480</v>
      </c>
      <c r="L86" s="155">
        <v>538</v>
      </c>
      <c r="M86">
        <v>480</v>
      </c>
      <c r="N86">
        <f>M86/1000</f>
        <v>0.48</v>
      </c>
      <c r="O86" t="s">
        <v>449</v>
      </c>
      <c r="P86">
        <f t="shared" si="4"/>
        <v>2.6400000000000002E-4</v>
      </c>
    </row>
    <row r="87" spans="1:22" ht="16.5" customHeight="1">
      <c r="A87" t="s">
        <v>1290</v>
      </c>
      <c r="B87" t="s">
        <v>2305</v>
      </c>
      <c r="C87" s="703"/>
      <c r="D87">
        <v>500</v>
      </c>
      <c r="E87">
        <f t="shared" si="0"/>
        <v>0.5</v>
      </c>
      <c r="F87">
        <f>E87*3.6</f>
        <v>1.8</v>
      </c>
      <c r="G87" t="s">
        <v>448</v>
      </c>
      <c r="J87" s="155" t="s">
        <v>2306</v>
      </c>
      <c r="K87" s="155">
        <v>46</v>
      </c>
      <c r="L87" s="155" t="s">
        <v>1516</v>
      </c>
      <c r="M87">
        <v>46</v>
      </c>
      <c r="N87">
        <f t="shared" ref="N87:N91" si="5">M87/1000</f>
        <v>4.5999999999999999E-2</v>
      </c>
      <c r="O87" t="s">
        <v>449</v>
      </c>
      <c r="P87">
        <f t="shared" si="4"/>
        <v>2.5300000000000002E-5</v>
      </c>
      <c r="T87" s="700" t="s">
        <v>1519</v>
      </c>
      <c r="U87" s="700"/>
      <c r="V87" s="700"/>
    </row>
    <row r="88" spans="1:22">
      <c r="A88" t="s">
        <v>6</v>
      </c>
      <c r="B88" t="s">
        <v>2307</v>
      </c>
      <c r="C88" s="703"/>
      <c r="D88">
        <v>740</v>
      </c>
      <c r="E88">
        <f t="shared" si="0"/>
        <v>0.74</v>
      </c>
      <c r="F88">
        <f t="shared" ref="F88:F94" si="6">E88</f>
        <v>0.74</v>
      </c>
      <c r="G88" t="s">
        <v>449</v>
      </c>
      <c r="J88" s="155" t="s">
        <v>2308</v>
      </c>
      <c r="K88" s="155" t="s">
        <v>1523</v>
      </c>
      <c r="L88" s="155" t="s">
        <v>1524</v>
      </c>
      <c r="M88">
        <v>9.9</v>
      </c>
      <c r="N88">
        <f t="shared" si="5"/>
        <v>9.9000000000000008E-3</v>
      </c>
      <c r="O88" t="s">
        <v>449</v>
      </c>
      <c r="P88">
        <f t="shared" si="4"/>
        <v>5.4450000000000004E-6</v>
      </c>
      <c r="T88" s="700"/>
      <c r="U88" s="700"/>
      <c r="V88" s="700"/>
    </row>
    <row r="89" spans="1:22">
      <c r="A89" t="s">
        <v>1300</v>
      </c>
      <c r="B89" t="s">
        <v>2309</v>
      </c>
      <c r="C89" s="703"/>
      <c r="D89">
        <v>0.3</v>
      </c>
      <c r="E89">
        <f t="shared" si="0"/>
        <v>2.9999999999999997E-4</v>
      </c>
      <c r="F89">
        <f t="shared" si="6"/>
        <v>2.9999999999999997E-4</v>
      </c>
      <c r="G89" t="s">
        <v>449</v>
      </c>
      <c r="J89" s="155" t="s">
        <v>2310</v>
      </c>
      <c r="K89" s="155" t="s">
        <v>1529</v>
      </c>
      <c r="L89" s="155">
        <v>2</v>
      </c>
      <c r="M89">
        <v>8.1999999999999993</v>
      </c>
      <c r="N89">
        <f t="shared" si="5"/>
        <v>8.199999999999999E-3</v>
      </c>
      <c r="O89" t="s">
        <v>449</v>
      </c>
      <c r="P89">
        <f t="shared" si="4"/>
        <v>4.51E-6</v>
      </c>
      <c r="T89" s="700"/>
      <c r="U89" s="700"/>
      <c r="V89" s="700"/>
    </row>
    <row r="90" spans="1:22">
      <c r="A90" t="s">
        <v>1296</v>
      </c>
      <c r="B90" t="s">
        <v>2311</v>
      </c>
      <c r="C90" s="703"/>
      <c r="D90">
        <v>3</v>
      </c>
      <c r="E90">
        <f t="shared" si="0"/>
        <v>3.0000000000000001E-3</v>
      </c>
      <c r="F90">
        <f t="shared" si="6"/>
        <v>3.0000000000000001E-3</v>
      </c>
      <c r="G90" t="s">
        <v>449</v>
      </c>
      <c r="J90" s="155" t="s">
        <v>2312</v>
      </c>
      <c r="K90" s="155" t="s">
        <v>1200</v>
      </c>
      <c r="L90" s="155" t="s">
        <v>1534</v>
      </c>
      <c r="M90">
        <v>3.8</v>
      </c>
      <c r="N90">
        <f t="shared" si="5"/>
        <v>3.8E-3</v>
      </c>
      <c r="O90" t="s">
        <v>449</v>
      </c>
      <c r="P90">
        <f t="shared" si="4"/>
        <v>2.0900000000000003E-6</v>
      </c>
      <c r="T90" s="700"/>
      <c r="U90" s="700"/>
      <c r="V90" s="700"/>
    </row>
    <row r="91" spans="1:22">
      <c r="A91" t="s">
        <v>1537</v>
      </c>
      <c r="B91" t="s">
        <v>2313</v>
      </c>
      <c r="C91" s="703"/>
      <c r="D91">
        <v>5</v>
      </c>
      <c r="E91">
        <f t="shared" si="0"/>
        <v>5.0000000000000001E-3</v>
      </c>
      <c r="F91">
        <f t="shared" si="6"/>
        <v>5.0000000000000001E-3</v>
      </c>
      <c r="G91" t="s">
        <v>449</v>
      </c>
      <c r="J91" s="155" t="s">
        <v>2314</v>
      </c>
      <c r="K91" s="155" t="s">
        <v>1149</v>
      </c>
      <c r="L91" s="155" t="s">
        <v>1513</v>
      </c>
      <c r="M91">
        <v>2.2000000000000002</v>
      </c>
      <c r="N91">
        <f t="shared" si="5"/>
        <v>2.2000000000000001E-3</v>
      </c>
      <c r="O91" s="157" t="s">
        <v>449</v>
      </c>
      <c r="P91">
        <f t="shared" si="4"/>
        <v>1.2100000000000001E-6</v>
      </c>
      <c r="Q91" s="157"/>
      <c r="T91" s="700"/>
      <c r="U91" s="700"/>
      <c r="V91" s="700"/>
    </row>
    <row r="92" spans="1:22">
      <c r="A92" t="s">
        <v>1543</v>
      </c>
      <c r="B92" t="s">
        <v>2315</v>
      </c>
      <c r="C92" s="703"/>
      <c r="D92">
        <v>350</v>
      </c>
      <c r="E92">
        <f t="shared" si="0"/>
        <v>0.35</v>
      </c>
      <c r="F92">
        <f t="shared" si="6"/>
        <v>0.35</v>
      </c>
      <c r="G92" t="s">
        <v>448</v>
      </c>
      <c r="J92" s="155" t="s">
        <v>2316</v>
      </c>
      <c r="K92" s="155" t="s">
        <v>1514</v>
      </c>
      <c r="L92" s="155" t="s">
        <v>1546</v>
      </c>
      <c r="M92">
        <v>1.8</v>
      </c>
      <c r="N92">
        <f>M92</f>
        <v>1.8</v>
      </c>
      <c r="O92" s="157" t="s">
        <v>449</v>
      </c>
      <c r="P92">
        <f t="shared" si="4"/>
        <v>9.8999999999999999E-4</v>
      </c>
      <c r="Q92" s="157"/>
      <c r="T92" s="700"/>
      <c r="U92" s="700"/>
      <c r="V92" s="700"/>
    </row>
    <row r="93" spans="1:22">
      <c r="A93" t="s">
        <v>1548</v>
      </c>
      <c r="B93" t="s">
        <v>2317</v>
      </c>
      <c r="C93" s="703"/>
      <c r="D93">
        <v>13</v>
      </c>
      <c r="E93">
        <f t="shared" si="0"/>
        <v>1.2999999999999999E-2</v>
      </c>
      <c r="F93">
        <f>E93*3.6</f>
        <v>4.6800000000000001E-2</v>
      </c>
      <c r="G93" t="s">
        <v>448</v>
      </c>
      <c r="J93" s="155" t="s">
        <v>2318</v>
      </c>
      <c r="K93" s="155" t="s">
        <v>1553</v>
      </c>
      <c r="L93" s="155" t="s">
        <v>1554</v>
      </c>
      <c r="M93">
        <v>0.99</v>
      </c>
      <c r="O93" s="157"/>
      <c r="P93" s="157"/>
      <c r="Q93" s="157"/>
      <c r="T93" s="700"/>
      <c r="U93" s="700"/>
      <c r="V93" s="700"/>
    </row>
    <row r="94" spans="1:22">
      <c r="A94" s="149" t="s">
        <v>1555</v>
      </c>
      <c r="B94" s="149" t="s">
        <v>2319</v>
      </c>
      <c r="C94" s="704"/>
      <c r="D94">
        <v>100</v>
      </c>
      <c r="E94">
        <f t="shared" si="0"/>
        <v>0.1</v>
      </c>
      <c r="F94">
        <f t="shared" si="6"/>
        <v>0.1</v>
      </c>
      <c r="G94" t="s">
        <v>449</v>
      </c>
      <c r="J94" s="155" t="s">
        <v>2320</v>
      </c>
      <c r="K94" s="155" t="s">
        <v>1559</v>
      </c>
      <c r="L94" s="155" t="s">
        <v>1560</v>
      </c>
      <c r="M94">
        <v>24.75</v>
      </c>
      <c r="O94" s="157"/>
      <c r="P94" s="157"/>
      <c r="Q94" s="157"/>
      <c r="T94" s="700"/>
      <c r="U94" s="700"/>
      <c r="V94" s="700"/>
    </row>
    <row r="100" spans="1:1" ht="17.399999999999999">
      <c r="A100" s="146" t="s">
        <v>1561</v>
      </c>
    </row>
    <row r="101" spans="1:1">
      <c r="A101" s="29" t="s">
        <v>1562</v>
      </c>
    </row>
    <row r="102" spans="1:1">
      <c r="A102" s="29" t="s">
        <v>1563</v>
      </c>
    </row>
    <row r="103" spans="1:1">
      <c r="A103" s="29" t="s">
        <v>1564</v>
      </c>
    </row>
    <row r="104" spans="1:1">
      <c r="A104" s="29" t="s">
        <v>1565</v>
      </c>
    </row>
    <row r="105" spans="1:1">
      <c r="A105" s="29" t="s">
        <v>1566</v>
      </c>
    </row>
    <row r="107" spans="1:1">
      <c r="A107" s="152" t="s">
        <v>1567</v>
      </c>
    </row>
    <row r="108" spans="1:1">
      <c r="A108" s="29" t="s">
        <v>1568</v>
      </c>
    </row>
    <row r="109" spans="1:1">
      <c r="A109" s="29" t="s">
        <v>1569</v>
      </c>
    </row>
    <row r="110" spans="1:1">
      <c r="A110" s="29" t="s">
        <v>1570</v>
      </c>
    </row>
    <row r="111" spans="1:1">
      <c r="A111" s="29" t="s">
        <v>1571</v>
      </c>
    </row>
  </sheetData>
  <mergeCells count="11">
    <mergeCell ref="C65:C74"/>
    <mergeCell ref="A52:C52"/>
    <mergeCell ref="C53:C59"/>
    <mergeCell ref="A60:C60"/>
    <mergeCell ref="C61:C63"/>
    <mergeCell ref="A64:C64"/>
    <mergeCell ref="T87:V94"/>
    <mergeCell ref="A75:C75"/>
    <mergeCell ref="C76:C84"/>
    <mergeCell ref="A85:C85"/>
    <mergeCell ref="C86:C94"/>
  </mergeCells>
  <hyperlinks>
    <hyperlink ref="C53" r:id="rId1" location="bib25" xr:uid="{39CCB6BF-E5B6-4851-83C1-074A6E49F99C}"/>
    <hyperlink ref="C65" r:id="rId2" location="bib16" xr:uid="{F4B9D39A-4D4A-4DB7-8E97-191D4E35ED70}"/>
    <hyperlink ref="C86" r:id="rId3" location="bib9" xr:uid="{7FF3EA67-03A6-4D71-B00E-2D1A77D41D8D}"/>
    <hyperlink ref="J52" r:id="rId4" location="bib32" xr:uid="{4A41FCB3-8FB8-44B4-B777-4C4D1E3ADC21}"/>
    <hyperlink ref="A49" r:id="rId5" location="sec2.1.2" xr:uid="{06DCE794-CF36-450A-BF46-649FC5C42698}"/>
    <hyperlink ref="J77" r:id="rId6" xr:uid="{3FA6FB34-EC98-407F-AC4A-D90774B279B6}"/>
  </hyperlinks>
  <pageMargins left="0.7" right="0.7" top="0.75" bottom="0.75" header="0.3" footer="0.3"/>
  <legacy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9D3C-4371-4EBC-9504-40F6E2B9EA55}">
  <dimension ref="A2:DG556"/>
  <sheetViews>
    <sheetView topLeftCell="A426" workbookViewId="0">
      <selection activeCell="N550" sqref="N550"/>
    </sheetView>
  </sheetViews>
  <sheetFormatPr defaultRowHeight="14.4"/>
  <cols>
    <col min="1" max="1" width="30.33203125" customWidth="1"/>
    <col min="2" max="2" width="17.5546875" customWidth="1"/>
    <col min="16" max="16" width="13.6640625" customWidth="1"/>
    <col min="17" max="17" width="27.6640625" customWidth="1"/>
  </cols>
  <sheetData>
    <row r="2" spans="1:17" ht="20.399999999999999" thickBot="1">
      <c r="A2" s="33" t="s">
        <v>376</v>
      </c>
    </row>
    <row r="3" spans="1:17" ht="15" thickTop="1"/>
    <row r="4" spans="1:17" ht="18" thickBot="1">
      <c r="A4" s="43" t="s">
        <v>2321</v>
      </c>
    </row>
    <row r="5" spans="1:17" ht="15" thickTop="1">
      <c r="A5" t="s">
        <v>2322</v>
      </c>
    </row>
    <row r="6" spans="1:17">
      <c r="A6" t="s">
        <v>2323</v>
      </c>
    </row>
    <row r="9" spans="1:17" ht="15" thickBot="1">
      <c r="A9" s="44" t="s">
        <v>2324</v>
      </c>
      <c r="P9" s="76" t="s">
        <v>2325</v>
      </c>
    </row>
    <row r="10" spans="1:17">
      <c r="A10" s="76" t="s">
        <v>2326</v>
      </c>
      <c r="B10" t="s">
        <v>2327</v>
      </c>
      <c r="P10" s="76" t="s">
        <v>2326</v>
      </c>
      <c r="Q10" t="s">
        <v>2327</v>
      </c>
    </row>
    <row r="11" spans="1:17">
      <c r="A11" s="76" t="s">
        <v>2328</v>
      </c>
      <c r="B11" t="s">
        <v>2329</v>
      </c>
      <c r="P11" s="76" t="s">
        <v>2328</v>
      </c>
      <c r="Q11" t="s">
        <v>2329</v>
      </c>
    </row>
    <row r="12" spans="1:17">
      <c r="A12" s="76" t="s">
        <v>2330</v>
      </c>
      <c r="B12" t="s">
        <v>180</v>
      </c>
      <c r="P12" s="76" t="s">
        <v>2330</v>
      </c>
      <c r="Q12" t="s">
        <v>180</v>
      </c>
    </row>
    <row r="13" spans="1:17">
      <c r="A13" s="76" t="s">
        <v>2331</v>
      </c>
      <c r="B13" t="s">
        <v>2332</v>
      </c>
      <c r="P13" s="76" t="s">
        <v>2331</v>
      </c>
      <c r="Q13" t="s">
        <v>2332</v>
      </c>
    </row>
    <row r="14" spans="1:17">
      <c r="A14" s="78" t="s">
        <v>2333</v>
      </c>
      <c r="B14" s="79" t="s">
        <v>2334</v>
      </c>
      <c r="P14" s="78" t="s">
        <v>2333</v>
      </c>
      <c r="Q14" s="79" t="s">
        <v>2334</v>
      </c>
    </row>
    <row r="15" spans="1:17">
      <c r="A15" s="78" t="s">
        <v>2335</v>
      </c>
      <c r="B15" s="79" t="s">
        <v>2336</v>
      </c>
      <c r="P15" s="78" t="s">
        <v>2335</v>
      </c>
      <c r="Q15" s="79" t="s">
        <v>2337</v>
      </c>
    </row>
    <row r="16" spans="1:17">
      <c r="A16" s="76" t="s">
        <v>2338</v>
      </c>
      <c r="B16" t="s">
        <v>809</v>
      </c>
      <c r="P16" s="76" t="s">
        <v>2338</v>
      </c>
      <c r="Q16" t="s">
        <v>809</v>
      </c>
    </row>
    <row r="17" spans="1:111">
      <c r="A17" s="76" t="s">
        <v>2339</v>
      </c>
      <c r="B17" t="s">
        <v>2340</v>
      </c>
      <c r="P17" s="76" t="s">
        <v>2339</v>
      </c>
      <c r="Q17" t="s">
        <v>2340</v>
      </c>
    </row>
    <row r="18" spans="1:111">
      <c r="A18" s="76" t="s">
        <v>2341</v>
      </c>
      <c r="B18" t="s">
        <v>809</v>
      </c>
      <c r="P18" s="76" t="s">
        <v>2341</v>
      </c>
      <c r="Q18" t="s">
        <v>809</v>
      </c>
    </row>
    <row r="19" spans="1:111">
      <c r="A19" s="76" t="s">
        <v>981</v>
      </c>
      <c r="B19" s="77">
        <v>44522.694945740739</v>
      </c>
      <c r="P19" s="76" t="s">
        <v>981</v>
      </c>
      <c r="Q19" s="77">
        <v>44522.694470856484</v>
      </c>
    </row>
    <row r="22" spans="1:111" ht="15" thickBot="1">
      <c r="A22" s="44" t="s">
        <v>2342</v>
      </c>
      <c r="P22" s="44" t="s">
        <v>2342</v>
      </c>
    </row>
    <row r="23" spans="1:111">
      <c r="A23" s="76" t="s">
        <v>68</v>
      </c>
      <c r="P23" s="76" t="s">
        <v>68</v>
      </c>
    </row>
    <row r="24" spans="1:111">
      <c r="A24" s="76" t="s">
        <v>2343</v>
      </c>
      <c r="B24" s="76" t="s">
        <v>566</v>
      </c>
      <c r="C24" s="76" t="s">
        <v>14</v>
      </c>
      <c r="D24" s="76" t="s">
        <v>2344</v>
      </c>
      <c r="E24" s="76" t="s">
        <v>495</v>
      </c>
      <c r="F24" s="76" t="s">
        <v>2345</v>
      </c>
      <c r="G24" s="76" t="s">
        <v>2346</v>
      </c>
      <c r="H24" s="76" t="s">
        <v>2347</v>
      </c>
      <c r="I24" s="76" t="s">
        <v>2348</v>
      </c>
      <c r="J24" s="76" t="s">
        <v>2349</v>
      </c>
      <c r="K24" s="76" t="s">
        <v>2350</v>
      </c>
      <c r="L24" s="76" t="s">
        <v>2351</v>
      </c>
      <c r="M24" s="76"/>
      <c r="N24" s="76"/>
      <c r="O24" s="76"/>
      <c r="P24" s="76" t="s">
        <v>2343</v>
      </c>
      <c r="Q24" s="76" t="s">
        <v>566</v>
      </c>
      <c r="R24" s="76" t="s">
        <v>14</v>
      </c>
      <c r="S24" s="76" t="s">
        <v>2344</v>
      </c>
      <c r="T24" s="76" t="s">
        <v>495</v>
      </c>
      <c r="U24" s="76" t="s">
        <v>2345</v>
      </c>
      <c r="V24" s="76" t="s">
        <v>2346</v>
      </c>
      <c r="W24" s="76" t="s">
        <v>2347</v>
      </c>
      <c r="X24" s="76" t="s">
        <v>2348</v>
      </c>
      <c r="Y24" s="76" t="s">
        <v>2349</v>
      </c>
      <c r="Z24" s="76" t="s">
        <v>2350</v>
      </c>
      <c r="AA24" s="76" t="s">
        <v>2351</v>
      </c>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c r="CP24" s="76"/>
      <c r="CQ24" s="76"/>
      <c r="CR24" s="76"/>
      <c r="CS24" s="76"/>
      <c r="CT24" s="76"/>
      <c r="CU24" s="76"/>
      <c r="CV24" s="76"/>
      <c r="CW24" s="76"/>
      <c r="CX24" s="76"/>
      <c r="CY24" s="76"/>
      <c r="CZ24" s="76"/>
      <c r="DA24" s="76"/>
      <c r="DB24" s="76"/>
      <c r="DC24" s="76"/>
      <c r="DD24" s="76"/>
      <c r="DE24" s="76"/>
      <c r="DF24" s="76"/>
      <c r="DG24" s="76"/>
    </row>
    <row r="25" spans="1:111">
      <c r="A25" t="s">
        <v>2352</v>
      </c>
      <c r="B25" t="s">
        <v>2353</v>
      </c>
      <c r="C25" t="s">
        <v>2354</v>
      </c>
      <c r="D25" t="s">
        <v>2355</v>
      </c>
      <c r="E25" t="s">
        <v>448</v>
      </c>
      <c r="F25">
        <v>0.20174825309460229</v>
      </c>
      <c r="G25">
        <v>1.8788208511734496E-7</v>
      </c>
      <c r="H25">
        <v>0.20174774148538316</v>
      </c>
      <c r="I25">
        <v>0.20174869995325989</v>
      </c>
      <c r="J25">
        <v>0.20174827428100922</v>
      </c>
      <c r="K25">
        <v>0.20174794677279409</v>
      </c>
      <c r="L25">
        <v>0.20174854822846444</v>
      </c>
      <c r="P25" t="s">
        <v>2352</v>
      </c>
      <c r="Q25" t="s">
        <v>2353</v>
      </c>
      <c r="R25" t="s">
        <v>2354</v>
      </c>
      <c r="S25" t="s">
        <v>2355</v>
      </c>
      <c r="T25" t="s">
        <v>448</v>
      </c>
      <c r="U25">
        <v>0.20174823661086363</v>
      </c>
      <c r="V25">
        <v>1.739244477166062E-7</v>
      </c>
      <c r="W25">
        <v>0.20174766229347724</v>
      </c>
      <c r="X25">
        <v>0.20174863386603265</v>
      </c>
      <c r="Y25">
        <v>0.20174822549168583</v>
      </c>
      <c r="Z25">
        <v>0.20174798437271912</v>
      </c>
      <c r="AA25">
        <v>0.20174856572284083</v>
      </c>
    </row>
    <row r="26" spans="1:111">
      <c r="A26" t="s">
        <v>2356</v>
      </c>
      <c r="B26" t="s">
        <v>2357</v>
      </c>
      <c r="C26" t="s">
        <v>2354</v>
      </c>
      <c r="D26" t="s">
        <v>2355</v>
      </c>
      <c r="E26" t="s">
        <v>448</v>
      </c>
      <c r="F26">
        <v>7.4119594019881135E-5</v>
      </c>
      <c r="G26">
        <v>4.9351257469994652E-10</v>
      </c>
      <c r="H26">
        <v>7.4118250168588533E-5</v>
      </c>
      <c r="I26">
        <v>7.4120767789942954E-5</v>
      </c>
      <c r="J26">
        <v>7.4119649670521061E-5</v>
      </c>
      <c r="K26">
        <v>7.4118789399982797E-5</v>
      </c>
      <c r="L26">
        <v>7.4120369252240955E-5</v>
      </c>
      <c r="P26" t="s">
        <v>2356</v>
      </c>
      <c r="Q26" t="s">
        <v>2357</v>
      </c>
      <c r="R26" t="s">
        <v>2354</v>
      </c>
      <c r="S26" t="s">
        <v>2355</v>
      </c>
      <c r="T26" t="s">
        <v>448</v>
      </c>
      <c r="U26">
        <v>7.4119550721807973E-5</v>
      </c>
      <c r="V26">
        <v>4.5684984783887141E-10</v>
      </c>
      <c r="W26">
        <v>7.4118042154070393E-5</v>
      </c>
      <c r="X26">
        <v>7.4120594197672838E-5</v>
      </c>
      <c r="Y26">
        <v>7.4119521514903704E-5</v>
      </c>
      <c r="Z26">
        <v>7.4118888164246546E-5</v>
      </c>
      <c r="AA26">
        <v>7.4120415204970966E-5</v>
      </c>
    </row>
    <row r="27" spans="1:111">
      <c r="A27" t="s">
        <v>2358</v>
      </c>
      <c r="B27" t="s">
        <v>2359</v>
      </c>
      <c r="C27" t="s">
        <v>2354</v>
      </c>
      <c r="D27" t="s">
        <v>2355</v>
      </c>
      <c r="E27" t="s">
        <v>449</v>
      </c>
      <c r="F27">
        <v>2.5261015108037153E-4</v>
      </c>
      <c r="G27">
        <v>5.1568436910470711E-10</v>
      </c>
      <c r="H27">
        <v>2.5260874685453924E-4</v>
      </c>
      <c r="I27">
        <v>2.5261137758381819E-4</v>
      </c>
      <c r="J27">
        <v>2.5261020923120019E-4</v>
      </c>
      <c r="K27">
        <v>2.5260931031171458E-4</v>
      </c>
      <c r="L27">
        <v>2.5261096114121074E-4</v>
      </c>
      <c r="P27" t="s">
        <v>2358</v>
      </c>
      <c r="Q27" t="s">
        <v>2359</v>
      </c>
      <c r="R27" t="s">
        <v>2354</v>
      </c>
      <c r="S27" t="s">
        <v>2355</v>
      </c>
      <c r="T27" t="s">
        <v>449</v>
      </c>
      <c r="U27">
        <v>2.5261010583706736E-4</v>
      </c>
      <c r="V27">
        <v>4.7737451411658809E-10</v>
      </c>
      <c r="W27">
        <v>2.5260852949465611E-4</v>
      </c>
      <c r="X27">
        <v>2.5261119619265432E-4</v>
      </c>
      <c r="Y27">
        <v>2.5261007531799908E-4</v>
      </c>
      <c r="Z27">
        <v>2.5260941351311139E-4</v>
      </c>
      <c r="AA27">
        <v>2.5261100915843624E-4</v>
      </c>
    </row>
    <row r="28" spans="1:111">
      <c r="A28" t="s">
        <v>2360</v>
      </c>
      <c r="B28" t="s">
        <v>2361</v>
      </c>
      <c r="C28" t="s">
        <v>2354</v>
      </c>
      <c r="D28" t="s">
        <v>2355</v>
      </c>
      <c r="E28" t="s">
        <v>923</v>
      </c>
      <c r="F28">
        <v>6.961115846604742E-6</v>
      </c>
      <c r="G28">
        <v>8.7204041896154832E-12</v>
      </c>
      <c r="H28">
        <v>6.9610921006516613E-6</v>
      </c>
      <c r="I28">
        <v>6.9611365872097194E-6</v>
      </c>
      <c r="J28">
        <v>6.9611168299557184E-6</v>
      </c>
      <c r="K28">
        <v>6.9611016289108193E-6</v>
      </c>
      <c r="L28">
        <v>6.96112954501865E-6</v>
      </c>
      <c r="P28" t="s">
        <v>2360</v>
      </c>
      <c r="Q28" t="s">
        <v>2361</v>
      </c>
      <c r="R28" t="s">
        <v>2354</v>
      </c>
      <c r="S28" t="s">
        <v>2355</v>
      </c>
      <c r="T28" t="s">
        <v>923</v>
      </c>
      <c r="U28">
        <v>6.961115081524538E-6</v>
      </c>
      <c r="V28">
        <v>8.0725710576049277E-12</v>
      </c>
      <c r="W28">
        <v>6.9610884250195326E-6</v>
      </c>
      <c r="X28">
        <v>6.9611335198212945E-6</v>
      </c>
      <c r="Y28">
        <v>6.9611145654363528E-6</v>
      </c>
      <c r="Z28">
        <v>6.9611033740827635E-6</v>
      </c>
      <c r="AA28">
        <v>6.9611303570068339E-6</v>
      </c>
    </row>
    <row r="29" spans="1:111">
      <c r="A29" t="s">
        <v>2362</v>
      </c>
      <c r="B29" t="s">
        <v>2363</v>
      </c>
      <c r="C29" t="s">
        <v>2354</v>
      </c>
      <c r="D29" t="s">
        <v>2355</v>
      </c>
      <c r="E29" t="s">
        <v>923</v>
      </c>
      <c r="F29">
        <v>1.0636327773629672E-5</v>
      </c>
      <c r="G29">
        <v>8.3955574017372351E-12</v>
      </c>
      <c r="H29">
        <v>1.0636304912245293E-5</v>
      </c>
      <c r="I29">
        <v>1.0636347741619216E-5</v>
      </c>
      <c r="J29">
        <v>1.0636328720349507E-5</v>
      </c>
      <c r="K29">
        <v>1.063631408556398E-5</v>
      </c>
      <c r="L29">
        <v>1.0636340961759238E-5</v>
      </c>
      <c r="P29" t="s">
        <v>2362</v>
      </c>
      <c r="Q29" t="s">
        <v>2363</v>
      </c>
      <c r="R29" t="s">
        <v>2354</v>
      </c>
      <c r="S29" t="s">
        <v>2355</v>
      </c>
      <c r="T29" t="s">
        <v>923</v>
      </c>
      <c r="U29">
        <v>1.063632703704974E-5</v>
      </c>
      <c r="V29">
        <v>7.7718569255926065E-12</v>
      </c>
      <c r="W29">
        <v>1.0636301373535407E-5</v>
      </c>
      <c r="X29">
        <v>1.0636344788495136E-5</v>
      </c>
      <c r="Y29">
        <v>1.0636326540186534E-5</v>
      </c>
      <c r="Z29">
        <v>1.0636315765725922E-5</v>
      </c>
      <c r="AA29">
        <v>1.0636341743499769E-5</v>
      </c>
    </row>
    <row r="30" spans="1:111">
      <c r="A30" t="s">
        <v>2364</v>
      </c>
      <c r="B30" t="s">
        <v>2365</v>
      </c>
      <c r="C30" t="s">
        <v>2354</v>
      </c>
      <c r="D30" t="s">
        <v>2355</v>
      </c>
      <c r="E30" t="s">
        <v>923</v>
      </c>
      <c r="F30">
        <v>8.8292786601019295E-9</v>
      </c>
      <c r="G30">
        <v>6.6422557887541291E-17</v>
      </c>
      <c r="H30">
        <v>8.8292784792310734E-9</v>
      </c>
      <c r="I30">
        <v>8.829278818081305E-9</v>
      </c>
      <c r="J30">
        <v>8.8292786675920251E-9</v>
      </c>
      <c r="K30">
        <v>8.8292785518069937E-9</v>
      </c>
      <c r="L30">
        <v>8.829278764441549E-9</v>
      </c>
      <c r="P30" t="s">
        <v>2364</v>
      </c>
      <c r="Q30" t="s">
        <v>2365</v>
      </c>
      <c r="R30" t="s">
        <v>2354</v>
      </c>
      <c r="S30" t="s">
        <v>2355</v>
      </c>
      <c r="T30" t="s">
        <v>923</v>
      </c>
      <c r="U30">
        <v>8.8292786542743776E-9</v>
      </c>
      <c r="V30">
        <v>6.1488069436672312E-17</v>
      </c>
      <c r="W30">
        <v>8.8292784512341049E-9</v>
      </c>
      <c r="X30">
        <v>8.8292787947172759E-9</v>
      </c>
      <c r="Y30">
        <v>8.8292786503433787E-9</v>
      </c>
      <c r="Z30">
        <v>8.8292785650998159E-9</v>
      </c>
      <c r="AA30">
        <v>8.8292787706263933E-9</v>
      </c>
    </row>
    <row r="31" spans="1:111">
      <c r="A31" t="s">
        <v>2366</v>
      </c>
      <c r="B31" t="s">
        <v>2367</v>
      </c>
      <c r="C31" t="s">
        <v>2354</v>
      </c>
      <c r="D31" t="s">
        <v>2368</v>
      </c>
      <c r="E31" t="s">
        <v>449</v>
      </c>
      <c r="F31">
        <v>8.1559585293204251E-7</v>
      </c>
      <c r="G31">
        <v>8.5134357533384099E-22</v>
      </c>
      <c r="H31">
        <v>8.1559585293204166E-7</v>
      </c>
      <c r="I31">
        <v>8.1559585293204166E-7</v>
      </c>
      <c r="J31">
        <v>8.1559585293204166E-7</v>
      </c>
      <c r="K31">
        <v>8.1559585293204166E-7</v>
      </c>
      <c r="L31">
        <v>8.1559585293204166E-7</v>
      </c>
      <c r="P31" t="s">
        <v>2366</v>
      </c>
      <c r="Q31" t="s">
        <v>2367</v>
      </c>
      <c r="R31" t="s">
        <v>2354</v>
      </c>
      <c r="S31" t="s">
        <v>2368</v>
      </c>
      <c r="T31" t="s">
        <v>449</v>
      </c>
      <c r="U31">
        <v>8.1559585293204251E-7</v>
      </c>
      <c r="V31">
        <v>8.5134357533384099E-22</v>
      </c>
      <c r="W31">
        <v>8.1559585293204166E-7</v>
      </c>
      <c r="X31">
        <v>8.1559585293204166E-7</v>
      </c>
      <c r="Y31">
        <v>8.1559585293204166E-7</v>
      </c>
      <c r="Z31">
        <v>8.1559585293204166E-7</v>
      </c>
      <c r="AA31">
        <v>8.1559585293204166E-7</v>
      </c>
    </row>
    <row r="32" spans="1:111">
      <c r="A32" t="s">
        <v>2369</v>
      </c>
      <c r="B32" t="s">
        <v>2370</v>
      </c>
      <c r="C32" t="s">
        <v>2354</v>
      </c>
      <c r="D32" t="s">
        <v>2368</v>
      </c>
      <c r="E32" t="s">
        <v>449</v>
      </c>
      <c r="F32">
        <v>8.6664523761253832E-5</v>
      </c>
      <c r="G32">
        <v>1.1135643979221585E-10</v>
      </c>
      <c r="H32">
        <v>8.6664220533933545E-5</v>
      </c>
      <c r="I32">
        <v>8.6664788611354762E-5</v>
      </c>
      <c r="J32">
        <v>8.6664536318293808E-5</v>
      </c>
      <c r="K32">
        <v>8.6664342206392098E-5</v>
      </c>
      <c r="L32">
        <v>8.666469868509575E-5</v>
      </c>
      <c r="P32" t="s">
        <v>2369</v>
      </c>
      <c r="Q32" t="s">
        <v>2370</v>
      </c>
      <c r="R32" t="s">
        <v>2354</v>
      </c>
      <c r="S32" t="s">
        <v>2368</v>
      </c>
      <c r="T32" t="s">
        <v>449</v>
      </c>
      <c r="U32">
        <v>8.6664513991453561E-5</v>
      </c>
      <c r="V32">
        <v>1.030838426073389E-10</v>
      </c>
      <c r="W32">
        <v>8.6664173597427051E-5</v>
      </c>
      <c r="X32">
        <v>8.6664749441902616E-5</v>
      </c>
      <c r="Y32">
        <v>8.6664507401192157E-5</v>
      </c>
      <c r="Z32">
        <v>8.6664364491613076E-5</v>
      </c>
      <c r="AA32">
        <v>8.6664709053894181E-5</v>
      </c>
    </row>
    <row r="33" spans="1:27">
      <c r="A33" t="s">
        <v>2371</v>
      </c>
      <c r="B33" t="s">
        <v>2372</v>
      </c>
      <c r="C33" t="s">
        <v>2354</v>
      </c>
      <c r="D33" t="s">
        <v>2368</v>
      </c>
      <c r="E33" t="s">
        <v>449</v>
      </c>
      <c r="F33">
        <v>1.6680887670504477E-2</v>
      </c>
      <c r="G33">
        <v>1.7080389537434209E-8</v>
      </c>
      <c r="H33">
        <v>1.6680841160030914E-2</v>
      </c>
      <c r="I33">
        <v>1.6680928294494444E-2</v>
      </c>
      <c r="J33">
        <v>1.6680889596564025E-2</v>
      </c>
      <c r="K33">
        <v>1.6680859822741322E-2</v>
      </c>
      <c r="L33">
        <v>1.6680914501169722E-2</v>
      </c>
      <c r="P33" t="s">
        <v>2371</v>
      </c>
      <c r="Q33" t="s">
        <v>2372</v>
      </c>
      <c r="R33" t="s">
        <v>2354</v>
      </c>
      <c r="S33" t="s">
        <v>2368</v>
      </c>
      <c r="T33" t="s">
        <v>449</v>
      </c>
      <c r="U33">
        <v>1.668088617196524E-2</v>
      </c>
      <c r="V33">
        <v>1.5811498553977939E-8</v>
      </c>
      <c r="W33">
        <v>1.6680833960682442E-2</v>
      </c>
      <c r="X33">
        <v>1.668092228649435E-2</v>
      </c>
      <c r="Y33">
        <v>1.6680885161119059E-2</v>
      </c>
      <c r="Z33">
        <v>1.6680863240956346E-2</v>
      </c>
      <c r="AA33">
        <v>1.6680916091586197E-2</v>
      </c>
    </row>
    <row r="34" spans="1:27">
      <c r="A34" t="s">
        <v>2373</v>
      </c>
      <c r="B34" t="s">
        <v>2374</v>
      </c>
      <c r="C34" t="s">
        <v>2354</v>
      </c>
      <c r="D34" t="s">
        <v>2368</v>
      </c>
      <c r="E34" t="s">
        <v>448</v>
      </c>
      <c r="F34">
        <v>0.31655814238453306</v>
      </c>
      <c r="G34">
        <v>1.0601871287473236E-7</v>
      </c>
      <c r="H34">
        <v>0.31655785369202227</v>
      </c>
      <c r="I34">
        <v>0.31655839453938706</v>
      </c>
      <c r="J34">
        <v>0.31655815433966766</v>
      </c>
      <c r="K34">
        <v>0.31655796953226889</v>
      </c>
      <c r="L34">
        <v>0.31655830892362696</v>
      </c>
      <c r="P34" t="s">
        <v>2373</v>
      </c>
      <c r="Q34" t="s">
        <v>2374</v>
      </c>
      <c r="R34" t="s">
        <v>2354</v>
      </c>
      <c r="S34" t="s">
        <v>2368</v>
      </c>
      <c r="T34" t="s">
        <v>448</v>
      </c>
      <c r="U34">
        <v>0.31655813308303571</v>
      </c>
      <c r="V34">
        <v>9.8142651935648792E-8</v>
      </c>
      <c r="W34">
        <v>0.31655780900535652</v>
      </c>
      <c r="X34">
        <v>0.31655835724747194</v>
      </c>
      <c r="Y34">
        <v>0.3165581268086699</v>
      </c>
      <c r="Z34">
        <v>0.3165579907492766</v>
      </c>
      <c r="AA34">
        <v>0.31655831879541041</v>
      </c>
    </row>
    <row r="35" spans="1:27">
      <c r="A35" t="s">
        <v>2375</v>
      </c>
      <c r="B35" t="s">
        <v>2376</v>
      </c>
      <c r="C35" t="s">
        <v>2354</v>
      </c>
      <c r="D35" t="s">
        <v>2368</v>
      </c>
      <c r="E35" t="s">
        <v>448</v>
      </c>
      <c r="F35">
        <v>7.1384029698432147E-3</v>
      </c>
      <c r="G35">
        <v>5.0230204816792477E-9</v>
      </c>
      <c r="H35">
        <v>7.1383892919899784E-3</v>
      </c>
      <c r="I35">
        <v>7.1384149165926256E-3</v>
      </c>
      <c r="J35">
        <v>7.1384035362610093E-3</v>
      </c>
      <c r="K35">
        <v>7.1383947803411903E-3</v>
      </c>
      <c r="L35">
        <v>7.1384108602359237E-3</v>
      </c>
      <c r="P35" t="s">
        <v>2375</v>
      </c>
      <c r="Q35" t="s">
        <v>2376</v>
      </c>
      <c r="R35" t="s">
        <v>2354</v>
      </c>
      <c r="S35" t="s">
        <v>2368</v>
      </c>
      <c r="T35" t="s">
        <v>448</v>
      </c>
      <c r="U35">
        <v>7.1384025291510843E-3</v>
      </c>
      <c r="V35">
        <v>4.6498635705973066E-9</v>
      </c>
      <c r="W35">
        <v>7.1383871747973497E-3</v>
      </c>
      <c r="X35">
        <v>7.1384131497530907E-3</v>
      </c>
      <c r="Y35">
        <v>7.1384022318802826E-3</v>
      </c>
      <c r="Z35">
        <v>7.1383957855737723E-3</v>
      </c>
      <c r="AA35">
        <v>7.1384113279474182E-3</v>
      </c>
    </row>
    <row r="36" spans="1:27">
      <c r="A36" t="s">
        <v>2377</v>
      </c>
      <c r="B36" t="s">
        <v>2378</v>
      </c>
      <c r="C36" t="s">
        <v>2354</v>
      </c>
      <c r="D36" t="s">
        <v>2368</v>
      </c>
      <c r="E36" t="s">
        <v>449</v>
      </c>
      <c r="F36">
        <v>3.4213671856454771E-17</v>
      </c>
      <c r="G36">
        <v>9.5725577088107816E-23</v>
      </c>
      <c r="H36">
        <v>3.4213411192497871E-17</v>
      </c>
      <c r="I36">
        <v>3.4213899530119642E-17</v>
      </c>
      <c r="J36">
        <v>3.4213682650890216E-17</v>
      </c>
      <c r="K36">
        <v>3.4213515786056469E-17</v>
      </c>
      <c r="L36">
        <v>3.4213822226615195E-17</v>
      </c>
      <c r="P36" t="s">
        <v>2377</v>
      </c>
      <c r="Q36" t="s">
        <v>2378</v>
      </c>
      <c r="R36" t="s">
        <v>2354</v>
      </c>
      <c r="S36" t="s">
        <v>2368</v>
      </c>
      <c r="T36" t="s">
        <v>449</v>
      </c>
      <c r="U36">
        <v>3.4213663458020262E-17</v>
      </c>
      <c r="V36">
        <v>8.8614186484808688E-23</v>
      </c>
      <c r="W36">
        <v>3.4213370844367324E-17</v>
      </c>
      <c r="X36">
        <v>3.4213865858798817E-17</v>
      </c>
      <c r="Y36">
        <v>3.4213657792819603E-17</v>
      </c>
      <c r="Z36">
        <v>3.4213534943149171E-17</v>
      </c>
      <c r="AA36">
        <v>3.4213831139967801E-17</v>
      </c>
    </row>
    <row r="37" spans="1:27">
      <c r="A37" t="s">
        <v>2379</v>
      </c>
      <c r="B37" t="s">
        <v>2380</v>
      </c>
      <c r="C37" t="s">
        <v>2354</v>
      </c>
      <c r="D37" t="s">
        <v>2368</v>
      </c>
      <c r="E37" t="s">
        <v>449</v>
      </c>
      <c r="F37">
        <v>4.7176779319643355E-3</v>
      </c>
      <c r="G37">
        <v>6.0052937951339537E-9</v>
      </c>
      <c r="H37">
        <v>4.7176615793479244E-3</v>
      </c>
      <c r="I37">
        <v>4.7176922149521081E-3</v>
      </c>
      <c r="J37">
        <v>4.7176786091475739E-3</v>
      </c>
      <c r="K37">
        <v>4.7176681409698811E-3</v>
      </c>
      <c r="L37">
        <v>4.7176873653573632E-3</v>
      </c>
      <c r="P37" t="s">
        <v>2379</v>
      </c>
      <c r="Q37" t="s">
        <v>2380</v>
      </c>
      <c r="R37" t="s">
        <v>2354</v>
      </c>
      <c r="S37" t="s">
        <v>2368</v>
      </c>
      <c r="T37" t="s">
        <v>449</v>
      </c>
      <c r="U37">
        <v>4.7176774050929592E-3</v>
      </c>
      <c r="V37">
        <v>5.5591644411020246E-9</v>
      </c>
      <c r="W37">
        <v>4.717659048129149E-3</v>
      </c>
      <c r="X37">
        <v>4.7176901025994828E-3</v>
      </c>
      <c r="Y37">
        <v>4.7176770496895719E-3</v>
      </c>
      <c r="Z37">
        <v>4.717669342780029E-3</v>
      </c>
      <c r="AA37">
        <v>4.7176879245318572E-3</v>
      </c>
    </row>
    <row r="38" spans="1:27">
      <c r="A38" t="s">
        <v>2381</v>
      </c>
      <c r="B38" t="s">
        <v>450</v>
      </c>
      <c r="C38" t="s">
        <v>2354</v>
      </c>
      <c r="D38" t="s">
        <v>2368</v>
      </c>
      <c r="E38" t="s">
        <v>449</v>
      </c>
      <c r="F38">
        <v>1.6171282671179708E-2</v>
      </c>
      <c r="G38">
        <v>4.0312711501792486E-9</v>
      </c>
      <c r="H38">
        <v>1.6171271693893163E-2</v>
      </c>
      <c r="I38">
        <v>1.6171292259153005E-2</v>
      </c>
      <c r="J38">
        <v>1.6171283125763505E-2</v>
      </c>
      <c r="K38">
        <v>1.617127609861976E-2</v>
      </c>
      <c r="L38">
        <v>1.6171289003686737E-2</v>
      </c>
      <c r="P38" t="s">
        <v>2381</v>
      </c>
      <c r="Q38" t="s">
        <v>450</v>
      </c>
      <c r="R38" t="s">
        <v>2354</v>
      </c>
      <c r="S38" t="s">
        <v>2368</v>
      </c>
      <c r="T38" t="s">
        <v>449</v>
      </c>
      <c r="U38">
        <v>1.6171282317498197E-2</v>
      </c>
      <c r="V38">
        <v>3.7317906492467439E-9</v>
      </c>
      <c r="W38">
        <v>1.6171269994720804E-2</v>
      </c>
      <c r="X38">
        <v>1.6171290841159734E-2</v>
      </c>
      <c r="Y38">
        <v>1.6171282078920789E-2</v>
      </c>
      <c r="Z38">
        <v>1.6171276905378389E-2</v>
      </c>
      <c r="AA38">
        <v>1.6171289379052885E-2</v>
      </c>
    </row>
    <row r="39" spans="1:27">
      <c r="A39" t="s">
        <v>2382</v>
      </c>
      <c r="B39" t="s">
        <v>2383</v>
      </c>
      <c r="C39" t="s">
        <v>2354</v>
      </c>
      <c r="D39" t="s">
        <v>2368</v>
      </c>
      <c r="E39" t="s">
        <v>449</v>
      </c>
      <c r="F39">
        <v>4.0138943001109615E-18</v>
      </c>
      <c r="G39">
        <v>1.1230376346132307E-23</v>
      </c>
      <c r="H39">
        <v>4.0138637194195214E-18</v>
      </c>
      <c r="I39">
        <v>4.0139210104324694E-18</v>
      </c>
      <c r="J39">
        <v>4.013895566497398E-18</v>
      </c>
      <c r="K39">
        <v>4.0138759901737144E-18</v>
      </c>
      <c r="L39">
        <v>4.0139119413051343E-18</v>
      </c>
      <c r="P39" t="s">
        <v>2382</v>
      </c>
      <c r="Q39" t="s">
        <v>2383</v>
      </c>
      <c r="R39" t="s">
        <v>2354</v>
      </c>
      <c r="S39" t="s">
        <v>2368</v>
      </c>
      <c r="T39" t="s">
        <v>449</v>
      </c>
      <c r="U39">
        <v>4.013893314819641E-18</v>
      </c>
      <c r="V39">
        <v>1.0396079021987204E-23</v>
      </c>
      <c r="W39">
        <v>4.0138589858393781E-18</v>
      </c>
      <c r="X39">
        <v>4.013917060165295E-18</v>
      </c>
      <c r="Y39">
        <v>4.0138926501870798E-18</v>
      </c>
      <c r="Z39">
        <v>4.0138782376541405E-18</v>
      </c>
      <c r="AA39">
        <v>4.013912987005849E-18</v>
      </c>
    </row>
    <row r="40" spans="1:27">
      <c r="A40" t="s">
        <v>2384</v>
      </c>
      <c r="B40" t="s">
        <v>2385</v>
      </c>
      <c r="C40" t="s">
        <v>2354</v>
      </c>
      <c r="D40" t="s">
        <v>2386</v>
      </c>
      <c r="E40" t="s">
        <v>449</v>
      </c>
      <c r="F40">
        <v>2.1969189660532486E-4</v>
      </c>
      <c r="G40">
        <v>1.3216947953058589E-10</v>
      </c>
      <c r="H40">
        <v>2.1969153670339933E-4</v>
      </c>
      <c r="I40">
        <v>2.1969221095714914E-4</v>
      </c>
      <c r="J40">
        <v>2.196919115093344E-4</v>
      </c>
      <c r="K40">
        <v>2.1969168111700979E-4</v>
      </c>
      <c r="L40">
        <v>2.1969210422325146E-4</v>
      </c>
      <c r="P40" t="s">
        <v>2384</v>
      </c>
      <c r="Q40" t="s">
        <v>2385</v>
      </c>
      <c r="R40" t="s">
        <v>2354</v>
      </c>
      <c r="S40" t="s">
        <v>2386</v>
      </c>
      <c r="T40" t="s">
        <v>449</v>
      </c>
      <c r="U40">
        <v>2.196918850095032E-4</v>
      </c>
      <c r="V40">
        <v>1.2235069521744334E-10</v>
      </c>
      <c r="W40">
        <v>2.1969148099424012E-4</v>
      </c>
      <c r="X40">
        <v>2.1969216446674308E-4</v>
      </c>
      <c r="Y40">
        <v>2.196918771874911E-4</v>
      </c>
      <c r="Z40">
        <v>2.1969170756744289E-4</v>
      </c>
      <c r="AA40">
        <v>2.1969211653002685E-4</v>
      </c>
    </row>
    <row r="41" spans="1:27">
      <c r="A41" t="s">
        <v>2387</v>
      </c>
      <c r="B41" t="s">
        <v>2388</v>
      </c>
      <c r="C41" t="s">
        <v>2354</v>
      </c>
      <c r="D41" t="s">
        <v>2386</v>
      </c>
      <c r="E41" t="s">
        <v>449</v>
      </c>
      <c r="F41">
        <v>1.8379852594634532E-7</v>
      </c>
      <c r="G41">
        <v>1.379861067649746E-14</v>
      </c>
      <c r="H41">
        <v>1.8379848837226559E-7</v>
      </c>
      <c r="I41">
        <v>1.83798558764954E-7</v>
      </c>
      <c r="J41">
        <v>1.8379852750233704E-7</v>
      </c>
      <c r="K41">
        <v>1.8379850344917439E-7</v>
      </c>
      <c r="L41">
        <v>1.837985476218406E-7</v>
      </c>
      <c r="P41" t="s">
        <v>2387</v>
      </c>
      <c r="Q41" t="s">
        <v>2388</v>
      </c>
      <c r="R41" t="s">
        <v>2354</v>
      </c>
      <c r="S41" t="s">
        <v>2386</v>
      </c>
      <c r="T41" t="s">
        <v>449</v>
      </c>
      <c r="U41">
        <v>1.8379852473573124E-7</v>
      </c>
      <c r="V41">
        <v>1.2773520900245226E-14</v>
      </c>
      <c r="W41">
        <v>1.8379848255618004E-7</v>
      </c>
      <c r="X41">
        <v>1.8379855391131445E-7</v>
      </c>
      <c r="Y41">
        <v>1.8379852391910622E-7</v>
      </c>
      <c r="Z41">
        <v>1.8379850621062303E-7</v>
      </c>
      <c r="AA41">
        <v>1.8379854890667886E-7</v>
      </c>
    </row>
    <row r="42" spans="1:27">
      <c r="A42" t="s">
        <v>2389</v>
      </c>
      <c r="B42" t="s">
        <v>2390</v>
      </c>
      <c r="C42" t="s">
        <v>2354</v>
      </c>
      <c r="D42" t="s">
        <v>2386</v>
      </c>
      <c r="E42" t="s">
        <v>449</v>
      </c>
      <c r="F42">
        <v>3.6416530735847196E-4</v>
      </c>
      <c r="G42">
        <v>1.8907311986111322E-8</v>
      </c>
      <c r="H42">
        <v>3.6411382211381046E-4</v>
      </c>
      <c r="I42">
        <v>3.6421027649988122E-4</v>
      </c>
      <c r="J42">
        <v>3.641674394298021E-4</v>
      </c>
      <c r="K42">
        <v>3.6413448099207788E-4</v>
      </c>
      <c r="L42">
        <v>3.6419500783793429E-4</v>
      </c>
      <c r="P42" t="s">
        <v>2389</v>
      </c>
      <c r="Q42" t="s">
        <v>2390</v>
      </c>
      <c r="R42" t="s">
        <v>2354</v>
      </c>
      <c r="S42" t="s">
        <v>2386</v>
      </c>
      <c r="T42" t="s">
        <v>449</v>
      </c>
      <c r="U42">
        <v>3.6416364853513215E-4</v>
      </c>
      <c r="V42">
        <v>1.7502700127080672E-8</v>
      </c>
      <c r="W42">
        <v>3.6410585272134962E-4</v>
      </c>
      <c r="X42">
        <v>3.6420362588269811E-4</v>
      </c>
      <c r="Y42">
        <v>3.64162529568606E-4</v>
      </c>
      <c r="Z42">
        <v>3.6413826482017736E-4</v>
      </c>
      <c r="AA42">
        <v>3.6419676836572479E-4</v>
      </c>
    </row>
    <row r="43" spans="1:27">
      <c r="A43" t="s">
        <v>2391</v>
      </c>
      <c r="B43" t="s">
        <v>2392</v>
      </c>
      <c r="C43" t="s">
        <v>2354</v>
      </c>
      <c r="D43" t="s">
        <v>2386</v>
      </c>
      <c r="E43" t="s">
        <v>449</v>
      </c>
      <c r="F43">
        <v>8.3482753759639297E-5</v>
      </c>
      <c r="G43">
        <v>1.5928419833941495E-10</v>
      </c>
      <c r="H43">
        <v>8.3482320023425049E-5</v>
      </c>
      <c r="I43">
        <v>8.3483132601097271E-5</v>
      </c>
      <c r="J43">
        <v>8.3482771721223286E-5</v>
      </c>
      <c r="K43">
        <v>8.348249406365171E-5</v>
      </c>
      <c r="L43">
        <v>8.3483003970619298E-5</v>
      </c>
      <c r="P43" t="s">
        <v>2391</v>
      </c>
      <c r="Q43" t="s">
        <v>2392</v>
      </c>
      <c r="R43" t="s">
        <v>2354</v>
      </c>
      <c r="S43" t="s">
        <v>2386</v>
      </c>
      <c r="T43" t="s">
        <v>449</v>
      </c>
      <c r="U43">
        <v>8.3482739784921674E-5</v>
      </c>
      <c r="V43">
        <v>1.4745107927435389E-10</v>
      </c>
      <c r="W43">
        <v>8.3482252885468559E-5</v>
      </c>
      <c r="X43">
        <v>8.3483076573131625E-5</v>
      </c>
      <c r="Y43">
        <v>8.348273035821489E-5</v>
      </c>
      <c r="Z43">
        <v>8.3482525940421163E-5</v>
      </c>
      <c r="AA43">
        <v>8.3483018802143626E-5</v>
      </c>
    </row>
    <row r="44" spans="1:27">
      <c r="A44" t="s">
        <v>2393</v>
      </c>
      <c r="B44" t="s">
        <v>2394</v>
      </c>
      <c r="C44" t="s">
        <v>2354</v>
      </c>
      <c r="D44" t="s">
        <v>2386</v>
      </c>
      <c r="E44" t="s">
        <v>449</v>
      </c>
      <c r="F44">
        <v>4.1568942076109531E-7</v>
      </c>
      <c r="G44">
        <v>2.1257252025259033E-13</v>
      </c>
      <c r="H44">
        <v>4.1568884191899339E-7</v>
      </c>
      <c r="I44">
        <v>4.1568992634347168E-7</v>
      </c>
      <c r="J44">
        <v>4.1568944473170399E-7</v>
      </c>
      <c r="K44">
        <v>4.1568907418415202E-7</v>
      </c>
      <c r="L44">
        <v>4.1568975467983414E-7</v>
      </c>
      <c r="P44" t="s">
        <v>2393</v>
      </c>
      <c r="Q44" t="s">
        <v>2394</v>
      </c>
      <c r="R44" t="s">
        <v>2354</v>
      </c>
      <c r="S44" t="s">
        <v>2386</v>
      </c>
      <c r="T44" t="s">
        <v>449</v>
      </c>
      <c r="U44">
        <v>4.1568940211115406E-7</v>
      </c>
      <c r="V44">
        <v>1.9678064655622786E-13</v>
      </c>
      <c r="W44">
        <v>4.1568875232012066E-7</v>
      </c>
      <c r="X44">
        <v>4.156898515714228E-7</v>
      </c>
      <c r="Y44">
        <v>4.1568938953075481E-7</v>
      </c>
      <c r="Z44">
        <v>4.1568911672525339E-7</v>
      </c>
      <c r="AA44">
        <v>4.1568977447322573E-7</v>
      </c>
    </row>
    <row r="45" spans="1:27">
      <c r="A45" t="s">
        <v>2395</v>
      </c>
      <c r="B45" t="s">
        <v>2396</v>
      </c>
      <c r="C45" t="s">
        <v>2354</v>
      </c>
      <c r="D45" t="s">
        <v>2386</v>
      </c>
      <c r="E45" t="s">
        <v>449</v>
      </c>
      <c r="F45">
        <v>4.9347765996715693E-6</v>
      </c>
      <c r="G45">
        <v>2.2773963573244499E-12</v>
      </c>
      <c r="H45">
        <v>4.9347703982449062E-6</v>
      </c>
      <c r="I45">
        <v>4.9347820162299294E-6</v>
      </c>
      <c r="J45">
        <v>4.9347768564807578E-6</v>
      </c>
      <c r="K45">
        <v>4.9347728866184068E-6</v>
      </c>
      <c r="L45">
        <v>4.9347801771110148E-6</v>
      </c>
      <c r="P45" t="s">
        <v>2395</v>
      </c>
      <c r="Q45" t="s">
        <v>2396</v>
      </c>
      <c r="R45" t="s">
        <v>2354</v>
      </c>
      <c r="S45" t="s">
        <v>2386</v>
      </c>
      <c r="T45" t="s">
        <v>449</v>
      </c>
      <c r="U45">
        <v>4.9347763998653655E-6</v>
      </c>
      <c r="V45">
        <v>2.1082100692995244E-12</v>
      </c>
      <c r="W45">
        <v>4.9347694383271047E-6</v>
      </c>
      <c r="X45">
        <v>4.9347812151593514E-6</v>
      </c>
      <c r="Y45">
        <v>4.934776265085217E-6</v>
      </c>
      <c r="Z45">
        <v>4.9347733423826283E-6</v>
      </c>
      <c r="AA45">
        <v>4.9347803891675767E-6</v>
      </c>
    </row>
    <row r="46" spans="1:27">
      <c r="A46" t="s">
        <v>2397</v>
      </c>
      <c r="B46" t="s">
        <v>2398</v>
      </c>
      <c r="C46" t="s">
        <v>2354</v>
      </c>
      <c r="D46" t="s">
        <v>2386</v>
      </c>
      <c r="E46" t="s">
        <v>449</v>
      </c>
      <c r="F46">
        <v>2.8511774603862859E-2</v>
      </c>
      <c r="G46">
        <v>3.1452785268120581E-8</v>
      </c>
      <c r="H46">
        <v>2.8511688956873692E-2</v>
      </c>
      <c r="I46">
        <v>2.8511849411151667E-2</v>
      </c>
      <c r="J46">
        <v>2.8511778150616708E-2</v>
      </c>
      <c r="K46">
        <v>2.8511723323433168E-2</v>
      </c>
      <c r="L46">
        <v>2.8511824011351532E-2</v>
      </c>
      <c r="P46" t="s">
        <v>2397</v>
      </c>
      <c r="Q46" t="s">
        <v>2398</v>
      </c>
      <c r="R46" t="s">
        <v>2354</v>
      </c>
      <c r="S46" t="s">
        <v>2386</v>
      </c>
      <c r="T46" t="s">
        <v>449</v>
      </c>
      <c r="U46">
        <v>2.851177184436883E-2</v>
      </c>
      <c r="V46">
        <v>2.9116178392136859E-8</v>
      </c>
      <c r="W46">
        <v>2.8511675699590476E-2</v>
      </c>
      <c r="X46">
        <v>2.8511838347684032E-2</v>
      </c>
      <c r="Y46">
        <v>2.8511769982940097E-2</v>
      </c>
      <c r="Z46">
        <v>2.851172961792563E-2</v>
      </c>
      <c r="AA46">
        <v>2.8511826940033437E-2</v>
      </c>
    </row>
    <row r="47" spans="1:27">
      <c r="A47" t="s">
        <v>2399</v>
      </c>
      <c r="B47" t="s">
        <v>2400</v>
      </c>
      <c r="C47" t="s">
        <v>2354</v>
      </c>
      <c r="D47" t="s">
        <v>2386</v>
      </c>
      <c r="E47" t="s">
        <v>449</v>
      </c>
      <c r="F47">
        <v>4.5935965915377316E-6</v>
      </c>
      <c r="G47">
        <v>3.1869569628216241E-11</v>
      </c>
      <c r="H47">
        <v>4.5935098096307741E-6</v>
      </c>
      <c r="I47">
        <v>4.5936723901062583E-6</v>
      </c>
      <c r="J47">
        <v>4.5936001852900178E-6</v>
      </c>
      <c r="K47">
        <v>4.5935446315853632E-6</v>
      </c>
      <c r="L47">
        <v>4.5936466537305431E-6</v>
      </c>
      <c r="P47" t="s">
        <v>2399</v>
      </c>
      <c r="Q47" t="s">
        <v>2400</v>
      </c>
      <c r="R47" t="s">
        <v>2354</v>
      </c>
      <c r="S47" t="s">
        <v>2386</v>
      </c>
      <c r="T47" t="s">
        <v>449</v>
      </c>
      <c r="U47">
        <v>4.5935937954773479E-6</v>
      </c>
      <c r="V47">
        <v>2.950200011456052E-11</v>
      </c>
      <c r="W47">
        <v>4.5934963766738254E-6</v>
      </c>
      <c r="X47">
        <v>4.5936611800353848E-6</v>
      </c>
      <c r="Y47">
        <v>4.5935919093826147E-6</v>
      </c>
      <c r="Z47">
        <v>4.5935510094868424E-6</v>
      </c>
      <c r="AA47">
        <v>4.5936496212207409E-6</v>
      </c>
    </row>
    <row r="48" spans="1:27">
      <c r="A48" t="s">
        <v>2401</v>
      </c>
      <c r="B48" t="s">
        <v>2402</v>
      </c>
      <c r="C48" t="s">
        <v>2354</v>
      </c>
      <c r="D48" t="s">
        <v>2386</v>
      </c>
      <c r="E48" t="s">
        <v>449</v>
      </c>
      <c r="F48">
        <v>3.2413800502934726E-13</v>
      </c>
      <c r="G48">
        <v>2.9835198690871429E-19</v>
      </c>
      <c r="H48">
        <v>3.2413719260688089E-13</v>
      </c>
      <c r="I48">
        <v>3.2413871462956456E-13</v>
      </c>
      <c r="J48">
        <v>3.2413803867282462E-13</v>
      </c>
      <c r="K48">
        <v>3.2413751859808377E-13</v>
      </c>
      <c r="L48">
        <v>3.2413847369443677E-13</v>
      </c>
      <c r="P48" t="s">
        <v>2401</v>
      </c>
      <c r="Q48" t="s">
        <v>2402</v>
      </c>
      <c r="R48" t="s">
        <v>2354</v>
      </c>
      <c r="S48" t="s">
        <v>2386</v>
      </c>
      <c r="T48" t="s">
        <v>449</v>
      </c>
      <c r="U48">
        <v>3.2413797885358861E-13</v>
      </c>
      <c r="V48">
        <v>2.7618761265595934E-19</v>
      </c>
      <c r="W48">
        <v>3.2413706685214232E-13</v>
      </c>
      <c r="X48">
        <v>3.2413860968472353E-13</v>
      </c>
      <c r="Y48">
        <v>3.2413796119661625E-13</v>
      </c>
      <c r="Z48">
        <v>3.241375783058113E-13</v>
      </c>
      <c r="AA48">
        <v>3.2413850147506287E-13</v>
      </c>
    </row>
    <row r="49" spans="1:27">
      <c r="A49" t="s">
        <v>2403</v>
      </c>
      <c r="B49" t="s">
        <v>2404</v>
      </c>
      <c r="C49" t="s">
        <v>2354</v>
      </c>
      <c r="D49" t="s">
        <v>2386</v>
      </c>
      <c r="E49" t="s">
        <v>449</v>
      </c>
      <c r="F49">
        <v>2.8803157195798299E-4</v>
      </c>
      <c r="G49">
        <v>2.4917373418860925E-10</v>
      </c>
      <c r="H49">
        <v>2.8803089344954784E-4</v>
      </c>
      <c r="I49">
        <v>2.8803216459266819E-4</v>
      </c>
      <c r="J49">
        <v>2.8803160005590482E-4</v>
      </c>
      <c r="K49">
        <v>2.8803116570664318E-4</v>
      </c>
      <c r="L49">
        <v>2.8803196337160006E-4</v>
      </c>
      <c r="P49" t="s">
        <v>2403</v>
      </c>
      <c r="Q49" t="s">
        <v>2404</v>
      </c>
      <c r="R49" t="s">
        <v>2354</v>
      </c>
      <c r="S49" t="s">
        <v>2386</v>
      </c>
      <c r="T49" t="s">
        <v>449</v>
      </c>
      <c r="U49">
        <v>2.8803155009685284E-4</v>
      </c>
      <c r="V49">
        <v>2.30662780212571E-10</v>
      </c>
      <c r="W49">
        <v>2.8803078842333995E-4</v>
      </c>
      <c r="X49">
        <v>2.8803207694620003E-4</v>
      </c>
      <c r="Y49">
        <v>2.8803153535033221E-4</v>
      </c>
      <c r="Z49">
        <v>2.8803121557256686E-4</v>
      </c>
      <c r="AA49">
        <v>2.8803198657306224E-4</v>
      </c>
    </row>
    <row r="50" spans="1:27">
      <c r="A50" t="s">
        <v>2405</v>
      </c>
      <c r="B50" t="s">
        <v>2406</v>
      </c>
      <c r="C50" t="s">
        <v>2354</v>
      </c>
      <c r="D50" t="s">
        <v>2386</v>
      </c>
      <c r="E50" t="s">
        <v>449</v>
      </c>
      <c r="F50">
        <v>1.3131809768474736E-6</v>
      </c>
      <c r="G50">
        <v>2.472122019616385E-14</v>
      </c>
      <c r="H50">
        <v>1.3131809095307624E-6</v>
      </c>
      <c r="I50">
        <v>1.3131810356444118E-6</v>
      </c>
      <c r="J50">
        <v>1.3131809796351471E-6</v>
      </c>
      <c r="K50">
        <v>1.3131809365421471E-6</v>
      </c>
      <c r="L50">
        <v>1.3131810156807092E-6</v>
      </c>
      <c r="P50" t="s">
        <v>2405</v>
      </c>
      <c r="Q50" t="s">
        <v>2406</v>
      </c>
      <c r="R50" t="s">
        <v>2354</v>
      </c>
      <c r="S50" t="s">
        <v>2386</v>
      </c>
      <c r="T50" t="s">
        <v>449</v>
      </c>
      <c r="U50">
        <v>1.3131809746785704E-6</v>
      </c>
      <c r="V50">
        <v>2.2884696899026567E-14</v>
      </c>
      <c r="W50">
        <v>1.3131808991108197E-6</v>
      </c>
      <c r="X50">
        <v>1.3131810269487616E-6</v>
      </c>
      <c r="Y50">
        <v>1.313180973215527E-6</v>
      </c>
      <c r="Z50">
        <v>1.3131809414894844E-6</v>
      </c>
      <c r="AA50">
        <v>1.3131810179825909E-6</v>
      </c>
    </row>
    <row r="51" spans="1:27">
      <c r="A51" t="s">
        <v>2407</v>
      </c>
      <c r="B51" t="s">
        <v>2408</v>
      </c>
      <c r="C51" t="s">
        <v>2354</v>
      </c>
      <c r="D51" t="s">
        <v>2386</v>
      </c>
      <c r="E51" t="s">
        <v>449</v>
      </c>
      <c r="F51">
        <v>1.3425811554324815E-8</v>
      </c>
      <c r="G51">
        <v>4.3436854759309082E-16</v>
      </c>
      <c r="H51">
        <v>1.3425810371524696E-8</v>
      </c>
      <c r="I51">
        <v>1.3425812587426757E-8</v>
      </c>
      <c r="J51">
        <v>1.342581160330612E-8</v>
      </c>
      <c r="K51">
        <v>1.3425810846132983E-8</v>
      </c>
      <c r="L51">
        <v>1.3425812236651008E-8</v>
      </c>
      <c r="P51" t="s">
        <v>2407</v>
      </c>
      <c r="Q51" t="s">
        <v>2408</v>
      </c>
      <c r="R51" t="s">
        <v>2354</v>
      </c>
      <c r="S51" t="s">
        <v>2386</v>
      </c>
      <c r="T51" t="s">
        <v>449</v>
      </c>
      <c r="U51">
        <v>1.3425811516215713E-8</v>
      </c>
      <c r="V51">
        <v>4.0209959197210694E-16</v>
      </c>
      <c r="W51">
        <v>1.3425810188439262E-8</v>
      </c>
      <c r="X51">
        <v>1.3425812434638306E-8</v>
      </c>
      <c r="Y51">
        <v>1.3425811490509055E-8</v>
      </c>
      <c r="Z51">
        <v>1.3425810933061041E-8</v>
      </c>
      <c r="AA51">
        <v>1.3425812277096625E-8</v>
      </c>
    </row>
    <row r="52" spans="1:27">
      <c r="A52" t="s">
        <v>2409</v>
      </c>
      <c r="B52" t="s">
        <v>2410</v>
      </c>
      <c r="C52" t="s">
        <v>2354</v>
      </c>
      <c r="D52" t="s">
        <v>2386</v>
      </c>
      <c r="E52" t="s">
        <v>449</v>
      </c>
      <c r="F52">
        <v>4.9969503613481268E-4</v>
      </c>
      <c r="G52">
        <v>1.4314315765058529E-9</v>
      </c>
      <c r="H52">
        <v>4.9969113829862171E-4</v>
      </c>
      <c r="I52">
        <v>4.9969844065096106E-4</v>
      </c>
      <c r="J52">
        <v>4.9969519754930805E-4</v>
      </c>
      <c r="K52">
        <v>4.9969270233748183E-4</v>
      </c>
      <c r="L52">
        <v>4.9969728469368606E-4</v>
      </c>
      <c r="P52" t="s">
        <v>2409</v>
      </c>
      <c r="Q52" t="s">
        <v>2410</v>
      </c>
      <c r="R52" t="s">
        <v>2354</v>
      </c>
      <c r="S52" t="s">
        <v>2386</v>
      </c>
      <c r="T52" t="s">
        <v>449</v>
      </c>
      <c r="U52">
        <v>4.9969491054889579E-4</v>
      </c>
      <c r="V52">
        <v>1.3250914595696414E-9</v>
      </c>
      <c r="W52">
        <v>4.9969053495320576E-4</v>
      </c>
      <c r="X52">
        <v>4.9969793714716077E-4</v>
      </c>
      <c r="Y52">
        <v>4.9969482583436743E-4</v>
      </c>
      <c r="Z52">
        <v>4.996929888028993E-4</v>
      </c>
      <c r="AA52">
        <v>4.9969741797942615E-4</v>
      </c>
    </row>
    <row r="53" spans="1:27">
      <c r="A53" t="s">
        <v>2411</v>
      </c>
      <c r="B53" t="s">
        <v>2412</v>
      </c>
      <c r="C53" t="s">
        <v>2354</v>
      </c>
      <c r="D53" t="s">
        <v>2386</v>
      </c>
      <c r="E53" t="s">
        <v>449</v>
      </c>
      <c r="F53">
        <v>1.0688986667215296E-2</v>
      </c>
      <c r="G53">
        <v>8.5487321341941195E-9</v>
      </c>
      <c r="H53">
        <v>1.0688963388730982E-2</v>
      </c>
      <c r="I53">
        <v>1.0689006999515544E-2</v>
      </c>
      <c r="J53">
        <v>1.0688987631207781E-2</v>
      </c>
      <c r="K53">
        <v>1.068897272941445E-2</v>
      </c>
      <c r="L53">
        <v>1.0689000095958807E-2</v>
      </c>
      <c r="P53" t="s">
        <v>2411</v>
      </c>
      <c r="Q53" t="s">
        <v>2412</v>
      </c>
      <c r="R53" t="s">
        <v>2354</v>
      </c>
      <c r="S53" t="s">
        <v>2386</v>
      </c>
      <c r="T53" t="s">
        <v>449</v>
      </c>
      <c r="U53">
        <v>1.0688985917196657E-2</v>
      </c>
      <c r="V53">
        <v>7.9136524070916764E-9</v>
      </c>
      <c r="W53">
        <v>1.0688959785458266E-2</v>
      </c>
      <c r="X53">
        <v>1.0689003992512493E-2</v>
      </c>
      <c r="Y53">
        <v>1.0688985411268309E-2</v>
      </c>
      <c r="Z53">
        <v>1.0688974440230503E-2</v>
      </c>
      <c r="AA53">
        <v>1.0689000891961989E-2</v>
      </c>
    </row>
    <row r="54" spans="1:27">
      <c r="A54" t="s">
        <v>2413</v>
      </c>
      <c r="B54" t="s">
        <v>2414</v>
      </c>
      <c r="C54" t="s">
        <v>2354</v>
      </c>
      <c r="D54" t="s">
        <v>2386</v>
      </c>
      <c r="E54" t="s">
        <v>449</v>
      </c>
      <c r="F54">
        <v>3.5396630150608892E-2</v>
      </c>
      <c r="G54">
        <v>5.8667327782186805E-8</v>
      </c>
      <c r="H54">
        <v>3.5396470397507707E-2</v>
      </c>
      <c r="I54">
        <v>3.5396769684952048E-2</v>
      </c>
      <c r="J54">
        <v>3.539663676619377E-2</v>
      </c>
      <c r="K54">
        <v>3.5396534499754703E-2</v>
      </c>
      <c r="L54">
        <v>3.539672230795865E-2</v>
      </c>
      <c r="P54" t="s">
        <v>2413</v>
      </c>
      <c r="Q54" t="s">
        <v>2414</v>
      </c>
      <c r="R54" t="s">
        <v>2354</v>
      </c>
      <c r="S54" t="s">
        <v>2386</v>
      </c>
      <c r="T54" t="s">
        <v>449</v>
      </c>
      <c r="U54">
        <v>3.5396625003460913E-2</v>
      </c>
      <c r="V54">
        <v>5.4308970317020309E-8</v>
      </c>
      <c r="W54">
        <v>3.5396445669351739E-2</v>
      </c>
      <c r="X54">
        <v>3.5396749048811994E-2</v>
      </c>
      <c r="Y54">
        <v>3.5396621531429764E-2</v>
      </c>
      <c r="Z54">
        <v>3.5396546240560781E-2</v>
      </c>
      <c r="AA54">
        <v>3.5396727770684443E-2</v>
      </c>
    </row>
    <row r="55" spans="1:27">
      <c r="A55" t="s">
        <v>2415</v>
      </c>
      <c r="B55" t="s">
        <v>2416</v>
      </c>
      <c r="C55" t="s">
        <v>2354</v>
      </c>
      <c r="D55" t="s">
        <v>2386</v>
      </c>
      <c r="E55" t="s">
        <v>449</v>
      </c>
      <c r="F55">
        <v>0.1184750684780007</v>
      </c>
      <c r="G55">
        <v>1.2502186014887318E-7</v>
      </c>
      <c r="H55">
        <v>0.11847472803928248</v>
      </c>
      <c r="I55">
        <v>0.11847536582993061</v>
      </c>
      <c r="J55">
        <v>0.11847508257601337</v>
      </c>
      <c r="K55">
        <v>0.11847486464312079</v>
      </c>
      <c r="L55">
        <v>0.11847526486811646</v>
      </c>
      <c r="P55" t="s">
        <v>2415</v>
      </c>
      <c r="Q55" t="s">
        <v>2416</v>
      </c>
      <c r="R55" t="s">
        <v>2354</v>
      </c>
      <c r="S55" t="s">
        <v>2386</v>
      </c>
      <c r="T55" t="s">
        <v>449</v>
      </c>
      <c r="U55">
        <v>0.11847505750927176</v>
      </c>
      <c r="V55">
        <v>1.1573406781105328E-7</v>
      </c>
      <c r="W55">
        <v>0.11847467534282988</v>
      </c>
      <c r="X55">
        <v>0.11847532185368841</v>
      </c>
      <c r="Y55">
        <v>0.11847505011026782</v>
      </c>
      <c r="Z55">
        <v>0.11847488966313569</v>
      </c>
      <c r="AA55">
        <v>0.11847527650935133</v>
      </c>
    </row>
    <row r="56" spans="1:27">
      <c r="A56" t="s">
        <v>2417</v>
      </c>
      <c r="B56" t="s">
        <v>2418</v>
      </c>
      <c r="C56" t="s">
        <v>2354</v>
      </c>
      <c r="D56" t="s">
        <v>2386</v>
      </c>
      <c r="E56" t="s">
        <v>449</v>
      </c>
      <c r="F56">
        <v>4.3679388295915974E-9</v>
      </c>
      <c r="G56">
        <v>1.1911116609629042E-13</v>
      </c>
      <c r="H56">
        <v>4.3676144858915042E-9</v>
      </c>
      <c r="I56">
        <v>4.3682221235297054E-9</v>
      </c>
      <c r="J56">
        <v>4.367952261088497E-9</v>
      </c>
      <c r="K56">
        <v>4.3677446314712919E-9</v>
      </c>
      <c r="L56">
        <v>4.3681259349159804E-9</v>
      </c>
      <c r="P56" t="s">
        <v>2417</v>
      </c>
      <c r="Q56" t="s">
        <v>2418</v>
      </c>
      <c r="R56" t="s">
        <v>2354</v>
      </c>
      <c r="S56" t="s">
        <v>2386</v>
      </c>
      <c r="T56" t="s">
        <v>449</v>
      </c>
      <c r="U56">
        <v>4.3679283794344041E-9</v>
      </c>
      <c r="V56">
        <v>1.1026247535880763E-13</v>
      </c>
      <c r="W56">
        <v>4.3675642807840946E-9</v>
      </c>
      <c r="X56">
        <v>4.3681802263648139E-9</v>
      </c>
      <c r="Y56">
        <v>4.3679213302352443E-9</v>
      </c>
      <c r="Z56">
        <v>4.3677684686078229E-9</v>
      </c>
      <c r="AA56">
        <v>4.368137025784858E-9</v>
      </c>
    </row>
    <row r="57" spans="1:27">
      <c r="A57" t="s">
        <v>2419</v>
      </c>
      <c r="B57" t="s">
        <v>2420</v>
      </c>
      <c r="C57" t="s">
        <v>2354</v>
      </c>
      <c r="D57" t="s">
        <v>2386</v>
      </c>
      <c r="E57" t="s">
        <v>449</v>
      </c>
      <c r="F57">
        <v>1.4881637163275755E-9</v>
      </c>
      <c r="G57">
        <v>1.1228942870227242E-15</v>
      </c>
      <c r="H57">
        <v>1.4881606586487715E-9</v>
      </c>
      <c r="I57">
        <v>1.4881663870187882E-9</v>
      </c>
      <c r="J57">
        <v>1.4881638429500546E-9</v>
      </c>
      <c r="K57">
        <v>1.4881618855675638E-9</v>
      </c>
      <c r="L57">
        <v>1.4881654802218155E-9</v>
      </c>
      <c r="P57" t="s">
        <v>2419</v>
      </c>
      <c r="Q57" t="s">
        <v>2420</v>
      </c>
      <c r="R57" t="s">
        <v>2354</v>
      </c>
      <c r="S57" t="s">
        <v>2386</v>
      </c>
      <c r="T57" t="s">
        <v>449</v>
      </c>
      <c r="U57">
        <v>1.4881636178110193E-9</v>
      </c>
      <c r="V57">
        <v>1.0394752037856874E-15</v>
      </c>
      <c r="W57">
        <v>1.4881601853511781E-9</v>
      </c>
      <c r="X57">
        <v>1.4881659920424929E-9</v>
      </c>
      <c r="Y57">
        <v>1.4881635513562472E-9</v>
      </c>
      <c r="Z57">
        <v>1.4881621102869188E-9</v>
      </c>
      <c r="AA57">
        <v>1.4881655847785395E-9</v>
      </c>
    </row>
    <row r="58" spans="1:27">
      <c r="A58" t="s">
        <v>2421</v>
      </c>
      <c r="B58" t="s">
        <v>2422</v>
      </c>
      <c r="C58" t="s">
        <v>2354</v>
      </c>
      <c r="D58" t="s">
        <v>2386</v>
      </c>
      <c r="E58" t="s">
        <v>449</v>
      </c>
      <c r="F58">
        <v>6.9598821204794499E-6</v>
      </c>
      <c r="G58">
        <v>6.0223616726668995E-13</v>
      </c>
      <c r="H58">
        <v>6.9598804805701654E-6</v>
      </c>
      <c r="I58">
        <v>6.9598835528376475E-6</v>
      </c>
      <c r="J58">
        <v>6.9598821883902351E-6</v>
      </c>
      <c r="K58">
        <v>6.959881138597265E-6</v>
      </c>
      <c r="L58">
        <v>6.9598830664998505E-6</v>
      </c>
      <c r="P58" t="s">
        <v>2421</v>
      </c>
      <c r="Q58" t="s">
        <v>2422</v>
      </c>
      <c r="R58" t="s">
        <v>2354</v>
      </c>
      <c r="S58" t="s">
        <v>2386</v>
      </c>
      <c r="T58" t="s">
        <v>449</v>
      </c>
      <c r="U58">
        <v>6.9598820676425629E-6</v>
      </c>
      <c r="V58">
        <v>5.574964357530143E-13</v>
      </c>
      <c r="W58">
        <v>6.9598802267288804E-6</v>
      </c>
      <c r="X58">
        <v>6.9598833410020249E-6</v>
      </c>
      <c r="Y58">
        <v>6.9598820320012156E-6</v>
      </c>
      <c r="Z58">
        <v>6.9598812591198509E-6</v>
      </c>
      <c r="AA58">
        <v>6.9598831225762251E-6</v>
      </c>
    </row>
    <row r="59" spans="1:27">
      <c r="A59" t="s">
        <v>2423</v>
      </c>
      <c r="B59" t="s">
        <v>2424</v>
      </c>
      <c r="C59" t="s">
        <v>2354</v>
      </c>
      <c r="D59" t="s">
        <v>2386</v>
      </c>
      <c r="E59" t="s">
        <v>449</v>
      </c>
      <c r="F59">
        <v>5.1179632805598394E-5</v>
      </c>
      <c r="G59">
        <v>2.6746297735448256E-11</v>
      </c>
      <c r="H59">
        <v>5.117955997453261E-5</v>
      </c>
      <c r="I59">
        <v>5.1179696418979578E-5</v>
      </c>
      <c r="J59">
        <v>5.1179635821628074E-5</v>
      </c>
      <c r="K59">
        <v>5.117958919859732E-5</v>
      </c>
      <c r="L59">
        <v>5.1179674819918924E-5</v>
      </c>
      <c r="P59" t="s">
        <v>2423</v>
      </c>
      <c r="Q59" t="s">
        <v>2424</v>
      </c>
      <c r="R59" t="s">
        <v>2354</v>
      </c>
      <c r="S59" t="s">
        <v>2386</v>
      </c>
      <c r="T59" t="s">
        <v>449</v>
      </c>
      <c r="U59">
        <v>5.1179630459025622E-5</v>
      </c>
      <c r="V59">
        <v>2.4759332745114466E-11</v>
      </c>
      <c r="W59">
        <v>5.1179548701024049E-5</v>
      </c>
      <c r="X59">
        <v>5.1179687011011522E-5</v>
      </c>
      <c r="Y59">
        <v>5.117962887613474E-5</v>
      </c>
      <c r="Z59">
        <v>5.1179594551203394E-5</v>
      </c>
      <c r="AA59">
        <v>5.1179677310362865E-5</v>
      </c>
    </row>
    <row r="60" spans="1:27">
      <c r="A60" t="s">
        <v>2425</v>
      </c>
      <c r="B60" t="s">
        <v>2426</v>
      </c>
      <c r="C60" t="s">
        <v>2354</v>
      </c>
      <c r="D60" t="s">
        <v>2386</v>
      </c>
      <c r="E60" t="s">
        <v>449</v>
      </c>
      <c r="F60">
        <v>3.419637955760517E-5</v>
      </c>
      <c r="G60">
        <v>2.5565533949467322E-11</v>
      </c>
      <c r="H60">
        <v>3.4196309941798791E-5</v>
      </c>
      <c r="I60">
        <v>3.4196440362658376E-5</v>
      </c>
      <c r="J60">
        <v>3.4196382440486773E-5</v>
      </c>
      <c r="K60">
        <v>3.4196337875714206E-5</v>
      </c>
      <c r="L60">
        <v>3.4196419717127396E-5</v>
      </c>
      <c r="P60" t="s">
        <v>2425</v>
      </c>
      <c r="Q60" t="s">
        <v>2426</v>
      </c>
      <c r="R60" t="s">
        <v>2354</v>
      </c>
      <c r="S60" t="s">
        <v>2386</v>
      </c>
      <c r="T60" t="s">
        <v>449</v>
      </c>
      <c r="U60">
        <v>3.419637731462614E-5</v>
      </c>
      <c r="V60">
        <v>2.3666287129434672E-11</v>
      </c>
      <c r="W60">
        <v>3.4196299165979698E-5</v>
      </c>
      <c r="X60">
        <v>3.4196431370022116E-5</v>
      </c>
      <c r="Y60">
        <v>3.4196375801614826E-5</v>
      </c>
      <c r="Z60">
        <v>3.4196342992019778E-5</v>
      </c>
      <c r="AA60">
        <v>3.4196422097626168E-5</v>
      </c>
    </row>
    <row r="61" spans="1:27">
      <c r="A61" t="s">
        <v>2427</v>
      </c>
      <c r="B61" t="s">
        <v>2428</v>
      </c>
      <c r="C61" t="s">
        <v>2354</v>
      </c>
      <c r="D61" t="s">
        <v>2386</v>
      </c>
      <c r="E61" t="s">
        <v>449</v>
      </c>
      <c r="F61">
        <v>1.0215385689184805E-5</v>
      </c>
      <c r="G61">
        <v>1.8987517307169987E-11</v>
      </c>
      <c r="H61">
        <v>1.0215333985538361E-5</v>
      </c>
      <c r="I61">
        <v>1.0215430849086507E-5</v>
      </c>
      <c r="J61">
        <v>1.0215387830300435E-5</v>
      </c>
      <c r="K61">
        <v>1.0215354732052139E-5</v>
      </c>
      <c r="L61">
        <v>1.0215415515654488E-5</v>
      </c>
      <c r="P61" t="s">
        <v>2427</v>
      </c>
      <c r="Q61" t="s">
        <v>2428</v>
      </c>
      <c r="R61" t="s">
        <v>2354</v>
      </c>
      <c r="S61" t="s">
        <v>2386</v>
      </c>
      <c r="T61" t="s">
        <v>449</v>
      </c>
      <c r="U61">
        <v>1.0215384023324692E-5</v>
      </c>
      <c r="V61">
        <v>1.7576947047176234E-11</v>
      </c>
      <c r="W61">
        <v>1.0215325982339525E-5</v>
      </c>
      <c r="X61">
        <v>1.0215424170257229E-5</v>
      </c>
      <c r="Y61">
        <v>1.0215382899611477E-5</v>
      </c>
      <c r="Z61">
        <v>1.021535853193134E-5</v>
      </c>
      <c r="AA61">
        <v>1.0215417283650485E-5</v>
      </c>
    </row>
    <row r="62" spans="1:27">
      <c r="A62" t="s">
        <v>2429</v>
      </c>
      <c r="B62" t="s">
        <v>2430</v>
      </c>
      <c r="C62" t="s">
        <v>2354</v>
      </c>
      <c r="D62" t="s">
        <v>2386</v>
      </c>
      <c r="E62" t="s">
        <v>449</v>
      </c>
      <c r="F62">
        <v>6.6334117002803637E-5</v>
      </c>
      <c r="G62">
        <v>2.1619022108307643E-11</v>
      </c>
      <c r="H62">
        <v>6.6334058133481338E-5</v>
      </c>
      <c r="I62">
        <v>6.6334168421475028E-5</v>
      </c>
      <c r="J62">
        <v>6.6334119440659259E-5</v>
      </c>
      <c r="K62">
        <v>6.6334081755281546E-5</v>
      </c>
      <c r="L62">
        <v>6.6334150962962663E-5</v>
      </c>
      <c r="P62" t="s">
        <v>2429</v>
      </c>
      <c r="Q62" t="s">
        <v>2430</v>
      </c>
      <c r="R62" t="s">
        <v>2354</v>
      </c>
      <c r="S62" t="s">
        <v>2386</v>
      </c>
      <c r="T62" t="s">
        <v>449</v>
      </c>
      <c r="U62">
        <v>6.6334115106069796E-5</v>
      </c>
      <c r="V62">
        <v>2.0012959074578513E-11</v>
      </c>
      <c r="W62">
        <v>6.6334049021108752E-5</v>
      </c>
      <c r="X62">
        <v>6.6334160817018087E-5</v>
      </c>
      <c r="Y62">
        <v>6.6334113826619685E-5</v>
      </c>
      <c r="Z62">
        <v>6.6334086081790952E-5</v>
      </c>
      <c r="AA62">
        <v>6.6334152975987528E-5</v>
      </c>
    </row>
    <row r="63" spans="1:27">
      <c r="A63" t="s">
        <v>2431</v>
      </c>
      <c r="B63" t="s">
        <v>2432</v>
      </c>
      <c r="C63" t="s">
        <v>2354</v>
      </c>
      <c r="D63" t="s">
        <v>2386</v>
      </c>
      <c r="E63" t="s">
        <v>449</v>
      </c>
      <c r="F63">
        <v>2.6658507111602394E-6</v>
      </c>
      <c r="G63">
        <v>1.2234995115931541E-12</v>
      </c>
      <c r="H63">
        <v>2.6658473795300351E-6</v>
      </c>
      <c r="I63">
        <v>2.6658536211308687E-6</v>
      </c>
      <c r="J63">
        <v>2.6658508491274048E-6</v>
      </c>
      <c r="K63">
        <v>2.665848716374082E-6</v>
      </c>
      <c r="L63">
        <v>2.6658526330898162E-6</v>
      </c>
      <c r="P63" t="s">
        <v>2431</v>
      </c>
      <c r="Q63" t="s">
        <v>2432</v>
      </c>
      <c r="R63" t="s">
        <v>2354</v>
      </c>
      <c r="S63" t="s">
        <v>2386</v>
      </c>
      <c r="T63" t="s">
        <v>449</v>
      </c>
      <c r="U63">
        <v>2.6658506038171367E-6</v>
      </c>
      <c r="V63">
        <v>1.1326065319342241E-12</v>
      </c>
      <c r="W63">
        <v>2.6658468638275497E-6</v>
      </c>
      <c r="X63">
        <v>2.6658531907668443E-6</v>
      </c>
      <c r="Y63">
        <v>2.665850531408377E-6</v>
      </c>
      <c r="Z63">
        <v>2.6658489612270701E-6</v>
      </c>
      <c r="AA63">
        <v>2.6658527470142538E-6</v>
      </c>
    </row>
    <row r="64" spans="1:27">
      <c r="A64" t="s">
        <v>2433</v>
      </c>
      <c r="B64" t="s">
        <v>2434</v>
      </c>
      <c r="C64" t="s">
        <v>2354</v>
      </c>
      <c r="D64" t="s">
        <v>2386</v>
      </c>
      <c r="E64" t="s">
        <v>449</v>
      </c>
      <c r="F64">
        <v>4.6300437733651667E-5</v>
      </c>
      <c r="G64">
        <v>3.2098995932414348E-11</v>
      </c>
      <c r="H64">
        <v>4.630035032700919E-5</v>
      </c>
      <c r="I64">
        <v>4.63005140778876E-5</v>
      </c>
      <c r="J64">
        <v>4.6300441353275067E-5</v>
      </c>
      <c r="K64">
        <v>4.6300385399644043E-5</v>
      </c>
      <c r="L64">
        <v>4.6300488156237919E-5</v>
      </c>
      <c r="P64" t="s">
        <v>2433</v>
      </c>
      <c r="Q64" t="s">
        <v>2434</v>
      </c>
      <c r="R64" t="s">
        <v>2354</v>
      </c>
      <c r="S64" t="s">
        <v>2386</v>
      </c>
      <c r="T64" t="s">
        <v>449</v>
      </c>
      <c r="U64">
        <v>4.6300434917462688E-5</v>
      </c>
      <c r="V64">
        <v>2.9714382488399496E-11</v>
      </c>
      <c r="W64">
        <v>4.6300336797349531E-5</v>
      </c>
      <c r="X64">
        <v>4.6300502787116385E-5</v>
      </c>
      <c r="Y64">
        <v>4.6300433017790116E-5</v>
      </c>
      <c r="Z64">
        <v>4.6300391823459489E-5</v>
      </c>
      <c r="AA64">
        <v>4.6300491145090825E-5</v>
      </c>
    </row>
    <row r="65" spans="1:27">
      <c r="A65" t="s">
        <v>2435</v>
      </c>
      <c r="B65" t="s">
        <v>2436</v>
      </c>
      <c r="C65" t="s">
        <v>2354</v>
      </c>
      <c r="D65" t="s">
        <v>2386</v>
      </c>
      <c r="E65" t="s">
        <v>449</v>
      </c>
      <c r="F65">
        <v>5.8114193518967177E-6</v>
      </c>
      <c r="G65">
        <v>1.8570825663242937E-12</v>
      </c>
      <c r="H65">
        <v>5.8114142949986056E-6</v>
      </c>
      <c r="I65">
        <v>5.8114237687809684E-6</v>
      </c>
      <c r="J65">
        <v>5.8114195613094831E-6</v>
      </c>
      <c r="K65">
        <v>5.8114163241206034E-6</v>
      </c>
      <c r="L65">
        <v>5.8114222690878366E-6</v>
      </c>
      <c r="P65" t="s">
        <v>2435</v>
      </c>
      <c r="Q65" t="s">
        <v>2436</v>
      </c>
      <c r="R65" t="s">
        <v>2354</v>
      </c>
      <c r="S65" t="s">
        <v>2386</v>
      </c>
      <c r="T65" t="s">
        <v>449</v>
      </c>
      <c r="U65">
        <v>5.8114191889665287E-6</v>
      </c>
      <c r="V65">
        <v>1.7191211153400585E-12</v>
      </c>
      <c r="W65">
        <v>5.8114135122421877E-6</v>
      </c>
      <c r="X65">
        <v>5.8114231155551031E-6</v>
      </c>
      <c r="Y65">
        <v>5.8114190790612594E-6</v>
      </c>
      <c r="Z65">
        <v>5.811416695769477E-6</v>
      </c>
      <c r="AA65">
        <v>5.8114224420074707E-6</v>
      </c>
    </row>
    <row r="66" spans="1:27">
      <c r="A66" t="s">
        <v>2437</v>
      </c>
      <c r="B66" t="s">
        <v>2438</v>
      </c>
      <c r="C66" t="s">
        <v>2354</v>
      </c>
      <c r="D66" t="s">
        <v>2386</v>
      </c>
      <c r="E66" t="s">
        <v>449</v>
      </c>
      <c r="F66">
        <v>1.8768508781248513E-5</v>
      </c>
      <c r="G66">
        <v>5.997616474991515E-12</v>
      </c>
      <c r="H66">
        <v>1.8768492449537708E-5</v>
      </c>
      <c r="I66">
        <v>1.8768523045976557E-5</v>
      </c>
      <c r="J66">
        <v>1.8768509457566029E-5</v>
      </c>
      <c r="K66">
        <v>1.8768499002771121E-5</v>
      </c>
      <c r="L66">
        <v>1.8768518202581656E-5</v>
      </c>
      <c r="P66" t="s">
        <v>2437</v>
      </c>
      <c r="Q66" t="s">
        <v>2438</v>
      </c>
      <c r="R66" t="s">
        <v>2354</v>
      </c>
      <c r="S66" t="s">
        <v>2386</v>
      </c>
      <c r="T66" t="s">
        <v>449</v>
      </c>
      <c r="U66">
        <v>1.8768508255050701E-5</v>
      </c>
      <c r="V66">
        <v>5.552057464197824E-12</v>
      </c>
      <c r="W66">
        <v>1.8768489921554908E-5</v>
      </c>
      <c r="X66">
        <v>1.8768520936324419E-5</v>
      </c>
      <c r="Y66">
        <v>1.876850790010168E-5</v>
      </c>
      <c r="Z66">
        <v>1.8768500203044844E-5</v>
      </c>
      <c r="AA66">
        <v>1.8768518761041289E-5</v>
      </c>
    </row>
    <row r="67" spans="1:27">
      <c r="A67" t="s">
        <v>2439</v>
      </c>
      <c r="B67" t="s">
        <v>2440</v>
      </c>
      <c r="C67" t="s">
        <v>2354</v>
      </c>
      <c r="D67" t="s">
        <v>2386</v>
      </c>
      <c r="E67" t="s">
        <v>449</v>
      </c>
      <c r="F67">
        <v>4.3163601602067165E-8</v>
      </c>
      <c r="G67">
        <v>1.7585243584032548E-14</v>
      </c>
      <c r="H67">
        <v>4.3163553716859132E-8</v>
      </c>
      <c r="I67">
        <v>4.3163643426801774E-8</v>
      </c>
      <c r="J67">
        <v>4.3163603585056302E-8</v>
      </c>
      <c r="K67">
        <v>4.316357293119308E-8</v>
      </c>
      <c r="L67">
        <v>4.3163629225780516E-8</v>
      </c>
      <c r="P67" t="s">
        <v>2439</v>
      </c>
      <c r="Q67" t="s">
        <v>2440</v>
      </c>
      <c r="R67" t="s">
        <v>2354</v>
      </c>
      <c r="S67" t="s">
        <v>2386</v>
      </c>
      <c r="T67" t="s">
        <v>449</v>
      </c>
      <c r="U67">
        <v>4.316360005923486E-8</v>
      </c>
      <c r="V67">
        <v>1.6278847323202375E-14</v>
      </c>
      <c r="W67">
        <v>4.3163546304715738E-8</v>
      </c>
      <c r="X67">
        <v>4.316363724122007E-8</v>
      </c>
      <c r="Y67">
        <v>4.3163599018510558E-8</v>
      </c>
      <c r="Z67">
        <v>4.3163576450442075E-8</v>
      </c>
      <c r="AA67">
        <v>4.3163630863205767E-8</v>
      </c>
    </row>
    <row r="68" spans="1:27">
      <c r="A68" t="s">
        <v>2441</v>
      </c>
      <c r="B68" t="s">
        <v>2442</v>
      </c>
      <c r="C68" t="s">
        <v>2354</v>
      </c>
      <c r="D68" t="s">
        <v>2386</v>
      </c>
      <c r="E68" t="s">
        <v>449</v>
      </c>
      <c r="F68">
        <v>6.1826058281806844E-5</v>
      </c>
      <c r="G68">
        <v>2.0421158597358088E-11</v>
      </c>
      <c r="H68">
        <v>6.1826002674307079E-5</v>
      </c>
      <c r="I68">
        <v>6.1826106851480274E-5</v>
      </c>
      <c r="J68">
        <v>6.182606058458615E-5</v>
      </c>
      <c r="K68">
        <v>6.1826024987274146E-5</v>
      </c>
      <c r="L68">
        <v>6.1826090360306518E-5</v>
      </c>
      <c r="P68" t="s">
        <v>2441</v>
      </c>
      <c r="Q68" t="s">
        <v>2442</v>
      </c>
      <c r="R68" t="s">
        <v>2354</v>
      </c>
      <c r="S68" t="s">
        <v>2386</v>
      </c>
      <c r="T68" t="s">
        <v>449</v>
      </c>
      <c r="U68">
        <v>6.1826056490166942E-5</v>
      </c>
      <c r="V68">
        <v>1.8904084063026949E-11</v>
      </c>
      <c r="W68">
        <v>6.1825994066831439E-5</v>
      </c>
      <c r="X68">
        <v>6.1826099668369926E-5</v>
      </c>
      <c r="Y68">
        <v>6.182605528160842E-5</v>
      </c>
      <c r="Z68">
        <v>6.1826029074060963E-5</v>
      </c>
      <c r="AA68">
        <v>6.1826092261794003E-5</v>
      </c>
    </row>
    <row r="69" spans="1:27">
      <c r="A69" t="s">
        <v>2443</v>
      </c>
      <c r="B69" t="s">
        <v>2444</v>
      </c>
      <c r="C69" t="s">
        <v>2354</v>
      </c>
      <c r="D69" t="s">
        <v>2386</v>
      </c>
      <c r="E69" t="s">
        <v>449</v>
      </c>
      <c r="F69">
        <v>2.3528672299075128E-6</v>
      </c>
      <c r="G69">
        <v>4.0566399667687386E-12</v>
      </c>
      <c r="H69">
        <v>2.3528561835408292E-6</v>
      </c>
      <c r="I69">
        <v>2.3528768782179883E-6</v>
      </c>
      <c r="J69">
        <v>2.3528676873520067E-6</v>
      </c>
      <c r="K69">
        <v>2.3528606159863986E-6</v>
      </c>
      <c r="L69">
        <v>2.3528736022650482E-6</v>
      </c>
      <c r="P69" t="s">
        <v>2443</v>
      </c>
      <c r="Q69" t="s">
        <v>2444</v>
      </c>
      <c r="R69" t="s">
        <v>2354</v>
      </c>
      <c r="S69" t="s">
        <v>2386</v>
      </c>
      <c r="T69" t="s">
        <v>449</v>
      </c>
      <c r="U69">
        <v>2.3528668740002815E-6</v>
      </c>
      <c r="V69">
        <v>3.7552748330666463E-12</v>
      </c>
      <c r="W69">
        <v>2.3528544736755667E-6</v>
      </c>
      <c r="X69">
        <v>2.3528754513012756E-6</v>
      </c>
      <c r="Y69">
        <v>2.3528666339215044E-6</v>
      </c>
      <c r="Z69">
        <v>2.3528614278219632E-6</v>
      </c>
      <c r="AA69">
        <v>2.3528739799933788E-6</v>
      </c>
    </row>
    <row r="70" spans="1:27">
      <c r="A70" t="s">
        <v>2445</v>
      </c>
      <c r="B70" t="s">
        <v>2446</v>
      </c>
      <c r="C70" t="s">
        <v>2354</v>
      </c>
      <c r="D70" t="s">
        <v>2386</v>
      </c>
      <c r="E70" t="s">
        <v>449</v>
      </c>
      <c r="F70">
        <v>5.6618938846739489E-8</v>
      </c>
      <c r="G70">
        <v>3.8289941398823452E-13</v>
      </c>
      <c r="H70">
        <v>5.6617896198793323E-8</v>
      </c>
      <c r="I70">
        <v>5.6619849534514981E-8</v>
      </c>
      <c r="J70">
        <v>5.6618982024154845E-8</v>
      </c>
      <c r="K70">
        <v>5.661831456986521E-8</v>
      </c>
      <c r="L70">
        <v>5.6619540322834543E-8</v>
      </c>
      <c r="P70" t="s">
        <v>2445</v>
      </c>
      <c r="Q70" t="s">
        <v>2446</v>
      </c>
      <c r="R70" t="s">
        <v>2354</v>
      </c>
      <c r="S70" t="s">
        <v>2386</v>
      </c>
      <c r="T70" t="s">
        <v>449</v>
      </c>
      <c r="U70">
        <v>5.6618905253255398E-8</v>
      </c>
      <c r="V70">
        <v>3.5445406659545602E-13</v>
      </c>
      <c r="W70">
        <v>5.6617734807491093E-8</v>
      </c>
      <c r="X70">
        <v>5.6619714850249768E-8</v>
      </c>
      <c r="Y70">
        <v>5.6618882592624015E-8</v>
      </c>
      <c r="Z70">
        <v>5.6618391197656779E-8</v>
      </c>
      <c r="AA70">
        <v>5.6619575975975496E-8</v>
      </c>
    </row>
    <row r="71" spans="1:27">
      <c r="A71" t="s">
        <v>2447</v>
      </c>
      <c r="B71" t="s">
        <v>2448</v>
      </c>
      <c r="C71" t="s">
        <v>2354</v>
      </c>
      <c r="D71" t="s">
        <v>2386</v>
      </c>
      <c r="E71" t="s">
        <v>449</v>
      </c>
      <c r="F71">
        <v>2.0236880989167957E-8</v>
      </c>
      <c r="G71">
        <v>1.5269745265094507E-14</v>
      </c>
      <c r="H71">
        <v>2.0236839409139482E-8</v>
      </c>
      <c r="I71">
        <v>2.0236917306722496E-8</v>
      </c>
      <c r="J71">
        <v>2.0236882711051333E-8</v>
      </c>
      <c r="K71">
        <v>2.0236856093468211E-8</v>
      </c>
      <c r="L71">
        <v>2.0236904975589514E-8</v>
      </c>
      <c r="P71" t="s">
        <v>2447</v>
      </c>
      <c r="Q71" t="s">
        <v>2448</v>
      </c>
      <c r="R71" t="s">
        <v>2354</v>
      </c>
      <c r="S71" t="s">
        <v>2386</v>
      </c>
      <c r="T71" t="s">
        <v>449</v>
      </c>
      <c r="U71">
        <v>2.0236879649484686E-8</v>
      </c>
      <c r="V71">
        <v>1.4135365862088487E-14</v>
      </c>
      <c r="W71">
        <v>2.0236832972973787E-8</v>
      </c>
      <c r="X71">
        <v>2.0236911935613674E-8</v>
      </c>
      <c r="Y71">
        <v>2.0236878745795469E-8</v>
      </c>
      <c r="Z71">
        <v>2.0236859149327835E-8</v>
      </c>
      <c r="AA71">
        <v>2.023690639741039E-8</v>
      </c>
    </row>
    <row r="72" spans="1:27">
      <c r="A72" t="s">
        <v>2449</v>
      </c>
      <c r="B72" t="s">
        <v>2450</v>
      </c>
      <c r="C72" t="s">
        <v>2354</v>
      </c>
      <c r="D72" t="s">
        <v>2386</v>
      </c>
      <c r="E72" t="s">
        <v>449</v>
      </c>
      <c r="F72">
        <v>1.3235218067506334E-10</v>
      </c>
      <c r="G72">
        <v>4.143752658886787E-17</v>
      </c>
      <c r="H72">
        <v>1.3235206783928875E-10</v>
      </c>
      <c r="I72">
        <v>1.3235227923005601E-10</v>
      </c>
      <c r="J72">
        <v>1.3235218534774042E-10</v>
      </c>
      <c r="K72">
        <v>1.3235211311557221E-10</v>
      </c>
      <c r="L72">
        <v>1.3235224576704519E-10</v>
      </c>
      <c r="P72" t="s">
        <v>2449</v>
      </c>
      <c r="Q72" t="s">
        <v>2450</v>
      </c>
      <c r="R72" t="s">
        <v>2354</v>
      </c>
      <c r="S72" t="s">
        <v>2386</v>
      </c>
      <c r="T72" t="s">
        <v>449</v>
      </c>
      <c r="U72">
        <v>1.3235217703956324E-10</v>
      </c>
      <c r="V72">
        <v>3.8359159800808436E-17</v>
      </c>
      <c r="W72">
        <v>1.3235205037345795E-10</v>
      </c>
      <c r="X72">
        <v>1.3235226465447135E-10</v>
      </c>
      <c r="Y72">
        <v>1.323521745872207E-10</v>
      </c>
      <c r="Z72">
        <v>1.3235212140826227E-10</v>
      </c>
      <c r="AA72">
        <v>1.3235224962544223E-10</v>
      </c>
    </row>
    <row r="73" spans="1:27">
      <c r="A73" t="s">
        <v>2451</v>
      </c>
      <c r="B73" t="s">
        <v>2452</v>
      </c>
      <c r="C73" t="s">
        <v>2354</v>
      </c>
      <c r="D73" t="s">
        <v>2386</v>
      </c>
      <c r="E73" t="s">
        <v>449</v>
      </c>
      <c r="F73">
        <v>1.065273117807975E-4</v>
      </c>
      <c r="G73">
        <v>1.2017616702013258E-10</v>
      </c>
      <c r="H73">
        <v>1.0652698453706418E-4</v>
      </c>
      <c r="I73">
        <v>1.0652759760773328E-4</v>
      </c>
      <c r="J73">
        <v>1.0652732533238857E-4</v>
      </c>
      <c r="K73">
        <v>1.0652711584630617E-4</v>
      </c>
      <c r="L73">
        <v>1.0652750055907456E-4</v>
      </c>
      <c r="P73" t="s">
        <v>2451</v>
      </c>
      <c r="Q73" t="s">
        <v>2452</v>
      </c>
      <c r="R73" t="s">
        <v>2354</v>
      </c>
      <c r="S73" t="s">
        <v>2386</v>
      </c>
      <c r="T73" t="s">
        <v>449</v>
      </c>
      <c r="U73">
        <v>1.0652730123720305E-4</v>
      </c>
      <c r="V73">
        <v>1.1124835805878049E-10</v>
      </c>
      <c r="W73">
        <v>1.0652693388306111E-4</v>
      </c>
      <c r="X73">
        <v>1.0652755533595599E-4</v>
      </c>
      <c r="Y73">
        <v>1.0652729412497529E-4</v>
      </c>
      <c r="Z73">
        <v>1.0652713989657615E-4</v>
      </c>
      <c r="AA73">
        <v>1.065275117491095E-4</v>
      </c>
    </row>
    <row r="74" spans="1:27">
      <c r="A74" t="s">
        <v>2453</v>
      </c>
      <c r="B74" t="s">
        <v>2454</v>
      </c>
      <c r="C74" t="s">
        <v>2354</v>
      </c>
      <c r="D74" t="s">
        <v>2386</v>
      </c>
      <c r="E74" t="s">
        <v>448</v>
      </c>
      <c r="F74">
        <v>7.2419127622712519E-3</v>
      </c>
      <c r="G74">
        <v>1.1219757094552376E-8</v>
      </c>
      <c r="H74">
        <v>7.2418822104963884E-3</v>
      </c>
      <c r="I74">
        <v>7.2419394473359358E-3</v>
      </c>
      <c r="J74">
        <v>7.2419140274602133E-3</v>
      </c>
      <c r="K74">
        <v>7.2418944696475661E-3</v>
      </c>
      <c r="L74">
        <v>7.241930386784212E-3</v>
      </c>
      <c r="P74" t="s">
        <v>2453</v>
      </c>
      <c r="Q74" t="s">
        <v>2454</v>
      </c>
      <c r="R74" t="s">
        <v>2354</v>
      </c>
      <c r="S74" t="s">
        <v>2386</v>
      </c>
      <c r="T74" t="s">
        <v>448</v>
      </c>
      <c r="U74">
        <v>7.2419117779116086E-3</v>
      </c>
      <c r="V74">
        <v>1.038624866762729E-8</v>
      </c>
      <c r="W74">
        <v>7.2418774813922376E-3</v>
      </c>
      <c r="X74">
        <v>7.2419355008040654E-3</v>
      </c>
      <c r="Y74">
        <v>7.2419111139075077E-3</v>
      </c>
      <c r="Z74">
        <v>7.2418967150028124E-3</v>
      </c>
      <c r="AA74">
        <v>7.2419314314961297E-3</v>
      </c>
    </row>
    <row r="75" spans="1:27">
      <c r="A75" t="s">
        <v>2455</v>
      </c>
      <c r="B75" t="s">
        <v>2456</v>
      </c>
      <c r="C75" t="s">
        <v>2354</v>
      </c>
      <c r="D75" t="s">
        <v>2386</v>
      </c>
      <c r="E75" t="s">
        <v>449</v>
      </c>
      <c r="F75">
        <v>8.1208024352941933E-16</v>
      </c>
      <c r="G75">
        <v>7.4747715825652473E-22</v>
      </c>
      <c r="H75">
        <v>8.1207820812404814E-16</v>
      </c>
      <c r="I75">
        <v>8.1208202132872024E-16</v>
      </c>
      <c r="J75">
        <v>8.1208032781821832E-16</v>
      </c>
      <c r="K75">
        <v>8.1207902484720963E-16</v>
      </c>
      <c r="L75">
        <v>8.1208141770108391E-16</v>
      </c>
      <c r="P75" t="s">
        <v>2455</v>
      </c>
      <c r="Q75" t="s">
        <v>2456</v>
      </c>
      <c r="R75" t="s">
        <v>2354</v>
      </c>
      <c r="S75" t="s">
        <v>2386</v>
      </c>
      <c r="T75" t="s">
        <v>449</v>
      </c>
      <c r="U75">
        <v>8.1208017794989382E-16</v>
      </c>
      <c r="V75">
        <v>6.9194756835350056E-22</v>
      </c>
      <c r="W75">
        <v>8.1207789306398916E-16</v>
      </c>
      <c r="X75">
        <v>8.1208175840480823E-16</v>
      </c>
      <c r="Y75">
        <v>8.1208013371293798E-16</v>
      </c>
      <c r="Z75">
        <v>8.1207917443616633E-16</v>
      </c>
      <c r="AA75">
        <v>8.1208148730136926E-16</v>
      </c>
    </row>
    <row r="76" spans="1:27">
      <c r="A76" t="s">
        <v>2457</v>
      </c>
      <c r="B76" t="s">
        <v>2458</v>
      </c>
      <c r="C76" t="s">
        <v>2354</v>
      </c>
      <c r="D76" t="s">
        <v>2386</v>
      </c>
      <c r="E76" t="s">
        <v>449</v>
      </c>
      <c r="F76">
        <v>9.800727772191889E-9</v>
      </c>
      <c r="G76">
        <v>5.7190412094590944E-17</v>
      </c>
      <c r="H76">
        <v>9.800727616460476E-9</v>
      </c>
      <c r="I76">
        <v>9.8007279082135334E-9</v>
      </c>
      <c r="J76">
        <v>9.8007277786409265E-9</v>
      </c>
      <c r="K76">
        <v>9.8007276789489851E-9</v>
      </c>
      <c r="L76">
        <v>9.8007278620292274E-9</v>
      </c>
      <c r="P76" t="s">
        <v>2457</v>
      </c>
      <c r="Q76" t="s">
        <v>2458</v>
      </c>
      <c r="R76" t="s">
        <v>2354</v>
      </c>
      <c r="S76" t="s">
        <v>2386</v>
      </c>
      <c r="T76" t="s">
        <v>449</v>
      </c>
      <c r="U76">
        <v>9.8007277671743172E-9</v>
      </c>
      <c r="V76">
        <v>5.2941773796945166E-17</v>
      </c>
      <c r="W76">
        <v>9.8007275923548365E-9</v>
      </c>
      <c r="X76">
        <v>9.8007278880968963E-9</v>
      </c>
      <c r="Y76">
        <v>9.8007277637896894E-9</v>
      </c>
      <c r="Z76">
        <v>9.8007276903942233E-9</v>
      </c>
      <c r="AA76">
        <v>9.8007278673544325E-9</v>
      </c>
    </row>
    <row r="77" spans="1:27">
      <c r="A77" t="s">
        <v>2459</v>
      </c>
      <c r="B77" t="s">
        <v>2460</v>
      </c>
      <c r="C77" t="s">
        <v>2354</v>
      </c>
      <c r="D77" t="s">
        <v>2386</v>
      </c>
      <c r="E77" t="s">
        <v>449</v>
      </c>
      <c r="F77">
        <v>1.4086728714594484E-6</v>
      </c>
      <c r="G77">
        <v>1.6142759568880084E-11</v>
      </c>
      <c r="H77">
        <v>1.408628914183738E-6</v>
      </c>
      <c r="I77">
        <v>1.4087112653907654E-6</v>
      </c>
      <c r="J77">
        <v>1.4086746917877366E-6</v>
      </c>
      <c r="K77">
        <v>1.4086465524024904E-6</v>
      </c>
      <c r="L77">
        <v>1.4086982292522108E-6</v>
      </c>
      <c r="P77" t="s">
        <v>2459</v>
      </c>
      <c r="Q77" t="s">
        <v>2460</v>
      </c>
      <c r="R77" t="s">
        <v>2354</v>
      </c>
      <c r="S77" t="s">
        <v>2386</v>
      </c>
      <c r="T77" t="s">
        <v>449</v>
      </c>
      <c r="U77">
        <v>1.4086714551827004E-6</v>
      </c>
      <c r="V77">
        <v>1.4943524503379939E-11</v>
      </c>
      <c r="W77">
        <v>1.4086221100443393E-6</v>
      </c>
      <c r="X77">
        <v>1.4087055872005367E-6</v>
      </c>
      <c r="Y77">
        <v>1.4086704998270358E-6</v>
      </c>
      <c r="Z77">
        <v>1.4086497829742028E-6</v>
      </c>
      <c r="AA77">
        <v>1.4086997323625871E-6</v>
      </c>
    </row>
    <row r="78" spans="1:27">
      <c r="A78" t="s">
        <v>2461</v>
      </c>
      <c r="B78" t="s">
        <v>2462</v>
      </c>
      <c r="C78" t="s">
        <v>2354</v>
      </c>
      <c r="D78" t="s">
        <v>2386</v>
      </c>
      <c r="E78" t="s">
        <v>449</v>
      </c>
      <c r="F78">
        <v>3.8080900207269238E-7</v>
      </c>
      <c r="G78">
        <v>2.5135805575119694E-12</v>
      </c>
      <c r="H78">
        <v>3.8080215750853244E-7</v>
      </c>
      <c r="I78">
        <v>3.8081498037143818E-7</v>
      </c>
      <c r="J78">
        <v>3.8080928551504773E-7</v>
      </c>
      <c r="K78">
        <v>3.8080490394624874E-7</v>
      </c>
      <c r="L78">
        <v>3.808129505211963E-7</v>
      </c>
      <c r="P78" t="s">
        <v>2461</v>
      </c>
      <c r="Q78" t="s">
        <v>2462</v>
      </c>
      <c r="R78" t="s">
        <v>2354</v>
      </c>
      <c r="S78" t="s">
        <v>2386</v>
      </c>
      <c r="T78" t="s">
        <v>449</v>
      </c>
      <c r="U78">
        <v>3.8080878154498852E-7</v>
      </c>
      <c r="V78">
        <v>2.326848299514763E-12</v>
      </c>
      <c r="W78">
        <v>3.8080109803958416E-7</v>
      </c>
      <c r="X78">
        <v>3.8081409622343979E-7</v>
      </c>
      <c r="Y78">
        <v>3.8080863278706333E-7</v>
      </c>
      <c r="Z78">
        <v>3.8080540697686207E-7</v>
      </c>
      <c r="AA78">
        <v>3.8081318456971827E-7</v>
      </c>
    </row>
    <row r="79" spans="1:27">
      <c r="A79" t="s">
        <v>2463</v>
      </c>
      <c r="B79" t="s">
        <v>2464</v>
      </c>
      <c r="C79" t="s">
        <v>2354</v>
      </c>
      <c r="D79" t="s">
        <v>2386</v>
      </c>
      <c r="E79" t="s">
        <v>449</v>
      </c>
      <c r="F79">
        <v>6.7894782226446713E-5</v>
      </c>
      <c r="G79">
        <v>2.9140261129455264E-10</v>
      </c>
      <c r="H79">
        <v>6.7893988727362945E-5</v>
      </c>
      <c r="I79">
        <v>6.7895475298272257E-5</v>
      </c>
      <c r="J79">
        <v>6.7894815086281751E-5</v>
      </c>
      <c r="K79">
        <v>6.7894307125402703E-5</v>
      </c>
      <c r="L79">
        <v>6.7895239975135601E-5</v>
      </c>
      <c r="P79" t="s">
        <v>2463</v>
      </c>
      <c r="Q79" t="s">
        <v>2464</v>
      </c>
      <c r="R79" t="s">
        <v>2354</v>
      </c>
      <c r="S79" t="s">
        <v>2386</v>
      </c>
      <c r="T79" t="s">
        <v>449</v>
      </c>
      <c r="U79">
        <v>6.7894756660387745E-5</v>
      </c>
      <c r="V79">
        <v>2.6975450161790149E-10</v>
      </c>
      <c r="W79">
        <v>6.7893865901771694E-5</v>
      </c>
      <c r="X79">
        <v>6.7895372797863136E-5</v>
      </c>
      <c r="Y79">
        <v>6.7894739414691067E-5</v>
      </c>
      <c r="Z79">
        <v>6.7894365442385551E-5</v>
      </c>
      <c r="AA79">
        <v>6.7895267108680321E-5</v>
      </c>
    </row>
    <row r="80" spans="1:27">
      <c r="A80" t="s">
        <v>2465</v>
      </c>
      <c r="B80" t="s">
        <v>2466</v>
      </c>
      <c r="C80" t="s">
        <v>2354</v>
      </c>
      <c r="D80" t="s">
        <v>2386</v>
      </c>
      <c r="E80" t="s">
        <v>449</v>
      </c>
      <c r="F80">
        <v>2.0267301126477131E-15</v>
      </c>
      <c r="G80">
        <v>1.8654985137027968E-21</v>
      </c>
      <c r="H80">
        <v>2.0267250328326944E-15</v>
      </c>
      <c r="I80">
        <v>2.0267345495484494E-15</v>
      </c>
      <c r="J80">
        <v>2.0267303230094985E-15</v>
      </c>
      <c r="K80">
        <v>2.02672707115029E-15</v>
      </c>
      <c r="L80">
        <v>2.0267330430589923E-15</v>
      </c>
      <c r="P80" t="s">
        <v>2465</v>
      </c>
      <c r="Q80" t="s">
        <v>2466</v>
      </c>
      <c r="R80" t="s">
        <v>2354</v>
      </c>
      <c r="S80" t="s">
        <v>2386</v>
      </c>
      <c r="T80" t="s">
        <v>449</v>
      </c>
      <c r="U80">
        <v>2.0267299489791565E-15</v>
      </c>
      <c r="V80">
        <v>1.7269118474753904E-21</v>
      </c>
      <c r="W80">
        <v>2.0267242465289725E-15</v>
      </c>
      <c r="X80">
        <v>2.0267338933622883E-15</v>
      </c>
      <c r="Y80">
        <v>2.0267298385758163E-15</v>
      </c>
      <c r="Z80">
        <v>2.0267274444834059E-15</v>
      </c>
      <c r="AA80">
        <v>2.0267332167622651E-15</v>
      </c>
    </row>
    <row r="81" spans="1:27">
      <c r="A81" t="s">
        <v>2467</v>
      </c>
      <c r="B81" t="s">
        <v>2468</v>
      </c>
      <c r="C81" t="s">
        <v>2354</v>
      </c>
      <c r="D81" t="s">
        <v>2386</v>
      </c>
      <c r="E81" t="s">
        <v>449</v>
      </c>
      <c r="F81">
        <v>5.9925925742563751E-8</v>
      </c>
      <c r="G81">
        <v>4.0985127041592998E-14</v>
      </c>
      <c r="H81">
        <v>5.9925814138688215E-8</v>
      </c>
      <c r="I81">
        <v>5.9926023221569467E-8</v>
      </c>
      <c r="J81">
        <v>5.9925930364226206E-8</v>
      </c>
      <c r="K81">
        <v>5.9925858920662032E-8</v>
      </c>
      <c r="L81">
        <v>5.9925990123895397E-8</v>
      </c>
      <c r="P81" t="s">
        <v>2467</v>
      </c>
      <c r="Q81" t="s">
        <v>2468</v>
      </c>
      <c r="R81" t="s">
        <v>2354</v>
      </c>
      <c r="S81" t="s">
        <v>2386</v>
      </c>
      <c r="T81" t="s">
        <v>449</v>
      </c>
      <c r="U81">
        <v>5.9925922146754597E-8</v>
      </c>
      <c r="V81">
        <v>3.7940368721004053E-14</v>
      </c>
      <c r="W81">
        <v>5.9925796863542881E-8</v>
      </c>
      <c r="X81">
        <v>5.9926008805115648E-8</v>
      </c>
      <c r="Y81">
        <v>5.9925919721185835E-8</v>
      </c>
      <c r="Z81">
        <v>5.992586712281554E-8</v>
      </c>
      <c r="AA81">
        <v>5.9925993940167917E-8</v>
      </c>
    </row>
    <row r="82" spans="1:27">
      <c r="A82" t="s">
        <v>2469</v>
      </c>
      <c r="B82" t="s">
        <v>2470</v>
      </c>
      <c r="C82" t="s">
        <v>2354</v>
      </c>
      <c r="D82" t="s">
        <v>2386</v>
      </c>
      <c r="E82" t="s">
        <v>449</v>
      </c>
      <c r="F82">
        <v>2.2439582376937886E-3</v>
      </c>
      <c r="G82">
        <v>1.4023823221837776E-9</v>
      </c>
      <c r="H82">
        <v>2.2439544189596914E-3</v>
      </c>
      <c r="I82">
        <v>2.2439615731192054E-3</v>
      </c>
      <c r="J82">
        <v>2.2439583958325632E-3</v>
      </c>
      <c r="K82">
        <v>2.2439559512581852E-3</v>
      </c>
      <c r="L82">
        <v>2.243960440620751E-3</v>
      </c>
      <c r="P82" t="s">
        <v>2469</v>
      </c>
      <c r="Q82" t="s">
        <v>2470</v>
      </c>
      <c r="R82" t="s">
        <v>2354</v>
      </c>
      <c r="S82" t="s">
        <v>2386</v>
      </c>
      <c r="T82" t="s">
        <v>449</v>
      </c>
      <c r="U82">
        <v>2.2439581146564934E-3</v>
      </c>
      <c r="V82">
        <v>1.2982002553555236E-9</v>
      </c>
      <c r="W82">
        <v>2.2439538278584757E-3</v>
      </c>
      <c r="X82">
        <v>2.2439610798334342E-3</v>
      </c>
      <c r="Y82">
        <v>2.2439580316611489E-3</v>
      </c>
      <c r="Z82">
        <v>2.2439562319101171E-3</v>
      </c>
      <c r="AA82">
        <v>2.2439605712016105E-3</v>
      </c>
    </row>
    <row r="83" spans="1:27">
      <c r="A83" t="s">
        <v>2471</v>
      </c>
      <c r="B83" t="s">
        <v>2472</v>
      </c>
      <c r="C83" t="s">
        <v>2354</v>
      </c>
      <c r="D83" t="s">
        <v>2386</v>
      </c>
      <c r="E83" t="s">
        <v>923</v>
      </c>
      <c r="F83">
        <v>9.3700016944380264E-4</v>
      </c>
      <c r="G83">
        <v>1.062272804098982E-9</v>
      </c>
      <c r="H83">
        <v>9.3699727683932974E-4</v>
      </c>
      <c r="I83">
        <v>9.3700269595291047E-4</v>
      </c>
      <c r="J83">
        <v>9.3700028923033739E-4</v>
      </c>
      <c r="K83">
        <v>9.3699843752068752E-4</v>
      </c>
      <c r="L83">
        <v>9.3700183811101551E-4</v>
      </c>
      <c r="P83" t="s">
        <v>2471</v>
      </c>
      <c r="Q83" t="s">
        <v>2472</v>
      </c>
      <c r="R83" t="s">
        <v>2354</v>
      </c>
      <c r="S83" t="s">
        <v>2386</v>
      </c>
      <c r="T83" t="s">
        <v>923</v>
      </c>
      <c r="U83">
        <v>9.3700007624584157E-4</v>
      </c>
      <c r="V83">
        <v>9.8335725125208133E-10</v>
      </c>
      <c r="W83">
        <v>9.3699682909356436E-4</v>
      </c>
      <c r="X83">
        <v>9.370023223001263E-4</v>
      </c>
      <c r="Y83">
        <v>9.3700001337875026E-4</v>
      </c>
      <c r="Z83">
        <v>9.3699865010816097E-4</v>
      </c>
      <c r="AA83">
        <v>9.370019370230552E-4</v>
      </c>
    </row>
    <row r="84" spans="1:27">
      <c r="A84" t="s">
        <v>2473</v>
      </c>
      <c r="B84" t="s">
        <v>2474</v>
      </c>
      <c r="C84" t="s">
        <v>2354</v>
      </c>
      <c r="D84" t="s">
        <v>2386</v>
      </c>
      <c r="E84" t="s">
        <v>923</v>
      </c>
      <c r="F84">
        <v>9.4769283507033189E-2</v>
      </c>
      <c r="G84">
        <v>2.07045752678576E-7</v>
      </c>
      <c r="H84">
        <v>9.4768719714504651E-2</v>
      </c>
      <c r="I84">
        <v>9.4769775944548232E-2</v>
      </c>
      <c r="J84">
        <v>9.4769306854419311E-2</v>
      </c>
      <c r="K84">
        <v>9.4768945940898103E-2</v>
      </c>
      <c r="L84">
        <v>9.4769608744070061E-2</v>
      </c>
      <c r="P84" t="s">
        <v>2473</v>
      </c>
      <c r="Q84" t="s">
        <v>2474</v>
      </c>
      <c r="R84" t="s">
        <v>2354</v>
      </c>
      <c r="S84" t="s">
        <v>2386</v>
      </c>
      <c r="T84" t="s">
        <v>923</v>
      </c>
      <c r="U84">
        <v>9.4769265341980088E-2</v>
      </c>
      <c r="V84">
        <v>1.9166445893436287E-7</v>
      </c>
      <c r="W84">
        <v>9.4768632445152892E-2</v>
      </c>
      <c r="X84">
        <v>9.4769703116531143E-2</v>
      </c>
      <c r="Y84">
        <v>9.4769253088664157E-2</v>
      </c>
      <c r="Z84">
        <v>9.4768987375954405E-2</v>
      </c>
      <c r="AA84">
        <v>9.4769628022844415E-2</v>
      </c>
    </row>
    <row r="85" spans="1:27">
      <c r="A85" t="s">
        <v>2475</v>
      </c>
      <c r="B85" t="s">
        <v>2476</v>
      </c>
      <c r="C85" t="s">
        <v>2354</v>
      </c>
      <c r="D85" t="s">
        <v>2386</v>
      </c>
      <c r="E85" t="s">
        <v>449</v>
      </c>
      <c r="F85">
        <v>2.4628509518603539E-9</v>
      </c>
      <c r="G85">
        <v>2.4002642383849637E-16</v>
      </c>
      <c r="H85">
        <v>2.4628502982603512E-9</v>
      </c>
      <c r="I85">
        <v>2.4628515227390802E-9</v>
      </c>
      <c r="J85">
        <v>2.4628509789267843E-9</v>
      </c>
      <c r="K85">
        <v>2.4628505605227323E-9</v>
      </c>
      <c r="L85">
        <v>2.4628513289049522E-9</v>
      </c>
      <c r="P85" t="s">
        <v>2475</v>
      </c>
      <c r="Q85" t="s">
        <v>2476</v>
      </c>
      <c r="R85" t="s">
        <v>2354</v>
      </c>
      <c r="S85" t="s">
        <v>2386</v>
      </c>
      <c r="T85" t="s">
        <v>449</v>
      </c>
      <c r="U85">
        <v>2.4628509308017583E-9</v>
      </c>
      <c r="V85">
        <v>2.2219501756790199E-16</v>
      </c>
      <c r="W85">
        <v>2.4628501970897152E-9</v>
      </c>
      <c r="X85">
        <v>2.4628514383101641E-9</v>
      </c>
      <c r="Y85">
        <v>2.4628509165965902E-9</v>
      </c>
      <c r="Z85">
        <v>2.4628506085580497E-9</v>
      </c>
      <c r="AA85">
        <v>2.4628513512546759E-9</v>
      </c>
    </row>
    <row r="86" spans="1:27">
      <c r="A86" t="s">
        <v>2477</v>
      </c>
      <c r="B86" t="s">
        <v>2478</v>
      </c>
      <c r="C86" t="s">
        <v>2354</v>
      </c>
      <c r="D86" t="s">
        <v>2386</v>
      </c>
      <c r="E86" t="s">
        <v>449</v>
      </c>
      <c r="F86">
        <v>3.0699158977928698E-13</v>
      </c>
      <c r="G86">
        <v>2.3164062140451364E-19</v>
      </c>
      <c r="H86">
        <v>3.0699095901410624E-13</v>
      </c>
      <c r="I86">
        <v>3.0699214071322576E-13</v>
      </c>
      <c r="J86">
        <v>3.0699161590009845E-13</v>
      </c>
      <c r="K86">
        <v>3.069912121138278E-13</v>
      </c>
      <c r="L86">
        <v>3.0699195365108051E-13</v>
      </c>
      <c r="P86" t="s">
        <v>2477</v>
      </c>
      <c r="Q86" t="s">
        <v>2478</v>
      </c>
      <c r="R86" t="s">
        <v>2354</v>
      </c>
      <c r="S86" t="s">
        <v>2386</v>
      </c>
      <c r="T86" t="s">
        <v>449</v>
      </c>
      <c r="U86">
        <v>3.0699156945641591E-13</v>
      </c>
      <c r="V86">
        <v>2.14432190928557E-19</v>
      </c>
      <c r="W86">
        <v>3.0699086137806872E-13</v>
      </c>
      <c r="X86">
        <v>3.0699205923400237E-13</v>
      </c>
      <c r="Y86">
        <v>3.0699155574753425E-13</v>
      </c>
      <c r="Z86">
        <v>3.0699125847093522E-13</v>
      </c>
      <c r="AA86">
        <v>3.0699197521997149E-13</v>
      </c>
    </row>
    <row r="87" spans="1:27">
      <c r="A87" t="s">
        <v>2479</v>
      </c>
      <c r="B87" t="s">
        <v>2480</v>
      </c>
      <c r="C87" t="s">
        <v>2354</v>
      </c>
      <c r="D87" t="s">
        <v>2386</v>
      </c>
      <c r="E87" t="s">
        <v>449</v>
      </c>
      <c r="F87">
        <v>5.0045071593749646E-10</v>
      </c>
      <c r="G87">
        <v>6.4470245075406643E-17</v>
      </c>
      <c r="H87">
        <v>5.0045054038285702E-10</v>
      </c>
      <c r="I87">
        <v>5.0045086927349535E-10</v>
      </c>
      <c r="J87">
        <v>5.0045072320744387E-10</v>
      </c>
      <c r="K87">
        <v>5.0045061082560141E-10</v>
      </c>
      <c r="L87">
        <v>5.00450817210337E-10</v>
      </c>
      <c r="P87" t="s">
        <v>2479</v>
      </c>
      <c r="Q87" t="s">
        <v>2480</v>
      </c>
      <c r="R87" t="s">
        <v>2354</v>
      </c>
      <c r="S87" t="s">
        <v>2386</v>
      </c>
      <c r="T87" t="s">
        <v>449</v>
      </c>
      <c r="U87">
        <v>5.0045071028123264E-10</v>
      </c>
      <c r="V87">
        <v>5.9680792677111706E-17</v>
      </c>
      <c r="W87">
        <v>5.0045051320878348E-10</v>
      </c>
      <c r="X87">
        <v>5.0045084659618831E-10</v>
      </c>
      <c r="Y87">
        <v>5.0045070646577511E-10</v>
      </c>
      <c r="Z87">
        <v>5.0045062372771687E-10</v>
      </c>
      <c r="AA87">
        <v>5.0045082321339329E-10</v>
      </c>
    </row>
    <row r="88" spans="1:27">
      <c r="A88" t="s">
        <v>2481</v>
      </c>
      <c r="B88" t="s">
        <v>2482</v>
      </c>
      <c r="C88" t="s">
        <v>2354</v>
      </c>
      <c r="D88" t="s">
        <v>2386</v>
      </c>
      <c r="E88" t="s">
        <v>449</v>
      </c>
      <c r="F88">
        <v>8.2482638289086259E-10</v>
      </c>
      <c r="G88">
        <v>8.0843205734801463E-17</v>
      </c>
      <c r="H88">
        <v>8.2482616275210216E-10</v>
      </c>
      <c r="I88">
        <v>8.24826575168303E-10</v>
      </c>
      <c r="J88">
        <v>8.2482639200709676E-10</v>
      </c>
      <c r="K88">
        <v>8.2482625108459217E-10</v>
      </c>
      <c r="L88">
        <v>8.2482650988310645E-10</v>
      </c>
      <c r="P88" t="s">
        <v>2481</v>
      </c>
      <c r="Q88" t="s">
        <v>2482</v>
      </c>
      <c r="R88" t="s">
        <v>2354</v>
      </c>
      <c r="S88" t="s">
        <v>2386</v>
      </c>
      <c r="T88" t="s">
        <v>449</v>
      </c>
      <c r="U88">
        <v>8.248263757981255E-10</v>
      </c>
      <c r="V88">
        <v>7.4837416785631867E-17</v>
      </c>
      <c r="W88">
        <v>8.2482612867685995E-10</v>
      </c>
      <c r="X88">
        <v>8.2482654673183284E-10</v>
      </c>
      <c r="Y88">
        <v>8.2482637101368854E-10</v>
      </c>
      <c r="Z88">
        <v>8.2482626726334849E-10</v>
      </c>
      <c r="AA88">
        <v>8.248265174107079E-10</v>
      </c>
    </row>
    <row r="89" spans="1:27">
      <c r="A89" t="s">
        <v>2483</v>
      </c>
      <c r="B89" t="s">
        <v>2484</v>
      </c>
      <c r="C89" t="s">
        <v>2354</v>
      </c>
      <c r="D89" t="s">
        <v>2386</v>
      </c>
      <c r="E89" t="s">
        <v>449</v>
      </c>
      <c r="F89">
        <v>5.151825845047541E-11</v>
      </c>
      <c r="G89">
        <v>2.0989003353287312E-17</v>
      </c>
      <c r="H89">
        <v>5.1518201296715362E-11</v>
      </c>
      <c r="I89">
        <v>5.1518308370710549E-11</v>
      </c>
      <c r="J89">
        <v>5.1518260817287401E-11</v>
      </c>
      <c r="K89">
        <v>5.1518224230132099E-11</v>
      </c>
      <c r="L89">
        <v>5.1518291420971894E-11</v>
      </c>
      <c r="P89" t="s">
        <v>2483</v>
      </c>
      <c r="Q89" t="s">
        <v>2484</v>
      </c>
      <c r="R89" t="s">
        <v>2354</v>
      </c>
      <c r="S89" t="s">
        <v>2386</v>
      </c>
      <c r="T89" t="s">
        <v>449</v>
      </c>
      <c r="U89">
        <v>5.1518256609015973E-11</v>
      </c>
      <c r="V89">
        <v>1.9429744001786398E-17</v>
      </c>
      <c r="W89">
        <v>5.1518192449894343E-11</v>
      </c>
      <c r="X89">
        <v>5.1518300987861708E-11</v>
      </c>
      <c r="Y89">
        <v>5.1518255366851443E-11</v>
      </c>
      <c r="Z89">
        <v>5.1518228430558939E-11</v>
      </c>
      <c r="AA89">
        <v>5.1518293375333452E-11</v>
      </c>
    </row>
    <row r="90" spans="1:27">
      <c r="A90" t="s">
        <v>2485</v>
      </c>
      <c r="B90" t="s">
        <v>2486</v>
      </c>
      <c r="C90" t="s">
        <v>2354</v>
      </c>
      <c r="D90" t="s">
        <v>2386</v>
      </c>
      <c r="E90" t="s">
        <v>449</v>
      </c>
      <c r="F90">
        <v>1.7850522269437827E-10</v>
      </c>
      <c r="G90">
        <v>1.7584637297954939E-17</v>
      </c>
      <c r="H90">
        <v>1.7850517481082113E-10</v>
      </c>
      <c r="I90">
        <v>1.7850526451767084E-10</v>
      </c>
      <c r="J90">
        <v>1.78505224677299E-10</v>
      </c>
      <c r="K90">
        <v>1.785051940244926E-10</v>
      </c>
      <c r="L90">
        <v>1.7850525031713918E-10</v>
      </c>
      <c r="P90" t="s">
        <v>2485</v>
      </c>
      <c r="Q90" t="s">
        <v>2486</v>
      </c>
      <c r="R90" t="s">
        <v>2354</v>
      </c>
      <c r="S90" t="s">
        <v>2386</v>
      </c>
      <c r="T90" t="s">
        <v>449</v>
      </c>
      <c r="U90">
        <v>1.7850522115159908E-10</v>
      </c>
      <c r="V90">
        <v>1.6278286077957387E-17</v>
      </c>
      <c r="W90">
        <v>1.7850516739893328E-10</v>
      </c>
      <c r="X90">
        <v>1.7850525833230239E-10</v>
      </c>
      <c r="Y90">
        <v>1.7850522011091067E-10</v>
      </c>
      <c r="Z90">
        <v>1.7850519754362028E-10</v>
      </c>
      <c r="AA90">
        <v>1.7850525195450797E-10</v>
      </c>
    </row>
    <row r="91" spans="1:27">
      <c r="A91" t="s">
        <v>2487</v>
      </c>
      <c r="B91" t="s">
        <v>2488</v>
      </c>
      <c r="C91" t="s">
        <v>2354</v>
      </c>
      <c r="D91" t="s">
        <v>2386</v>
      </c>
      <c r="E91" t="s">
        <v>449</v>
      </c>
      <c r="F91">
        <v>4.8069140761707205E-10</v>
      </c>
      <c r="G91">
        <v>4.6847596478175066E-17</v>
      </c>
      <c r="H91">
        <v>4.8069128004949573E-10</v>
      </c>
      <c r="I91">
        <v>4.8069151903937227E-10</v>
      </c>
      <c r="J91">
        <v>4.8069141289981233E-10</v>
      </c>
      <c r="K91">
        <v>4.8069133123703594E-10</v>
      </c>
      <c r="L91">
        <v>4.8069148120744174E-10</v>
      </c>
      <c r="P91" t="s">
        <v>2487</v>
      </c>
      <c r="Q91" t="s">
        <v>2488</v>
      </c>
      <c r="R91" t="s">
        <v>2354</v>
      </c>
      <c r="S91" t="s">
        <v>2386</v>
      </c>
      <c r="T91" t="s">
        <v>449</v>
      </c>
      <c r="U91">
        <v>4.8069140350692242E-10</v>
      </c>
      <c r="V91">
        <v>4.3367319130983676E-17</v>
      </c>
      <c r="W91">
        <v>4.8069126030333184E-10</v>
      </c>
      <c r="X91">
        <v>4.8069150256080403E-10</v>
      </c>
      <c r="Y91">
        <v>4.8069140073440264E-10</v>
      </c>
      <c r="Z91">
        <v>4.8069134061241691E-10</v>
      </c>
      <c r="AA91">
        <v>4.8069148556958987E-10</v>
      </c>
    </row>
    <row r="92" spans="1:27">
      <c r="A92" t="s">
        <v>2489</v>
      </c>
      <c r="B92" t="s">
        <v>2490</v>
      </c>
      <c r="C92" t="s">
        <v>2354</v>
      </c>
      <c r="D92" t="s">
        <v>2386</v>
      </c>
      <c r="E92" t="s">
        <v>449</v>
      </c>
      <c r="F92">
        <v>2.4110026471856682E-9</v>
      </c>
      <c r="G92">
        <v>2.3497333624166819E-16</v>
      </c>
      <c r="H92">
        <v>2.4110020073453935E-9</v>
      </c>
      <c r="I92">
        <v>2.4110032060461347E-9</v>
      </c>
      <c r="J92">
        <v>2.4110026736822914E-9</v>
      </c>
      <c r="K92">
        <v>2.4110022640865714E-9</v>
      </c>
      <c r="L92">
        <v>2.4110030162926446E-9</v>
      </c>
      <c r="P92" t="s">
        <v>2489</v>
      </c>
      <c r="Q92" t="s">
        <v>2490</v>
      </c>
      <c r="R92" t="s">
        <v>2354</v>
      </c>
      <c r="S92" t="s">
        <v>2386</v>
      </c>
      <c r="T92" t="s">
        <v>449</v>
      </c>
      <c r="U92">
        <v>2.4110026265704045E-9</v>
      </c>
      <c r="V92">
        <v>2.175173205519868E-16</v>
      </c>
      <c r="W92">
        <v>2.4110019083046235E-9</v>
      </c>
      <c r="X92">
        <v>2.4110031233946341E-9</v>
      </c>
      <c r="Y92">
        <v>2.4110026126642862E-9</v>
      </c>
      <c r="Z92">
        <v>2.4110023111106387E-9</v>
      </c>
      <c r="AA92">
        <v>2.4110030381718568E-9</v>
      </c>
    </row>
    <row r="93" spans="1:27">
      <c r="A93" t="s">
        <v>2491</v>
      </c>
      <c r="B93" t="s">
        <v>2492</v>
      </c>
      <c r="C93" t="s">
        <v>2354</v>
      </c>
      <c r="D93" t="s">
        <v>2386</v>
      </c>
      <c r="E93" t="s">
        <v>449</v>
      </c>
      <c r="F93">
        <v>1.3568385944691165E-11</v>
      </c>
      <c r="G93">
        <v>1.3320611729765656E-18</v>
      </c>
      <c r="H93">
        <v>1.3568382317443917E-11</v>
      </c>
      <c r="I93">
        <v>1.3568389112864796E-11</v>
      </c>
      <c r="J93">
        <v>1.356838609490022E-11</v>
      </c>
      <c r="K93">
        <v>1.3568383772906738E-11</v>
      </c>
      <c r="L93">
        <v>1.3568388037154418E-11</v>
      </c>
      <c r="P93" t="s">
        <v>2491</v>
      </c>
      <c r="Q93" t="s">
        <v>2492</v>
      </c>
      <c r="R93" t="s">
        <v>2354</v>
      </c>
      <c r="S93" t="s">
        <v>2386</v>
      </c>
      <c r="T93" t="s">
        <v>449</v>
      </c>
      <c r="U93">
        <v>1.3568385827823459E-11</v>
      </c>
      <c r="V93">
        <v>1.2331032184042262E-18</v>
      </c>
      <c r="W93">
        <v>1.3568381755982919E-11</v>
      </c>
      <c r="X93">
        <v>1.3568388644314379E-11</v>
      </c>
      <c r="Y93">
        <v>1.3568385748989841E-11</v>
      </c>
      <c r="Z93">
        <v>1.356838403948564E-11</v>
      </c>
      <c r="AA93">
        <v>1.3568388161187422E-11</v>
      </c>
    </row>
    <row r="94" spans="1:27">
      <c r="A94" t="s">
        <v>2493</v>
      </c>
      <c r="B94" t="s">
        <v>2494</v>
      </c>
      <c r="C94" t="s">
        <v>2354</v>
      </c>
      <c r="D94" t="s">
        <v>2386</v>
      </c>
      <c r="E94" t="s">
        <v>449</v>
      </c>
      <c r="F94">
        <v>2.5717032578163513E-9</v>
      </c>
      <c r="G94">
        <v>2.5063505736814202E-16</v>
      </c>
      <c r="H94">
        <v>2.5717025753286849E-9</v>
      </c>
      <c r="I94">
        <v>2.5717038539266476E-9</v>
      </c>
      <c r="J94">
        <v>2.5717032860790589E-9</v>
      </c>
      <c r="K94">
        <v>2.5717028491824798E-9</v>
      </c>
      <c r="L94">
        <v>2.5717036515254832E-9</v>
      </c>
      <c r="P94" t="s">
        <v>2493</v>
      </c>
      <c r="Q94" t="s">
        <v>2494</v>
      </c>
      <c r="R94" t="s">
        <v>2354</v>
      </c>
      <c r="S94" t="s">
        <v>2386</v>
      </c>
      <c r="T94" t="s">
        <v>449</v>
      </c>
      <c r="U94">
        <v>2.5717032358270129E-9</v>
      </c>
      <c r="V94">
        <v>2.3201554265055355E-16</v>
      </c>
      <c r="W94">
        <v>2.5717024696865322E-9</v>
      </c>
      <c r="X94">
        <v>2.5717037657661614E-9</v>
      </c>
      <c r="Y94">
        <v>2.5717032209940093E-9</v>
      </c>
      <c r="Z94">
        <v>2.571702899340851E-9</v>
      </c>
      <c r="AA94">
        <v>2.5717036748630144E-9</v>
      </c>
    </row>
    <row r="95" spans="1:27">
      <c r="A95" t="s">
        <v>2495</v>
      </c>
      <c r="B95" t="s">
        <v>2496</v>
      </c>
      <c r="C95" t="s">
        <v>2354</v>
      </c>
      <c r="D95" t="s">
        <v>2386</v>
      </c>
      <c r="E95" t="s">
        <v>449</v>
      </c>
      <c r="F95">
        <v>1.8438183342494008E-11</v>
      </c>
      <c r="G95">
        <v>1.8101481992917661E-18</v>
      </c>
      <c r="H95">
        <v>1.8438178413399749E-11</v>
      </c>
      <c r="I95">
        <v>1.843818764774958E-11</v>
      </c>
      <c r="J95">
        <v>1.8438183546614246E-11</v>
      </c>
      <c r="K95">
        <v>1.8438180391239398E-11</v>
      </c>
      <c r="L95">
        <v>1.843818618595845E-11</v>
      </c>
      <c r="P95" t="s">
        <v>2495</v>
      </c>
      <c r="Q95" t="s">
        <v>2496</v>
      </c>
      <c r="R95" t="s">
        <v>2354</v>
      </c>
      <c r="S95" t="s">
        <v>2386</v>
      </c>
      <c r="T95" t="s">
        <v>449</v>
      </c>
      <c r="U95">
        <v>1.8438183183681573E-11</v>
      </c>
      <c r="V95">
        <v>1.6756734718632308E-18</v>
      </c>
      <c r="W95">
        <v>1.8438177650426069E-11</v>
      </c>
      <c r="X95">
        <v>1.8438187011032806E-11</v>
      </c>
      <c r="Y95">
        <v>1.8438183076553964E-11</v>
      </c>
      <c r="Z95">
        <v>1.8438180753495524E-11</v>
      </c>
      <c r="AA95">
        <v>1.8438186354507858E-11</v>
      </c>
    </row>
    <row r="96" spans="1:27">
      <c r="A96" t="s">
        <v>2497</v>
      </c>
      <c r="B96" t="s">
        <v>2498</v>
      </c>
      <c r="C96" t="s">
        <v>2354</v>
      </c>
      <c r="D96" t="s">
        <v>2386</v>
      </c>
      <c r="E96" t="s">
        <v>449</v>
      </c>
      <c r="F96">
        <v>1.1907066018675882E-9</v>
      </c>
      <c r="G96">
        <v>1.1604480933832801E-16</v>
      </c>
      <c r="H96">
        <v>1.1907062858736806E-9</v>
      </c>
      <c r="I96">
        <v>1.1907068778685052E-9</v>
      </c>
      <c r="J96">
        <v>1.1907066149533094E-9</v>
      </c>
      <c r="K96">
        <v>1.1907064126688373E-9</v>
      </c>
      <c r="L96">
        <v>1.190706784156138E-9</v>
      </c>
      <c r="P96" t="s">
        <v>2497</v>
      </c>
      <c r="Q96" t="s">
        <v>2498</v>
      </c>
      <c r="R96" t="s">
        <v>2354</v>
      </c>
      <c r="S96" t="s">
        <v>2386</v>
      </c>
      <c r="T96" t="s">
        <v>449</v>
      </c>
      <c r="U96">
        <v>1.1907065916864571E-9</v>
      </c>
      <c r="V96">
        <v>1.0742391624196463E-16</v>
      </c>
      <c r="W96">
        <v>1.1907062369610362E-9</v>
      </c>
      <c r="X96">
        <v>1.1907068370499264E-9</v>
      </c>
      <c r="Y96">
        <v>1.1907065848187295E-9</v>
      </c>
      <c r="Z96">
        <v>1.1907064358923189E-9</v>
      </c>
      <c r="AA96">
        <v>1.1907067949614871E-9</v>
      </c>
    </row>
    <row r="97" spans="1:27">
      <c r="A97" t="s">
        <v>2499</v>
      </c>
      <c r="B97" t="s">
        <v>2500</v>
      </c>
      <c r="C97" t="s">
        <v>2354</v>
      </c>
      <c r="D97" t="s">
        <v>2386</v>
      </c>
      <c r="E97" t="s">
        <v>449</v>
      </c>
      <c r="F97">
        <v>1.5064044415686062E-9</v>
      </c>
      <c r="G97">
        <v>4.9756569187005247E-16</v>
      </c>
      <c r="H97">
        <v>1.5064030866805395E-9</v>
      </c>
      <c r="I97">
        <v>1.5064056249785998E-9</v>
      </c>
      <c r="J97">
        <v>1.5064044976762932E-9</v>
      </c>
      <c r="K97">
        <v>1.5064036303405301E-9</v>
      </c>
      <c r="L97">
        <v>1.5064052231677897E-9</v>
      </c>
      <c r="P97" t="s">
        <v>2499</v>
      </c>
      <c r="Q97" t="s">
        <v>2500</v>
      </c>
      <c r="R97" t="s">
        <v>2354</v>
      </c>
      <c r="S97" t="s">
        <v>2386</v>
      </c>
      <c r="T97" t="s">
        <v>449</v>
      </c>
      <c r="U97">
        <v>1.5064043979149341E-9</v>
      </c>
      <c r="V97">
        <v>4.6060186157730262E-16</v>
      </c>
      <c r="W97">
        <v>1.506402876957641E-9</v>
      </c>
      <c r="X97">
        <v>1.506405449960652E-9</v>
      </c>
      <c r="Y97">
        <v>1.5064043684681603E-9</v>
      </c>
      <c r="Z97">
        <v>1.5064037299159247E-9</v>
      </c>
      <c r="AA97">
        <v>1.5064052694979202E-9</v>
      </c>
    </row>
    <row r="98" spans="1:27">
      <c r="A98" t="s">
        <v>2501</v>
      </c>
      <c r="B98" t="s">
        <v>2502</v>
      </c>
      <c r="C98" t="s">
        <v>2354</v>
      </c>
      <c r="D98" t="s">
        <v>2386</v>
      </c>
      <c r="E98" t="s">
        <v>449</v>
      </c>
      <c r="F98">
        <v>6.6703882350737522E-11</v>
      </c>
      <c r="G98">
        <v>6.5485791879167689E-18</v>
      </c>
      <c r="H98">
        <v>6.670386451873677E-11</v>
      </c>
      <c r="I98">
        <v>6.6703897925875002E-11</v>
      </c>
      <c r="J98">
        <v>6.6703883089184002E-11</v>
      </c>
      <c r="K98">
        <v>6.6703871673973869E-11</v>
      </c>
      <c r="L98">
        <v>6.6703892637548356E-11</v>
      </c>
      <c r="P98" t="s">
        <v>2501</v>
      </c>
      <c r="Q98" t="s">
        <v>2502</v>
      </c>
      <c r="R98" t="s">
        <v>2354</v>
      </c>
      <c r="S98" t="s">
        <v>2386</v>
      </c>
      <c r="T98" t="s">
        <v>449</v>
      </c>
      <c r="U98">
        <v>6.6703881776201301E-11</v>
      </c>
      <c r="V98">
        <v>6.0620895173902322E-18</v>
      </c>
      <c r="W98">
        <v>6.6703861758524336E-11</v>
      </c>
      <c r="X98">
        <v>6.6703895622422604E-11</v>
      </c>
      <c r="Y98">
        <v>6.6703881388645354E-11</v>
      </c>
      <c r="Z98">
        <v>6.6703872984509072E-11</v>
      </c>
      <c r="AA98">
        <v>6.6703893247310102E-11</v>
      </c>
    </row>
    <row r="99" spans="1:27">
      <c r="A99" t="s">
        <v>2503</v>
      </c>
      <c r="B99" t="s">
        <v>2504</v>
      </c>
      <c r="C99" t="s">
        <v>2354</v>
      </c>
      <c r="D99" t="s">
        <v>2386</v>
      </c>
      <c r="E99" t="s">
        <v>449</v>
      </c>
      <c r="F99">
        <v>3.795326825989176E-13</v>
      </c>
      <c r="G99">
        <v>5.5249890331232005E-20</v>
      </c>
      <c r="H99">
        <v>3.7953253215161308E-13</v>
      </c>
      <c r="I99">
        <v>3.7953281400522911E-13</v>
      </c>
      <c r="J99">
        <v>3.7953268882913716E-13</v>
      </c>
      <c r="K99">
        <v>3.7953259251983252E-13</v>
      </c>
      <c r="L99">
        <v>3.7953276938799857E-13</v>
      </c>
      <c r="P99" t="s">
        <v>2503</v>
      </c>
      <c r="Q99" t="s">
        <v>2504</v>
      </c>
      <c r="R99" t="s">
        <v>2354</v>
      </c>
      <c r="S99" t="s">
        <v>2386</v>
      </c>
      <c r="T99" t="s">
        <v>449</v>
      </c>
      <c r="U99">
        <v>3.795326777515966E-13</v>
      </c>
      <c r="V99">
        <v>5.1145412063644839E-20</v>
      </c>
      <c r="W99">
        <v>3.7953250886389986E-13</v>
      </c>
      <c r="X99">
        <v>3.7953279457116729E-13</v>
      </c>
      <c r="Y99">
        <v>3.7953267448181515E-13</v>
      </c>
      <c r="Z99">
        <v>3.795326035767235E-13</v>
      </c>
      <c r="AA99">
        <v>3.7953277453251445E-13</v>
      </c>
    </row>
    <row r="100" spans="1:27">
      <c r="A100" t="s">
        <v>2505</v>
      </c>
      <c r="B100" t="s">
        <v>2506</v>
      </c>
      <c r="C100" t="s">
        <v>2354</v>
      </c>
      <c r="D100" t="s">
        <v>2386</v>
      </c>
      <c r="E100" t="s">
        <v>449</v>
      </c>
      <c r="F100">
        <v>0.1857954653145239</v>
      </c>
      <c r="G100">
        <v>1.683333784762101E-7</v>
      </c>
      <c r="H100">
        <v>0.1857950069370887</v>
      </c>
      <c r="I100">
        <v>0.18579586567854744</v>
      </c>
      <c r="J100">
        <v>0.18579548429653314</v>
      </c>
      <c r="K100">
        <v>0.18579519086480814</v>
      </c>
      <c r="L100">
        <v>0.18579572974037434</v>
      </c>
      <c r="P100" t="s">
        <v>2505</v>
      </c>
      <c r="Q100" t="s">
        <v>2506</v>
      </c>
      <c r="R100" t="s">
        <v>2354</v>
      </c>
      <c r="S100" t="s">
        <v>2386</v>
      </c>
      <c r="T100" t="s">
        <v>449</v>
      </c>
      <c r="U100">
        <v>0.18579545054588112</v>
      </c>
      <c r="V100">
        <v>1.5582800172805554E-7</v>
      </c>
      <c r="W100">
        <v>0.18579493598492172</v>
      </c>
      <c r="X100">
        <v>0.18579580646754695</v>
      </c>
      <c r="Y100">
        <v>0.18579544058362865</v>
      </c>
      <c r="Z100">
        <v>0.18579522455254588</v>
      </c>
      <c r="AA100">
        <v>0.18579574541450034</v>
      </c>
    </row>
    <row r="101" spans="1:27">
      <c r="A101" t="s">
        <v>2507</v>
      </c>
      <c r="B101" t="s">
        <v>2508</v>
      </c>
      <c r="C101" t="s">
        <v>2354</v>
      </c>
      <c r="D101" t="s">
        <v>2386</v>
      </c>
      <c r="E101" t="s">
        <v>449</v>
      </c>
      <c r="F101">
        <v>6.2521648495302278E-4</v>
      </c>
      <c r="G101">
        <v>7.6848012147532029E-10</v>
      </c>
      <c r="H101">
        <v>6.2521439235587849E-4</v>
      </c>
      <c r="I101">
        <v>6.2521831270576111E-4</v>
      </c>
      <c r="J101">
        <v>6.2521657161020811E-4</v>
      </c>
      <c r="K101">
        <v>6.2521523202770991E-4</v>
      </c>
      <c r="L101">
        <v>6.2521769211711282E-4</v>
      </c>
      <c r="P101" t="s">
        <v>2507</v>
      </c>
      <c r="Q101" t="s">
        <v>2508</v>
      </c>
      <c r="R101" t="s">
        <v>2354</v>
      </c>
      <c r="S101" t="s">
        <v>2386</v>
      </c>
      <c r="T101" t="s">
        <v>449</v>
      </c>
      <c r="U101">
        <v>6.2521641753081325E-4</v>
      </c>
      <c r="V101">
        <v>7.1139023514773319E-10</v>
      </c>
      <c r="W101">
        <v>6.2521406844311448E-4</v>
      </c>
      <c r="X101">
        <v>6.2521804239408984E-4</v>
      </c>
      <c r="Y101">
        <v>6.2521637205086662E-4</v>
      </c>
      <c r="Z101">
        <v>6.2521538581988714E-4</v>
      </c>
      <c r="AA101">
        <v>6.2521776367305965E-4</v>
      </c>
    </row>
    <row r="102" spans="1:27">
      <c r="A102" t="s">
        <v>2509</v>
      </c>
      <c r="B102" t="s">
        <v>2510</v>
      </c>
      <c r="C102" t="s">
        <v>2354</v>
      </c>
      <c r="D102" t="s">
        <v>2386</v>
      </c>
      <c r="E102" t="s">
        <v>449</v>
      </c>
      <c r="F102">
        <v>8.2245013194085477E-8</v>
      </c>
      <c r="G102">
        <v>3.795602170731944E-14</v>
      </c>
      <c r="H102">
        <v>8.2244909838565378E-8</v>
      </c>
      <c r="I102">
        <v>8.2245103468668593E-8</v>
      </c>
      <c r="J102">
        <v>8.2245017474172765E-8</v>
      </c>
      <c r="K102">
        <v>8.2244951310818674E-8</v>
      </c>
      <c r="L102">
        <v>8.2245072817158495E-8</v>
      </c>
      <c r="P102" t="s">
        <v>2509</v>
      </c>
      <c r="Q102" t="s">
        <v>2510</v>
      </c>
      <c r="R102" t="s">
        <v>2354</v>
      </c>
      <c r="S102" t="s">
        <v>2386</v>
      </c>
      <c r="T102" t="s">
        <v>449</v>
      </c>
      <c r="U102">
        <v>8.2245009864033348E-8</v>
      </c>
      <c r="V102">
        <v>3.5136293643687786E-14</v>
      </c>
      <c r="W102">
        <v>8.2244893840181604E-8</v>
      </c>
      <c r="X102">
        <v>8.2245090117697797E-8</v>
      </c>
      <c r="Y102">
        <v>8.2245007617732134E-8</v>
      </c>
      <c r="Z102">
        <v>8.2244958906772129E-8</v>
      </c>
      <c r="AA102">
        <v>8.2245076351380121E-8</v>
      </c>
    </row>
    <row r="103" spans="1:27">
      <c r="A103" t="s">
        <v>2511</v>
      </c>
      <c r="B103" t="s">
        <v>2512</v>
      </c>
      <c r="C103" t="s">
        <v>2354</v>
      </c>
      <c r="D103" t="s">
        <v>2386</v>
      </c>
      <c r="E103" t="s">
        <v>449</v>
      </c>
      <c r="F103">
        <v>3.1408735331688038E-2</v>
      </c>
      <c r="G103">
        <v>3.3029387572492269E-8</v>
      </c>
      <c r="H103">
        <v>3.1408645391557931E-2</v>
      </c>
      <c r="I103">
        <v>3.1408813888766991E-2</v>
      </c>
      <c r="J103">
        <v>3.1408739056226487E-2</v>
      </c>
      <c r="K103">
        <v>3.1408681480775566E-2</v>
      </c>
      <c r="L103">
        <v>3.1408787215776487E-2</v>
      </c>
      <c r="P103" t="s">
        <v>2511</v>
      </c>
      <c r="Q103" t="s">
        <v>2512</v>
      </c>
      <c r="R103" t="s">
        <v>2354</v>
      </c>
      <c r="S103" t="s">
        <v>2386</v>
      </c>
      <c r="T103" t="s">
        <v>449</v>
      </c>
      <c r="U103">
        <v>3.1408732433871628E-2</v>
      </c>
      <c r="V103">
        <v>3.0575655941203233E-8</v>
      </c>
      <c r="W103">
        <v>3.1408631469740142E-2</v>
      </c>
      <c r="X103">
        <v>3.1408802270731985E-2</v>
      </c>
      <c r="Y103">
        <v>3.140873047913692E-2</v>
      </c>
      <c r="Z103">
        <v>3.1408688090785744E-2</v>
      </c>
      <c r="AA103">
        <v>3.1408790291261507E-2</v>
      </c>
    </row>
    <row r="104" spans="1:27">
      <c r="A104" t="s">
        <v>2513</v>
      </c>
      <c r="B104" t="s">
        <v>2514</v>
      </c>
      <c r="C104" t="s">
        <v>2354</v>
      </c>
      <c r="D104" t="s">
        <v>2386</v>
      </c>
      <c r="E104" t="s">
        <v>449</v>
      </c>
      <c r="F104">
        <v>3.3189910161229346E-5</v>
      </c>
      <c r="G104">
        <v>1.696919114469834E-12</v>
      </c>
      <c r="H104">
        <v>3.3189905540461697E-5</v>
      </c>
      <c r="I104">
        <v>3.3189914197180932E-5</v>
      </c>
      <c r="J104">
        <v>3.3189910352581394E-5</v>
      </c>
      <c r="K104">
        <v>3.3189907394582768E-5</v>
      </c>
      <c r="L104">
        <v>3.3189912826828323E-5</v>
      </c>
      <c r="P104" t="s">
        <v>2513</v>
      </c>
      <c r="Q104" t="s">
        <v>2514</v>
      </c>
      <c r="R104" t="s">
        <v>2354</v>
      </c>
      <c r="S104" t="s">
        <v>2386</v>
      </c>
      <c r="T104" t="s">
        <v>449</v>
      </c>
      <c r="U104">
        <v>3.3189910012351034E-5</v>
      </c>
      <c r="V104">
        <v>1.5708561017670513E-12</v>
      </c>
      <c r="W104">
        <v>3.3189904825213842E-5</v>
      </c>
      <c r="X104">
        <v>3.3189913600292312E-5</v>
      </c>
      <c r="Y104">
        <v>3.3189909911924504E-5</v>
      </c>
      <c r="Z104">
        <v>3.3189907734178903E-5</v>
      </c>
      <c r="AA104">
        <v>3.3189912984834567E-5</v>
      </c>
    </row>
    <row r="105" spans="1:27">
      <c r="A105" t="s">
        <v>2515</v>
      </c>
      <c r="B105" t="s">
        <v>2516</v>
      </c>
      <c r="C105" t="s">
        <v>2354</v>
      </c>
      <c r="D105" t="s">
        <v>2386</v>
      </c>
      <c r="E105" t="s">
        <v>449</v>
      </c>
      <c r="F105">
        <v>4.99946906103783E-7</v>
      </c>
      <c r="G105">
        <v>2.2850075264469513E-14</v>
      </c>
      <c r="H105">
        <v>4.9994684388226185E-7</v>
      </c>
      <c r="I105">
        <v>4.9994696045039077E-7</v>
      </c>
      <c r="J105">
        <v>4.9994690868045776E-7</v>
      </c>
      <c r="K105">
        <v>4.9994686884915947E-7</v>
      </c>
      <c r="L105">
        <v>4.9994694199773747E-7</v>
      </c>
      <c r="P105" t="s">
        <v>2515</v>
      </c>
      <c r="Q105" t="s">
        <v>2516</v>
      </c>
      <c r="R105" t="s">
        <v>2354</v>
      </c>
      <c r="S105" t="s">
        <v>2386</v>
      </c>
      <c r="T105" t="s">
        <v>449</v>
      </c>
      <c r="U105">
        <v>4.9994690409904363E-7</v>
      </c>
      <c r="V105">
        <v>2.1152558093271616E-14</v>
      </c>
      <c r="W105">
        <v>4.99946834251003E-7</v>
      </c>
      <c r="X105">
        <v>4.9994695241291282E-7</v>
      </c>
      <c r="Y105">
        <v>4.9994690274673764E-7</v>
      </c>
      <c r="Z105">
        <v>4.999468734220336E-7</v>
      </c>
      <c r="AA105">
        <v>4.999469441253901E-7</v>
      </c>
    </row>
    <row r="106" spans="1:27">
      <c r="A106" t="s">
        <v>2517</v>
      </c>
      <c r="B106" t="s">
        <v>2518</v>
      </c>
      <c r="C106" t="s">
        <v>2354</v>
      </c>
      <c r="D106" t="s">
        <v>2386</v>
      </c>
      <c r="E106" t="s">
        <v>449</v>
      </c>
      <c r="F106">
        <v>9.7171997936445526E-14</v>
      </c>
      <c r="G106">
        <v>8.9441703595093032E-20</v>
      </c>
      <c r="H106">
        <v>9.7171754383686903E-14</v>
      </c>
      <c r="I106">
        <v>9.7172210664548819E-14</v>
      </c>
      <c r="J106">
        <v>9.7172008022283865E-14</v>
      </c>
      <c r="K106">
        <v>9.7171852111236328E-14</v>
      </c>
      <c r="L106">
        <v>9.7172138435607058E-14</v>
      </c>
      <c r="P106" t="s">
        <v>2517</v>
      </c>
      <c r="Q106" t="s">
        <v>2518</v>
      </c>
      <c r="R106" t="s">
        <v>2354</v>
      </c>
      <c r="S106" t="s">
        <v>2386</v>
      </c>
      <c r="T106" t="s">
        <v>449</v>
      </c>
      <c r="U106">
        <v>9.7171990089323439E-14</v>
      </c>
      <c r="V106">
        <v>8.2797137852280648E-20</v>
      </c>
      <c r="W106">
        <v>9.7171716684195873E-14</v>
      </c>
      <c r="X106">
        <v>9.7172179203570589E-14</v>
      </c>
      <c r="Y106">
        <v>9.7171984796012983E-14</v>
      </c>
      <c r="Z106">
        <v>9.7171870010768086E-14</v>
      </c>
      <c r="AA106">
        <v>9.717214676384563E-14</v>
      </c>
    </row>
    <row r="107" spans="1:27">
      <c r="A107" t="s">
        <v>2519</v>
      </c>
      <c r="B107" t="s">
        <v>2520</v>
      </c>
      <c r="C107" t="s">
        <v>2354</v>
      </c>
      <c r="D107" t="s">
        <v>2386</v>
      </c>
      <c r="E107" t="s">
        <v>449</v>
      </c>
      <c r="F107">
        <v>8.2290159223710537E-5</v>
      </c>
      <c r="G107">
        <v>3.7956578006295303E-11</v>
      </c>
      <c r="H107">
        <v>8.2290055866675598E-5</v>
      </c>
      <c r="I107">
        <v>8.229024949961674E-5</v>
      </c>
      <c r="J107">
        <v>8.2290163503860543E-5</v>
      </c>
      <c r="K107">
        <v>8.229009733953674E-5</v>
      </c>
      <c r="L107">
        <v>8.2290218847657403E-5</v>
      </c>
      <c r="P107" t="s">
        <v>2519</v>
      </c>
      <c r="Q107" t="s">
        <v>2520</v>
      </c>
      <c r="R107" t="s">
        <v>2354</v>
      </c>
      <c r="S107" t="s">
        <v>2386</v>
      </c>
      <c r="T107" t="s">
        <v>449</v>
      </c>
      <c r="U107">
        <v>8.2290155893609558E-5</v>
      </c>
      <c r="V107">
        <v>3.513680861601675E-11</v>
      </c>
      <c r="W107">
        <v>8.2290039868057355E-5</v>
      </c>
      <c r="X107">
        <v>8.2290236148450268E-5</v>
      </c>
      <c r="Y107">
        <v>8.2290153647275445E-5</v>
      </c>
      <c r="Z107">
        <v>8.2290104935601495E-5</v>
      </c>
      <c r="AA107">
        <v>8.2290222381930822E-5</v>
      </c>
    </row>
    <row r="108" spans="1:27">
      <c r="A108" t="s">
        <v>2521</v>
      </c>
      <c r="B108" t="s">
        <v>2522</v>
      </c>
      <c r="C108" t="s">
        <v>2354</v>
      </c>
      <c r="D108" t="s">
        <v>2386</v>
      </c>
      <c r="E108" t="s">
        <v>449</v>
      </c>
      <c r="F108">
        <v>7.472353161009372E-6</v>
      </c>
      <c r="G108">
        <v>2.4681197362322888E-12</v>
      </c>
      <c r="H108">
        <v>7.4723464402365555E-6</v>
      </c>
      <c r="I108">
        <v>7.4723590311841254E-6</v>
      </c>
      <c r="J108">
        <v>7.4723534393253691E-6</v>
      </c>
      <c r="K108">
        <v>7.4723491370019773E-6</v>
      </c>
      <c r="L108">
        <v>7.4723570380459202E-6</v>
      </c>
      <c r="P108" t="s">
        <v>2521</v>
      </c>
      <c r="Q108" t="s">
        <v>2522</v>
      </c>
      <c r="R108" t="s">
        <v>2354</v>
      </c>
      <c r="S108" t="s">
        <v>2386</v>
      </c>
      <c r="T108" t="s">
        <v>449</v>
      </c>
      <c r="U108">
        <v>7.4723529444701535E-6</v>
      </c>
      <c r="V108">
        <v>2.2847647329263071E-12</v>
      </c>
      <c r="W108">
        <v>7.4723453999292481E-6</v>
      </c>
      <c r="X108">
        <v>7.4723581630268998E-6</v>
      </c>
      <c r="Y108">
        <v>7.4723527984026751E-6</v>
      </c>
      <c r="Z108">
        <v>7.4723496309347392E-6</v>
      </c>
      <c r="AA108">
        <v>7.4723572678614214E-6</v>
      </c>
    </row>
    <row r="109" spans="1:27">
      <c r="A109" t="s">
        <v>2523</v>
      </c>
      <c r="B109" t="s">
        <v>2524</v>
      </c>
      <c r="C109" t="s">
        <v>2354</v>
      </c>
      <c r="D109" t="s">
        <v>2386</v>
      </c>
      <c r="E109" t="s">
        <v>449</v>
      </c>
      <c r="F109">
        <v>7.7691933490976931E-8</v>
      </c>
      <c r="G109">
        <v>3.1652397205321012E-14</v>
      </c>
      <c r="H109">
        <v>7.7691847300437775E-8</v>
      </c>
      <c r="I109">
        <v>7.7692008773022684E-8</v>
      </c>
      <c r="J109">
        <v>7.7691937060239913E-8</v>
      </c>
      <c r="K109">
        <v>7.7691881885101172E-8</v>
      </c>
      <c r="L109">
        <v>7.7691983212025274E-8</v>
      </c>
      <c r="P109" t="s">
        <v>2523</v>
      </c>
      <c r="Q109" t="s">
        <v>2524</v>
      </c>
      <c r="R109" t="s">
        <v>2354</v>
      </c>
      <c r="S109" t="s">
        <v>2386</v>
      </c>
      <c r="T109" t="s">
        <v>449</v>
      </c>
      <c r="U109">
        <v>7.7691930713970069E-8</v>
      </c>
      <c r="V109">
        <v>2.9300961289436628E-14</v>
      </c>
      <c r="W109">
        <v>7.7691833959018546E-8</v>
      </c>
      <c r="X109">
        <v>7.7691997639341866E-8</v>
      </c>
      <c r="Y109">
        <v>7.769192884072796E-8</v>
      </c>
      <c r="Z109">
        <v>7.7691888219540983E-8</v>
      </c>
      <c r="AA109">
        <v>7.7691986159293764E-8</v>
      </c>
    </row>
    <row r="110" spans="1:27">
      <c r="A110" t="s">
        <v>2525</v>
      </c>
      <c r="B110" t="s">
        <v>2526</v>
      </c>
      <c r="C110" t="s">
        <v>2354</v>
      </c>
      <c r="D110" t="s">
        <v>2386</v>
      </c>
      <c r="E110" t="s">
        <v>449</v>
      </c>
      <c r="F110">
        <v>1.4364403514439934E-9</v>
      </c>
      <c r="G110">
        <v>2.4711316482059258E-16</v>
      </c>
      <c r="H110">
        <v>1.4364396785465583E-9</v>
      </c>
      <c r="I110">
        <v>1.4364409391778221E-9</v>
      </c>
      <c r="J110">
        <v>1.436440379309557E-9</v>
      </c>
      <c r="K110">
        <v>1.4364399485521939E-9</v>
      </c>
      <c r="L110">
        <v>1.4364407396207733E-9</v>
      </c>
      <c r="P110" t="s">
        <v>2525</v>
      </c>
      <c r="Q110" t="s">
        <v>2526</v>
      </c>
      <c r="R110" t="s">
        <v>2354</v>
      </c>
      <c r="S110" t="s">
        <v>2386</v>
      </c>
      <c r="T110" t="s">
        <v>449</v>
      </c>
      <c r="U110">
        <v>1.4364403297636465E-9</v>
      </c>
      <c r="V110">
        <v>2.2875528921149132E-16</v>
      </c>
      <c r="W110">
        <v>1.436439574388876E-9</v>
      </c>
      <c r="X110">
        <v>1.4364408522561559E-9</v>
      </c>
      <c r="Y110">
        <v>1.4364403151390742E-9</v>
      </c>
      <c r="Z110">
        <v>1.4364399980057458E-9</v>
      </c>
      <c r="AA110">
        <v>1.4364407626303687E-9</v>
      </c>
    </row>
    <row r="111" spans="1:27">
      <c r="A111" t="s">
        <v>2527</v>
      </c>
      <c r="B111" t="s">
        <v>2528</v>
      </c>
      <c r="C111" t="s">
        <v>2354</v>
      </c>
      <c r="D111" t="s">
        <v>2386</v>
      </c>
      <c r="E111" t="s">
        <v>449</v>
      </c>
      <c r="F111">
        <v>1.0402943412796074E-4</v>
      </c>
      <c r="G111">
        <v>1.7069022507972416E-10</v>
      </c>
      <c r="H111">
        <v>1.0402896933275316E-4</v>
      </c>
      <c r="I111">
        <v>1.0402984009750705E-4</v>
      </c>
      <c r="J111">
        <v>1.0402945337573831E-4</v>
      </c>
      <c r="K111">
        <v>1.0402915583565658E-4</v>
      </c>
      <c r="L111">
        <v>1.0402970225605469E-4</v>
      </c>
      <c r="P111" t="s">
        <v>2527</v>
      </c>
      <c r="Q111" t="s">
        <v>2528</v>
      </c>
      <c r="R111" t="s">
        <v>2354</v>
      </c>
      <c r="S111" t="s">
        <v>2386</v>
      </c>
      <c r="T111" t="s">
        <v>449</v>
      </c>
      <c r="U111">
        <v>1.040294191525412E-4</v>
      </c>
      <c r="V111">
        <v>1.5800975973734903E-10</v>
      </c>
      <c r="W111">
        <v>1.0402889738718026E-4</v>
      </c>
      <c r="X111">
        <v>1.0402978005748948E-4</v>
      </c>
      <c r="Y111">
        <v>1.0402940905080659E-4</v>
      </c>
      <c r="Z111">
        <v>1.0402918999505853E-4</v>
      </c>
      <c r="AA111">
        <v>1.0402971814963518E-4</v>
      </c>
    </row>
    <row r="112" spans="1:27">
      <c r="A112" t="s">
        <v>2529</v>
      </c>
      <c r="B112" t="s">
        <v>2530</v>
      </c>
      <c r="C112" t="s">
        <v>2354</v>
      </c>
      <c r="D112" t="s">
        <v>2386</v>
      </c>
      <c r="E112" t="s">
        <v>449</v>
      </c>
      <c r="F112">
        <v>8.6812330400837422E-5</v>
      </c>
      <c r="G112">
        <v>1.5431372507232715E-10</v>
      </c>
      <c r="H112">
        <v>8.6811910199388617E-5</v>
      </c>
      <c r="I112">
        <v>8.6812697420524308E-5</v>
      </c>
      <c r="J112">
        <v>8.6812347801929111E-5</v>
      </c>
      <c r="K112">
        <v>8.6812078808679236E-5</v>
      </c>
      <c r="L112">
        <v>8.6812572803968342E-5</v>
      </c>
      <c r="P112" t="s">
        <v>2529</v>
      </c>
      <c r="Q112" t="s">
        <v>2530</v>
      </c>
      <c r="R112" t="s">
        <v>2354</v>
      </c>
      <c r="S112" t="s">
        <v>2386</v>
      </c>
      <c r="T112" t="s">
        <v>449</v>
      </c>
      <c r="U112">
        <v>8.6812316862201809E-5</v>
      </c>
      <c r="V112">
        <v>1.4284985921947535E-10</v>
      </c>
      <c r="W112">
        <v>8.6811845156476236E-5</v>
      </c>
      <c r="X112">
        <v>8.6812643140914773E-5</v>
      </c>
      <c r="Y112">
        <v>8.6812307729655948E-5</v>
      </c>
      <c r="Z112">
        <v>8.6812109690732132E-5</v>
      </c>
      <c r="AA112">
        <v>8.6812587172674043E-5</v>
      </c>
    </row>
    <row r="113" spans="1:27">
      <c r="A113" t="s">
        <v>2531</v>
      </c>
      <c r="B113" t="s">
        <v>2532</v>
      </c>
      <c r="C113" t="s">
        <v>2354</v>
      </c>
      <c r="D113" t="s">
        <v>2386</v>
      </c>
      <c r="E113" t="s">
        <v>449</v>
      </c>
      <c r="F113">
        <v>5.2229297501613332E-7</v>
      </c>
      <c r="G113">
        <v>2.9220052855082738E-13</v>
      </c>
      <c r="H113">
        <v>5.2229217934429408E-7</v>
      </c>
      <c r="I113">
        <v>5.2229366998572493E-7</v>
      </c>
      <c r="J113">
        <v>5.2229300796594505E-7</v>
      </c>
      <c r="K113">
        <v>5.2229249861416999E-7</v>
      </c>
      <c r="L113">
        <v>5.2229343401822758E-7</v>
      </c>
      <c r="P113" t="s">
        <v>2531</v>
      </c>
      <c r="Q113" t="s">
        <v>2532</v>
      </c>
      <c r="R113" t="s">
        <v>2354</v>
      </c>
      <c r="S113" t="s">
        <v>2386</v>
      </c>
      <c r="T113" t="s">
        <v>449</v>
      </c>
      <c r="U113">
        <v>5.2229294938006919E-7</v>
      </c>
      <c r="V113">
        <v>2.7049314211935902E-13</v>
      </c>
      <c r="W113">
        <v>5.2229205618238244E-7</v>
      </c>
      <c r="X113">
        <v>5.2229356720464964E-7</v>
      </c>
      <c r="Y113">
        <v>5.2229293208715074E-7</v>
      </c>
      <c r="Z113">
        <v>5.2229255709083609E-7</v>
      </c>
      <c r="AA113">
        <v>5.2229346122606924E-7</v>
      </c>
    </row>
    <row r="114" spans="1:27">
      <c r="A114" t="s">
        <v>2533</v>
      </c>
      <c r="B114" t="s">
        <v>2534</v>
      </c>
      <c r="C114" t="s">
        <v>2354</v>
      </c>
      <c r="D114" t="s">
        <v>2386</v>
      </c>
      <c r="E114" t="s">
        <v>449</v>
      </c>
      <c r="F114">
        <v>1.1650130487391891E-6</v>
      </c>
      <c r="G114">
        <v>2.1654303515916552E-12</v>
      </c>
      <c r="H114">
        <v>1.1650071521997166E-6</v>
      </c>
      <c r="I114">
        <v>1.1650181989976589E-6</v>
      </c>
      <c r="J114">
        <v>1.1650132929226023E-6</v>
      </c>
      <c r="K114">
        <v>1.1650095182347229E-6</v>
      </c>
      <c r="L114">
        <v>1.1650164502972603E-6</v>
      </c>
      <c r="P114" t="s">
        <v>2533</v>
      </c>
      <c r="Q114" t="s">
        <v>2534</v>
      </c>
      <c r="R114" t="s">
        <v>2354</v>
      </c>
      <c r="S114" t="s">
        <v>2386</v>
      </c>
      <c r="T114" t="s">
        <v>449</v>
      </c>
      <c r="U114">
        <v>1.1650128587562657E-6</v>
      </c>
      <c r="V114">
        <v>2.004561945015925E-12</v>
      </c>
      <c r="W114">
        <v>1.1650062394753521E-6</v>
      </c>
      <c r="X114">
        <v>1.1650174373109465E-6</v>
      </c>
      <c r="Y114">
        <v>1.1650127306024552E-6</v>
      </c>
      <c r="Z114">
        <v>1.1650099515917339E-6</v>
      </c>
      <c r="AA114">
        <v>1.1650166519282649E-6</v>
      </c>
    </row>
    <row r="115" spans="1:27">
      <c r="A115" t="s">
        <v>2535</v>
      </c>
      <c r="B115" t="s">
        <v>2536</v>
      </c>
      <c r="C115" t="s">
        <v>2354</v>
      </c>
      <c r="D115" t="s">
        <v>2386</v>
      </c>
      <c r="E115" t="s">
        <v>449</v>
      </c>
      <c r="F115">
        <v>5.4498190033200352E-7</v>
      </c>
      <c r="G115">
        <v>1.7415302906488867E-13</v>
      </c>
      <c r="H115">
        <v>5.449814261074647E-7</v>
      </c>
      <c r="I115">
        <v>5.4498231453748135E-7</v>
      </c>
      <c r="J115">
        <v>5.4498191997026219E-7</v>
      </c>
      <c r="K115">
        <v>5.4498161639396507E-7</v>
      </c>
      <c r="L115">
        <v>5.4498217389963019E-7</v>
      </c>
      <c r="P115" t="s">
        <v>2535</v>
      </c>
      <c r="Q115" t="s">
        <v>2536</v>
      </c>
      <c r="R115" t="s">
        <v>2354</v>
      </c>
      <c r="S115" t="s">
        <v>2386</v>
      </c>
      <c r="T115" t="s">
        <v>449</v>
      </c>
      <c r="U115">
        <v>5.4498188505277694E-7</v>
      </c>
      <c r="V115">
        <v>1.6121531427498842E-13</v>
      </c>
      <c r="W115">
        <v>5.449813527023272E-7</v>
      </c>
      <c r="X115">
        <v>5.4498225327942788E-7</v>
      </c>
      <c r="Y115">
        <v>5.4498187474610767E-7</v>
      </c>
      <c r="Z115">
        <v>5.4498165124636102E-7</v>
      </c>
      <c r="AA115">
        <v>5.4498219011564483E-7</v>
      </c>
    </row>
    <row r="116" spans="1:27">
      <c r="A116" t="s">
        <v>2537</v>
      </c>
      <c r="B116" t="s">
        <v>2538</v>
      </c>
      <c r="C116" t="s">
        <v>2354</v>
      </c>
      <c r="D116" t="s">
        <v>2386</v>
      </c>
      <c r="E116" t="s">
        <v>449</v>
      </c>
      <c r="F116">
        <v>1.1927102221466113E-7</v>
      </c>
      <c r="G116">
        <v>3.8113948760442617E-14</v>
      </c>
      <c r="H116">
        <v>1.1927091842910036E-7</v>
      </c>
      <c r="I116">
        <v>1.1927111286485787E-7</v>
      </c>
      <c r="J116">
        <v>1.1927102651255697E-7</v>
      </c>
      <c r="K116">
        <v>1.1927096007391101E-7</v>
      </c>
      <c r="L116">
        <v>1.1927108208581327E-7</v>
      </c>
      <c r="P116" t="s">
        <v>2537</v>
      </c>
      <c r="Q116" t="s">
        <v>2538</v>
      </c>
      <c r="R116" t="s">
        <v>2354</v>
      </c>
      <c r="S116" t="s">
        <v>2386</v>
      </c>
      <c r="T116" t="s">
        <v>449</v>
      </c>
      <c r="U116">
        <v>1.1927101887075339E-7</v>
      </c>
      <c r="V116">
        <v>3.5282488398222074E-14</v>
      </c>
      <c r="W116">
        <v>1.1927090236415069E-7</v>
      </c>
      <c r="X116">
        <v>1.1927109945833649E-7</v>
      </c>
      <c r="Y116">
        <v>1.1927101661510573E-7</v>
      </c>
      <c r="Z116">
        <v>1.1927096770146964E-7</v>
      </c>
      <c r="AA116">
        <v>1.1927108563474005E-7</v>
      </c>
    </row>
    <row r="117" spans="1:27">
      <c r="A117" t="s">
        <v>2539</v>
      </c>
      <c r="B117" t="s">
        <v>2540</v>
      </c>
      <c r="C117" t="s">
        <v>2354</v>
      </c>
      <c r="D117" t="s">
        <v>2386</v>
      </c>
      <c r="E117" t="s">
        <v>449</v>
      </c>
      <c r="F117">
        <v>1.2270591603176604E-6</v>
      </c>
      <c r="G117">
        <v>6.4125690816886158E-13</v>
      </c>
      <c r="H117">
        <v>1.2270574141535929E-6</v>
      </c>
      <c r="I117">
        <v>1.2270606854827716E-6</v>
      </c>
      <c r="J117">
        <v>1.2270592326285988E-6</v>
      </c>
      <c r="K117">
        <v>1.2270581148163002E-6</v>
      </c>
      <c r="L117">
        <v>1.2270601676336477E-6</v>
      </c>
      <c r="P117" t="s">
        <v>2539</v>
      </c>
      <c r="Q117" t="s">
        <v>2540</v>
      </c>
      <c r="R117" t="s">
        <v>2354</v>
      </c>
      <c r="S117" t="s">
        <v>2386</v>
      </c>
      <c r="T117" t="s">
        <v>449</v>
      </c>
      <c r="U117">
        <v>1.2270591040573136E-6</v>
      </c>
      <c r="V117">
        <v>5.9361835127727895E-13</v>
      </c>
      <c r="W117">
        <v>1.2270571438651471E-6</v>
      </c>
      <c r="X117">
        <v>1.2270604599216651E-6</v>
      </c>
      <c r="Y117">
        <v>1.2270590661066516E-6</v>
      </c>
      <c r="Z117">
        <v>1.2270582431479166E-6</v>
      </c>
      <c r="AA117">
        <v>1.2270602273433837E-6</v>
      </c>
    </row>
    <row r="118" spans="1:27">
      <c r="A118" t="s">
        <v>2541</v>
      </c>
      <c r="B118" t="s">
        <v>2542</v>
      </c>
      <c r="C118" t="s">
        <v>2354</v>
      </c>
      <c r="D118" t="s">
        <v>2386</v>
      </c>
      <c r="E118" t="s">
        <v>449</v>
      </c>
      <c r="F118">
        <v>7.6381651677182043E-7</v>
      </c>
      <c r="G118">
        <v>5.7103641677430527E-13</v>
      </c>
      <c r="H118">
        <v>7.6381496182050605E-7</v>
      </c>
      <c r="I118">
        <v>7.6381787492454995E-7</v>
      </c>
      <c r="J118">
        <v>7.6381658116438856E-7</v>
      </c>
      <c r="K118">
        <v>7.638155857575221E-7</v>
      </c>
      <c r="L118">
        <v>7.6381741378221444E-7</v>
      </c>
      <c r="P118" t="s">
        <v>2541</v>
      </c>
      <c r="Q118" t="s">
        <v>2542</v>
      </c>
      <c r="R118" t="s">
        <v>2354</v>
      </c>
      <c r="S118" t="s">
        <v>2386</v>
      </c>
      <c r="T118" t="s">
        <v>449</v>
      </c>
      <c r="U118">
        <v>7.6381646667223299E-7</v>
      </c>
      <c r="V118">
        <v>5.286144943181844E-13</v>
      </c>
      <c r="W118">
        <v>7.6381472112985061E-7</v>
      </c>
      <c r="X118">
        <v>7.6381767406339052E-7</v>
      </c>
      <c r="Y118">
        <v>7.6381643287733724E-7</v>
      </c>
      <c r="Z118">
        <v>7.6381570003625405E-7</v>
      </c>
      <c r="AA118">
        <v>7.6381746695346797E-7</v>
      </c>
    </row>
    <row r="119" spans="1:27">
      <c r="A119" t="s">
        <v>2543</v>
      </c>
      <c r="B119" t="s">
        <v>2544</v>
      </c>
      <c r="C119" t="s">
        <v>2354</v>
      </c>
      <c r="D119" t="s">
        <v>2386</v>
      </c>
      <c r="E119" t="s">
        <v>449</v>
      </c>
      <c r="F119">
        <v>8.9254059197940154E-7</v>
      </c>
      <c r="G119">
        <v>2.8521799271849752E-13</v>
      </c>
      <c r="H119">
        <v>8.9253981532124142E-7</v>
      </c>
      <c r="I119">
        <v>8.9254127034173314E-7</v>
      </c>
      <c r="J119">
        <v>8.9254062414183187E-7</v>
      </c>
      <c r="K119">
        <v>8.9254012696172185E-7</v>
      </c>
      <c r="L119">
        <v>8.925410400130057E-7</v>
      </c>
      <c r="P119" t="s">
        <v>2543</v>
      </c>
      <c r="Q119" t="s">
        <v>2544</v>
      </c>
      <c r="R119" t="s">
        <v>2354</v>
      </c>
      <c r="S119" t="s">
        <v>2386</v>
      </c>
      <c r="T119" t="s">
        <v>449</v>
      </c>
      <c r="U119">
        <v>8.9254056695594678E-7</v>
      </c>
      <c r="V119">
        <v>2.6402933431386493E-13</v>
      </c>
      <c r="W119">
        <v>8.9253969510245406E-7</v>
      </c>
      <c r="X119">
        <v>8.9254117001675397E-7</v>
      </c>
      <c r="Y119">
        <v>8.9254055007626617E-7</v>
      </c>
      <c r="Z119">
        <v>8.925401840410073E-7</v>
      </c>
      <c r="AA119">
        <v>8.9254106657067831E-7</v>
      </c>
    </row>
    <row r="120" spans="1:27">
      <c r="A120" t="s">
        <v>2545</v>
      </c>
      <c r="B120" t="s">
        <v>2546</v>
      </c>
      <c r="C120" t="s">
        <v>2354</v>
      </c>
      <c r="D120" t="s">
        <v>2386</v>
      </c>
      <c r="E120" t="s">
        <v>449</v>
      </c>
      <c r="F120">
        <v>9.2365251143200834E-7</v>
      </c>
      <c r="G120">
        <v>6.4034639291367287E-13</v>
      </c>
      <c r="H120">
        <v>9.2365076774730431E-7</v>
      </c>
      <c r="I120">
        <v>9.2365403443155033E-7</v>
      </c>
      <c r="J120">
        <v>9.2365258364027304E-7</v>
      </c>
      <c r="K120">
        <v>9.2365146741514648E-7</v>
      </c>
      <c r="L120">
        <v>9.2365351731771591E-7</v>
      </c>
      <c r="P120" t="s">
        <v>2545</v>
      </c>
      <c r="Q120" t="s">
        <v>2546</v>
      </c>
      <c r="R120" t="s">
        <v>2354</v>
      </c>
      <c r="S120" t="s">
        <v>2386</v>
      </c>
      <c r="T120" t="s">
        <v>449</v>
      </c>
      <c r="U120">
        <v>9.2365245525154523E-7</v>
      </c>
      <c r="V120">
        <v>5.9277547759824725E-13</v>
      </c>
      <c r="W120">
        <v>9.236504978426389E-7</v>
      </c>
      <c r="X120">
        <v>9.2365380919071623E-7</v>
      </c>
      <c r="Y120">
        <v>9.2365241735476876E-7</v>
      </c>
      <c r="Z120">
        <v>9.2365159556454598E-7</v>
      </c>
      <c r="AA120">
        <v>9.2365357694267048E-7</v>
      </c>
    </row>
    <row r="121" spans="1:27">
      <c r="A121" t="s">
        <v>2547</v>
      </c>
      <c r="B121" t="s">
        <v>2548</v>
      </c>
      <c r="C121" t="s">
        <v>2354</v>
      </c>
      <c r="D121" t="s">
        <v>2386</v>
      </c>
      <c r="E121" t="s">
        <v>449</v>
      </c>
      <c r="F121">
        <v>5.3444598971269802E-14</v>
      </c>
      <c r="G121">
        <v>4.9192942218367628E-20</v>
      </c>
      <c r="H121">
        <v>5.3444465017238266E-14</v>
      </c>
      <c r="I121">
        <v>5.3444715971739052E-14</v>
      </c>
      <c r="J121">
        <v>5.3444604518481457E-14</v>
      </c>
      <c r="K121">
        <v>5.3444518767396175E-14</v>
      </c>
      <c r="L121">
        <v>5.344467624581686E-14</v>
      </c>
      <c r="P121" t="s">
        <v>2547</v>
      </c>
      <c r="Q121" t="s">
        <v>2548</v>
      </c>
      <c r="R121" t="s">
        <v>2354</v>
      </c>
      <c r="S121" t="s">
        <v>2386</v>
      </c>
      <c r="T121" t="s">
        <v>449</v>
      </c>
      <c r="U121">
        <v>5.3444594655352196E-14</v>
      </c>
      <c r="V121">
        <v>4.5538430669059211E-20</v>
      </c>
      <c r="W121">
        <v>5.3444444282515998E-14</v>
      </c>
      <c r="X121">
        <v>5.3444698668199181E-14</v>
      </c>
      <c r="Y121">
        <v>5.3444591744031111E-14</v>
      </c>
      <c r="Z121">
        <v>5.3444528612139688E-14</v>
      </c>
      <c r="AA121">
        <v>5.3444680826348554E-14</v>
      </c>
    </row>
    <row r="122" spans="1:27">
      <c r="A122" t="s">
        <v>2549</v>
      </c>
      <c r="B122" t="s">
        <v>2550</v>
      </c>
      <c r="C122" t="s">
        <v>2354</v>
      </c>
      <c r="D122" t="s">
        <v>2386</v>
      </c>
      <c r="E122" t="s">
        <v>449</v>
      </c>
      <c r="F122">
        <v>5.1835986263980908E-6</v>
      </c>
      <c r="G122">
        <v>2.3790271057908606E-12</v>
      </c>
      <c r="H122">
        <v>5.1835921482274933E-6</v>
      </c>
      <c r="I122">
        <v>5.1836042846749748E-6</v>
      </c>
      <c r="J122">
        <v>5.1835988946676104E-6</v>
      </c>
      <c r="K122">
        <v>5.1835947476467769E-6</v>
      </c>
      <c r="L122">
        <v>5.1836023634838151E-6</v>
      </c>
      <c r="P122" t="s">
        <v>2549</v>
      </c>
      <c r="Q122" t="s">
        <v>2550</v>
      </c>
      <c r="R122" t="s">
        <v>2354</v>
      </c>
      <c r="S122" t="s">
        <v>2386</v>
      </c>
      <c r="T122" t="s">
        <v>449</v>
      </c>
      <c r="U122">
        <v>5.1835984176753642E-6</v>
      </c>
      <c r="V122">
        <v>2.2022907358276871E-12</v>
      </c>
      <c r="W122">
        <v>5.1835911454725438E-6</v>
      </c>
      <c r="X122">
        <v>5.1836034478559413E-6</v>
      </c>
      <c r="Y122">
        <v>5.1835982768805406E-6</v>
      </c>
      <c r="Z122">
        <v>5.1835952237498638E-6</v>
      </c>
      <c r="AA122">
        <v>5.1836025850035814E-6</v>
      </c>
    </row>
    <row r="123" spans="1:27">
      <c r="A123" t="s">
        <v>2551</v>
      </c>
      <c r="B123" t="s">
        <v>2552</v>
      </c>
      <c r="C123" t="s">
        <v>2354</v>
      </c>
      <c r="D123" t="s">
        <v>2386</v>
      </c>
      <c r="E123" t="s">
        <v>449</v>
      </c>
      <c r="F123">
        <v>2.2542690074979298E-4</v>
      </c>
      <c r="G123">
        <v>2.0792736864569125E-10</v>
      </c>
      <c r="H123">
        <v>2.2542633455659459E-4</v>
      </c>
      <c r="I123">
        <v>2.25427395284143E-4</v>
      </c>
      <c r="J123">
        <v>2.2542692419659399E-4</v>
      </c>
      <c r="K123">
        <v>2.2542656174627659E-4</v>
      </c>
      <c r="L123">
        <v>2.2542722737171295E-4</v>
      </c>
      <c r="P123" t="s">
        <v>2551</v>
      </c>
      <c r="Q123" t="s">
        <v>2552</v>
      </c>
      <c r="R123" t="s">
        <v>2354</v>
      </c>
      <c r="S123" t="s">
        <v>2386</v>
      </c>
      <c r="T123" t="s">
        <v>449</v>
      </c>
      <c r="U123">
        <v>2.2542688250739182E-4</v>
      </c>
      <c r="V123">
        <v>1.9248058022623247E-10</v>
      </c>
      <c r="W123">
        <v>2.2542624691564356E-4</v>
      </c>
      <c r="X123">
        <v>2.2542732214601889E-4</v>
      </c>
      <c r="Y123">
        <v>2.2542687020190032E-4</v>
      </c>
      <c r="Z123">
        <v>2.254266033577664E-4</v>
      </c>
      <c r="AA123">
        <v>2.2542724673257775E-4</v>
      </c>
    </row>
    <row r="124" spans="1:27">
      <c r="A124" t="s">
        <v>2553</v>
      </c>
      <c r="B124" t="s">
        <v>2554</v>
      </c>
      <c r="C124" t="s">
        <v>2354</v>
      </c>
      <c r="D124" t="s">
        <v>2386</v>
      </c>
      <c r="E124" t="s">
        <v>449</v>
      </c>
      <c r="F124">
        <v>1.6985585433710275E-6</v>
      </c>
      <c r="G124">
        <v>2.9285295362921386E-12</v>
      </c>
      <c r="H124">
        <v>1.6985505688868812E-6</v>
      </c>
      <c r="I124">
        <v>1.6985655085842174E-6</v>
      </c>
      <c r="J124">
        <v>1.6985588736048471E-6</v>
      </c>
      <c r="K124">
        <v>1.6985537687142937E-6</v>
      </c>
      <c r="L124">
        <v>1.6985631436405635E-6</v>
      </c>
      <c r="P124" t="s">
        <v>2553</v>
      </c>
      <c r="Q124" t="s">
        <v>2554</v>
      </c>
      <c r="R124" t="s">
        <v>2354</v>
      </c>
      <c r="S124" t="s">
        <v>2386</v>
      </c>
      <c r="T124" t="s">
        <v>449</v>
      </c>
      <c r="U124">
        <v>1.698558286437987E-6</v>
      </c>
      <c r="V124">
        <v>2.7109709896685003E-12</v>
      </c>
      <c r="W124">
        <v>1.6985493345178062E-6</v>
      </c>
      <c r="X124">
        <v>1.6985644784785698E-6</v>
      </c>
      <c r="Y124">
        <v>1.6985581131226833E-6</v>
      </c>
      <c r="Z124">
        <v>1.6985543547866216E-6</v>
      </c>
      <c r="AA124">
        <v>1.6985634163264766E-6</v>
      </c>
    </row>
    <row r="125" spans="1:27">
      <c r="A125" t="s">
        <v>2555</v>
      </c>
      <c r="B125" t="s">
        <v>2556</v>
      </c>
      <c r="C125" t="s">
        <v>2354</v>
      </c>
      <c r="D125" t="s">
        <v>2386</v>
      </c>
      <c r="E125" t="s">
        <v>449</v>
      </c>
      <c r="F125">
        <v>7.2902278978212942E-8</v>
      </c>
      <c r="G125">
        <v>5.5008444756959503E-14</v>
      </c>
      <c r="H125">
        <v>7.2902129188372985E-8</v>
      </c>
      <c r="I125">
        <v>7.2902409810270567E-8</v>
      </c>
      <c r="J125">
        <v>7.290228518120617E-8</v>
      </c>
      <c r="K125">
        <v>7.2902189292779397E-8</v>
      </c>
      <c r="L125">
        <v>7.2902365388020169E-8</v>
      </c>
      <c r="P125" t="s">
        <v>2555</v>
      </c>
      <c r="Q125" t="s">
        <v>2556</v>
      </c>
      <c r="R125" t="s">
        <v>2354</v>
      </c>
      <c r="S125" t="s">
        <v>2386</v>
      </c>
      <c r="T125" t="s">
        <v>449</v>
      </c>
      <c r="U125">
        <v>7.2902274152075198E-8</v>
      </c>
      <c r="V125">
        <v>5.0921903322746647E-14</v>
      </c>
      <c r="W125">
        <v>7.290210600242855E-8</v>
      </c>
      <c r="X125">
        <v>7.2902390461136832E-8</v>
      </c>
      <c r="Y125">
        <v>7.2902270896582919E-8</v>
      </c>
      <c r="Z125">
        <v>7.2902200301351066E-8</v>
      </c>
      <c r="AA125">
        <v>7.2902370510054222E-8</v>
      </c>
    </row>
    <row r="126" spans="1:27">
      <c r="A126" t="s">
        <v>2557</v>
      </c>
      <c r="B126" t="s">
        <v>2558</v>
      </c>
      <c r="C126" t="s">
        <v>2354</v>
      </c>
      <c r="D126" t="s">
        <v>2386</v>
      </c>
      <c r="E126" t="s">
        <v>449</v>
      </c>
      <c r="F126">
        <v>8.0743537317276175E-8</v>
      </c>
      <c r="G126">
        <v>5.4604793874787668E-13</v>
      </c>
      <c r="H126">
        <v>8.0742050410425333E-8</v>
      </c>
      <c r="I126">
        <v>8.0744836037421691E-8</v>
      </c>
      <c r="J126">
        <v>8.0743598892033924E-8</v>
      </c>
      <c r="K126">
        <v>8.0742647044040049E-8</v>
      </c>
      <c r="L126">
        <v>8.0744395074613784E-8</v>
      </c>
      <c r="P126" t="s">
        <v>2557</v>
      </c>
      <c r="Q126" t="s">
        <v>2558</v>
      </c>
      <c r="R126" t="s">
        <v>2354</v>
      </c>
      <c r="S126" t="s">
        <v>2386</v>
      </c>
      <c r="T126" t="s">
        <v>449</v>
      </c>
      <c r="U126">
        <v>8.074348941003974E-8</v>
      </c>
      <c r="V126">
        <v>5.0548239400485902E-13</v>
      </c>
      <c r="W126">
        <v>8.074182025236111E-8</v>
      </c>
      <c r="X126">
        <v>8.0744643965920098E-8</v>
      </c>
      <c r="Y126">
        <v>8.0743457094004273E-8</v>
      </c>
      <c r="Z126">
        <v>8.0742756321949877E-8</v>
      </c>
      <c r="AA126">
        <v>8.0744445919100388E-8</v>
      </c>
    </row>
    <row r="127" spans="1:27">
      <c r="A127" t="s">
        <v>2559</v>
      </c>
      <c r="B127" t="s">
        <v>2560</v>
      </c>
      <c r="C127" t="s">
        <v>2354</v>
      </c>
      <c r="D127" t="s">
        <v>2386</v>
      </c>
      <c r="E127" t="s">
        <v>449</v>
      </c>
      <c r="F127">
        <v>8.7144230973886669E-2</v>
      </c>
      <c r="G127">
        <v>4.7388898949820835E-6</v>
      </c>
      <c r="H127">
        <v>8.7131326817767293E-2</v>
      </c>
      <c r="I127">
        <v>8.7155501947252273E-2</v>
      </c>
      <c r="J127">
        <v>8.7144765351871725E-2</v>
      </c>
      <c r="K127">
        <v>8.7136504716642332E-2</v>
      </c>
      <c r="L127">
        <v>8.7151675041139798E-2</v>
      </c>
      <c r="P127" t="s">
        <v>2559</v>
      </c>
      <c r="Q127" t="s">
        <v>2560</v>
      </c>
      <c r="R127" t="s">
        <v>2354</v>
      </c>
      <c r="S127" t="s">
        <v>2386</v>
      </c>
      <c r="T127" t="s">
        <v>449</v>
      </c>
      <c r="U127">
        <v>8.7143815209807268E-2</v>
      </c>
      <c r="V127">
        <v>4.3868408596632414E-6</v>
      </c>
      <c r="W127">
        <v>8.7129329385587109E-2</v>
      </c>
      <c r="X127">
        <v>8.715383505020273E-2</v>
      </c>
      <c r="Y127">
        <v>8.7143534754332272E-2</v>
      </c>
      <c r="Z127">
        <v>8.7137453087556091E-2</v>
      </c>
      <c r="AA127">
        <v>8.7152116296214138E-2</v>
      </c>
    </row>
    <row r="128" spans="1:27">
      <c r="A128" t="s">
        <v>2561</v>
      </c>
      <c r="B128" t="s">
        <v>2562</v>
      </c>
      <c r="C128" t="s">
        <v>2354</v>
      </c>
      <c r="D128" t="s">
        <v>2386</v>
      </c>
      <c r="E128" t="s">
        <v>449</v>
      </c>
      <c r="F128">
        <v>1.1014084753087464E-7</v>
      </c>
      <c r="G128">
        <v>4.8583340016789519E-15</v>
      </c>
      <c r="H128">
        <v>1.101408343014682E-7</v>
      </c>
      <c r="I128">
        <v>1.1014085908593379E-7</v>
      </c>
      <c r="J128">
        <v>1.1014084807872165E-7</v>
      </c>
      <c r="K128">
        <v>1.1014083960987643E-7</v>
      </c>
      <c r="L128">
        <v>1.101408551625702E-7</v>
      </c>
      <c r="P128" t="s">
        <v>2561</v>
      </c>
      <c r="Q128" t="s">
        <v>2562</v>
      </c>
      <c r="R128" t="s">
        <v>2354</v>
      </c>
      <c r="S128" t="s">
        <v>2386</v>
      </c>
      <c r="T128" t="s">
        <v>449</v>
      </c>
      <c r="U128">
        <v>1.1014084710463118E-7</v>
      </c>
      <c r="V128">
        <v>4.4974115419835556E-15</v>
      </c>
      <c r="W128">
        <v>1.1014083225369057E-7</v>
      </c>
      <c r="X128">
        <v>1.1014085737702247E-7</v>
      </c>
      <c r="Y128">
        <v>1.101408468171068E-7</v>
      </c>
      <c r="Z128">
        <v>1.1014084058215112E-7</v>
      </c>
      <c r="AA128">
        <v>1.1014085561494715E-7</v>
      </c>
    </row>
    <row r="129" spans="1:27">
      <c r="A129" t="s">
        <v>2563</v>
      </c>
      <c r="B129" t="s">
        <v>2564</v>
      </c>
      <c r="C129" t="s">
        <v>2354</v>
      </c>
      <c r="D129" t="s">
        <v>2386</v>
      </c>
      <c r="E129" t="s">
        <v>449</v>
      </c>
      <c r="F129">
        <v>4.8716042308916331E-12</v>
      </c>
      <c r="G129">
        <v>3.6758708851960341E-18</v>
      </c>
      <c r="H129">
        <v>4.8715942213719279E-12</v>
      </c>
      <c r="I129">
        <v>4.8716129735811144E-12</v>
      </c>
      <c r="J129">
        <v>4.8716046453989369E-12</v>
      </c>
      <c r="K129">
        <v>4.8715982377741116E-12</v>
      </c>
      <c r="L129">
        <v>4.8716100051194972E-12</v>
      </c>
      <c r="P129" t="s">
        <v>2563</v>
      </c>
      <c r="Q129" t="s">
        <v>2564</v>
      </c>
      <c r="R129" t="s">
        <v>2354</v>
      </c>
      <c r="S129" t="s">
        <v>2386</v>
      </c>
      <c r="T129" t="s">
        <v>449</v>
      </c>
      <c r="U129">
        <v>4.8716039083909825E-12</v>
      </c>
      <c r="V129">
        <v>3.4027928378709248E-18</v>
      </c>
      <c r="W129">
        <v>4.8715926720000374E-12</v>
      </c>
      <c r="X129">
        <v>4.8716116805993251E-12</v>
      </c>
      <c r="Y129">
        <v>4.8716036908467595E-12</v>
      </c>
      <c r="Z129">
        <v>4.8715989734082175E-12</v>
      </c>
      <c r="AA129">
        <v>4.8716103473930505E-12</v>
      </c>
    </row>
    <row r="130" spans="1:27">
      <c r="A130" t="s">
        <v>2565</v>
      </c>
      <c r="B130" t="s">
        <v>2566</v>
      </c>
      <c r="C130" t="s">
        <v>2354</v>
      </c>
      <c r="D130" t="s">
        <v>2386</v>
      </c>
      <c r="E130" t="s">
        <v>449</v>
      </c>
      <c r="F130">
        <v>1.5754837231940236E-10</v>
      </c>
      <c r="G130">
        <v>1.0654594261098619E-15</v>
      </c>
      <c r="H130">
        <v>1.5754547103765108E-10</v>
      </c>
      <c r="I130">
        <v>1.5755090640757064E-10</v>
      </c>
      <c r="J130">
        <v>1.5754849246527485E-10</v>
      </c>
      <c r="K130">
        <v>1.5754663520083828E-10</v>
      </c>
      <c r="L130">
        <v>1.5755004599230867E-10</v>
      </c>
      <c r="P130" t="s">
        <v>2565</v>
      </c>
      <c r="Q130" t="s">
        <v>2566</v>
      </c>
      <c r="R130" t="s">
        <v>2354</v>
      </c>
      <c r="S130" t="s">
        <v>2386</v>
      </c>
      <c r="T130" t="s">
        <v>449</v>
      </c>
      <c r="U130">
        <v>1.5754827884186492E-10</v>
      </c>
      <c r="V130">
        <v>9.8630714119730367E-16</v>
      </c>
      <c r="W130">
        <v>1.5754502194873121E-10</v>
      </c>
      <c r="X130">
        <v>1.5755053163389724E-10</v>
      </c>
      <c r="Y130">
        <v>1.5754821578618391E-10</v>
      </c>
      <c r="Z130">
        <v>1.5754684842603486E-10</v>
      </c>
      <c r="AA130">
        <v>1.5755014520106614E-10</v>
      </c>
    </row>
    <row r="131" spans="1:27">
      <c r="A131" t="s">
        <v>2567</v>
      </c>
      <c r="B131" t="s">
        <v>2568</v>
      </c>
      <c r="C131" t="s">
        <v>2354</v>
      </c>
      <c r="D131" t="s">
        <v>2386</v>
      </c>
      <c r="E131" t="s">
        <v>449</v>
      </c>
      <c r="F131">
        <v>5.3600428516255037E-10</v>
      </c>
      <c r="G131">
        <v>9.2413920974710185E-16</v>
      </c>
      <c r="H131">
        <v>5.3600176870048802E-10</v>
      </c>
      <c r="I131">
        <v>5.3600648313478656E-10</v>
      </c>
      <c r="J131">
        <v>5.3600438937253628E-10</v>
      </c>
      <c r="K131">
        <v>5.3600277845160701E-10</v>
      </c>
      <c r="L131">
        <v>5.3600573684312986E-10</v>
      </c>
      <c r="P131" t="s">
        <v>2567</v>
      </c>
      <c r="Q131" t="s">
        <v>2568</v>
      </c>
      <c r="R131" t="s">
        <v>2354</v>
      </c>
      <c r="S131" t="s">
        <v>2386</v>
      </c>
      <c r="T131" t="s">
        <v>449</v>
      </c>
      <c r="U131">
        <v>5.3600420408366982E-10</v>
      </c>
      <c r="V131">
        <v>8.5548551141431415E-16</v>
      </c>
      <c r="W131">
        <v>5.3600137917774375E-10</v>
      </c>
      <c r="X131">
        <v>5.360061580702765E-10</v>
      </c>
      <c r="Y131">
        <v>5.3600414939155705E-10</v>
      </c>
      <c r="Z131">
        <v>5.3600296339507821E-10</v>
      </c>
      <c r="AA131">
        <v>5.3600582289305394E-10</v>
      </c>
    </row>
    <row r="132" spans="1:27">
      <c r="A132" t="s">
        <v>2569</v>
      </c>
      <c r="B132" t="s">
        <v>2570</v>
      </c>
      <c r="C132" t="s">
        <v>2354</v>
      </c>
      <c r="D132" t="s">
        <v>2386</v>
      </c>
      <c r="E132" t="s">
        <v>449</v>
      </c>
      <c r="F132">
        <v>5.7157959878986774E-8</v>
      </c>
      <c r="G132">
        <v>5.6919144123107981E-14</v>
      </c>
      <c r="H132">
        <v>5.7157804886248348E-8</v>
      </c>
      <c r="I132">
        <v>5.7158095255450805E-8</v>
      </c>
      <c r="J132">
        <v>5.7157966297438826E-8</v>
      </c>
      <c r="K132">
        <v>5.7157867078360601E-8</v>
      </c>
      <c r="L132">
        <v>5.7158049290208867E-8</v>
      </c>
      <c r="P132" t="s">
        <v>2569</v>
      </c>
      <c r="Q132" t="s">
        <v>2570</v>
      </c>
      <c r="R132" t="s">
        <v>2354</v>
      </c>
      <c r="S132" t="s">
        <v>2386</v>
      </c>
      <c r="T132" t="s">
        <v>449</v>
      </c>
      <c r="U132">
        <v>5.7157954885214797E-8</v>
      </c>
      <c r="V132">
        <v>5.2690658080413548E-14</v>
      </c>
      <c r="W132">
        <v>5.7157780894948136E-8</v>
      </c>
      <c r="X132">
        <v>5.7158075234231598E-8</v>
      </c>
      <c r="Y132">
        <v>5.7157951516644115E-8</v>
      </c>
      <c r="Z132">
        <v>5.7157878469311213E-8</v>
      </c>
      <c r="AA132">
        <v>5.7158054590154998E-8</v>
      </c>
    </row>
    <row r="133" spans="1:27">
      <c r="A133" t="s">
        <v>2571</v>
      </c>
      <c r="B133" t="s">
        <v>5</v>
      </c>
      <c r="C133" t="s">
        <v>2354</v>
      </c>
      <c r="D133" t="s">
        <v>2386</v>
      </c>
      <c r="E133" t="s">
        <v>449</v>
      </c>
      <c r="F133">
        <v>1.5585900044897148E-6</v>
      </c>
      <c r="G133">
        <v>1.0029537042762122E-11</v>
      </c>
      <c r="H133">
        <v>1.5585626937239716E-6</v>
      </c>
      <c r="I133">
        <v>1.5586138587356213E-6</v>
      </c>
      <c r="J133">
        <v>1.55859113546425E-6</v>
      </c>
      <c r="K133">
        <v>1.5585736523935592E-6</v>
      </c>
      <c r="L133">
        <v>1.5586057593500131E-6</v>
      </c>
      <c r="P133" t="s">
        <v>2571</v>
      </c>
      <c r="Q133" t="s">
        <v>5</v>
      </c>
      <c r="R133" t="s">
        <v>2354</v>
      </c>
      <c r="S133" t="s">
        <v>2386</v>
      </c>
      <c r="T133" t="s">
        <v>449</v>
      </c>
      <c r="U133">
        <v>1.5585891245534165E-6</v>
      </c>
      <c r="V133">
        <v>9.2844492861798222E-12</v>
      </c>
      <c r="W133">
        <v>1.5585584662950831E-6</v>
      </c>
      <c r="X133">
        <v>1.5586103308617785E-6</v>
      </c>
      <c r="Y133">
        <v>1.5585885309885437E-6</v>
      </c>
      <c r="Z133">
        <v>1.5585756595558737E-6</v>
      </c>
      <c r="AA133">
        <v>1.5586066932362631E-6</v>
      </c>
    </row>
    <row r="134" spans="1:27">
      <c r="A134" t="s">
        <v>2572</v>
      </c>
      <c r="B134" t="s">
        <v>2573</v>
      </c>
      <c r="C134" t="s">
        <v>2354</v>
      </c>
      <c r="D134" t="s">
        <v>2386</v>
      </c>
      <c r="E134" t="s">
        <v>449</v>
      </c>
      <c r="F134">
        <v>5.6346915286894825E-6</v>
      </c>
      <c r="G134">
        <v>6.4571039887930297E-11</v>
      </c>
      <c r="H134">
        <v>5.6345156995822525E-6</v>
      </c>
      <c r="I134">
        <v>5.6348451044185884E-6</v>
      </c>
      <c r="J134">
        <v>5.6346988100028199E-6</v>
      </c>
      <c r="K134">
        <v>5.6345862524590249E-6</v>
      </c>
      <c r="L134">
        <v>5.6347929598630683E-6</v>
      </c>
      <c r="P134" t="s">
        <v>2572</v>
      </c>
      <c r="Q134" t="s">
        <v>2573</v>
      </c>
      <c r="R134" t="s">
        <v>2354</v>
      </c>
      <c r="S134" t="s">
        <v>2386</v>
      </c>
      <c r="T134" t="s">
        <v>449</v>
      </c>
      <c r="U134">
        <v>5.6346858635823492E-6</v>
      </c>
      <c r="V134">
        <v>5.9774099506171319E-11</v>
      </c>
      <c r="W134">
        <v>5.6344884830239785E-6</v>
      </c>
      <c r="X134">
        <v>5.6348223916571064E-6</v>
      </c>
      <c r="Y134">
        <v>5.6346820421595983E-6</v>
      </c>
      <c r="Z134">
        <v>5.634599174746197E-6</v>
      </c>
      <c r="AA134">
        <v>5.6347989723047242E-6</v>
      </c>
    </row>
    <row r="135" spans="1:27">
      <c r="A135" t="s">
        <v>2574</v>
      </c>
      <c r="B135" t="s">
        <v>2575</v>
      </c>
      <c r="C135" t="s">
        <v>2354</v>
      </c>
      <c r="D135" t="s">
        <v>2386</v>
      </c>
      <c r="E135" t="s">
        <v>449</v>
      </c>
      <c r="F135">
        <v>1.8373513114141949E-10</v>
      </c>
      <c r="G135">
        <v>3.1678259838312132E-16</v>
      </c>
      <c r="H135">
        <v>1.8373426853177966E-10</v>
      </c>
      <c r="I135">
        <v>1.8373588457699366E-10</v>
      </c>
      <c r="J135">
        <v>1.8373516686321306E-10</v>
      </c>
      <c r="K135">
        <v>1.8373461466099898E-10</v>
      </c>
      <c r="L135">
        <v>1.8373562875816502E-10</v>
      </c>
      <c r="P135" t="s">
        <v>2574</v>
      </c>
      <c r="Q135" t="s">
        <v>2575</v>
      </c>
      <c r="R135" t="s">
        <v>2354</v>
      </c>
      <c r="S135" t="s">
        <v>2386</v>
      </c>
      <c r="T135" t="s">
        <v>449</v>
      </c>
      <c r="U135">
        <v>1.8373510334866033E-10</v>
      </c>
      <c r="V135">
        <v>2.9324902603963122E-16</v>
      </c>
      <c r="W135">
        <v>1.8373413500857694E-10</v>
      </c>
      <c r="X135">
        <v>1.8373577314921412E-10</v>
      </c>
      <c r="Y135">
        <v>1.8373508460093333E-10</v>
      </c>
      <c r="Z135">
        <v>1.8373467805715484E-10</v>
      </c>
      <c r="AA135">
        <v>1.8373565825493158E-10</v>
      </c>
    </row>
    <row r="136" spans="1:27">
      <c r="A136" t="s">
        <v>2576</v>
      </c>
      <c r="B136" t="s">
        <v>2577</v>
      </c>
      <c r="C136" t="s">
        <v>2354</v>
      </c>
      <c r="D136" t="s">
        <v>2386</v>
      </c>
      <c r="E136" t="s">
        <v>449</v>
      </c>
      <c r="F136">
        <v>1.4091417267186567E-12</v>
      </c>
      <c r="G136">
        <v>1.0632683765698507E-18</v>
      </c>
      <c r="H136">
        <v>1.4091388314032071E-12</v>
      </c>
      <c r="I136">
        <v>1.4091442555956339E-12</v>
      </c>
      <c r="J136">
        <v>1.409141846617457E-12</v>
      </c>
      <c r="K136">
        <v>1.4091399931723666E-12</v>
      </c>
      <c r="L136">
        <v>1.4091433969497613E-12</v>
      </c>
      <c r="P136" t="s">
        <v>2576</v>
      </c>
      <c r="Q136" t="s">
        <v>2577</v>
      </c>
      <c r="R136" t="s">
        <v>2354</v>
      </c>
      <c r="S136" t="s">
        <v>2386</v>
      </c>
      <c r="T136" t="s">
        <v>449</v>
      </c>
      <c r="U136">
        <v>1.4091416334333492E-12</v>
      </c>
      <c r="V136">
        <v>9.8427886329100609E-19</v>
      </c>
      <c r="W136">
        <v>1.40913838323781E-12</v>
      </c>
      <c r="X136">
        <v>1.4091438815926588E-12</v>
      </c>
      <c r="Y136">
        <v>1.409141570507339E-12</v>
      </c>
      <c r="Z136">
        <v>1.4091402059590793E-12</v>
      </c>
      <c r="AA136">
        <v>1.4091434959545022E-12</v>
      </c>
    </row>
    <row r="137" spans="1:27">
      <c r="A137" t="s">
        <v>2578</v>
      </c>
      <c r="B137" t="s">
        <v>2579</v>
      </c>
      <c r="C137" t="s">
        <v>2354</v>
      </c>
      <c r="D137" t="s">
        <v>2386</v>
      </c>
      <c r="E137" t="s">
        <v>449</v>
      </c>
      <c r="F137">
        <v>3.7073098654950178E-10</v>
      </c>
      <c r="G137">
        <v>2.5071588993974693E-15</v>
      </c>
      <c r="H137">
        <v>3.7072415947173233E-10</v>
      </c>
      <c r="I137">
        <v>3.7073694957497926E-10</v>
      </c>
      <c r="J137">
        <v>3.7073126926772285E-10</v>
      </c>
      <c r="K137">
        <v>3.7072689889289058E-10</v>
      </c>
      <c r="L137">
        <v>3.7073492491056843E-10</v>
      </c>
      <c r="P137" t="s">
        <v>2578</v>
      </c>
      <c r="Q137" t="s">
        <v>2579</v>
      </c>
      <c r="R137" t="s">
        <v>2354</v>
      </c>
      <c r="S137" t="s">
        <v>2386</v>
      </c>
      <c r="T137" t="s">
        <v>449</v>
      </c>
      <c r="U137">
        <v>3.7073076658519907E-10</v>
      </c>
      <c r="V137">
        <v>2.3209037021862089E-15</v>
      </c>
      <c r="W137">
        <v>3.7072310270949957E-10</v>
      </c>
      <c r="X137">
        <v>3.7073606768578902E-10</v>
      </c>
      <c r="Y137">
        <v>3.7073061820731824E-10</v>
      </c>
      <c r="Z137">
        <v>3.7072740063836875E-10</v>
      </c>
      <c r="AA137">
        <v>3.7073515836114676E-10</v>
      </c>
    </row>
    <row r="138" spans="1:27">
      <c r="A138" t="s">
        <v>2580</v>
      </c>
      <c r="B138" t="s">
        <v>2581</v>
      </c>
      <c r="C138" t="s">
        <v>2354</v>
      </c>
      <c r="D138" t="s">
        <v>2386</v>
      </c>
      <c r="E138" t="s">
        <v>449</v>
      </c>
      <c r="F138">
        <v>5.6741108326582868E-6</v>
      </c>
      <c r="G138">
        <v>7.5135633139718484E-12</v>
      </c>
      <c r="H138">
        <v>5.6740903729733906E-6</v>
      </c>
      <c r="I138">
        <v>5.6741287029135315E-6</v>
      </c>
      <c r="J138">
        <v>5.674111679920603E-6</v>
      </c>
      <c r="K138">
        <v>5.6740985825903876E-6</v>
      </c>
      <c r="L138">
        <v>5.6741226353107777E-6</v>
      </c>
      <c r="P138" t="s">
        <v>2580</v>
      </c>
      <c r="Q138" t="s">
        <v>2581</v>
      </c>
      <c r="R138" t="s">
        <v>2354</v>
      </c>
      <c r="S138" t="s">
        <v>2386</v>
      </c>
      <c r="T138" t="s">
        <v>449</v>
      </c>
      <c r="U138">
        <v>5.6741101734596602E-6</v>
      </c>
      <c r="V138">
        <v>6.9553856025077578E-12</v>
      </c>
      <c r="W138">
        <v>5.6740872060221668E-6</v>
      </c>
      <c r="X138">
        <v>5.6741260600294807E-6</v>
      </c>
      <c r="Y138">
        <v>5.6741097287943417E-6</v>
      </c>
      <c r="Z138">
        <v>5.6741000862431553E-6</v>
      </c>
      <c r="AA138">
        <v>5.6741233349256704E-6</v>
      </c>
    </row>
    <row r="139" spans="1:27">
      <c r="A139" t="s">
        <v>2582</v>
      </c>
      <c r="B139" t="s">
        <v>2583</v>
      </c>
      <c r="C139" t="s">
        <v>2354</v>
      </c>
      <c r="D139" t="s">
        <v>2386</v>
      </c>
      <c r="E139" t="s">
        <v>449</v>
      </c>
      <c r="F139">
        <v>5.6706794866971997E-15</v>
      </c>
      <c r="G139">
        <v>5.2195627009068616E-21</v>
      </c>
      <c r="H139">
        <v>5.6706652736529099E-15</v>
      </c>
      <c r="I139">
        <v>5.670691900902529E-15</v>
      </c>
      <c r="J139">
        <v>5.6706800752779576E-15</v>
      </c>
      <c r="K139">
        <v>5.6706709767539393E-15</v>
      </c>
      <c r="L139">
        <v>5.6706876858275122E-15</v>
      </c>
      <c r="P139" t="s">
        <v>2582</v>
      </c>
      <c r="Q139" t="s">
        <v>2583</v>
      </c>
      <c r="R139" t="s">
        <v>2354</v>
      </c>
      <c r="S139" t="s">
        <v>2386</v>
      </c>
      <c r="T139" t="s">
        <v>449</v>
      </c>
      <c r="U139">
        <v>5.6706790287615391E-15</v>
      </c>
      <c r="V139">
        <v>4.8318047967144438E-21</v>
      </c>
      <c r="W139">
        <v>5.6706630736181476E-15</v>
      </c>
      <c r="X139">
        <v>5.6706900649295774E-15</v>
      </c>
      <c r="Y139">
        <v>5.6706787198590388E-15</v>
      </c>
      <c r="Z139">
        <v>5.670672021319556E-15</v>
      </c>
      <c r="AA139">
        <v>5.6706881718397595E-15</v>
      </c>
    </row>
    <row r="140" spans="1:27">
      <c r="A140" t="s">
        <v>2584</v>
      </c>
      <c r="B140" t="s">
        <v>2585</v>
      </c>
      <c r="C140" t="s">
        <v>2354</v>
      </c>
      <c r="D140" t="s">
        <v>2386</v>
      </c>
      <c r="E140" t="s">
        <v>449</v>
      </c>
      <c r="F140">
        <v>1.0390677875285098E-11</v>
      </c>
      <c r="G140">
        <v>5.2503687292545736E-16</v>
      </c>
      <c r="H140">
        <v>1.0389248182271165E-11</v>
      </c>
      <c r="I140">
        <v>1.0391926622722125E-11</v>
      </c>
      <c r="J140">
        <v>1.0390737080743014E-11</v>
      </c>
      <c r="K140">
        <v>1.0389821858362807E-11</v>
      </c>
      <c r="L140">
        <v>1.0391502627469483E-11</v>
      </c>
      <c r="P140" t="s">
        <v>2584</v>
      </c>
      <c r="Q140" t="s">
        <v>2585</v>
      </c>
      <c r="R140" t="s">
        <v>2354</v>
      </c>
      <c r="S140" t="s">
        <v>2386</v>
      </c>
      <c r="T140" t="s">
        <v>449</v>
      </c>
      <c r="U140">
        <v>1.0390631811443781E-11</v>
      </c>
      <c r="V140">
        <v>4.8603222653882882E-16</v>
      </c>
      <c r="W140">
        <v>1.0389026880327249E-11</v>
      </c>
      <c r="X140">
        <v>1.0391741941829813E-11</v>
      </c>
      <c r="Y140">
        <v>1.0390600738878513E-11</v>
      </c>
      <c r="Z140">
        <v>1.0389926931430545E-11</v>
      </c>
      <c r="AA140">
        <v>1.0391551515540218E-11</v>
      </c>
    </row>
    <row r="141" spans="1:27">
      <c r="A141" t="s">
        <v>2586</v>
      </c>
      <c r="B141" t="s">
        <v>2587</v>
      </c>
      <c r="C141" t="s">
        <v>2354</v>
      </c>
      <c r="D141" t="s">
        <v>2386</v>
      </c>
      <c r="E141" t="s">
        <v>449</v>
      </c>
      <c r="F141">
        <v>4.7810162050988944E-13</v>
      </c>
      <c r="G141">
        <v>3.6075180646752391E-19</v>
      </c>
      <c r="H141">
        <v>4.7810063817062145E-13</v>
      </c>
      <c r="I141">
        <v>4.7810247852180634E-13</v>
      </c>
      <c r="J141">
        <v>4.7810166118984366E-13</v>
      </c>
      <c r="K141">
        <v>4.781010323423398E-13</v>
      </c>
      <c r="L141">
        <v>4.7810218719549919E-13</v>
      </c>
      <c r="P141" t="s">
        <v>2586</v>
      </c>
      <c r="Q141" t="s">
        <v>2587</v>
      </c>
      <c r="R141" t="s">
        <v>2354</v>
      </c>
      <c r="S141" t="s">
        <v>2386</v>
      </c>
      <c r="T141" t="s">
        <v>449</v>
      </c>
      <c r="U141">
        <v>4.7810158885951441E-13</v>
      </c>
      <c r="V141">
        <v>3.3395179037892123E-19</v>
      </c>
      <c r="W141">
        <v>4.7810048611448947E-13</v>
      </c>
      <c r="X141">
        <v>4.7810235162792719E-13</v>
      </c>
      <c r="Y141">
        <v>4.7810156750961576E-13</v>
      </c>
      <c r="Z141">
        <v>4.7810110453783871E-13</v>
      </c>
      <c r="AA141">
        <v>4.7810222078639671E-13</v>
      </c>
    </row>
    <row r="142" spans="1:27">
      <c r="A142" t="s">
        <v>2588</v>
      </c>
      <c r="B142" t="s">
        <v>2589</v>
      </c>
      <c r="C142" t="s">
        <v>2354</v>
      </c>
      <c r="D142" t="s">
        <v>2386</v>
      </c>
      <c r="E142" t="s">
        <v>449</v>
      </c>
      <c r="F142">
        <v>1.4672373564151016E-11</v>
      </c>
      <c r="G142">
        <v>2.5297030508795228E-17</v>
      </c>
      <c r="H142">
        <v>1.4672304679488508E-11</v>
      </c>
      <c r="I142">
        <v>1.4672433730595768E-11</v>
      </c>
      <c r="J142">
        <v>1.4672376416754994E-11</v>
      </c>
      <c r="K142">
        <v>1.4672332320026422E-11</v>
      </c>
      <c r="L142">
        <v>1.4672413301895627E-11</v>
      </c>
      <c r="P142" t="s">
        <v>2588</v>
      </c>
      <c r="Q142" t="s">
        <v>2589</v>
      </c>
      <c r="R142" t="s">
        <v>2354</v>
      </c>
      <c r="S142" t="s">
        <v>2386</v>
      </c>
      <c r="T142" t="s">
        <v>449</v>
      </c>
      <c r="U142">
        <v>1.4672371344728985E-11</v>
      </c>
      <c r="V142">
        <v>2.341773063388399E-17</v>
      </c>
      <c r="W142">
        <v>1.4672294016843054E-11</v>
      </c>
      <c r="X142">
        <v>1.4672424832405169E-11</v>
      </c>
      <c r="Y142">
        <v>1.4672369847608168E-11</v>
      </c>
      <c r="Z142">
        <v>1.4672337382597714E-11</v>
      </c>
      <c r="AA142">
        <v>1.4672415657393078E-11</v>
      </c>
    </row>
    <row r="143" spans="1:27">
      <c r="A143" t="s">
        <v>2590</v>
      </c>
      <c r="B143" t="s">
        <v>2591</v>
      </c>
      <c r="C143" t="s">
        <v>2354</v>
      </c>
      <c r="D143" t="s">
        <v>2386</v>
      </c>
      <c r="E143" t="s">
        <v>449</v>
      </c>
      <c r="F143">
        <v>1.856116545836785E-11</v>
      </c>
      <c r="G143">
        <v>1.2552443538834164E-16</v>
      </c>
      <c r="H143">
        <v>1.8560823651120381E-11</v>
      </c>
      <c r="I143">
        <v>1.8561464005622447E-11</v>
      </c>
      <c r="J143">
        <v>1.8561179613053089E-11</v>
      </c>
      <c r="K143">
        <v>1.8560960804092322E-11</v>
      </c>
      <c r="L143">
        <v>1.8561362637952025E-11</v>
      </c>
      <c r="P143" t="s">
        <v>2590</v>
      </c>
      <c r="Q143" t="s">
        <v>2591</v>
      </c>
      <c r="R143" t="s">
        <v>2354</v>
      </c>
      <c r="S143" t="s">
        <v>2386</v>
      </c>
      <c r="T143" t="s">
        <v>449</v>
      </c>
      <c r="U143">
        <v>1.8561154445545753E-11</v>
      </c>
      <c r="V143">
        <v>1.1619930706362618E-16</v>
      </c>
      <c r="W143">
        <v>1.8560770742833381E-11</v>
      </c>
      <c r="X143">
        <v>1.8561419852600193E-11</v>
      </c>
      <c r="Y143">
        <v>1.8561147016798534E-11</v>
      </c>
      <c r="Z143">
        <v>1.8560985924685146E-11</v>
      </c>
      <c r="AA143">
        <v>1.8561374325983462E-11</v>
      </c>
    </row>
    <row r="144" spans="1:27">
      <c r="A144" t="s">
        <v>2592</v>
      </c>
      <c r="B144" t="s">
        <v>2593</v>
      </c>
      <c r="C144" t="s">
        <v>2354</v>
      </c>
      <c r="D144" t="s">
        <v>2386</v>
      </c>
      <c r="E144" t="s">
        <v>449</v>
      </c>
      <c r="F144">
        <v>4.0465195675858831E-15</v>
      </c>
      <c r="G144">
        <v>3.7246080618964213E-21</v>
      </c>
      <c r="H144">
        <v>4.0465094253532121E-15</v>
      </c>
      <c r="I144">
        <v>4.0465284261918412E-15</v>
      </c>
      <c r="J144">
        <v>4.0465199875890045E-15</v>
      </c>
      <c r="K144">
        <v>4.0465134950075657E-15</v>
      </c>
      <c r="L144">
        <v>4.0465254183723574E-15</v>
      </c>
      <c r="P144" t="s">
        <v>2592</v>
      </c>
      <c r="Q144" t="s">
        <v>2593</v>
      </c>
      <c r="R144" t="s">
        <v>2354</v>
      </c>
      <c r="S144" t="s">
        <v>2386</v>
      </c>
      <c r="T144" t="s">
        <v>449</v>
      </c>
      <c r="U144">
        <v>4.0465192408092998E-15</v>
      </c>
      <c r="V144">
        <v>3.4479093614944569E-21</v>
      </c>
      <c r="W144">
        <v>4.0465078554387029E-15</v>
      </c>
      <c r="X144">
        <v>4.0465271160668275E-15</v>
      </c>
      <c r="Y144">
        <v>4.0465190203807298E-15</v>
      </c>
      <c r="Z144">
        <v>4.0465142403952047E-15</v>
      </c>
      <c r="AA144">
        <v>4.0465257651840041E-15</v>
      </c>
    </row>
    <row r="145" spans="1:27">
      <c r="A145" t="s">
        <v>2594</v>
      </c>
      <c r="B145" t="s">
        <v>2595</v>
      </c>
      <c r="C145" t="s">
        <v>2354</v>
      </c>
      <c r="D145" t="s">
        <v>2386</v>
      </c>
      <c r="E145" t="s">
        <v>449</v>
      </c>
      <c r="F145">
        <v>8.1322212863029474E-6</v>
      </c>
      <c r="G145">
        <v>1.5219106797256048E-12</v>
      </c>
      <c r="H145">
        <v>8.1322171420891243E-6</v>
      </c>
      <c r="I145">
        <v>8.1322249060145505E-6</v>
      </c>
      <c r="J145">
        <v>8.1322214579202641E-6</v>
      </c>
      <c r="K145">
        <v>8.1322188049890362E-6</v>
      </c>
      <c r="L145">
        <v>8.1322236769905777E-6</v>
      </c>
      <c r="P145" t="s">
        <v>2594</v>
      </c>
      <c r="Q145" t="s">
        <v>2595</v>
      </c>
      <c r="R145" t="s">
        <v>2354</v>
      </c>
      <c r="S145" t="s">
        <v>2386</v>
      </c>
      <c r="T145" t="s">
        <v>449</v>
      </c>
      <c r="U145">
        <v>8.1322211527788962E-6</v>
      </c>
      <c r="V145">
        <v>1.4088489292419464E-12</v>
      </c>
      <c r="W145">
        <v>8.132216500606955E-6</v>
      </c>
      <c r="X145">
        <v>8.1322243706848676E-6</v>
      </c>
      <c r="Y145">
        <v>8.1322210627096597E-6</v>
      </c>
      <c r="Z145">
        <v>8.132219109561596E-6</v>
      </c>
      <c r="AA145">
        <v>8.1322238187011515E-6</v>
      </c>
    </row>
    <row r="146" spans="1:27">
      <c r="A146" t="s">
        <v>2596</v>
      </c>
      <c r="B146" t="s">
        <v>2597</v>
      </c>
      <c r="C146" t="s">
        <v>2354</v>
      </c>
      <c r="D146" t="s">
        <v>2386</v>
      </c>
      <c r="E146" t="s">
        <v>449</v>
      </c>
      <c r="F146">
        <v>2.8386335984734379E-2</v>
      </c>
      <c r="G146">
        <v>4.5857095189433928E-8</v>
      </c>
      <c r="H146">
        <v>2.8386211114326189E-2</v>
      </c>
      <c r="I146">
        <v>2.8386445051226727E-2</v>
      </c>
      <c r="J146">
        <v>2.8386341155781321E-2</v>
      </c>
      <c r="K146">
        <v>2.8386261219605455E-2</v>
      </c>
      <c r="L146">
        <v>2.8386408019178765E-2</v>
      </c>
      <c r="P146" t="s">
        <v>2596</v>
      </c>
      <c r="Q146" t="s">
        <v>2597</v>
      </c>
      <c r="R146" t="s">
        <v>2354</v>
      </c>
      <c r="S146" t="s">
        <v>2386</v>
      </c>
      <c r="T146" t="s">
        <v>449</v>
      </c>
      <c r="U146">
        <v>2.83863319614856E-2</v>
      </c>
      <c r="V146">
        <v>4.2450401537015115E-8</v>
      </c>
      <c r="W146">
        <v>2.8386191785656469E-2</v>
      </c>
      <c r="X146">
        <v>2.8386428921065791E-2</v>
      </c>
      <c r="Y146">
        <v>2.8386329247585572E-2</v>
      </c>
      <c r="Z146">
        <v>2.8386270396762184E-2</v>
      </c>
      <c r="AA146">
        <v>2.8386412289097756E-2</v>
      </c>
    </row>
    <row r="147" spans="1:27">
      <c r="A147" t="s">
        <v>2598</v>
      </c>
      <c r="B147" t="s">
        <v>2599</v>
      </c>
      <c r="C147" t="s">
        <v>2354</v>
      </c>
      <c r="D147" t="s">
        <v>2386</v>
      </c>
      <c r="E147" t="s">
        <v>449</v>
      </c>
      <c r="F147">
        <v>1.1995409355275095E-7</v>
      </c>
      <c r="G147">
        <v>5.5358731309707061E-14</v>
      </c>
      <c r="H147">
        <v>1.1995394280906895E-7</v>
      </c>
      <c r="I147">
        <v>1.1995422521792992E-7</v>
      </c>
      <c r="J147">
        <v>1.1995409979524401E-7</v>
      </c>
      <c r="K147">
        <v>1.1995400329621232E-7</v>
      </c>
      <c r="L147">
        <v>1.1995418051280447E-7</v>
      </c>
      <c r="P147" t="s">
        <v>2598</v>
      </c>
      <c r="Q147" t="s">
        <v>2599</v>
      </c>
      <c r="R147" t="s">
        <v>2354</v>
      </c>
      <c r="S147" t="s">
        <v>2386</v>
      </c>
      <c r="T147" t="s">
        <v>449</v>
      </c>
      <c r="U147">
        <v>1.1995408869588097E-7</v>
      </c>
      <c r="V147">
        <v>5.1246167315123096E-14</v>
      </c>
      <c r="W147">
        <v>1.1995391947547947E-7</v>
      </c>
      <c r="X147">
        <v>1.1995420574558346E-7</v>
      </c>
      <c r="Y147">
        <v>1.1995408541965817E-7</v>
      </c>
      <c r="Z147">
        <v>1.1995401437488515E-7</v>
      </c>
      <c r="AA147">
        <v>1.1995418566745497E-7</v>
      </c>
    </row>
    <row r="148" spans="1:27">
      <c r="A148" t="s">
        <v>2600</v>
      </c>
      <c r="B148" t="s">
        <v>2601</v>
      </c>
      <c r="C148" t="s">
        <v>2354</v>
      </c>
      <c r="D148" t="s">
        <v>2386</v>
      </c>
      <c r="E148" t="s">
        <v>449</v>
      </c>
      <c r="F148">
        <v>4.4562278844988739E-12</v>
      </c>
      <c r="G148">
        <v>7.931383275878704E-19</v>
      </c>
      <c r="H148">
        <v>4.4562257247566068E-12</v>
      </c>
      <c r="I148">
        <v>4.4562297708986767E-12</v>
      </c>
      <c r="J148">
        <v>4.4562279739366257E-12</v>
      </c>
      <c r="K148">
        <v>4.4562265913709709E-12</v>
      </c>
      <c r="L148">
        <v>4.4562291303972131E-12</v>
      </c>
      <c r="P148" t="s">
        <v>2600</v>
      </c>
      <c r="Q148" t="s">
        <v>2601</v>
      </c>
      <c r="R148" t="s">
        <v>2354</v>
      </c>
      <c r="S148" t="s">
        <v>2386</v>
      </c>
      <c r="T148" t="s">
        <v>449</v>
      </c>
      <c r="U148">
        <v>4.4562278149132896E-12</v>
      </c>
      <c r="V148">
        <v>7.342165992658453E-19</v>
      </c>
      <c r="W148">
        <v>4.4562253904504604E-12</v>
      </c>
      <c r="X148">
        <v>4.4562294919135207E-12</v>
      </c>
      <c r="Y148">
        <v>4.4562277679740283E-12</v>
      </c>
      <c r="Z148">
        <v>4.4562267500978751E-12</v>
      </c>
      <c r="AA148">
        <v>4.4562292042491745E-12</v>
      </c>
    </row>
    <row r="149" spans="1:27">
      <c r="A149" t="s">
        <v>2602</v>
      </c>
      <c r="B149" t="s">
        <v>2603</v>
      </c>
      <c r="C149" t="s">
        <v>2354</v>
      </c>
      <c r="D149" t="s">
        <v>2386</v>
      </c>
      <c r="E149" t="s">
        <v>449</v>
      </c>
      <c r="F149">
        <v>4.1384458813740277E-12</v>
      </c>
      <c r="G149">
        <v>4.0628733304178784E-19</v>
      </c>
      <c r="H149">
        <v>4.1384447750399949E-12</v>
      </c>
      <c r="I149">
        <v>4.1384468476876196E-12</v>
      </c>
      <c r="J149">
        <v>4.1384459271887684E-12</v>
      </c>
      <c r="K149">
        <v>4.1384452189656339E-12</v>
      </c>
      <c r="L149">
        <v>4.1384465195889484E-12</v>
      </c>
      <c r="P149" t="s">
        <v>2602</v>
      </c>
      <c r="Q149" t="s">
        <v>2603</v>
      </c>
      <c r="R149" t="s">
        <v>2354</v>
      </c>
      <c r="S149" t="s">
        <v>2386</v>
      </c>
      <c r="T149" t="s">
        <v>449</v>
      </c>
      <c r="U149">
        <v>4.1384458457286187E-12</v>
      </c>
      <c r="V149">
        <v>3.7610451237074611E-19</v>
      </c>
      <c r="W149">
        <v>4.1384446037907338E-12</v>
      </c>
      <c r="X149">
        <v>4.1384467047766907E-12</v>
      </c>
      <c r="Y149">
        <v>4.1384458216838499E-12</v>
      </c>
      <c r="Z149">
        <v>4.1384453002739362E-12</v>
      </c>
      <c r="AA149">
        <v>4.1384465574198226E-12</v>
      </c>
    </row>
    <row r="150" spans="1:27">
      <c r="A150" t="s">
        <v>2604</v>
      </c>
      <c r="B150" t="s">
        <v>2605</v>
      </c>
      <c r="C150" t="s">
        <v>2354</v>
      </c>
      <c r="D150" t="s">
        <v>2386</v>
      </c>
      <c r="E150" t="s">
        <v>449</v>
      </c>
      <c r="F150">
        <v>3.7882087330992465E-13</v>
      </c>
      <c r="G150">
        <v>3.7190320175172139E-20</v>
      </c>
      <c r="H150">
        <v>3.7882077203943545E-13</v>
      </c>
      <c r="I150">
        <v>3.788209617633636E-13</v>
      </c>
      <c r="J150">
        <v>3.7882087750366801E-13</v>
      </c>
      <c r="K150">
        <v>3.7882081267505291E-13</v>
      </c>
      <c r="L150">
        <v>3.7882093173019827E-13</v>
      </c>
      <c r="P150" t="s">
        <v>2604</v>
      </c>
      <c r="Q150" t="s">
        <v>2605</v>
      </c>
      <c r="R150" t="s">
        <v>2354</v>
      </c>
      <c r="S150" t="s">
        <v>2386</v>
      </c>
      <c r="T150" t="s">
        <v>449</v>
      </c>
      <c r="U150">
        <v>3.788208700470508E-13</v>
      </c>
      <c r="V150">
        <v>3.4427475579282532E-20</v>
      </c>
      <c r="W150">
        <v>3.7882075636379325E-13</v>
      </c>
      <c r="X150">
        <v>3.7882094868172708E-13</v>
      </c>
      <c r="Y150">
        <v>3.7882086784606521E-13</v>
      </c>
      <c r="Z150">
        <v>3.7882082011777027E-13</v>
      </c>
      <c r="AA150">
        <v>3.7882093519312265E-13</v>
      </c>
    </row>
    <row r="151" spans="1:27">
      <c r="A151" t="s">
        <v>2606</v>
      </c>
      <c r="B151" t="s">
        <v>2607</v>
      </c>
      <c r="C151" t="s">
        <v>2354</v>
      </c>
      <c r="D151" t="s">
        <v>2386</v>
      </c>
      <c r="E151" t="s">
        <v>449</v>
      </c>
      <c r="F151">
        <v>5.4352611145223009E-12</v>
      </c>
      <c r="G151">
        <v>4.1011785018910697E-18</v>
      </c>
      <c r="H151">
        <v>5.4352499468756918E-12</v>
      </c>
      <c r="I151">
        <v>5.4352708687632066E-12</v>
      </c>
      <c r="J151">
        <v>5.4352615769891554E-12</v>
      </c>
      <c r="K151">
        <v>5.4352544279858304E-12</v>
      </c>
      <c r="L151">
        <v>5.4352675568430256E-12</v>
      </c>
      <c r="P151" t="s">
        <v>2606</v>
      </c>
      <c r="Q151" t="s">
        <v>2607</v>
      </c>
      <c r="R151" t="s">
        <v>2354</v>
      </c>
      <c r="S151" t="s">
        <v>2386</v>
      </c>
      <c r="T151" t="s">
        <v>449</v>
      </c>
      <c r="U151">
        <v>5.4352607547075055E-12</v>
      </c>
      <c r="V151">
        <v>3.7965046294171558E-18</v>
      </c>
      <c r="W151">
        <v>5.4352482182375316E-12</v>
      </c>
      <c r="X151">
        <v>5.4352694261801337E-12</v>
      </c>
      <c r="Y151">
        <v>5.4352605119928614E-12</v>
      </c>
      <c r="Z151">
        <v>5.4352552487346743E-12</v>
      </c>
      <c r="AA151">
        <v>5.4352679387185002E-12</v>
      </c>
    </row>
    <row r="152" spans="1:27">
      <c r="A152" t="s">
        <v>2608</v>
      </c>
      <c r="B152" t="s">
        <v>2609</v>
      </c>
      <c r="C152" t="s">
        <v>2354</v>
      </c>
      <c r="D152" t="s">
        <v>2386</v>
      </c>
      <c r="E152" t="s">
        <v>449</v>
      </c>
      <c r="F152">
        <v>1.8176330226253956E-10</v>
      </c>
      <c r="G152">
        <v>1.7905591612160717E-17</v>
      </c>
      <c r="H152">
        <v>1.8176325350501301E-10</v>
      </c>
      <c r="I152">
        <v>1.8176334484918966E-10</v>
      </c>
      <c r="J152">
        <v>1.8176330428165243E-10</v>
      </c>
      <c r="K152">
        <v>1.8176327306937189E-10</v>
      </c>
      <c r="L152">
        <v>1.8176333038947029E-10</v>
      </c>
      <c r="P152" t="s">
        <v>2608</v>
      </c>
      <c r="Q152" t="s">
        <v>2609</v>
      </c>
      <c r="R152" t="s">
        <v>2354</v>
      </c>
      <c r="S152" t="s">
        <v>2386</v>
      </c>
      <c r="T152" t="s">
        <v>449</v>
      </c>
      <c r="U152">
        <v>1.8176330069160162E-10</v>
      </c>
      <c r="V152">
        <v>1.6575396904988476E-17</v>
      </c>
      <c r="W152">
        <v>1.8176324595784359E-10</v>
      </c>
      <c r="X152">
        <v>1.8176333855092605E-10</v>
      </c>
      <c r="Y152">
        <v>1.8176329963191855E-10</v>
      </c>
      <c r="Z152">
        <v>1.8176327665273058E-10</v>
      </c>
      <c r="AA152">
        <v>1.8176333205672431E-10</v>
      </c>
    </row>
    <row r="153" spans="1:27">
      <c r="A153" t="s">
        <v>2610</v>
      </c>
      <c r="B153" t="s">
        <v>2611</v>
      </c>
      <c r="C153" t="s">
        <v>2354</v>
      </c>
      <c r="D153" t="s">
        <v>2386</v>
      </c>
      <c r="E153" t="s">
        <v>449</v>
      </c>
      <c r="F153">
        <v>1.8745561118087894E-8</v>
      </c>
      <c r="G153">
        <v>2.4148853711368343E-15</v>
      </c>
      <c r="H153">
        <v>1.8745554542274035E-8</v>
      </c>
      <c r="I153">
        <v>1.8745566861650054E-8</v>
      </c>
      <c r="J153">
        <v>1.8745561390400943E-8</v>
      </c>
      <c r="K153">
        <v>1.8745557180873479E-8</v>
      </c>
      <c r="L153">
        <v>1.8745564911501433E-8</v>
      </c>
      <c r="P153" t="s">
        <v>2610</v>
      </c>
      <c r="Q153" t="s">
        <v>2611</v>
      </c>
      <c r="R153" t="s">
        <v>2354</v>
      </c>
      <c r="S153" t="s">
        <v>2386</v>
      </c>
      <c r="T153" t="s">
        <v>449</v>
      </c>
      <c r="U153">
        <v>1.8745560906219156E-8</v>
      </c>
      <c r="V153">
        <v>2.235485114157852E-15</v>
      </c>
      <c r="W153">
        <v>1.8745553524404901E-8</v>
      </c>
      <c r="X153">
        <v>1.8745566012217933E-8</v>
      </c>
      <c r="Y153">
        <v>1.8745560763302182E-8</v>
      </c>
      <c r="Z153">
        <v>1.8745557664152706E-8</v>
      </c>
      <c r="AA153">
        <v>1.8745565136360094E-8</v>
      </c>
    </row>
    <row r="154" spans="1:27">
      <c r="A154" t="s">
        <v>2612</v>
      </c>
      <c r="B154" t="s">
        <v>2613</v>
      </c>
      <c r="C154" t="s">
        <v>2354</v>
      </c>
      <c r="D154" t="s">
        <v>2386</v>
      </c>
      <c r="E154" t="s">
        <v>449</v>
      </c>
      <c r="F154">
        <v>2.9459450172056349E-10</v>
      </c>
      <c r="G154">
        <v>2.8873912337447968E-17</v>
      </c>
      <c r="H154">
        <v>2.945944230959319E-10</v>
      </c>
      <c r="I154">
        <v>2.9459457039426225E-10</v>
      </c>
      <c r="J154">
        <v>2.9459450497651238E-10</v>
      </c>
      <c r="K154">
        <v>2.945944546447126E-10</v>
      </c>
      <c r="L154">
        <v>2.9459454707703945E-10</v>
      </c>
      <c r="P154" t="s">
        <v>2612</v>
      </c>
      <c r="Q154" t="s">
        <v>2613</v>
      </c>
      <c r="R154" t="s">
        <v>2354</v>
      </c>
      <c r="S154" t="s">
        <v>2386</v>
      </c>
      <c r="T154" t="s">
        <v>449</v>
      </c>
      <c r="U154">
        <v>2.945944991873256E-10</v>
      </c>
      <c r="V154">
        <v>2.6728888246487219E-17</v>
      </c>
      <c r="W154">
        <v>2.9459441092563823E-10</v>
      </c>
      <c r="X154">
        <v>2.9459456023790915E-10</v>
      </c>
      <c r="Y154">
        <v>2.9459449747851894E-10</v>
      </c>
      <c r="Z154">
        <v>2.9459446042310782E-10</v>
      </c>
      <c r="AA154">
        <v>2.9459454976559321E-10</v>
      </c>
    </row>
    <row r="155" spans="1:27">
      <c r="A155" t="s">
        <v>2614</v>
      </c>
      <c r="B155" t="s">
        <v>2615</v>
      </c>
      <c r="C155" t="s">
        <v>2354</v>
      </c>
      <c r="D155" t="s">
        <v>2386</v>
      </c>
      <c r="E155" t="s">
        <v>449</v>
      </c>
      <c r="F155">
        <v>1.1744989555405686E-9</v>
      </c>
      <c r="G155">
        <v>4.7850146866076111E-16</v>
      </c>
      <c r="H155">
        <v>1.174497652565021E-9</v>
      </c>
      <c r="I155">
        <v>1.1745000936082231E-9</v>
      </c>
      <c r="J155">
        <v>1.1744990094984903E-9</v>
      </c>
      <c r="K155">
        <v>1.1744981753946862E-9</v>
      </c>
      <c r="L155">
        <v>1.1744997071927891E-9</v>
      </c>
      <c r="P155" t="s">
        <v>2614</v>
      </c>
      <c r="Q155" t="s">
        <v>2615</v>
      </c>
      <c r="R155" t="s">
        <v>2354</v>
      </c>
      <c r="S155" t="s">
        <v>2386</v>
      </c>
      <c r="T155" t="s">
        <v>449</v>
      </c>
      <c r="U155">
        <v>1.1744989135594871E-9</v>
      </c>
      <c r="V155">
        <v>4.4295390705648787E-16</v>
      </c>
      <c r="W155">
        <v>1.1744974508776527E-9</v>
      </c>
      <c r="X155">
        <v>1.174499925296086E-9</v>
      </c>
      <c r="Y155">
        <v>1.1744988852409653E-9</v>
      </c>
      <c r="Z155">
        <v>1.1744982711548504E-9</v>
      </c>
      <c r="AA155">
        <v>1.1744997517477813E-9</v>
      </c>
    </row>
    <row r="156" spans="1:27">
      <c r="A156" t="s">
        <v>2616</v>
      </c>
      <c r="B156" t="s">
        <v>2617</v>
      </c>
      <c r="C156" t="s">
        <v>2354</v>
      </c>
      <c r="D156" t="s">
        <v>2386</v>
      </c>
      <c r="E156" t="s">
        <v>449</v>
      </c>
      <c r="F156">
        <v>5.2262106679801361E-11</v>
      </c>
      <c r="G156">
        <v>5.1307742608048171E-18</v>
      </c>
      <c r="H156">
        <v>5.2262092708530984E-11</v>
      </c>
      <c r="I156">
        <v>5.226211888283232E-11</v>
      </c>
      <c r="J156">
        <v>5.2262107258369958E-11</v>
      </c>
      <c r="K156">
        <v>5.2262098314618241E-11</v>
      </c>
      <c r="L156">
        <v>5.2262114739458698E-11</v>
      </c>
      <c r="P156" t="s">
        <v>2616</v>
      </c>
      <c r="Q156" t="s">
        <v>2617</v>
      </c>
      <c r="R156" t="s">
        <v>2354</v>
      </c>
      <c r="S156" t="s">
        <v>2386</v>
      </c>
      <c r="T156" t="s">
        <v>449</v>
      </c>
      <c r="U156">
        <v>5.2262106229655507E-11</v>
      </c>
      <c r="V156">
        <v>4.7496123920947303E-18</v>
      </c>
      <c r="W156">
        <v>5.226209054592036E-11</v>
      </c>
      <c r="X156">
        <v>5.2262117078090564E-11</v>
      </c>
      <c r="Y156">
        <v>5.226210592600767E-11</v>
      </c>
      <c r="Z156">
        <v>5.2262099341415062E-11</v>
      </c>
      <c r="AA156">
        <v>5.2262115217203536E-11</v>
      </c>
    </row>
    <row r="157" spans="1:27">
      <c r="A157" t="s">
        <v>2618</v>
      </c>
      <c r="B157" t="s">
        <v>2619</v>
      </c>
      <c r="C157" t="s">
        <v>2354</v>
      </c>
      <c r="D157" t="s">
        <v>2386</v>
      </c>
      <c r="E157" t="s">
        <v>449</v>
      </c>
      <c r="F157">
        <v>7.6184441062631946E-8</v>
      </c>
      <c r="G157">
        <v>2.5163735380142859E-14</v>
      </c>
      <c r="H157">
        <v>7.6184372540936577E-8</v>
      </c>
      <c r="I157">
        <v>7.6184500912047652E-8</v>
      </c>
      <c r="J157">
        <v>7.6184443900205012E-8</v>
      </c>
      <c r="K157">
        <v>7.6184400035830947E-8</v>
      </c>
      <c r="L157">
        <v>7.6184480590990435E-8</v>
      </c>
      <c r="P157" t="s">
        <v>2618</v>
      </c>
      <c r="Q157" t="s">
        <v>2619</v>
      </c>
      <c r="R157" t="s">
        <v>2354</v>
      </c>
      <c r="S157" t="s">
        <v>2386</v>
      </c>
      <c r="T157" t="s">
        <v>449</v>
      </c>
      <c r="U157">
        <v>7.618443885490452E-8</v>
      </c>
      <c r="V157">
        <v>2.3294337912341861E-14</v>
      </c>
      <c r="W157">
        <v>7.6184361934474741E-8</v>
      </c>
      <c r="X157">
        <v>7.6184492060743407E-8</v>
      </c>
      <c r="Y157">
        <v>7.6184437365672342E-8</v>
      </c>
      <c r="Z157">
        <v>7.6184405071726541E-8</v>
      </c>
      <c r="AA157">
        <v>7.6184482934076294E-8</v>
      </c>
    </row>
    <row r="158" spans="1:27">
      <c r="A158" t="s">
        <v>2620</v>
      </c>
      <c r="B158" t="s">
        <v>2621</v>
      </c>
      <c r="C158" t="s">
        <v>2354</v>
      </c>
      <c r="D158" t="s">
        <v>2386</v>
      </c>
      <c r="E158" t="s">
        <v>449</v>
      </c>
      <c r="F158">
        <v>4.8402835996229916E-2</v>
      </c>
      <c r="G158">
        <v>1.9611755395451442E-9</v>
      </c>
      <c r="H158">
        <v>4.840283065588314E-2</v>
      </c>
      <c r="I158">
        <v>4.840284066068884E-2</v>
      </c>
      <c r="J158">
        <v>4.840283621738066E-2</v>
      </c>
      <c r="K158">
        <v>4.8402832798741247E-2</v>
      </c>
      <c r="L158">
        <v>4.8402839076935086E-2</v>
      </c>
      <c r="P158" t="s">
        <v>2620</v>
      </c>
      <c r="Q158" t="s">
        <v>2621</v>
      </c>
      <c r="R158" t="s">
        <v>2354</v>
      </c>
      <c r="S158" t="s">
        <v>2386</v>
      </c>
      <c r="T158" t="s">
        <v>449</v>
      </c>
      <c r="U158">
        <v>4.8402835824167191E-2</v>
      </c>
      <c r="V158">
        <v>1.8154810895662891E-9</v>
      </c>
      <c r="W158">
        <v>4.8402829829251752E-2</v>
      </c>
      <c r="X158">
        <v>4.8402839970848432E-2</v>
      </c>
      <c r="Y158">
        <v>4.8402835708101513E-2</v>
      </c>
      <c r="Z158">
        <v>4.8402833191221739E-2</v>
      </c>
      <c r="AA158">
        <v>4.8402839259547192E-2</v>
      </c>
    </row>
    <row r="159" spans="1:27">
      <c r="A159" t="s">
        <v>2622</v>
      </c>
      <c r="B159" t="s">
        <v>2623</v>
      </c>
      <c r="C159" t="s">
        <v>2354</v>
      </c>
      <c r="D159" t="s">
        <v>2386</v>
      </c>
      <c r="E159" t="s">
        <v>449</v>
      </c>
      <c r="F159">
        <v>7.7207033551588315E-11</v>
      </c>
      <c r="G159">
        <v>3.5587399304295618E-19</v>
      </c>
      <c r="H159">
        <v>7.7207032582531494E-11</v>
      </c>
      <c r="I159">
        <v>7.7207034397998848E-11</v>
      </c>
      <c r="J159">
        <v>7.7207033591718233E-11</v>
      </c>
      <c r="K159">
        <v>7.7207032971373525E-11</v>
      </c>
      <c r="L159">
        <v>7.7207034110611643E-11</v>
      </c>
      <c r="P159" t="s">
        <v>2622</v>
      </c>
      <c r="Q159" t="s">
        <v>2623</v>
      </c>
      <c r="R159" t="s">
        <v>2354</v>
      </c>
      <c r="S159" t="s">
        <v>2386</v>
      </c>
      <c r="T159" t="s">
        <v>449</v>
      </c>
      <c r="U159">
        <v>7.7207033520365905E-11</v>
      </c>
      <c r="V159">
        <v>3.2943634627055223E-19</v>
      </c>
      <c r="W159">
        <v>7.7207032432531363E-11</v>
      </c>
      <c r="X159">
        <v>7.720703427282074E-11</v>
      </c>
      <c r="Y159">
        <v>7.7207033499304684E-11</v>
      </c>
      <c r="Z159">
        <v>7.7207033042592845E-11</v>
      </c>
      <c r="AA159">
        <v>7.7207034143748343E-11</v>
      </c>
    </row>
    <row r="160" spans="1:27">
      <c r="A160" t="s">
        <v>2624</v>
      </c>
      <c r="B160" t="s">
        <v>2625</v>
      </c>
      <c r="C160" t="s">
        <v>2354</v>
      </c>
      <c r="D160" t="s">
        <v>2386</v>
      </c>
      <c r="E160" t="s">
        <v>449</v>
      </c>
      <c r="F160">
        <v>8.8240946383311306E-7</v>
      </c>
      <c r="G160">
        <v>1.3778684714381627E-11</v>
      </c>
      <c r="H160">
        <v>8.8237194401251935E-7</v>
      </c>
      <c r="I160">
        <v>8.8244223504997422E-7</v>
      </c>
      <c r="J160">
        <v>8.8241101757796442E-7</v>
      </c>
      <c r="K160">
        <v>8.8238699914941076E-7</v>
      </c>
      <c r="L160">
        <v>8.8243110802783963E-7</v>
      </c>
      <c r="P160" t="s">
        <v>2624</v>
      </c>
      <c r="Q160" t="s">
        <v>2625</v>
      </c>
      <c r="R160" t="s">
        <v>2354</v>
      </c>
      <c r="S160" t="s">
        <v>2386</v>
      </c>
      <c r="T160" t="s">
        <v>449</v>
      </c>
      <c r="U160">
        <v>8.8240825496726217E-7</v>
      </c>
      <c r="V160">
        <v>1.2755075225844132E-11</v>
      </c>
      <c r="W160">
        <v>8.8236613632572789E-7</v>
      </c>
      <c r="X160">
        <v>8.8243738841934855E-7</v>
      </c>
      <c r="Y160">
        <v>8.8240743952152454E-7</v>
      </c>
      <c r="Z160">
        <v>8.8238975661035682E-7</v>
      </c>
      <c r="AA160">
        <v>8.8243239101070744E-7</v>
      </c>
    </row>
    <row r="161" spans="1:27">
      <c r="A161" t="s">
        <v>2626</v>
      </c>
      <c r="B161" t="s">
        <v>2627</v>
      </c>
      <c r="C161" t="s">
        <v>2354</v>
      </c>
      <c r="D161" t="s">
        <v>2386</v>
      </c>
      <c r="E161" t="s">
        <v>449</v>
      </c>
      <c r="F161">
        <v>5.5847461403804863E-10</v>
      </c>
      <c r="G161">
        <v>2.2728589381168342E-15</v>
      </c>
      <c r="H161">
        <v>5.5846842496693165E-10</v>
      </c>
      <c r="I161">
        <v>5.5848001980461467E-10</v>
      </c>
      <c r="J161">
        <v>5.5847487033557944E-10</v>
      </c>
      <c r="K161">
        <v>5.5847090838266819E-10</v>
      </c>
      <c r="L161">
        <v>5.584781843499078E-10</v>
      </c>
      <c r="P161" t="s">
        <v>2626</v>
      </c>
      <c r="Q161" t="s">
        <v>2627</v>
      </c>
      <c r="R161" t="s">
        <v>2354</v>
      </c>
      <c r="S161" t="s">
        <v>2386</v>
      </c>
      <c r="T161" t="s">
        <v>449</v>
      </c>
      <c r="U161">
        <v>5.5847441462993289E-10</v>
      </c>
      <c r="V161">
        <v>2.1040097320119204E-15</v>
      </c>
      <c r="W161">
        <v>5.584674669616426E-10</v>
      </c>
      <c r="X161">
        <v>5.5847922033006642E-10</v>
      </c>
      <c r="Y161">
        <v>5.5847428011831792E-10</v>
      </c>
      <c r="Z161">
        <v>5.5847136323883819E-10</v>
      </c>
      <c r="AA161">
        <v>5.5847839598397446E-10</v>
      </c>
    </row>
    <row r="162" spans="1:27">
      <c r="A162" t="s">
        <v>2628</v>
      </c>
      <c r="B162" t="s">
        <v>2629</v>
      </c>
      <c r="C162" t="s">
        <v>2354</v>
      </c>
      <c r="D162" t="s">
        <v>2386</v>
      </c>
      <c r="E162" t="s">
        <v>449</v>
      </c>
      <c r="F162">
        <v>1.375424632282924E-11</v>
      </c>
      <c r="G162">
        <v>4.3062522415249451E-18</v>
      </c>
      <c r="H162">
        <v>1.375423459675996E-11</v>
      </c>
      <c r="I162">
        <v>1.3754256564817426E-11</v>
      </c>
      <c r="J162">
        <v>1.3754246808421107E-11</v>
      </c>
      <c r="K162">
        <v>1.3754239301941793E-11</v>
      </c>
      <c r="L162">
        <v>1.3754253087289273E-11</v>
      </c>
      <c r="P162" t="s">
        <v>2628</v>
      </c>
      <c r="Q162" t="s">
        <v>2629</v>
      </c>
      <c r="R162" t="s">
        <v>2354</v>
      </c>
      <c r="S162" t="s">
        <v>2386</v>
      </c>
      <c r="T162" t="s">
        <v>449</v>
      </c>
      <c r="U162">
        <v>1.3754245945022406E-11</v>
      </c>
      <c r="V162">
        <v>3.9863435747803242E-18</v>
      </c>
      <c r="W162">
        <v>1.3754232781683648E-11</v>
      </c>
      <c r="X162">
        <v>1.3754255050099989E-11</v>
      </c>
      <c r="Y162">
        <v>1.3754245690171153E-11</v>
      </c>
      <c r="Z162">
        <v>1.3754240163731044E-11</v>
      </c>
      <c r="AA162">
        <v>1.3754253488259901E-11</v>
      </c>
    </row>
    <row r="163" spans="1:27">
      <c r="A163" t="s">
        <v>2630</v>
      </c>
      <c r="B163" t="s">
        <v>2631</v>
      </c>
      <c r="C163" t="s">
        <v>2354</v>
      </c>
      <c r="D163" t="s">
        <v>2386</v>
      </c>
      <c r="E163" t="s">
        <v>449</v>
      </c>
      <c r="F163">
        <v>1.0241776936792125E-7</v>
      </c>
      <c r="G163">
        <v>3.9203700928809906E-14</v>
      </c>
      <c r="H163">
        <v>1.0241766261492878E-7</v>
      </c>
      <c r="I163">
        <v>1.02417862609984E-7</v>
      </c>
      <c r="J163">
        <v>1.0241777378870231E-7</v>
      </c>
      <c r="K163">
        <v>1.0241770545044585E-7</v>
      </c>
      <c r="L163">
        <v>1.0241783095090645E-7</v>
      </c>
      <c r="P163" t="s">
        <v>2630</v>
      </c>
      <c r="Q163" t="s">
        <v>2631</v>
      </c>
      <c r="R163" t="s">
        <v>2354</v>
      </c>
      <c r="S163" t="s">
        <v>2386</v>
      </c>
      <c r="T163" t="s">
        <v>449</v>
      </c>
      <c r="U163">
        <v>1.0241776592840456E-7</v>
      </c>
      <c r="V163">
        <v>3.6291283589886669E-14</v>
      </c>
      <c r="W163">
        <v>1.0241764609065084E-7</v>
      </c>
      <c r="X163">
        <v>1.0241784882014401E-7</v>
      </c>
      <c r="Y163">
        <v>1.0241776360826365E-7</v>
      </c>
      <c r="Z163">
        <v>1.0241771329609125E-7</v>
      </c>
      <c r="AA163">
        <v>1.0241783460130397E-7</v>
      </c>
    </row>
    <row r="164" spans="1:27">
      <c r="A164" t="s">
        <v>2632</v>
      </c>
      <c r="B164" t="s">
        <v>2633</v>
      </c>
      <c r="C164" t="s">
        <v>2354</v>
      </c>
      <c r="D164" t="s">
        <v>2386</v>
      </c>
      <c r="E164" t="s">
        <v>449</v>
      </c>
      <c r="F164">
        <v>1.4452842302305601E-4</v>
      </c>
      <c r="G164">
        <v>4.300573145308624E-13</v>
      </c>
      <c r="H164">
        <v>1.445284218519955E-4</v>
      </c>
      <c r="I164">
        <v>1.445284240459041E-4</v>
      </c>
      <c r="J164">
        <v>1.4452842307155112E-4</v>
      </c>
      <c r="K164">
        <v>1.4452842232189316E-4</v>
      </c>
      <c r="L164">
        <v>1.4452842369860988E-4</v>
      </c>
      <c r="P164" t="s">
        <v>2632</v>
      </c>
      <c r="Q164" t="s">
        <v>2633</v>
      </c>
      <c r="R164" t="s">
        <v>2354</v>
      </c>
      <c r="S164" t="s">
        <v>2386</v>
      </c>
      <c r="T164" t="s">
        <v>449</v>
      </c>
      <c r="U164">
        <v>1.4452842298532509E-4</v>
      </c>
      <c r="V164">
        <v>3.9810863875626392E-13</v>
      </c>
      <c r="W164">
        <v>1.4452842167072722E-4</v>
      </c>
      <c r="X164">
        <v>1.4452842389463209E-4</v>
      </c>
      <c r="Y164">
        <v>1.4452842295987361E-4</v>
      </c>
      <c r="Z164">
        <v>1.4452842240795843E-4</v>
      </c>
      <c r="AA164">
        <v>1.4452842373865408E-4</v>
      </c>
    </row>
    <row r="165" spans="1:27">
      <c r="A165" t="s">
        <v>2634</v>
      </c>
      <c r="B165" t="s">
        <v>2635</v>
      </c>
      <c r="C165" t="s">
        <v>2354</v>
      </c>
      <c r="D165" t="s">
        <v>2386</v>
      </c>
      <c r="E165" t="s">
        <v>449</v>
      </c>
      <c r="F165">
        <v>3.8403926614801237E-6</v>
      </c>
      <c r="G165">
        <v>1.8072229162347581E-13</v>
      </c>
      <c r="H165">
        <v>3.8403921693672612E-6</v>
      </c>
      <c r="I165">
        <v>3.8403930913099303E-6</v>
      </c>
      <c r="J165">
        <v>3.8403926818591596E-6</v>
      </c>
      <c r="K165">
        <v>3.8403923668315976E-6</v>
      </c>
      <c r="L165">
        <v>3.8403929453670497E-6</v>
      </c>
      <c r="P165" t="s">
        <v>2634</v>
      </c>
      <c r="Q165" t="s">
        <v>2635</v>
      </c>
      <c r="R165" t="s">
        <v>2354</v>
      </c>
      <c r="S165" t="s">
        <v>2386</v>
      </c>
      <c r="T165" t="s">
        <v>449</v>
      </c>
      <c r="U165">
        <v>3.8403926456245453E-6</v>
      </c>
      <c r="V165">
        <v>1.6729655067028318E-13</v>
      </c>
      <c r="W165">
        <v>3.8403920931931927E-6</v>
      </c>
      <c r="X165">
        <v>3.8403930277411495E-6</v>
      </c>
      <c r="Y165">
        <v>3.8403926349290951E-6</v>
      </c>
      <c r="Z165">
        <v>3.8403924029986687E-6</v>
      </c>
      <c r="AA165">
        <v>3.8403929621947517E-6</v>
      </c>
    </row>
    <row r="166" spans="1:27">
      <c r="A166" t="s">
        <v>2636</v>
      </c>
      <c r="B166" t="s">
        <v>2637</v>
      </c>
      <c r="C166" t="s">
        <v>2354</v>
      </c>
      <c r="D166" t="s">
        <v>2386</v>
      </c>
      <c r="E166" t="s">
        <v>449</v>
      </c>
      <c r="F166">
        <v>5.4285146896394493E-8</v>
      </c>
      <c r="G166">
        <v>5.7541343663151829E-15</v>
      </c>
      <c r="H166">
        <v>5.4285131227693625E-8</v>
      </c>
      <c r="I166">
        <v>5.4285160582024797E-8</v>
      </c>
      <c r="J166">
        <v>5.4285147545255884E-8</v>
      </c>
      <c r="K166">
        <v>5.4285137514888836E-8</v>
      </c>
      <c r="L166">
        <v>5.4285155935254677E-8</v>
      </c>
      <c r="P166" t="s">
        <v>2636</v>
      </c>
      <c r="Q166" t="s">
        <v>2637</v>
      </c>
      <c r="R166" t="s">
        <v>2354</v>
      </c>
      <c r="S166" t="s">
        <v>2386</v>
      </c>
      <c r="T166" t="s">
        <v>449</v>
      </c>
      <c r="U166">
        <v>5.4285146391558456E-8</v>
      </c>
      <c r="V166">
        <v>5.3266634818941038E-15</v>
      </c>
      <c r="W166">
        <v>5.4285128802338023E-8</v>
      </c>
      <c r="X166">
        <v>5.4285158558017103E-8</v>
      </c>
      <c r="Y166">
        <v>5.4285146051019104E-8</v>
      </c>
      <c r="Z166">
        <v>5.4285138666435673E-8</v>
      </c>
      <c r="AA166">
        <v>5.4285156471042813E-8</v>
      </c>
    </row>
    <row r="167" spans="1:27">
      <c r="A167" t="s">
        <v>2638</v>
      </c>
      <c r="B167" t="s">
        <v>2639</v>
      </c>
      <c r="C167" t="s">
        <v>2354</v>
      </c>
      <c r="D167" t="s">
        <v>2386</v>
      </c>
      <c r="E167" t="s">
        <v>449</v>
      </c>
      <c r="F167">
        <v>6.6844111018799572E-13</v>
      </c>
      <c r="G167">
        <v>1.1897197460927775E-19</v>
      </c>
      <c r="H167">
        <v>6.684407862233187E-13</v>
      </c>
      <c r="I167">
        <v>6.6844139315088084E-13</v>
      </c>
      <c r="J167">
        <v>6.6844112360379675E-13</v>
      </c>
      <c r="K167">
        <v>6.6844091621681234E-13</v>
      </c>
      <c r="L167">
        <v>6.6844129707467169E-13</v>
      </c>
      <c r="P167" t="s">
        <v>2638</v>
      </c>
      <c r="Q167" t="s">
        <v>2639</v>
      </c>
      <c r="R167" t="s">
        <v>2354</v>
      </c>
      <c r="S167" t="s">
        <v>2386</v>
      </c>
      <c r="T167" t="s">
        <v>449</v>
      </c>
      <c r="U167">
        <v>6.6844109975005005E-13</v>
      </c>
      <c r="V167">
        <v>1.1013362431735331E-19</v>
      </c>
      <c r="W167">
        <v>6.6844073607688023E-13</v>
      </c>
      <c r="X167">
        <v>6.6844135130267638E-13</v>
      </c>
      <c r="Y167">
        <v>6.6844109270908887E-13</v>
      </c>
      <c r="Z167">
        <v>6.6844094002609313E-13</v>
      </c>
      <c r="AA167">
        <v>6.6844130815257991E-13</v>
      </c>
    </row>
    <row r="168" spans="1:27">
      <c r="A168" t="s">
        <v>2640</v>
      </c>
      <c r="B168" t="s">
        <v>2641</v>
      </c>
      <c r="C168" t="s">
        <v>2354</v>
      </c>
      <c r="D168" t="s">
        <v>2386</v>
      </c>
      <c r="E168" t="s">
        <v>449</v>
      </c>
      <c r="F168">
        <v>7.3774943282531471E-7</v>
      </c>
      <c r="G168">
        <v>1.0575043597786204E-13</v>
      </c>
      <c r="H168">
        <v>7.3774914486333062E-7</v>
      </c>
      <c r="I168">
        <v>7.3774968434209878E-7</v>
      </c>
      <c r="J168">
        <v>7.377494447501969E-7</v>
      </c>
      <c r="K168">
        <v>7.377492604104473E-7</v>
      </c>
      <c r="L168">
        <v>7.3774959894298661E-7</v>
      </c>
      <c r="P168" t="s">
        <v>2640</v>
      </c>
      <c r="Q168" t="s">
        <v>2641</v>
      </c>
      <c r="R168" t="s">
        <v>2354</v>
      </c>
      <c r="S168" t="s">
        <v>2386</v>
      </c>
      <c r="T168" t="s">
        <v>449</v>
      </c>
      <c r="U168">
        <v>7.3774942354735414E-7</v>
      </c>
      <c r="V168">
        <v>9.789430516671399E-14</v>
      </c>
      <c r="W168">
        <v>7.3774910028974294E-7</v>
      </c>
      <c r="X168">
        <v>7.377496471445496E-7</v>
      </c>
      <c r="Y168">
        <v>7.3774941728886539E-7</v>
      </c>
      <c r="Z168">
        <v>7.3774928157376602E-7</v>
      </c>
      <c r="AA168">
        <v>7.3774960878978983E-7</v>
      </c>
    </row>
    <row r="169" spans="1:27">
      <c r="A169" t="s">
        <v>2642</v>
      </c>
      <c r="B169" t="s">
        <v>2643</v>
      </c>
      <c r="C169" t="s">
        <v>2354</v>
      </c>
      <c r="D169" t="s">
        <v>2386</v>
      </c>
      <c r="E169" t="s">
        <v>449</v>
      </c>
      <c r="F169">
        <v>1.5159538345625616E-6</v>
      </c>
      <c r="G169">
        <v>8.0532932354183521E-12</v>
      </c>
      <c r="H169">
        <v>1.5159319051749862E-6</v>
      </c>
      <c r="I169">
        <v>1.5159729885111812E-6</v>
      </c>
      <c r="J169">
        <v>1.5159547426871876E-6</v>
      </c>
      <c r="K169">
        <v>1.5159407045222822E-6</v>
      </c>
      <c r="L169">
        <v>1.515966485047756E-6</v>
      </c>
      <c r="P169" t="s">
        <v>2642</v>
      </c>
      <c r="Q169" t="s">
        <v>2643</v>
      </c>
      <c r="R169" t="s">
        <v>2354</v>
      </c>
      <c r="S169" t="s">
        <v>2386</v>
      </c>
      <c r="T169" t="s">
        <v>449</v>
      </c>
      <c r="U169">
        <v>1.5159531280110015E-6</v>
      </c>
      <c r="V169">
        <v>7.455019340587683E-12</v>
      </c>
      <c r="W169">
        <v>1.5159285107287296E-6</v>
      </c>
      <c r="X169">
        <v>1.515970155777982E-6</v>
      </c>
      <c r="Y169">
        <v>1.5159526514035621E-6</v>
      </c>
      <c r="Z169">
        <v>1.5159423161885658E-6</v>
      </c>
      <c r="AA169">
        <v>1.5159672349188405E-6</v>
      </c>
    </row>
    <row r="170" spans="1:27">
      <c r="A170" t="s">
        <v>2644</v>
      </c>
      <c r="B170" t="s">
        <v>2645</v>
      </c>
      <c r="C170" t="s">
        <v>2354</v>
      </c>
      <c r="D170" t="s">
        <v>2386</v>
      </c>
      <c r="E170" t="s">
        <v>449</v>
      </c>
      <c r="F170">
        <v>1.9700264360179277E-5</v>
      </c>
      <c r="G170">
        <v>1.0763093802547134E-10</v>
      </c>
      <c r="H170">
        <v>1.9699971277525248E-5</v>
      </c>
      <c r="I170">
        <v>1.9700520349548658E-5</v>
      </c>
      <c r="J170">
        <v>1.9700276497115362E-5</v>
      </c>
      <c r="K170">
        <v>1.9700088879352945E-5</v>
      </c>
      <c r="L170">
        <v>1.970043343183085E-5</v>
      </c>
      <c r="P170" t="s">
        <v>2644</v>
      </c>
      <c r="Q170" t="s">
        <v>2645</v>
      </c>
      <c r="R170" t="s">
        <v>2354</v>
      </c>
      <c r="S170" t="s">
        <v>2386</v>
      </c>
      <c r="T170" t="s">
        <v>449</v>
      </c>
      <c r="U170">
        <v>1.9700254917234014E-5</v>
      </c>
      <c r="V170">
        <v>9.9635105933354094E-11</v>
      </c>
      <c r="W170">
        <v>1.969992591130996E-5</v>
      </c>
      <c r="X170">
        <v>1.9700482490535888E-5</v>
      </c>
      <c r="Y170">
        <v>1.9700248547454063E-5</v>
      </c>
      <c r="Z170">
        <v>1.9700110419007445E-5</v>
      </c>
      <c r="AA170">
        <v>1.9700443453734418E-5</v>
      </c>
    </row>
    <row r="171" spans="1:27">
      <c r="A171" t="s">
        <v>2646</v>
      </c>
      <c r="B171" t="s">
        <v>2647</v>
      </c>
      <c r="C171" t="s">
        <v>2354</v>
      </c>
      <c r="D171" t="s">
        <v>2386</v>
      </c>
      <c r="E171" t="s">
        <v>449</v>
      </c>
      <c r="F171">
        <v>1.1500314094506472E-5</v>
      </c>
      <c r="G171">
        <v>1.6558733668381911E-11</v>
      </c>
      <c r="H171">
        <v>1.150026900451934E-5</v>
      </c>
      <c r="I171">
        <v>1.1500353477790383E-5</v>
      </c>
      <c r="J171">
        <v>1.1500315961741825E-5</v>
      </c>
      <c r="K171">
        <v>1.1500287097247876E-5</v>
      </c>
      <c r="L171">
        <v>1.1500340105730576E-5</v>
      </c>
      <c r="P171" t="s">
        <v>2646</v>
      </c>
      <c r="Q171" t="s">
        <v>2647</v>
      </c>
      <c r="R171" t="s">
        <v>2354</v>
      </c>
      <c r="S171" t="s">
        <v>2386</v>
      </c>
      <c r="T171" t="s">
        <v>449</v>
      </c>
      <c r="U171">
        <v>1.1500312641734448E-5</v>
      </c>
      <c r="V171">
        <v>1.5328596158743541E-11</v>
      </c>
      <c r="W171">
        <v>1.1500262025047728E-5</v>
      </c>
      <c r="X171">
        <v>1.150034765328192E-5</v>
      </c>
      <c r="Y171">
        <v>1.150031166176074E-5</v>
      </c>
      <c r="Z171">
        <v>1.1500290411066456E-5</v>
      </c>
      <c r="AA171">
        <v>1.1500341647573796E-5</v>
      </c>
    </row>
    <row r="172" spans="1:27">
      <c r="A172" t="s">
        <v>2648</v>
      </c>
      <c r="B172" t="s">
        <v>2649</v>
      </c>
      <c r="C172" t="s">
        <v>2354</v>
      </c>
      <c r="D172" t="s">
        <v>2386</v>
      </c>
      <c r="E172" t="s">
        <v>449</v>
      </c>
      <c r="F172">
        <v>3.3025428294275567E-7</v>
      </c>
      <c r="G172">
        <v>1.2893071865319074E-13</v>
      </c>
      <c r="H172">
        <v>3.3025393186008461E-7</v>
      </c>
      <c r="I172">
        <v>3.3025458959151265E-7</v>
      </c>
      <c r="J172">
        <v>3.3025429748154829E-7</v>
      </c>
      <c r="K172">
        <v>3.3025407273489657E-7</v>
      </c>
      <c r="L172">
        <v>3.3025448547308696E-7</v>
      </c>
      <c r="P172" t="s">
        <v>2648</v>
      </c>
      <c r="Q172" t="s">
        <v>2649</v>
      </c>
      <c r="R172" t="s">
        <v>2354</v>
      </c>
      <c r="S172" t="s">
        <v>2386</v>
      </c>
      <c r="T172" t="s">
        <v>449</v>
      </c>
      <c r="U172">
        <v>3.3025427163108488E-7</v>
      </c>
      <c r="V172">
        <v>1.1935253977194113E-13</v>
      </c>
      <c r="W172">
        <v>3.3025387751605632E-7</v>
      </c>
      <c r="X172">
        <v>3.3025454424033565E-7</v>
      </c>
      <c r="Y172">
        <v>3.3025426400074824E-7</v>
      </c>
      <c r="Z172">
        <v>3.3025409853717228E-7</v>
      </c>
      <c r="AA172">
        <v>3.3025449747828969E-7</v>
      </c>
    </row>
    <row r="173" spans="1:27">
      <c r="A173" t="s">
        <v>2650</v>
      </c>
      <c r="B173" t="s">
        <v>2651</v>
      </c>
      <c r="C173" t="s">
        <v>2354</v>
      </c>
      <c r="D173" t="s">
        <v>2386</v>
      </c>
      <c r="E173" t="s">
        <v>449</v>
      </c>
      <c r="F173">
        <v>4.3940696367253083E-5</v>
      </c>
      <c r="G173">
        <v>2.7583604137846032E-12</v>
      </c>
      <c r="H173">
        <v>4.3940688856145156E-5</v>
      </c>
      <c r="I173">
        <v>4.3940702927736108E-5</v>
      </c>
      <c r="J173">
        <v>4.3940696678297879E-5</v>
      </c>
      <c r="K173">
        <v>4.3940691870039046E-5</v>
      </c>
      <c r="L173">
        <v>4.3940700700213092E-5</v>
      </c>
      <c r="P173" t="s">
        <v>2650</v>
      </c>
      <c r="Q173" t="s">
        <v>2651</v>
      </c>
      <c r="R173" t="s">
        <v>2354</v>
      </c>
      <c r="S173" t="s">
        <v>2386</v>
      </c>
      <c r="T173" t="s">
        <v>449</v>
      </c>
      <c r="U173">
        <v>4.3940696125249725E-5</v>
      </c>
      <c r="V173">
        <v>2.5534436198889638E-12</v>
      </c>
      <c r="W173">
        <v>4.3940687693502014E-5</v>
      </c>
      <c r="X173">
        <v>4.3940701957487182E-5</v>
      </c>
      <c r="Y173">
        <v>4.3940695962005327E-5</v>
      </c>
      <c r="Z173">
        <v>4.3940692422056259E-5</v>
      </c>
      <c r="AA173">
        <v>4.3940700957053946E-5</v>
      </c>
    </row>
    <row r="174" spans="1:27">
      <c r="A174" t="s">
        <v>2652</v>
      </c>
      <c r="B174" t="s">
        <v>2653</v>
      </c>
      <c r="C174" t="s">
        <v>2354</v>
      </c>
      <c r="D174" t="s">
        <v>2386</v>
      </c>
      <c r="E174" t="s">
        <v>923</v>
      </c>
      <c r="F174">
        <v>1.1416090470663293E-7</v>
      </c>
      <c r="G174">
        <v>6.2035141810084355E-13</v>
      </c>
      <c r="H174">
        <v>1.1415921546891578E-7</v>
      </c>
      <c r="I174">
        <v>1.1416238015013672E-7</v>
      </c>
      <c r="J174">
        <v>1.1416097466017652E-7</v>
      </c>
      <c r="K174">
        <v>1.1415989328945627E-7</v>
      </c>
      <c r="L174">
        <v>1.1416187918330981E-7</v>
      </c>
      <c r="P174" t="s">
        <v>2652</v>
      </c>
      <c r="Q174" t="s">
        <v>2653</v>
      </c>
      <c r="R174" t="s">
        <v>2354</v>
      </c>
      <c r="S174" t="s">
        <v>2386</v>
      </c>
      <c r="T174" t="s">
        <v>923</v>
      </c>
      <c r="U174">
        <v>1.1416085028041875E-7</v>
      </c>
      <c r="V174">
        <v>5.7426591640289056E-13</v>
      </c>
      <c r="W174">
        <v>1.1415895399209041E-7</v>
      </c>
      <c r="X174">
        <v>1.1416216194250341E-7</v>
      </c>
      <c r="Y174">
        <v>1.141608135669784E-7</v>
      </c>
      <c r="Z174">
        <v>1.1416001743735889E-7</v>
      </c>
      <c r="AA174">
        <v>1.141619369464605E-7</v>
      </c>
    </row>
    <row r="175" spans="1:27">
      <c r="A175" t="s">
        <v>2654</v>
      </c>
      <c r="B175" t="s">
        <v>2655</v>
      </c>
      <c r="C175" t="s">
        <v>2354</v>
      </c>
      <c r="D175" t="s">
        <v>2386</v>
      </c>
      <c r="E175" t="s">
        <v>923</v>
      </c>
      <c r="F175">
        <v>1.4349496433697544E-8</v>
      </c>
      <c r="G175">
        <v>9.8680613721829704E-16</v>
      </c>
      <c r="H175">
        <v>1.4349493746591332E-8</v>
      </c>
      <c r="I175">
        <v>1.4349498780716764E-8</v>
      </c>
      <c r="J175">
        <v>1.4349496544974122E-8</v>
      </c>
      <c r="K175">
        <v>1.4349494824814818E-8</v>
      </c>
      <c r="L175">
        <v>1.4349497983818225E-8</v>
      </c>
      <c r="P175" t="s">
        <v>2654</v>
      </c>
      <c r="Q175" t="s">
        <v>2655</v>
      </c>
      <c r="R175" t="s">
        <v>2354</v>
      </c>
      <c r="S175" t="s">
        <v>2386</v>
      </c>
      <c r="T175" t="s">
        <v>923</v>
      </c>
      <c r="U175">
        <v>1.4349496347120613E-8</v>
      </c>
      <c r="V175">
        <v>9.1349695372714207E-16</v>
      </c>
      <c r="W175">
        <v>1.4349493330654609E-8</v>
      </c>
      <c r="X175">
        <v>1.4349498433609262E-8</v>
      </c>
      <c r="Y175">
        <v>1.4349496288719761E-8</v>
      </c>
      <c r="Z175">
        <v>1.4349495022299516E-8</v>
      </c>
      <c r="AA175">
        <v>1.434949807570329E-8</v>
      </c>
    </row>
    <row r="176" spans="1:27">
      <c r="A176" t="s">
        <v>2656</v>
      </c>
      <c r="B176" t="s">
        <v>2657</v>
      </c>
      <c r="C176" t="s">
        <v>2354</v>
      </c>
      <c r="D176" t="s">
        <v>2386</v>
      </c>
      <c r="E176" t="s">
        <v>923</v>
      </c>
      <c r="F176">
        <v>9.5950964264442894E-9</v>
      </c>
      <c r="G176">
        <v>3.8699594659215862E-14</v>
      </c>
      <c r="H176">
        <v>9.5949910461501051E-9</v>
      </c>
      <c r="I176">
        <v>9.5951884695409497E-9</v>
      </c>
      <c r="J176">
        <v>9.595100790380121E-9</v>
      </c>
      <c r="K176">
        <v>9.5950333308606792E-9</v>
      </c>
      <c r="L176">
        <v>9.5951572175560678E-9</v>
      </c>
      <c r="P176" t="s">
        <v>2656</v>
      </c>
      <c r="Q176" t="s">
        <v>2657</v>
      </c>
      <c r="R176" t="s">
        <v>2354</v>
      </c>
      <c r="S176" t="s">
        <v>2386</v>
      </c>
      <c r="T176" t="s">
        <v>923</v>
      </c>
      <c r="U176">
        <v>9.5950930311551563E-9</v>
      </c>
      <c r="V176">
        <v>3.5824627046867166E-14</v>
      </c>
      <c r="W176">
        <v>9.5949747343518888E-9</v>
      </c>
      <c r="X176">
        <v>9.5951748570195386E-9</v>
      </c>
      <c r="Y176">
        <v>9.5950907408480531E-9</v>
      </c>
      <c r="Z176">
        <v>9.595041075621744E-9</v>
      </c>
      <c r="AA176">
        <v>9.5951608210144515E-9</v>
      </c>
    </row>
    <row r="177" spans="1:27">
      <c r="A177" t="s">
        <v>2658</v>
      </c>
      <c r="B177" t="s">
        <v>2659</v>
      </c>
      <c r="C177" t="s">
        <v>2354</v>
      </c>
      <c r="D177" t="s">
        <v>2386</v>
      </c>
      <c r="E177" t="s">
        <v>923</v>
      </c>
      <c r="F177">
        <v>3.3937158134170068E-15</v>
      </c>
      <c r="G177">
        <v>3.2644757659593899E-21</v>
      </c>
      <c r="H177">
        <v>3.3937069241400093E-15</v>
      </c>
      <c r="I177">
        <v>3.3937235776445414E-15</v>
      </c>
      <c r="J177">
        <v>3.3937161815335943E-15</v>
      </c>
      <c r="K177">
        <v>3.3937104910355842E-15</v>
      </c>
      <c r="L177">
        <v>3.3937209414064058E-15</v>
      </c>
      <c r="P177" t="s">
        <v>2658</v>
      </c>
      <c r="Q177" t="s">
        <v>2659</v>
      </c>
      <c r="R177" t="s">
        <v>2354</v>
      </c>
      <c r="S177" t="s">
        <v>2386</v>
      </c>
      <c r="T177" t="s">
        <v>923</v>
      </c>
      <c r="U177">
        <v>3.3937155270098944E-15</v>
      </c>
      <c r="V177">
        <v>3.0219599933421306E-21</v>
      </c>
      <c r="W177">
        <v>3.3937055481703011E-15</v>
      </c>
      <c r="X177">
        <v>3.3937224293703373E-15</v>
      </c>
      <c r="Y177">
        <v>3.3937153338127283E-15</v>
      </c>
      <c r="Z177">
        <v>3.393711144339192E-15</v>
      </c>
      <c r="AA177">
        <v>3.3937212453734799E-15</v>
      </c>
    </row>
    <row r="178" spans="1:27">
      <c r="A178" t="s">
        <v>2660</v>
      </c>
      <c r="B178" t="s">
        <v>2661</v>
      </c>
      <c r="C178" t="s">
        <v>2354</v>
      </c>
      <c r="D178" t="s">
        <v>2386</v>
      </c>
      <c r="E178" t="s">
        <v>923</v>
      </c>
      <c r="F178">
        <v>8.5046698635370815E-14</v>
      </c>
      <c r="G178">
        <v>1.2047608438616669E-19</v>
      </c>
      <c r="H178">
        <v>8.5046370574952446E-14</v>
      </c>
      <c r="I178">
        <v>8.5046985175629904E-14</v>
      </c>
      <c r="J178">
        <v>8.5046712220781884E-14</v>
      </c>
      <c r="K178">
        <v>8.5046502211896041E-14</v>
      </c>
      <c r="L178">
        <v>8.5046887884771927E-14</v>
      </c>
      <c r="P178" t="s">
        <v>2660</v>
      </c>
      <c r="Q178" t="s">
        <v>2661</v>
      </c>
      <c r="R178" t="s">
        <v>2354</v>
      </c>
      <c r="S178" t="s">
        <v>2386</v>
      </c>
      <c r="T178" t="s">
        <v>923</v>
      </c>
      <c r="U178">
        <v>8.5046688065463216E-14</v>
      </c>
      <c r="V178">
        <v>1.1152599476122744E-19</v>
      </c>
      <c r="W178">
        <v>8.5046319794534823E-14</v>
      </c>
      <c r="X178">
        <v>8.5046942798357159E-14</v>
      </c>
      <c r="Y178">
        <v>8.5046680935485894E-14</v>
      </c>
      <c r="Z178">
        <v>8.5046526322187008E-14</v>
      </c>
      <c r="AA178">
        <v>8.5046899102733252E-14</v>
      </c>
    </row>
    <row r="179" spans="1:27">
      <c r="A179" t="s">
        <v>2662</v>
      </c>
      <c r="B179" t="s">
        <v>2663</v>
      </c>
      <c r="C179" t="s">
        <v>2354</v>
      </c>
      <c r="D179" t="s">
        <v>2386</v>
      </c>
      <c r="E179" t="s">
        <v>923</v>
      </c>
      <c r="F179">
        <v>1.00249155266967E-14</v>
      </c>
      <c r="G179">
        <v>7.6305649483950561E-20</v>
      </c>
      <c r="H179">
        <v>1.0024707743853982E-14</v>
      </c>
      <c r="I179">
        <v>1.0025097012015426E-14</v>
      </c>
      <c r="J179">
        <v>1.0024924131256027E-14</v>
      </c>
      <c r="K179">
        <v>1.0024791118430176E-14</v>
      </c>
      <c r="L179">
        <v>1.0025035391137353E-14</v>
      </c>
      <c r="P179" t="s">
        <v>2662</v>
      </c>
      <c r="Q179" t="s">
        <v>2663</v>
      </c>
      <c r="R179" t="s">
        <v>2354</v>
      </c>
      <c r="S179" t="s">
        <v>2386</v>
      </c>
      <c r="T179" t="s">
        <v>923</v>
      </c>
      <c r="U179">
        <v>1.0024908832059601E-14</v>
      </c>
      <c r="V179">
        <v>7.063695261934105E-20</v>
      </c>
      <c r="W179">
        <v>1.0024675581182302E-14</v>
      </c>
      <c r="X179">
        <v>1.0025070171623519E-14</v>
      </c>
      <c r="Y179">
        <v>1.0024904316162919E-14</v>
      </c>
      <c r="Z179">
        <v>1.0024806389107513E-14</v>
      </c>
      <c r="AA179">
        <v>1.0025042496230694E-14</v>
      </c>
    </row>
    <row r="180" spans="1:27">
      <c r="A180" t="s">
        <v>2664</v>
      </c>
      <c r="B180" t="s">
        <v>2665</v>
      </c>
      <c r="C180" t="s">
        <v>2354</v>
      </c>
      <c r="D180" t="s">
        <v>2386</v>
      </c>
      <c r="E180" t="s">
        <v>923</v>
      </c>
      <c r="F180">
        <v>9.7128057418517195E-7</v>
      </c>
      <c r="G180">
        <v>9.4790036463641611E-13</v>
      </c>
      <c r="H180">
        <v>9.7127799302068838E-7</v>
      </c>
      <c r="I180">
        <v>9.7128282867092748E-7</v>
      </c>
      <c r="J180">
        <v>9.7128068107457027E-7</v>
      </c>
      <c r="K180">
        <v>9.7127902873418684E-7</v>
      </c>
      <c r="L180">
        <v>9.7128206319087228E-7</v>
      </c>
      <c r="P180" t="s">
        <v>2664</v>
      </c>
      <c r="Q180" t="s">
        <v>2665</v>
      </c>
      <c r="R180" t="s">
        <v>2354</v>
      </c>
      <c r="S180" t="s">
        <v>2386</v>
      </c>
      <c r="T180" t="s">
        <v>923</v>
      </c>
      <c r="U180">
        <v>9.7128049102161923E-7</v>
      </c>
      <c r="V180">
        <v>8.7748146561881558E-13</v>
      </c>
      <c r="W180">
        <v>9.7127759348266717E-7</v>
      </c>
      <c r="X180">
        <v>9.7128249524846869E-7</v>
      </c>
      <c r="Y180">
        <v>9.7128043492328125E-7</v>
      </c>
      <c r="Z180">
        <v>9.7127921843286192E-7</v>
      </c>
      <c r="AA180">
        <v>9.7128215145328277E-7</v>
      </c>
    </row>
    <row r="181" spans="1:27">
      <c r="A181" t="s">
        <v>2666</v>
      </c>
      <c r="B181" t="s">
        <v>2667</v>
      </c>
      <c r="C181" t="s">
        <v>2354</v>
      </c>
      <c r="D181" t="s">
        <v>2386</v>
      </c>
      <c r="E181" t="s">
        <v>923</v>
      </c>
      <c r="F181">
        <v>1.2114494883429063E-12</v>
      </c>
      <c r="G181">
        <v>6.9458769822563672E-17</v>
      </c>
      <c r="H181">
        <v>1.2112603497831355E-12</v>
      </c>
      <c r="I181">
        <v>1.2116146890464525E-12</v>
      </c>
      <c r="J181">
        <v>1.2114573208180822E-12</v>
      </c>
      <c r="K181">
        <v>1.2113362431873074E-12</v>
      </c>
      <c r="L181">
        <v>1.211558597388556E-12</v>
      </c>
      <c r="P181" t="s">
        <v>2666</v>
      </c>
      <c r="Q181" t="s">
        <v>2667</v>
      </c>
      <c r="R181" t="s">
        <v>2354</v>
      </c>
      <c r="S181" t="s">
        <v>2386</v>
      </c>
      <c r="T181" t="s">
        <v>923</v>
      </c>
      <c r="U181">
        <v>1.2114433944132877E-12</v>
      </c>
      <c r="V181">
        <v>6.4298723176146561E-17</v>
      </c>
      <c r="W181">
        <v>1.2112310730569159E-12</v>
      </c>
      <c r="X181">
        <v>1.2115902570336715E-12</v>
      </c>
      <c r="Y181">
        <v>1.2114392837264567E-12</v>
      </c>
      <c r="Z181">
        <v>1.2113501436320243E-12</v>
      </c>
      <c r="AA181">
        <v>1.2115650649443171E-12</v>
      </c>
    </row>
    <row r="182" spans="1:27">
      <c r="A182" t="s">
        <v>2668</v>
      </c>
      <c r="B182" t="s">
        <v>2669</v>
      </c>
      <c r="C182" t="s">
        <v>2354</v>
      </c>
      <c r="D182" t="s">
        <v>2386</v>
      </c>
      <c r="E182" t="s">
        <v>923</v>
      </c>
      <c r="F182">
        <v>7.0082488516755948E-17</v>
      </c>
      <c r="G182">
        <v>2.4781498758522061E-23</v>
      </c>
      <c r="H182">
        <v>7.008242103590371E-17</v>
      </c>
      <c r="I182">
        <v>7.0082547457060261E-17</v>
      </c>
      <c r="J182">
        <v>7.0082491311226322E-17</v>
      </c>
      <c r="K182">
        <v>7.008244811315121E-17</v>
      </c>
      <c r="L182">
        <v>7.0082527444679488E-17</v>
      </c>
      <c r="P182" t="s">
        <v>2668</v>
      </c>
      <c r="Q182" t="s">
        <v>2669</v>
      </c>
      <c r="R182" t="s">
        <v>2354</v>
      </c>
      <c r="S182" t="s">
        <v>2386</v>
      </c>
      <c r="T182" t="s">
        <v>923</v>
      </c>
      <c r="U182">
        <v>7.0082486342563847E-17</v>
      </c>
      <c r="V182">
        <v>2.2940497400988051E-23</v>
      </c>
      <c r="W182">
        <v>7.0082410590553804E-17</v>
      </c>
      <c r="X182">
        <v>7.0082538740207151E-17</v>
      </c>
      <c r="Y182">
        <v>7.008248487595307E-17</v>
      </c>
      <c r="Z182">
        <v>7.0082453072551645E-17</v>
      </c>
      <c r="AA182">
        <v>7.0082529752173921E-17</v>
      </c>
    </row>
    <row r="183" spans="1:27">
      <c r="A183" t="s">
        <v>2670</v>
      </c>
      <c r="B183" t="s">
        <v>2671</v>
      </c>
      <c r="C183" t="s">
        <v>2354</v>
      </c>
      <c r="D183" t="s">
        <v>2386</v>
      </c>
      <c r="E183" t="s">
        <v>923</v>
      </c>
      <c r="F183">
        <v>6.8300747493390263E-12</v>
      </c>
      <c r="G183">
        <v>1.6360323818631672E-16</v>
      </c>
      <c r="H183">
        <v>6.82962925223444E-12</v>
      </c>
      <c r="I183">
        <v>6.8304638631992364E-12</v>
      </c>
      <c r="J183">
        <v>6.8300931979568948E-12</v>
      </c>
      <c r="K183">
        <v>6.8298080116151664E-12</v>
      </c>
      <c r="L183">
        <v>6.8303317448664394E-12</v>
      </c>
      <c r="P183" t="s">
        <v>2670</v>
      </c>
      <c r="Q183" t="s">
        <v>2671</v>
      </c>
      <c r="R183" t="s">
        <v>2354</v>
      </c>
      <c r="S183" t="s">
        <v>2386</v>
      </c>
      <c r="T183" t="s">
        <v>923</v>
      </c>
      <c r="U183">
        <v>6.8300603956926709E-12</v>
      </c>
      <c r="V183">
        <v>1.5144926047111275E-16</v>
      </c>
      <c r="W183">
        <v>6.829560293811691E-12</v>
      </c>
      <c r="X183">
        <v>6.8304063160181305E-12</v>
      </c>
      <c r="Y183">
        <v>6.8300507133778434E-12</v>
      </c>
      <c r="Z183">
        <v>6.8298407527330087E-12</v>
      </c>
      <c r="AA183">
        <v>6.8303469785520975E-12</v>
      </c>
    </row>
    <row r="184" spans="1:27">
      <c r="A184" t="s">
        <v>2672</v>
      </c>
      <c r="B184" t="s">
        <v>2673</v>
      </c>
      <c r="C184" t="s">
        <v>2354</v>
      </c>
      <c r="D184" t="s">
        <v>2386</v>
      </c>
      <c r="E184" t="s">
        <v>923</v>
      </c>
      <c r="F184">
        <v>6.7662441827128116E-13</v>
      </c>
      <c r="G184">
        <v>7.8100404991588093E-20</v>
      </c>
      <c r="H184">
        <v>6.7662420560125897E-13</v>
      </c>
      <c r="I184">
        <v>6.7662460402524547E-13</v>
      </c>
      <c r="J184">
        <v>6.7662442707822498E-13</v>
      </c>
      <c r="K184">
        <v>6.7662429093685613E-13</v>
      </c>
      <c r="L184">
        <v>6.7662454095500669E-13</v>
      </c>
      <c r="P184" t="s">
        <v>2672</v>
      </c>
      <c r="Q184" t="s">
        <v>2673</v>
      </c>
      <c r="R184" t="s">
        <v>2354</v>
      </c>
      <c r="S184" t="s">
        <v>2386</v>
      </c>
      <c r="T184" t="s">
        <v>923</v>
      </c>
      <c r="U184">
        <v>6.7662441141918192E-13</v>
      </c>
      <c r="V184">
        <v>7.2298376906018132E-20</v>
      </c>
      <c r="W184">
        <v>6.7662417268210168E-13</v>
      </c>
      <c r="X184">
        <v>6.7662457655355113E-13</v>
      </c>
      <c r="Y184">
        <v>6.7662440679706872E-13</v>
      </c>
      <c r="Z184">
        <v>6.7662430656670916E-13</v>
      </c>
      <c r="AA184">
        <v>6.7662454822721624E-13</v>
      </c>
    </row>
    <row r="185" spans="1:27">
      <c r="A185" t="s">
        <v>2674</v>
      </c>
      <c r="B185" t="s">
        <v>2675</v>
      </c>
      <c r="C185" t="s">
        <v>2354</v>
      </c>
      <c r="D185" t="s">
        <v>2386</v>
      </c>
      <c r="E185" t="s">
        <v>449</v>
      </c>
      <c r="F185">
        <v>1.5098213543376921E-4</v>
      </c>
      <c r="G185">
        <v>6.8332705079016844E-11</v>
      </c>
      <c r="H185">
        <v>1.5098194936152154E-4</v>
      </c>
      <c r="I185">
        <v>1.5098229795624095E-4</v>
      </c>
      <c r="J185">
        <v>1.5098214313926444E-4</v>
      </c>
      <c r="K185">
        <v>1.5098202402454274E-4</v>
      </c>
      <c r="L185">
        <v>1.5098224277394035E-4</v>
      </c>
      <c r="P185" t="s">
        <v>2674</v>
      </c>
      <c r="Q185" t="s">
        <v>2675</v>
      </c>
      <c r="R185" t="s">
        <v>2354</v>
      </c>
      <c r="S185" t="s">
        <v>2386</v>
      </c>
      <c r="T185" t="s">
        <v>449</v>
      </c>
      <c r="U185">
        <v>1.5098212943863434E-4</v>
      </c>
      <c r="V185">
        <v>6.3256313046384108E-11</v>
      </c>
      <c r="W185">
        <v>1.5098192055942926E-4</v>
      </c>
      <c r="X185">
        <v>1.5098227392031969E-4</v>
      </c>
      <c r="Y185">
        <v>1.5098212539458992E-4</v>
      </c>
      <c r="Z185">
        <v>1.5098203769963364E-4</v>
      </c>
      <c r="AA185">
        <v>1.5098224913664417E-4</v>
      </c>
    </row>
    <row r="186" spans="1:27">
      <c r="A186" t="s">
        <v>2676</v>
      </c>
      <c r="B186" t="s">
        <v>2677</v>
      </c>
      <c r="C186" t="s">
        <v>2354</v>
      </c>
      <c r="D186" t="s">
        <v>2386</v>
      </c>
      <c r="E186" t="s">
        <v>449</v>
      </c>
      <c r="F186">
        <v>9.686429176321311E-6</v>
      </c>
      <c r="G186">
        <v>3.199429332769938E-12</v>
      </c>
      <c r="H186">
        <v>9.6864204641679283E-6</v>
      </c>
      <c r="I186">
        <v>9.6864367858424378E-6</v>
      </c>
      <c r="J186">
        <v>9.6864295371029738E-6</v>
      </c>
      <c r="K186">
        <v>9.6864239599911932E-6</v>
      </c>
      <c r="L186">
        <v>9.6864342021327617E-6</v>
      </c>
      <c r="P186" t="s">
        <v>2676</v>
      </c>
      <c r="Q186" t="s">
        <v>2677</v>
      </c>
      <c r="R186" t="s">
        <v>2354</v>
      </c>
      <c r="S186" t="s">
        <v>2386</v>
      </c>
      <c r="T186" t="s">
        <v>449</v>
      </c>
      <c r="U186">
        <v>9.6864288956210111E-6</v>
      </c>
      <c r="V186">
        <v>2.9617458172212739E-12</v>
      </c>
      <c r="W186">
        <v>9.6864191156151553E-6</v>
      </c>
      <c r="X186">
        <v>9.6864356604482129E-6</v>
      </c>
      <c r="Y186">
        <v>9.6864287062734009E-6</v>
      </c>
      <c r="Z186">
        <v>9.6864246002773741E-6</v>
      </c>
      <c r="AA186">
        <v>9.6864345000431279E-6</v>
      </c>
    </row>
    <row r="187" spans="1:27">
      <c r="A187" t="s">
        <v>2678</v>
      </c>
      <c r="B187" t="s">
        <v>2679</v>
      </c>
      <c r="C187" t="s">
        <v>2354</v>
      </c>
      <c r="D187" t="s">
        <v>2386</v>
      </c>
      <c r="E187" t="s">
        <v>449</v>
      </c>
      <c r="F187">
        <v>6.6684193860533008E-7</v>
      </c>
      <c r="G187">
        <v>2.7167742908759109E-13</v>
      </c>
      <c r="H187">
        <v>6.6684119881857895E-7</v>
      </c>
      <c r="I187">
        <v>6.6684258476279193E-7</v>
      </c>
      <c r="J187">
        <v>6.6684196924086706E-7</v>
      </c>
      <c r="K187">
        <v>6.6684149566410303E-7</v>
      </c>
      <c r="L187">
        <v>6.6684236536879111E-7</v>
      </c>
      <c r="P187" t="s">
        <v>2678</v>
      </c>
      <c r="Q187" t="s">
        <v>2679</v>
      </c>
      <c r="R187" t="s">
        <v>2354</v>
      </c>
      <c r="S187" t="s">
        <v>2386</v>
      </c>
      <c r="T187" t="s">
        <v>449</v>
      </c>
      <c r="U187">
        <v>6.6684191476984963E-7</v>
      </c>
      <c r="V187">
        <v>2.514946903089327E-13</v>
      </c>
      <c r="W187">
        <v>6.6684108430711072E-7</v>
      </c>
      <c r="X187">
        <v>6.6684248920068464E-7</v>
      </c>
      <c r="Y187">
        <v>6.6684189869152253E-7</v>
      </c>
      <c r="Z187">
        <v>6.6684155003358133E-7</v>
      </c>
      <c r="AA187">
        <v>6.6684239066565307E-7</v>
      </c>
    </row>
    <row r="188" spans="1:27">
      <c r="A188" t="s">
        <v>2680</v>
      </c>
      <c r="B188" t="s">
        <v>2681</v>
      </c>
      <c r="C188" t="s">
        <v>2354</v>
      </c>
      <c r="D188" t="s">
        <v>2386</v>
      </c>
      <c r="E188" t="s">
        <v>449</v>
      </c>
      <c r="F188">
        <v>2.9442152808535916E-6</v>
      </c>
      <c r="G188">
        <v>1.6085503166863356E-11</v>
      </c>
      <c r="H188">
        <v>2.9441714794889842E-6</v>
      </c>
      <c r="I188">
        <v>2.9442535386063106E-6</v>
      </c>
      <c r="J188">
        <v>2.944217094725397E-6</v>
      </c>
      <c r="K188">
        <v>2.9441890551471232E-6</v>
      </c>
      <c r="L188">
        <v>2.9442405487053517E-6</v>
      </c>
      <c r="P188" t="s">
        <v>2680</v>
      </c>
      <c r="Q188" t="s">
        <v>2681</v>
      </c>
      <c r="R188" t="s">
        <v>2354</v>
      </c>
      <c r="S188" t="s">
        <v>2386</v>
      </c>
      <c r="T188" t="s">
        <v>449</v>
      </c>
      <c r="U188">
        <v>2.9442138696002049E-6</v>
      </c>
      <c r="V188">
        <v>1.4890521642071175E-11</v>
      </c>
      <c r="W188">
        <v>2.9441646994830392E-6</v>
      </c>
      <c r="X188">
        <v>2.9442478805559312E-6</v>
      </c>
      <c r="Y188">
        <v>2.9442129176330702E-6</v>
      </c>
      <c r="Z188">
        <v>2.9441922742603909E-6</v>
      </c>
      <c r="AA188">
        <v>2.9442420464843787E-6</v>
      </c>
    </row>
    <row r="189" spans="1:27">
      <c r="A189" t="s">
        <v>2682</v>
      </c>
      <c r="B189" t="s">
        <v>2683</v>
      </c>
      <c r="C189" t="s">
        <v>2354</v>
      </c>
      <c r="D189" t="s">
        <v>2684</v>
      </c>
      <c r="E189" t="s">
        <v>449</v>
      </c>
      <c r="F189">
        <v>2.4589118903650055E-9</v>
      </c>
      <c r="G189">
        <v>6.570754127280984E-15</v>
      </c>
      <c r="H189">
        <v>2.4588939979811437E-9</v>
      </c>
      <c r="I189">
        <v>2.4589275182433488E-9</v>
      </c>
      <c r="J189">
        <v>2.4589126313120268E-9</v>
      </c>
      <c r="K189">
        <v>2.4589011774474655E-9</v>
      </c>
      <c r="L189">
        <v>2.4589222120092537E-9</v>
      </c>
      <c r="P189" t="s">
        <v>2682</v>
      </c>
      <c r="Q189" t="s">
        <v>2683</v>
      </c>
      <c r="R189" t="s">
        <v>2354</v>
      </c>
      <c r="S189" t="s">
        <v>2684</v>
      </c>
      <c r="T189" t="s">
        <v>449</v>
      </c>
      <c r="U189">
        <v>2.4589113138832556E-9</v>
      </c>
      <c r="V189">
        <v>6.082617094551441E-15</v>
      </c>
      <c r="W189">
        <v>2.4588912284220205E-9</v>
      </c>
      <c r="X189">
        <v>2.4589252069909439E-9</v>
      </c>
      <c r="Y189">
        <v>2.4589109250149741E-9</v>
      </c>
      <c r="Z189">
        <v>2.4589024924204305E-9</v>
      </c>
      <c r="AA189">
        <v>2.4589228238357926E-9</v>
      </c>
    </row>
    <row r="190" spans="1:27">
      <c r="A190" t="s">
        <v>2685</v>
      </c>
      <c r="B190" t="s">
        <v>2686</v>
      </c>
      <c r="C190" t="s">
        <v>2354</v>
      </c>
      <c r="D190" t="s">
        <v>2684</v>
      </c>
      <c r="E190" t="s">
        <v>449</v>
      </c>
      <c r="F190">
        <v>1.7690242239944133E-6</v>
      </c>
      <c r="G190">
        <v>6.8289704828595198E-13</v>
      </c>
      <c r="H190">
        <v>1.769022364442848E-6</v>
      </c>
      <c r="I190">
        <v>1.7690258481964135E-6</v>
      </c>
      <c r="J190">
        <v>1.7690243010008768E-6</v>
      </c>
      <c r="K190">
        <v>1.7690231106032227E-6</v>
      </c>
      <c r="L190">
        <v>1.7690252967206573E-6</v>
      </c>
      <c r="P190" t="s">
        <v>2685</v>
      </c>
      <c r="Q190" t="s">
        <v>2686</v>
      </c>
      <c r="R190" t="s">
        <v>2354</v>
      </c>
      <c r="S190" t="s">
        <v>2684</v>
      </c>
      <c r="T190" t="s">
        <v>449</v>
      </c>
      <c r="U190">
        <v>1.7690241640807905E-6</v>
      </c>
      <c r="V190">
        <v>6.321650725740796E-13</v>
      </c>
      <c r="W190">
        <v>1.7690220766031704E-6</v>
      </c>
      <c r="X190">
        <v>1.7690256079884533E-6</v>
      </c>
      <c r="Y190">
        <v>1.7690241236657951E-6</v>
      </c>
      <c r="Z190">
        <v>1.7690232472680769E-6</v>
      </c>
      <c r="AA190">
        <v>1.7690253603076564E-6</v>
      </c>
    </row>
    <row r="191" spans="1:27">
      <c r="A191" t="s">
        <v>2687</v>
      </c>
      <c r="B191" t="s">
        <v>2688</v>
      </c>
      <c r="C191" t="s">
        <v>2354</v>
      </c>
      <c r="D191" t="s">
        <v>2684</v>
      </c>
      <c r="E191" t="s">
        <v>448</v>
      </c>
      <c r="F191">
        <v>1.2560069857134923</v>
      </c>
      <c r="G191">
        <v>4.2585307123567187E-7</v>
      </c>
      <c r="H191">
        <v>1.2560058261012967</v>
      </c>
      <c r="I191">
        <v>1.2560079985622248</v>
      </c>
      <c r="J191">
        <v>1.2560070337345501</v>
      </c>
      <c r="K191">
        <v>1.2560062914052366</v>
      </c>
      <c r="L191">
        <v>1.2560076546631771</v>
      </c>
      <c r="P191" t="s">
        <v>2687</v>
      </c>
      <c r="Q191" t="s">
        <v>2688</v>
      </c>
      <c r="R191" t="s">
        <v>2354</v>
      </c>
      <c r="S191" t="s">
        <v>2684</v>
      </c>
      <c r="T191" t="s">
        <v>448</v>
      </c>
      <c r="U191">
        <v>1.2560069483514908</v>
      </c>
      <c r="V191">
        <v>3.9421672469655735E-7</v>
      </c>
      <c r="W191">
        <v>1.2560056466051179</v>
      </c>
      <c r="X191">
        <v>1.2560078487690782</v>
      </c>
      <c r="Y191">
        <v>1.25600692314879</v>
      </c>
      <c r="Z191">
        <v>1.2560063766291338</v>
      </c>
      <c r="AA191">
        <v>1.2560076943158875</v>
      </c>
    </row>
    <row r="192" spans="1:27">
      <c r="A192" t="s">
        <v>2689</v>
      </c>
      <c r="B192" t="s">
        <v>2690</v>
      </c>
      <c r="C192" t="s">
        <v>2354</v>
      </c>
      <c r="D192" t="s">
        <v>2684</v>
      </c>
      <c r="E192" t="s">
        <v>449</v>
      </c>
      <c r="F192">
        <v>5.891109911281715E-18</v>
      </c>
      <c r="G192">
        <v>6.8313399916978259E-25</v>
      </c>
      <c r="H192">
        <v>5.8911080510849267E-18</v>
      </c>
      <c r="I192">
        <v>5.891111536047281E-18</v>
      </c>
      <c r="J192">
        <v>5.8911099883149007E-18</v>
      </c>
      <c r="K192">
        <v>5.8911087975042031E-18</v>
      </c>
      <c r="L192">
        <v>5.8911109843801745E-18</v>
      </c>
      <c r="P192" t="s">
        <v>2689</v>
      </c>
      <c r="Q192" t="s">
        <v>2690</v>
      </c>
      <c r="R192" t="s">
        <v>2354</v>
      </c>
      <c r="S192" t="s">
        <v>2684</v>
      </c>
      <c r="T192" t="s">
        <v>449</v>
      </c>
      <c r="U192">
        <v>5.8911098513473036E-18</v>
      </c>
      <c r="V192">
        <v>6.3238442051701213E-25</v>
      </c>
      <c r="W192">
        <v>5.8911077631453746E-18</v>
      </c>
      <c r="X192">
        <v>5.8911112957559737E-18</v>
      </c>
      <c r="Y192">
        <v>5.891109810918287E-18</v>
      </c>
      <c r="Z192">
        <v>5.8911089342164774E-18</v>
      </c>
      <c r="AA192">
        <v>5.8911110479892371E-18</v>
      </c>
    </row>
    <row r="193" spans="1:27">
      <c r="A193" t="s">
        <v>2691</v>
      </c>
      <c r="B193" t="s">
        <v>2692</v>
      </c>
      <c r="C193" t="s">
        <v>2354</v>
      </c>
      <c r="D193" t="s">
        <v>2684</v>
      </c>
      <c r="E193" t="s">
        <v>449</v>
      </c>
      <c r="F193">
        <v>5.1153383162807993E-10</v>
      </c>
      <c r="G193">
        <v>1.0875437849288852E-15</v>
      </c>
      <c r="H193">
        <v>5.1153087020987882E-10</v>
      </c>
      <c r="I193">
        <v>5.1153641824167608E-10</v>
      </c>
      <c r="J193">
        <v>5.115339542642813E-10</v>
      </c>
      <c r="K193">
        <v>5.1153205850331146E-10</v>
      </c>
      <c r="L193">
        <v>5.1153553999211765E-10</v>
      </c>
      <c r="P193" t="s">
        <v>2691</v>
      </c>
      <c r="Q193" t="s">
        <v>2692</v>
      </c>
      <c r="R193" t="s">
        <v>2354</v>
      </c>
      <c r="S193" t="s">
        <v>2684</v>
      </c>
      <c r="T193" t="s">
        <v>449</v>
      </c>
      <c r="U193">
        <v>5.1153373621298249E-10</v>
      </c>
      <c r="V193">
        <v>1.0067508674130041E-15</v>
      </c>
      <c r="W193">
        <v>5.1153041181244791E-10</v>
      </c>
      <c r="X193">
        <v>5.1153603569986427E-10</v>
      </c>
      <c r="Y193">
        <v>5.1153367185031194E-10</v>
      </c>
      <c r="Z193">
        <v>5.1153227614814312E-10</v>
      </c>
      <c r="AA193">
        <v>5.1153564125722901E-10</v>
      </c>
    </row>
    <row r="194" spans="1:27">
      <c r="A194" t="s">
        <v>2693</v>
      </c>
      <c r="B194" t="s">
        <v>2694</v>
      </c>
      <c r="C194" t="s">
        <v>2354</v>
      </c>
      <c r="D194" t="s">
        <v>2684</v>
      </c>
      <c r="E194" t="s">
        <v>2695</v>
      </c>
      <c r="F194">
        <v>1.379261485183467E-2</v>
      </c>
      <c r="G194">
        <v>6.9830739916662579E-9</v>
      </c>
      <c r="H194">
        <v>1.3792595836689986E-2</v>
      </c>
      <c r="I194">
        <v>1.379263146037437E-2</v>
      </c>
      <c r="J194">
        <v>1.3792615639276683E-2</v>
      </c>
      <c r="K194">
        <v>1.3792603466673329E-2</v>
      </c>
      <c r="L194">
        <v>1.3792625821170013E-2</v>
      </c>
      <c r="P194" t="s">
        <v>2693</v>
      </c>
      <c r="Q194" t="s">
        <v>2694</v>
      </c>
      <c r="R194" t="s">
        <v>2354</v>
      </c>
      <c r="S194" t="s">
        <v>2684</v>
      </c>
      <c r="T194" t="s">
        <v>2695</v>
      </c>
      <c r="U194">
        <v>1.3792614239178243E-2</v>
      </c>
      <c r="V194">
        <v>6.4643059854675781E-9</v>
      </c>
      <c r="W194">
        <v>1.3792592893338902E-2</v>
      </c>
      <c r="X194">
        <v>1.3792629004089103E-2</v>
      </c>
      <c r="Y194">
        <v>1.3792613825908181E-2</v>
      </c>
      <c r="Z194">
        <v>1.3792604864161857E-2</v>
      </c>
      <c r="AA194">
        <v>1.3792626471389138E-2</v>
      </c>
    </row>
    <row r="195" spans="1:27">
      <c r="A195" t="s">
        <v>2696</v>
      </c>
      <c r="B195" t="s">
        <v>2697</v>
      </c>
      <c r="C195" t="s">
        <v>2354</v>
      </c>
      <c r="D195" t="s">
        <v>2684</v>
      </c>
      <c r="E195" t="s">
        <v>923</v>
      </c>
      <c r="F195">
        <v>1.8234355945950542E-5</v>
      </c>
      <c r="G195">
        <v>4.2411205898937933E-11</v>
      </c>
      <c r="H195">
        <v>1.8234240458814466E-5</v>
      </c>
      <c r="I195">
        <v>1.8234456816741524E-5</v>
      </c>
      <c r="J195">
        <v>1.8234360728423916E-5</v>
      </c>
      <c r="K195">
        <v>1.823428679897855E-5</v>
      </c>
      <c r="L195">
        <v>1.8234422567432782E-5</v>
      </c>
      <c r="P195" t="s">
        <v>2696</v>
      </c>
      <c r="Q195" t="s">
        <v>2697</v>
      </c>
      <c r="R195" t="s">
        <v>2354</v>
      </c>
      <c r="S195" t="s">
        <v>2684</v>
      </c>
      <c r="T195" t="s">
        <v>923</v>
      </c>
      <c r="U195">
        <v>1.8234352225025088E-5</v>
      </c>
      <c r="V195">
        <v>3.9260505111479295E-11</v>
      </c>
      <c r="W195">
        <v>1.8234222582579875E-5</v>
      </c>
      <c r="X195">
        <v>1.8234441898666709E-5</v>
      </c>
      <c r="Y195">
        <v>1.8234349715058594E-5</v>
      </c>
      <c r="Z195">
        <v>1.8234295286526264E-5</v>
      </c>
      <c r="AA195">
        <v>1.8234426516492631E-5</v>
      </c>
    </row>
    <row r="196" spans="1:27">
      <c r="A196" t="s">
        <v>2698</v>
      </c>
      <c r="B196" t="s">
        <v>2699</v>
      </c>
      <c r="C196" t="s">
        <v>2354</v>
      </c>
      <c r="D196" t="s">
        <v>2684</v>
      </c>
      <c r="E196" t="s">
        <v>923</v>
      </c>
      <c r="F196">
        <v>1.4143078962809008E-4</v>
      </c>
      <c r="G196">
        <v>1.4544187914088703E-10</v>
      </c>
      <c r="H196">
        <v>1.414303935849753E-4</v>
      </c>
      <c r="I196">
        <v>1.41431135546983E-4</v>
      </c>
      <c r="J196">
        <v>1.4143080602875357E-4</v>
      </c>
      <c r="K196">
        <v>1.4143055250053551E-4</v>
      </c>
      <c r="L196">
        <v>1.414310180949154E-4</v>
      </c>
      <c r="P196" t="s">
        <v>2698</v>
      </c>
      <c r="Q196" t="s">
        <v>2699</v>
      </c>
      <c r="R196" t="s">
        <v>2354</v>
      </c>
      <c r="S196" t="s">
        <v>2684</v>
      </c>
      <c r="T196" t="s">
        <v>923</v>
      </c>
      <c r="U196">
        <v>1.4143077686782127E-4</v>
      </c>
      <c r="V196">
        <v>1.346370969267436E-10</v>
      </c>
      <c r="W196">
        <v>1.4143033228152741E-4</v>
      </c>
      <c r="X196">
        <v>1.4143108438803131E-4</v>
      </c>
      <c r="Y196">
        <v>1.4143076826032624E-4</v>
      </c>
      <c r="Z196">
        <v>1.4143058160710916E-4</v>
      </c>
      <c r="AA196">
        <v>1.4143103163753165E-4</v>
      </c>
    </row>
    <row r="197" spans="1:27">
      <c r="A197" t="s">
        <v>2700</v>
      </c>
      <c r="B197" t="s">
        <v>2701</v>
      </c>
      <c r="C197" t="s">
        <v>2354</v>
      </c>
      <c r="D197" t="s">
        <v>2684</v>
      </c>
      <c r="E197" t="s">
        <v>923</v>
      </c>
      <c r="F197">
        <v>1.8498502003658123E-5</v>
      </c>
      <c r="G197">
        <v>5.2911857090678073E-11</v>
      </c>
      <c r="H197">
        <v>1.8498357922896682E-5</v>
      </c>
      <c r="I197">
        <v>1.8498627849192671E-5</v>
      </c>
      <c r="J197">
        <v>1.849850797023093E-5</v>
      </c>
      <c r="K197">
        <v>1.8498415736488337E-5</v>
      </c>
      <c r="L197">
        <v>1.8498585120048545E-5</v>
      </c>
      <c r="P197" t="s">
        <v>2700</v>
      </c>
      <c r="Q197" t="s">
        <v>2701</v>
      </c>
      <c r="R197" t="s">
        <v>2354</v>
      </c>
      <c r="S197" t="s">
        <v>2684</v>
      </c>
      <c r="T197" t="s">
        <v>923</v>
      </c>
      <c r="U197">
        <v>1.849849736146342E-5</v>
      </c>
      <c r="V197">
        <v>4.8981069784491959E-11</v>
      </c>
      <c r="W197">
        <v>1.8498335620659571E-5</v>
      </c>
      <c r="X197">
        <v>1.8498609237530357E-5</v>
      </c>
      <c r="Y197">
        <v>1.8498494230050722E-5</v>
      </c>
      <c r="Z197">
        <v>1.8498426325480145E-5</v>
      </c>
      <c r="AA197">
        <v>1.8498590046861778E-5</v>
      </c>
    </row>
    <row r="198" spans="1:27">
      <c r="A198" t="s">
        <v>2702</v>
      </c>
      <c r="B198" t="s">
        <v>2703</v>
      </c>
      <c r="C198" t="s">
        <v>2354</v>
      </c>
      <c r="D198" t="s">
        <v>2684</v>
      </c>
      <c r="E198" t="s">
        <v>923</v>
      </c>
      <c r="F198">
        <v>2.6301824435895138E-4</v>
      </c>
      <c r="G198">
        <v>2.6896622044129969E-10</v>
      </c>
      <c r="H198">
        <v>2.6301751195491243E-4</v>
      </c>
      <c r="I198">
        <v>2.6301888406807613E-4</v>
      </c>
      <c r="J198">
        <v>2.6301827468876073E-4</v>
      </c>
      <c r="K198">
        <v>2.6301780583806245E-4</v>
      </c>
      <c r="L198">
        <v>2.6301866686352063E-4</v>
      </c>
      <c r="P198" t="s">
        <v>2702</v>
      </c>
      <c r="Q198" t="s">
        <v>2703</v>
      </c>
      <c r="R198" t="s">
        <v>2354</v>
      </c>
      <c r="S198" t="s">
        <v>2684</v>
      </c>
      <c r="T198" t="s">
        <v>923</v>
      </c>
      <c r="U198">
        <v>2.6301822076133766E-4</v>
      </c>
      <c r="V198">
        <v>2.4898489558686453E-10</v>
      </c>
      <c r="W198">
        <v>2.6301739858621296E-4</v>
      </c>
      <c r="X198">
        <v>2.6301878945963212E-4</v>
      </c>
      <c r="Y198">
        <v>2.6301820484346436E-4</v>
      </c>
      <c r="Z198">
        <v>2.6301785966495992E-4</v>
      </c>
      <c r="AA198">
        <v>2.6301869190793238E-4</v>
      </c>
    </row>
    <row r="199" spans="1:27">
      <c r="A199" t="s">
        <v>2704</v>
      </c>
      <c r="B199" t="s">
        <v>2705</v>
      </c>
      <c r="C199" t="s">
        <v>2354</v>
      </c>
      <c r="D199" t="s">
        <v>2684</v>
      </c>
      <c r="E199" t="s">
        <v>923</v>
      </c>
      <c r="F199">
        <v>9.7423366852572848E-5</v>
      </c>
      <c r="G199">
        <v>2.7262463988204464E-10</v>
      </c>
      <c r="H199">
        <v>9.7422624486535037E-5</v>
      </c>
      <c r="I199">
        <v>9.7424015262880553E-5</v>
      </c>
      <c r="J199">
        <v>9.7423397594921591E-5</v>
      </c>
      <c r="K199">
        <v>9.7422922367019165E-5</v>
      </c>
      <c r="L199">
        <v>9.7423795103956435E-5</v>
      </c>
      <c r="P199" t="s">
        <v>2704</v>
      </c>
      <c r="Q199" t="s">
        <v>2705</v>
      </c>
      <c r="R199" t="s">
        <v>2354</v>
      </c>
      <c r="S199" t="s">
        <v>2684</v>
      </c>
      <c r="T199" t="s">
        <v>923</v>
      </c>
      <c r="U199">
        <v>9.7423342933989615E-5</v>
      </c>
      <c r="V199">
        <v>2.523715334364557E-10</v>
      </c>
      <c r="W199">
        <v>9.7422509575819478E-5</v>
      </c>
      <c r="X199">
        <v>9.7423919367593278E-5</v>
      </c>
      <c r="Y199">
        <v>9.7423326799604866E-5</v>
      </c>
      <c r="Z199">
        <v>9.7422976926058228E-5</v>
      </c>
      <c r="AA199">
        <v>9.7423820489016741E-5</v>
      </c>
    </row>
    <row r="200" spans="1:27">
      <c r="A200" t="s">
        <v>2706</v>
      </c>
      <c r="B200" t="s">
        <v>2707</v>
      </c>
      <c r="C200" t="s">
        <v>2354</v>
      </c>
      <c r="D200" t="s">
        <v>2684</v>
      </c>
      <c r="E200" t="s">
        <v>923</v>
      </c>
      <c r="F200">
        <v>7.8544678320927055E-5</v>
      </c>
      <c r="G200">
        <v>7.7838166757312609E-11</v>
      </c>
      <c r="H200">
        <v>7.8544466364988415E-5</v>
      </c>
      <c r="I200">
        <v>7.8544863451184113E-5</v>
      </c>
      <c r="J200">
        <v>7.8544687098299764E-5</v>
      </c>
      <c r="K200">
        <v>7.8544551414053712E-5</v>
      </c>
      <c r="L200">
        <v>7.8544800592716686E-5</v>
      </c>
      <c r="P200" t="s">
        <v>2706</v>
      </c>
      <c r="Q200" t="s">
        <v>2707</v>
      </c>
      <c r="R200" t="s">
        <v>2354</v>
      </c>
      <c r="S200" t="s">
        <v>2684</v>
      </c>
      <c r="T200" t="s">
        <v>923</v>
      </c>
      <c r="U200">
        <v>7.8544671491835374E-5</v>
      </c>
      <c r="V200">
        <v>7.2055620185080524E-11</v>
      </c>
      <c r="W200">
        <v>7.8544433556363918E-5</v>
      </c>
      <c r="X200">
        <v>7.8544836071731675E-5</v>
      </c>
      <c r="Y200">
        <v>7.8544666885241716E-5</v>
      </c>
      <c r="Z200">
        <v>7.8544566991426248E-5</v>
      </c>
      <c r="AA200">
        <v>7.8544807840508218E-5</v>
      </c>
    </row>
    <row r="201" spans="1:27">
      <c r="A201" t="s">
        <v>2708</v>
      </c>
      <c r="B201" t="s">
        <v>2709</v>
      </c>
      <c r="C201" t="s">
        <v>2354</v>
      </c>
      <c r="D201" t="s">
        <v>2684</v>
      </c>
      <c r="E201" t="s">
        <v>923</v>
      </c>
      <c r="F201">
        <v>2.8692410376967317E-4</v>
      </c>
      <c r="G201">
        <v>2.8735812227234339E-10</v>
      </c>
      <c r="H201">
        <v>2.8692332128386867E-4</v>
      </c>
      <c r="I201">
        <v>2.8692478722208806E-4</v>
      </c>
      <c r="J201">
        <v>2.8692413617343389E-4</v>
      </c>
      <c r="K201">
        <v>2.8692363526273946E-4</v>
      </c>
      <c r="L201">
        <v>2.8692455516509177E-4</v>
      </c>
      <c r="P201" t="s">
        <v>2708</v>
      </c>
      <c r="Q201" t="s">
        <v>2709</v>
      </c>
      <c r="R201" t="s">
        <v>2354</v>
      </c>
      <c r="S201" t="s">
        <v>2684</v>
      </c>
      <c r="T201" t="s">
        <v>923</v>
      </c>
      <c r="U201">
        <v>2.8692407855845529E-4</v>
      </c>
      <c r="V201">
        <v>2.6601047504688371E-10</v>
      </c>
      <c r="W201">
        <v>2.8692320016302105E-4</v>
      </c>
      <c r="X201">
        <v>2.8692468614432157E-4</v>
      </c>
      <c r="Y201">
        <v>2.8692406155211836E-4</v>
      </c>
      <c r="Z201">
        <v>2.8692369277031845E-4</v>
      </c>
      <c r="AA201">
        <v>2.8692458192203961E-4</v>
      </c>
    </row>
    <row r="202" spans="1:27">
      <c r="A202" t="s">
        <v>2710</v>
      </c>
      <c r="B202" t="s">
        <v>2711</v>
      </c>
      <c r="C202" t="s">
        <v>2354</v>
      </c>
      <c r="D202" t="s">
        <v>2684</v>
      </c>
      <c r="E202" t="s">
        <v>923</v>
      </c>
      <c r="F202">
        <v>3.772240660525469E-4</v>
      </c>
      <c r="G202">
        <v>7.8034475573727808E-10</v>
      </c>
      <c r="H202">
        <v>3.7722194114760555E-4</v>
      </c>
      <c r="I202">
        <v>3.7722592202412531E-4</v>
      </c>
      <c r="J202">
        <v>3.7722415404764026E-4</v>
      </c>
      <c r="K202">
        <v>3.7722279378320635E-4</v>
      </c>
      <c r="L202">
        <v>3.7722529185415268E-4</v>
      </c>
      <c r="P202" t="s">
        <v>2710</v>
      </c>
      <c r="Q202" t="s">
        <v>2711</v>
      </c>
      <c r="R202" t="s">
        <v>2354</v>
      </c>
      <c r="S202" t="s">
        <v>2684</v>
      </c>
      <c r="T202" t="s">
        <v>923</v>
      </c>
      <c r="U202">
        <v>3.7722399758939932E-4</v>
      </c>
      <c r="V202">
        <v>7.2237345347564111E-10</v>
      </c>
      <c r="W202">
        <v>3.7722161223392297E-4</v>
      </c>
      <c r="X202">
        <v>3.7722564753908775E-4</v>
      </c>
      <c r="Y202">
        <v>3.7722395140728405E-4</v>
      </c>
      <c r="Z202">
        <v>3.7722294994979507E-4</v>
      </c>
      <c r="AA202">
        <v>3.7722536451485821E-4</v>
      </c>
    </row>
    <row r="203" spans="1:27">
      <c r="A203" t="s">
        <v>2712</v>
      </c>
      <c r="B203" t="s">
        <v>2713</v>
      </c>
      <c r="C203" t="s">
        <v>2354</v>
      </c>
      <c r="D203" t="s">
        <v>2684</v>
      </c>
      <c r="E203" t="s">
        <v>923</v>
      </c>
      <c r="F203">
        <v>2.2198635643856879E-5</v>
      </c>
      <c r="G203">
        <v>2.3312680064022504E-11</v>
      </c>
      <c r="H203">
        <v>2.2198572162647197E-5</v>
      </c>
      <c r="I203">
        <v>2.2198691090723537E-5</v>
      </c>
      <c r="J203">
        <v>2.2198638272696818E-5</v>
      </c>
      <c r="K203">
        <v>2.2198597635005188E-5</v>
      </c>
      <c r="L203">
        <v>2.2198672264492118E-5</v>
      </c>
      <c r="P203" t="s">
        <v>2712</v>
      </c>
      <c r="Q203" t="s">
        <v>2713</v>
      </c>
      <c r="R203" t="s">
        <v>2354</v>
      </c>
      <c r="S203" t="s">
        <v>2684</v>
      </c>
      <c r="T203" t="s">
        <v>923</v>
      </c>
      <c r="U203">
        <v>2.2198633598530836E-5</v>
      </c>
      <c r="V203">
        <v>2.158079628775126E-11</v>
      </c>
      <c r="W203">
        <v>2.2198562336401304E-5</v>
      </c>
      <c r="X203">
        <v>2.2198682890525076E-5</v>
      </c>
      <c r="Y203">
        <v>2.2198632218847214E-5</v>
      </c>
      <c r="Z203">
        <v>2.2198602300458104E-5</v>
      </c>
      <c r="AA203">
        <v>2.2198674435219566E-5</v>
      </c>
    </row>
    <row r="204" spans="1:27">
      <c r="A204" t="s">
        <v>2714</v>
      </c>
      <c r="B204" t="s">
        <v>2715</v>
      </c>
      <c r="C204" t="s">
        <v>2354</v>
      </c>
      <c r="D204" t="s">
        <v>2684</v>
      </c>
      <c r="E204" t="s">
        <v>923</v>
      </c>
      <c r="F204">
        <v>2.3281846644639934E-3</v>
      </c>
      <c r="G204">
        <v>2.3923630257649517E-9</v>
      </c>
      <c r="H204">
        <v>2.3281781499792389E-3</v>
      </c>
      <c r="I204">
        <v>2.3281903544590228E-3</v>
      </c>
      <c r="J204">
        <v>2.3281849342373295E-3</v>
      </c>
      <c r="K204">
        <v>2.3281807639698765E-3</v>
      </c>
      <c r="L204">
        <v>2.3281884224983975E-3</v>
      </c>
      <c r="P204" t="s">
        <v>2714</v>
      </c>
      <c r="Q204" t="s">
        <v>2715</v>
      </c>
      <c r="R204" t="s">
        <v>2354</v>
      </c>
      <c r="S204" t="s">
        <v>2684</v>
      </c>
      <c r="T204" t="s">
        <v>923</v>
      </c>
      <c r="U204">
        <v>2.3281844545712483E-3</v>
      </c>
      <c r="V204">
        <v>2.214635939048434E-9</v>
      </c>
      <c r="W204">
        <v>2.3281771416032264E-3</v>
      </c>
      <c r="X204">
        <v>2.3281895129491003E-3</v>
      </c>
      <c r="Y204">
        <v>2.3281843129871805E-3</v>
      </c>
      <c r="Z204">
        <v>2.3281812427418166E-3</v>
      </c>
      <c r="AA204">
        <v>2.328188645259919E-3</v>
      </c>
    </row>
    <row r="205" spans="1:27">
      <c r="A205" t="s">
        <v>2716</v>
      </c>
      <c r="B205" t="s">
        <v>2717</v>
      </c>
      <c r="C205" t="s">
        <v>2354</v>
      </c>
      <c r="D205" t="s">
        <v>2684</v>
      </c>
      <c r="E205" t="s">
        <v>923</v>
      </c>
      <c r="F205">
        <v>2.8043202271985468E-6</v>
      </c>
      <c r="G205">
        <v>2.9505555644147678E-12</v>
      </c>
      <c r="H205">
        <v>2.8043121927367871E-6</v>
      </c>
      <c r="I205">
        <v>2.8043272447984308E-6</v>
      </c>
      <c r="J205">
        <v>2.8043205599161171E-6</v>
      </c>
      <c r="K205">
        <v>2.8043154166307105E-6</v>
      </c>
      <c r="L205">
        <v>2.8043248620675854E-6</v>
      </c>
      <c r="P205" t="s">
        <v>2716</v>
      </c>
      <c r="Q205" t="s">
        <v>2717</v>
      </c>
      <c r="R205" t="s">
        <v>2354</v>
      </c>
      <c r="S205" t="s">
        <v>2684</v>
      </c>
      <c r="T205" t="s">
        <v>923</v>
      </c>
      <c r="U205">
        <v>2.8043199683330639E-6</v>
      </c>
      <c r="V205">
        <v>2.7313607185805653E-12</v>
      </c>
      <c r="W205">
        <v>2.804310949083787E-6</v>
      </c>
      <c r="X205">
        <v>2.8043262069451625E-6</v>
      </c>
      <c r="Y205">
        <v>2.8043197937142221E-6</v>
      </c>
      <c r="Z205">
        <v>2.8043160071109996E-6</v>
      </c>
      <c r="AA205">
        <v>2.8043251368044214E-6</v>
      </c>
    </row>
    <row r="206" spans="1:27">
      <c r="A206" t="s">
        <v>2718</v>
      </c>
      <c r="B206" t="s">
        <v>2719</v>
      </c>
      <c r="C206" t="s">
        <v>2354</v>
      </c>
      <c r="D206" t="s">
        <v>2684</v>
      </c>
      <c r="E206" t="s">
        <v>923</v>
      </c>
      <c r="F206">
        <v>7.8545409242336268E-4</v>
      </c>
      <c r="G206">
        <v>2.1517459364650832E-9</v>
      </c>
      <c r="H206">
        <v>7.8544823314701071E-4</v>
      </c>
      <c r="I206">
        <v>7.8545921013482552E-4</v>
      </c>
      <c r="J206">
        <v>7.854543350636604E-4</v>
      </c>
      <c r="K206">
        <v>7.8545058422988261E-4</v>
      </c>
      <c r="L206">
        <v>7.854574724853212E-4</v>
      </c>
      <c r="P206" t="s">
        <v>2718</v>
      </c>
      <c r="Q206" t="s">
        <v>2719</v>
      </c>
      <c r="R206" t="s">
        <v>2354</v>
      </c>
      <c r="S206" t="s">
        <v>2684</v>
      </c>
      <c r="T206" t="s">
        <v>923</v>
      </c>
      <c r="U206">
        <v>7.8545390364103318E-4</v>
      </c>
      <c r="V206">
        <v>1.9918941361497684E-9</v>
      </c>
      <c r="W206">
        <v>7.8544732619059839E-4</v>
      </c>
      <c r="X206">
        <v>7.8545845326158457E-4</v>
      </c>
      <c r="Y206">
        <v>7.8545377629708985E-4</v>
      </c>
      <c r="Z206">
        <v>7.8545101484829853E-4</v>
      </c>
      <c r="AA206">
        <v>7.8545767284212082E-4</v>
      </c>
    </row>
    <row r="207" spans="1:27">
      <c r="A207" t="s">
        <v>2720</v>
      </c>
      <c r="B207" t="s">
        <v>2721</v>
      </c>
      <c r="C207" t="s">
        <v>2354</v>
      </c>
      <c r="D207" t="s">
        <v>2684</v>
      </c>
      <c r="E207" t="s">
        <v>923</v>
      </c>
      <c r="F207">
        <v>1.1197727035293318E-3</v>
      </c>
      <c r="G207">
        <v>2.5159141081116163E-9</v>
      </c>
      <c r="H207">
        <v>1.1197658526108357E-3</v>
      </c>
      <c r="I207">
        <v>1.1197786873781935E-3</v>
      </c>
      <c r="J207">
        <v>1.1197729872348288E-3</v>
      </c>
      <c r="K207">
        <v>1.119768601598282E-3</v>
      </c>
      <c r="L207">
        <v>1.1197766556434853E-3</v>
      </c>
      <c r="P207" t="s">
        <v>2720</v>
      </c>
      <c r="Q207" t="s">
        <v>2721</v>
      </c>
      <c r="R207" t="s">
        <v>2354</v>
      </c>
      <c r="S207" t="s">
        <v>2684</v>
      </c>
      <c r="T207" t="s">
        <v>923</v>
      </c>
      <c r="U207">
        <v>1.119772482796896E-3</v>
      </c>
      <c r="V207">
        <v>2.3290084921595946E-9</v>
      </c>
      <c r="W207">
        <v>1.1197647921583008E-3</v>
      </c>
      <c r="X207">
        <v>1.1197778024093726E-3</v>
      </c>
      <c r="Y207">
        <v>1.1197723339008668E-3</v>
      </c>
      <c r="Z207">
        <v>1.1197691050958973E-3</v>
      </c>
      <c r="AA207">
        <v>1.1197768899092924E-3</v>
      </c>
    </row>
    <row r="208" spans="1:27">
      <c r="A208" t="s">
        <v>2722</v>
      </c>
      <c r="B208" t="s">
        <v>2723</v>
      </c>
      <c r="C208" t="s">
        <v>2354</v>
      </c>
      <c r="D208" t="s">
        <v>2684</v>
      </c>
      <c r="E208" t="s">
        <v>923</v>
      </c>
      <c r="F208">
        <v>2.0873427687970066E-5</v>
      </c>
      <c r="G208">
        <v>5.272080086023558E-11</v>
      </c>
      <c r="H208">
        <v>2.0873284127461144E-5</v>
      </c>
      <c r="I208">
        <v>2.0873553079096568E-5</v>
      </c>
      <c r="J208">
        <v>2.0873433632998529E-5</v>
      </c>
      <c r="K208">
        <v>2.0873341732297192E-5</v>
      </c>
      <c r="L208">
        <v>2.087351050424053E-5</v>
      </c>
      <c r="P208" t="s">
        <v>2722</v>
      </c>
      <c r="Q208" t="s">
        <v>2723</v>
      </c>
      <c r="R208" t="s">
        <v>2354</v>
      </c>
      <c r="S208" t="s">
        <v>2684</v>
      </c>
      <c r="T208" t="s">
        <v>923</v>
      </c>
      <c r="U208">
        <v>2.087342306253758E-5</v>
      </c>
      <c r="V208">
        <v>4.8804206996388046E-11</v>
      </c>
      <c r="W208">
        <v>2.0873261905753834E-5</v>
      </c>
      <c r="X208">
        <v>2.0873534534637983E-5</v>
      </c>
      <c r="Y208">
        <v>2.0873419942431911E-5</v>
      </c>
      <c r="Z208">
        <v>2.0873352283053848E-5</v>
      </c>
      <c r="AA208">
        <v>2.0873515413263825E-5</v>
      </c>
    </row>
    <row r="209" spans="1:27">
      <c r="A209" t="s">
        <v>2724</v>
      </c>
      <c r="B209" t="s">
        <v>2725</v>
      </c>
      <c r="C209" t="s">
        <v>2354</v>
      </c>
      <c r="D209" t="s">
        <v>2684</v>
      </c>
      <c r="E209" t="s">
        <v>923</v>
      </c>
      <c r="F209">
        <v>3.1679468105844674E-5</v>
      </c>
      <c r="G209">
        <v>8.6518831493379288E-11</v>
      </c>
      <c r="H209">
        <v>3.1679232512164815E-5</v>
      </c>
      <c r="I209">
        <v>3.1679673882190405E-5</v>
      </c>
      <c r="J209">
        <v>3.1679477862087146E-5</v>
      </c>
      <c r="K209">
        <v>3.1679327046068361E-5</v>
      </c>
      <c r="L209">
        <v>3.1679604013623629E-5</v>
      </c>
      <c r="P209" t="s">
        <v>2724</v>
      </c>
      <c r="Q209" t="s">
        <v>2725</v>
      </c>
      <c r="R209" t="s">
        <v>2354</v>
      </c>
      <c r="S209" t="s">
        <v>2684</v>
      </c>
      <c r="T209" t="s">
        <v>923</v>
      </c>
      <c r="U209">
        <v>3.167946051515927E-5</v>
      </c>
      <c r="V209">
        <v>8.0091404007144567E-11</v>
      </c>
      <c r="W209">
        <v>3.1679196044658276E-5</v>
      </c>
      <c r="X209">
        <v>3.1679643449327829E-5</v>
      </c>
      <c r="Y209">
        <v>3.1679455394829308E-5</v>
      </c>
      <c r="Z209">
        <v>3.1679344360659982E-5</v>
      </c>
      <c r="AA209">
        <v>3.167961206970306E-5</v>
      </c>
    </row>
    <row r="210" spans="1:27">
      <c r="A210" t="s">
        <v>2726</v>
      </c>
      <c r="B210" t="s">
        <v>2727</v>
      </c>
      <c r="C210" t="s">
        <v>2354</v>
      </c>
      <c r="D210" t="s">
        <v>2684</v>
      </c>
      <c r="E210" t="s">
        <v>923</v>
      </c>
      <c r="F210">
        <v>5.9799690675594881E-4</v>
      </c>
      <c r="G210">
        <v>6.7203221921023553E-10</v>
      </c>
      <c r="H210">
        <v>5.9799507678967676E-4</v>
      </c>
      <c r="I210">
        <v>5.9799850511704409E-4</v>
      </c>
      <c r="J210">
        <v>5.9799698253724574E-4</v>
      </c>
      <c r="K210">
        <v>5.9799581107870836E-4</v>
      </c>
      <c r="L210">
        <v>5.9799796241521638E-4</v>
      </c>
      <c r="P210" t="s">
        <v>2726</v>
      </c>
      <c r="Q210" t="s">
        <v>2727</v>
      </c>
      <c r="R210" t="s">
        <v>2354</v>
      </c>
      <c r="S210" t="s">
        <v>2684</v>
      </c>
      <c r="T210" t="s">
        <v>923</v>
      </c>
      <c r="U210">
        <v>5.9799684779554584E-4</v>
      </c>
      <c r="V210">
        <v>6.2210738455396454E-10</v>
      </c>
      <c r="W210">
        <v>5.9799479352950179E-4</v>
      </c>
      <c r="X210">
        <v>5.9799826873077047E-4</v>
      </c>
      <c r="Y210">
        <v>5.9799680802354873E-4</v>
      </c>
      <c r="Z210">
        <v>5.9799594556923753E-4</v>
      </c>
      <c r="AA210">
        <v>5.9799802499055214E-4</v>
      </c>
    </row>
    <row r="211" spans="1:27">
      <c r="A211" t="s">
        <v>2728</v>
      </c>
      <c r="B211" t="s">
        <v>2729</v>
      </c>
      <c r="C211" t="s">
        <v>2354</v>
      </c>
      <c r="D211" t="s">
        <v>2684</v>
      </c>
      <c r="E211" t="s">
        <v>923</v>
      </c>
      <c r="F211">
        <v>1.1459524714619677E-4</v>
      </c>
      <c r="G211">
        <v>1.8644725060456713E-8</v>
      </c>
      <c r="H211">
        <v>1.1454447693454076E-4</v>
      </c>
      <c r="I211">
        <v>1.1463959175099296E-4</v>
      </c>
      <c r="J211">
        <v>1.1459734960707491E-4</v>
      </c>
      <c r="K211">
        <v>1.1456484889992829E-4</v>
      </c>
      <c r="L211">
        <v>1.1462453514198104E-4</v>
      </c>
      <c r="P211" t="s">
        <v>2728</v>
      </c>
      <c r="Q211" t="s">
        <v>2729</v>
      </c>
      <c r="R211" t="s">
        <v>2354</v>
      </c>
      <c r="S211" t="s">
        <v>2684</v>
      </c>
      <c r="T211" t="s">
        <v>923</v>
      </c>
      <c r="U211">
        <v>1.1459361136078669E-4</v>
      </c>
      <c r="V211">
        <v>1.7259620612634044E-8</v>
      </c>
      <c r="W211">
        <v>1.1453661822191989E-4</v>
      </c>
      <c r="X211">
        <v>1.1463303349834698E-4</v>
      </c>
      <c r="Y211">
        <v>1.1459250793459638E-4</v>
      </c>
      <c r="Z211">
        <v>1.1456858017778752E-4</v>
      </c>
      <c r="AA211">
        <v>1.1462627121935887E-4</v>
      </c>
    </row>
    <row r="212" spans="1:27">
      <c r="A212" t="s">
        <v>2730</v>
      </c>
      <c r="B212" t="s">
        <v>2731</v>
      </c>
      <c r="C212" t="s">
        <v>2354</v>
      </c>
      <c r="D212" t="s">
        <v>2684</v>
      </c>
      <c r="E212" t="s">
        <v>923</v>
      </c>
      <c r="F212">
        <v>7.0628859374292406E-5</v>
      </c>
      <c r="G212">
        <v>1.9622268225543299E-10</v>
      </c>
      <c r="H212">
        <v>7.0628325053347617E-5</v>
      </c>
      <c r="I212">
        <v>7.0629326070222138E-5</v>
      </c>
      <c r="J212">
        <v>7.0628881501221696E-5</v>
      </c>
      <c r="K212">
        <v>7.0628539454025452E-5</v>
      </c>
      <c r="L212">
        <v>7.0629167609950053E-5</v>
      </c>
      <c r="P212" t="s">
        <v>2730</v>
      </c>
      <c r="Q212" t="s">
        <v>2731</v>
      </c>
      <c r="R212" t="s">
        <v>2354</v>
      </c>
      <c r="S212" t="s">
        <v>2684</v>
      </c>
      <c r="T212" t="s">
        <v>923</v>
      </c>
      <c r="U212">
        <v>7.0628842158795827E-5</v>
      </c>
      <c r="V212">
        <v>1.8164542734436895E-10</v>
      </c>
      <c r="W212">
        <v>7.0628242345897407E-5</v>
      </c>
      <c r="X212">
        <v>7.0629257049203013E-5</v>
      </c>
      <c r="Y212">
        <v>7.0628830546007432E-5</v>
      </c>
      <c r="Z212">
        <v>7.0628578723113487E-5</v>
      </c>
      <c r="AA212">
        <v>7.0629185880949417E-5</v>
      </c>
    </row>
    <row r="213" spans="1:27">
      <c r="A213" t="s">
        <v>2732</v>
      </c>
      <c r="B213" t="s">
        <v>2733</v>
      </c>
      <c r="C213" t="s">
        <v>2354</v>
      </c>
      <c r="D213" t="s">
        <v>2684</v>
      </c>
      <c r="E213" t="s">
        <v>923</v>
      </c>
      <c r="F213">
        <v>0.13059624106302051</v>
      </c>
      <c r="G213">
        <v>3.1160105431815986E-9</v>
      </c>
      <c r="H213">
        <v>0.13059623257801928</v>
      </c>
      <c r="I213">
        <v>0.13059624847413842</v>
      </c>
      <c r="J213">
        <v>0.13059624141439549</v>
      </c>
      <c r="K213">
        <v>0.13059623598269587</v>
      </c>
      <c r="L213">
        <v>0.13059624595779387</v>
      </c>
      <c r="P213" t="s">
        <v>2732</v>
      </c>
      <c r="Q213" t="s">
        <v>2733</v>
      </c>
      <c r="R213" t="s">
        <v>2354</v>
      </c>
      <c r="S213" t="s">
        <v>2684</v>
      </c>
      <c r="T213" t="s">
        <v>923</v>
      </c>
      <c r="U213">
        <v>0.13059624078963897</v>
      </c>
      <c r="V213">
        <v>2.8845241538540826E-9</v>
      </c>
      <c r="W213">
        <v>0.13059623126462735</v>
      </c>
      <c r="X213">
        <v>0.13059624737808662</v>
      </c>
      <c r="Y213">
        <v>0.13059624060522815</v>
      </c>
      <c r="Z213">
        <v>0.13059623660628783</v>
      </c>
      <c r="AA213">
        <v>0.13059624624793681</v>
      </c>
    </row>
    <row r="214" spans="1:27">
      <c r="A214" t="s">
        <v>2734</v>
      </c>
      <c r="B214" t="s">
        <v>2735</v>
      </c>
      <c r="C214" t="s">
        <v>2354</v>
      </c>
      <c r="D214" t="s">
        <v>2684</v>
      </c>
      <c r="E214" t="s">
        <v>923</v>
      </c>
      <c r="F214">
        <v>3.5164427318019447E-4</v>
      </c>
      <c r="G214">
        <v>1.0518293911627978E-9</v>
      </c>
      <c r="H214">
        <v>3.5164140901348544E-4</v>
      </c>
      <c r="I214">
        <v>3.5164677485069435E-4</v>
      </c>
      <c r="J214">
        <v>3.5164439178908443E-4</v>
      </c>
      <c r="K214">
        <v>3.5164255828395638E-4</v>
      </c>
      <c r="L214">
        <v>3.5164592544241192E-4</v>
      </c>
      <c r="P214" t="s">
        <v>2734</v>
      </c>
      <c r="Q214" t="s">
        <v>2735</v>
      </c>
      <c r="R214" t="s">
        <v>2354</v>
      </c>
      <c r="S214" t="s">
        <v>2684</v>
      </c>
      <c r="T214" t="s">
        <v>923</v>
      </c>
      <c r="U214">
        <v>3.5164418089848122E-4</v>
      </c>
      <c r="V214">
        <v>9.7368967264622332E-10</v>
      </c>
      <c r="W214">
        <v>3.5164096566959676E-4</v>
      </c>
      <c r="X214">
        <v>3.5164640487136425E-4</v>
      </c>
      <c r="Y214">
        <v>3.5164411864944853E-4</v>
      </c>
      <c r="Z214">
        <v>3.5164276878144052E-4</v>
      </c>
      <c r="AA214">
        <v>3.5164602338202781E-4</v>
      </c>
    </row>
    <row r="215" spans="1:27">
      <c r="A215" t="s">
        <v>2736</v>
      </c>
      <c r="B215" t="s">
        <v>2737</v>
      </c>
      <c r="C215" t="s">
        <v>2354</v>
      </c>
      <c r="D215" t="s">
        <v>2684</v>
      </c>
      <c r="E215" t="s">
        <v>923</v>
      </c>
      <c r="F215">
        <v>3.3120538900059527E-5</v>
      </c>
      <c r="G215">
        <v>3.5690628131913803E-11</v>
      </c>
      <c r="H215">
        <v>3.3120441713282129E-5</v>
      </c>
      <c r="I215">
        <v>3.3120623786631711E-5</v>
      </c>
      <c r="J215">
        <v>3.3120542924691127E-5</v>
      </c>
      <c r="K215">
        <v>3.3120480710276647E-5</v>
      </c>
      <c r="L215">
        <v>3.3120594964547642E-5</v>
      </c>
      <c r="P215" t="s">
        <v>2736</v>
      </c>
      <c r="Q215" t="s">
        <v>2737</v>
      </c>
      <c r="R215" t="s">
        <v>2354</v>
      </c>
      <c r="S215" t="s">
        <v>2684</v>
      </c>
      <c r="T215" t="s">
        <v>923</v>
      </c>
      <c r="U215">
        <v>3.3120535768760576E-5</v>
      </c>
      <c r="V215">
        <v>3.3039194677134583E-11</v>
      </c>
      <c r="W215">
        <v>3.3120426669757015E-5</v>
      </c>
      <c r="X215">
        <v>3.3120611232509534E-5</v>
      </c>
      <c r="Y215">
        <v>3.3120533656529145E-5</v>
      </c>
      <c r="Z215">
        <v>3.312048785286792E-5</v>
      </c>
      <c r="AA215">
        <v>3.3120598287830337E-5</v>
      </c>
    </row>
    <row r="216" spans="1:27">
      <c r="A216" t="s">
        <v>2738</v>
      </c>
      <c r="B216" t="s">
        <v>2739</v>
      </c>
      <c r="C216" t="s">
        <v>2354</v>
      </c>
      <c r="D216" t="s">
        <v>2684</v>
      </c>
      <c r="E216" t="s">
        <v>923</v>
      </c>
      <c r="F216">
        <v>2.1416919689772331E-4</v>
      </c>
      <c r="G216">
        <v>6.157935609884879E-10</v>
      </c>
      <c r="H216">
        <v>2.1416752007120406E-4</v>
      </c>
      <c r="I216">
        <v>2.1417066150082215E-4</v>
      </c>
      <c r="J216">
        <v>2.141692663373031E-4</v>
      </c>
      <c r="K216">
        <v>2.1416819291164926E-4</v>
      </c>
      <c r="L216">
        <v>2.1417016421470771E-4</v>
      </c>
      <c r="P216" t="s">
        <v>2738</v>
      </c>
      <c r="Q216" t="s">
        <v>2739</v>
      </c>
      <c r="R216" t="s">
        <v>2354</v>
      </c>
      <c r="S216" t="s">
        <v>2684</v>
      </c>
      <c r="T216" t="s">
        <v>923</v>
      </c>
      <c r="U216">
        <v>2.1416914287139053E-4</v>
      </c>
      <c r="V216">
        <v>5.7004665951877788E-10</v>
      </c>
      <c r="W216">
        <v>2.1416726051550595E-4</v>
      </c>
      <c r="X216">
        <v>2.141704448964079E-4</v>
      </c>
      <c r="Y216">
        <v>2.1416910642769183E-4</v>
      </c>
      <c r="Z216">
        <v>2.1416831614741019E-4</v>
      </c>
      <c r="AA216">
        <v>2.1417022155345995E-4</v>
      </c>
    </row>
    <row r="217" spans="1:27">
      <c r="A217" t="s">
        <v>2740</v>
      </c>
      <c r="B217" t="s">
        <v>2741</v>
      </c>
      <c r="C217" t="s">
        <v>2354</v>
      </c>
      <c r="D217" t="s">
        <v>2684</v>
      </c>
      <c r="E217" t="s">
        <v>923</v>
      </c>
      <c r="F217">
        <v>7.5895354641931428E-6</v>
      </c>
      <c r="G217">
        <v>1.8619300613835801E-11</v>
      </c>
      <c r="H217">
        <v>7.5894847632131057E-6</v>
      </c>
      <c r="I217">
        <v>7.5895797483284454E-6</v>
      </c>
      <c r="J217">
        <v>7.5895375637870468E-6</v>
      </c>
      <c r="K217">
        <v>7.5895051073987356E-6</v>
      </c>
      <c r="L217">
        <v>7.5895647122510293E-6</v>
      </c>
      <c r="P217" t="s">
        <v>2740</v>
      </c>
      <c r="Q217" t="s">
        <v>2741</v>
      </c>
      <c r="R217" t="s">
        <v>2354</v>
      </c>
      <c r="S217" t="s">
        <v>2684</v>
      </c>
      <c r="T217" t="s">
        <v>923</v>
      </c>
      <c r="U217">
        <v>7.5895338306383359E-6</v>
      </c>
      <c r="V217">
        <v>1.7236084931551963E-11</v>
      </c>
      <c r="W217">
        <v>7.5894769152168355E-6</v>
      </c>
      <c r="X217">
        <v>7.5895731990188084E-6</v>
      </c>
      <c r="Y217">
        <v>7.5895327287168025E-6</v>
      </c>
      <c r="Z217">
        <v>7.5895088335885237E-6</v>
      </c>
      <c r="AA217">
        <v>7.5895664459610456E-6</v>
      </c>
    </row>
    <row r="218" spans="1:27">
      <c r="A218" t="s">
        <v>2742</v>
      </c>
      <c r="B218" t="s">
        <v>2743</v>
      </c>
      <c r="C218" t="s">
        <v>2354</v>
      </c>
      <c r="D218" t="s">
        <v>2684</v>
      </c>
      <c r="E218" t="s">
        <v>923</v>
      </c>
      <c r="F218">
        <v>5.724134429059382E-5</v>
      </c>
      <c r="G218">
        <v>1.5926551397098769E-10</v>
      </c>
      <c r="H218">
        <v>5.724091060525775E-5</v>
      </c>
      <c r="I218">
        <v>5.7241723087612908E-5</v>
      </c>
      <c r="J218">
        <v>5.7241362250070892E-5</v>
      </c>
      <c r="K218">
        <v>5.7241084625069115E-5</v>
      </c>
      <c r="L218">
        <v>5.7241594472223566E-5</v>
      </c>
      <c r="P218" t="s">
        <v>2742</v>
      </c>
      <c r="Q218" t="s">
        <v>2743</v>
      </c>
      <c r="R218" t="s">
        <v>2354</v>
      </c>
      <c r="S218" t="s">
        <v>2684</v>
      </c>
      <c r="T218" t="s">
        <v>923</v>
      </c>
      <c r="U218">
        <v>5.7241330317515456E-5</v>
      </c>
      <c r="V218">
        <v>1.4743378295391719E-10</v>
      </c>
      <c r="W218">
        <v>5.7240843475176688E-5</v>
      </c>
      <c r="X218">
        <v>5.7241667066219451E-5</v>
      </c>
      <c r="Y218">
        <v>5.7241320891914464E-5</v>
      </c>
      <c r="Z218">
        <v>5.7241116498099372E-5</v>
      </c>
      <c r="AA218">
        <v>5.7241609302008122E-5</v>
      </c>
    </row>
    <row r="219" spans="1:27">
      <c r="A219" t="s">
        <v>2744</v>
      </c>
      <c r="B219" t="s">
        <v>2745</v>
      </c>
      <c r="C219" t="s">
        <v>2354</v>
      </c>
      <c r="D219" t="s">
        <v>2684</v>
      </c>
      <c r="E219" t="s">
        <v>923</v>
      </c>
      <c r="F219">
        <v>5.1969499302440475E-9</v>
      </c>
      <c r="G219">
        <v>2.708597430828328E-15</v>
      </c>
      <c r="H219">
        <v>5.1969425546424007E-9</v>
      </c>
      <c r="I219">
        <v>5.196956372370827E-9</v>
      </c>
      <c r="J219">
        <v>5.1969502356773594E-9</v>
      </c>
      <c r="K219">
        <v>5.1969455141632802E-9</v>
      </c>
      <c r="L219">
        <v>5.1969541850340681E-9</v>
      </c>
      <c r="P219" t="s">
        <v>2744</v>
      </c>
      <c r="Q219" t="s">
        <v>2745</v>
      </c>
      <c r="R219" t="s">
        <v>2354</v>
      </c>
      <c r="S219" t="s">
        <v>2684</v>
      </c>
      <c r="T219" t="s">
        <v>923</v>
      </c>
      <c r="U219">
        <v>5.1969496926066413E-9</v>
      </c>
      <c r="V219">
        <v>2.5073774966778588E-15</v>
      </c>
      <c r="W219">
        <v>5.1969414129742482E-9</v>
      </c>
      <c r="X219">
        <v>5.1969554196259511E-9</v>
      </c>
      <c r="Y219">
        <v>5.1969495323072864E-9</v>
      </c>
      <c r="Z219">
        <v>5.1969460562216691E-9</v>
      </c>
      <c r="AA219">
        <v>5.1969544372413128E-9</v>
      </c>
    </row>
    <row r="220" spans="1:27">
      <c r="A220" t="s">
        <v>2746</v>
      </c>
      <c r="B220" t="s">
        <v>2747</v>
      </c>
      <c r="C220" t="s">
        <v>2354</v>
      </c>
      <c r="D220" t="s">
        <v>2684</v>
      </c>
      <c r="E220" t="s">
        <v>923</v>
      </c>
      <c r="F220">
        <v>3.961187827110893E-12</v>
      </c>
      <c r="G220">
        <v>2.0645307323436471E-18</v>
      </c>
      <c r="H220">
        <v>3.9611822053244678E-12</v>
      </c>
      <c r="I220">
        <v>3.9611927373897588E-12</v>
      </c>
      <c r="J220">
        <v>3.961188059916423E-12</v>
      </c>
      <c r="K220">
        <v>3.9611844611125516E-12</v>
      </c>
      <c r="L220">
        <v>3.9611910701711791E-12</v>
      </c>
      <c r="P220" t="s">
        <v>2746</v>
      </c>
      <c r="Q220" t="s">
        <v>2747</v>
      </c>
      <c r="R220" t="s">
        <v>2354</v>
      </c>
      <c r="S220" t="s">
        <v>2684</v>
      </c>
      <c r="T220" t="s">
        <v>923</v>
      </c>
      <c r="U220">
        <v>3.9611876459803448E-12</v>
      </c>
      <c r="V220">
        <v>1.9111580925906686E-18</v>
      </c>
      <c r="W220">
        <v>3.9611813351290821E-12</v>
      </c>
      <c r="X220">
        <v>3.9611920111943281E-12</v>
      </c>
      <c r="Y220">
        <v>3.9611875237979448E-12</v>
      </c>
      <c r="Z220">
        <v>3.9611848742770149E-12</v>
      </c>
      <c r="AA220">
        <v>3.9611912624070576E-12</v>
      </c>
    </row>
    <row r="221" spans="1:27">
      <c r="A221" t="s">
        <v>2748</v>
      </c>
      <c r="B221" t="s">
        <v>2749</v>
      </c>
      <c r="C221" t="s">
        <v>2354</v>
      </c>
      <c r="D221" t="s">
        <v>2684</v>
      </c>
      <c r="E221" t="s">
        <v>923</v>
      </c>
      <c r="F221">
        <v>2.4686269637051637E-8</v>
      </c>
      <c r="G221">
        <v>1.2865652000987408E-14</v>
      </c>
      <c r="H221">
        <v>2.4686234603449749E-8</v>
      </c>
      <c r="I221">
        <v>2.4686300236711953E-8</v>
      </c>
      <c r="J221">
        <v>2.4686271087838925E-8</v>
      </c>
      <c r="K221">
        <v>2.468624866097092E-8</v>
      </c>
      <c r="L221">
        <v>2.4686289847012386E-8</v>
      </c>
      <c r="P221" t="s">
        <v>2748</v>
      </c>
      <c r="Q221" t="s">
        <v>2749</v>
      </c>
      <c r="R221" t="s">
        <v>2354</v>
      </c>
      <c r="S221" t="s">
        <v>2684</v>
      </c>
      <c r="T221" t="s">
        <v>923</v>
      </c>
      <c r="U221">
        <v>2.4686268508290244E-8</v>
      </c>
      <c r="V221">
        <v>1.1909871116399796E-14</v>
      </c>
      <c r="W221">
        <v>2.4686229180604336E-8</v>
      </c>
      <c r="X221">
        <v>2.4686295711239145E-8</v>
      </c>
      <c r="Y221">
        <v>2.4686267746879324E-8</v>
      </c>
      <c r="Z221">
        <v>2.4686251235711082E-8</v>
      </c>
      <c r="AA221">
        <v>2.4686291044979498E-8</v>
      </c>
    </row>
    <row r="222" spans="1:27">
      <c r="A222" t="s">
        <v>2750</v>
      </c>
      <c r="B222" t="s">
        <v>2751</v>
      </c>
      <c r="C222" t="s">
        <v>2354</v>
      </c>
      <c r="D222" t="s">
        <v>2684</v>
      </c>
      <c r="E222" t="s">
        <v>923</v>
      </c>
      <c r="F222">
        <v>6.7526714799572039E-12</v>
      </c>
      <c r="G222">
        <v>3.5194236269965809E-18</v>
      </c>
      <c r="H222">
        <v>6.7526618964486304E-12</v>
      </c>
      <c r="I222">
        <v>6.7526798505526045E-12</v>
      </c>
      <c r="J222">
        <v>6.7526718768228294E-12</v>
      </c>
      <c r="K222">
        <v>6.7526657419103401E-12</v>
      </c>
      <c r="L222">
        <v>6.7526770084304852E-12</v>
      </c>
      <c r="P222" t="s">
        <v>2750</v>
      </c>
      <c r="Q222" t="s">
        <v>2751</v>
      </c>
      <c r="R222" t="s">
        <v>2354</v>
      </c>
      <c r="S222" t="s">
        <v>2684</v>
      </c>
      <c r="T222" t="s">
        <v>923</v>
      </c>
      <c r="U222">
        <v>6.7526711711823725E-12</v>
      </c>
      <c r="V222">
        <v>3.257967944280248E-18</v>
      </c>
      <c r="W222">
        <v>6.7526604130189321E-12</v>
      </c>
      <c r="X222">
        <v>6.7526786126008925E-12</v>
      </c>
      <c r="Y222">
        <v>6.752670962896963E-12</v>
      </c>
      <c r="Z222">
        <v>6.75266644623542E-12</v>
      </c>
      <c r="AA222">
        <v>6.7526773361366714E-12</v>
      </c>
    </row>
    <row r="223" spans="1:27">
      <c r="A223" t="s">
        <v>2752</v>
      </c>
      <c r="B223" t="s">
        <v>2753</v>
      </c>
      <c r="C223" t="s">
        <v>2354</v>
      </c>
      <c r="D223" t="s">
        <v>2684</v>
      </c>
      <c r="E223" t="s">
        <v>923</v>
      </c>
      <c r="F223">
        <v>2.7602570797144015E-8</v>
      </c>
      <c r="G223">
        <v>1.437876978088055E-14</v>
      </c>
      <c r="H223">
        <v>2.760253164327165E-8</v>
      </c>
      <c r="I223">
        <v>2.7602604995602889E-8</v>
      </c>
      <c r="J223">
        <v>2.7602572418557077E-8</v>
      </c>
      <c r="K223">
        <v>2.7602547354085259E-8</v>
      </c>
      <c r="L223">
        <v>2.7602593383980084E-8</v>
      </c>
      <c r="P223" t="s">
        <v>2752</v>
      </c>
      <c r="Q223" t="s">
        <v>2753</v>
      </c>
      <c r="R223" t="s">
        <v>2354</v>
      </c>
      <c r="S223" t="s">
        <v>2684</v>
      </c>
      <c r="T223" t="s">
        <v>923</v>
      </c>
      <c r="U223">
        <v>2.760256953563001E-8</v>
      </c>
      <c r="V223">
        <v>1.3310580364599331E-14</v>
      </c>
      <c r="W223">
        <v>2.7602525582650257E-8</v>
      </c>
      <c r="X223">
        <v>2.7602599937893285E-8</v>
      </c>
      <c r="Y223">
        <v>2.7602568684670215E-8</v>
      </c>
      <c r="Z223">
        <v>2.7602550231638303E-8</v>
      </c>
      <c r="AA223">
        <v>2.7602594722839033E-8</v>
      </c>
    </row>
    <row r="224" spans="1:27">
      <c r="A224" t="s">
        <v>2754</v>
      </c>
      <c r="B224" t="s">
        <v>2755</v>
      </c>
      <c r="C224" t="s">
        <v>2354</v>
      </c>
      <c r="D224" t="s">
        <v>2684</v>
      </c>
      <c r="E224" t="s">
        <v>923</v>
      </c>
      <c r="F224">
        <v>3.8636977240398045E-9</v>
      </c>
      <c r="G224">
        <v>2.0128118368981876E-15</v>
      </c>
      <c r="H224">
        <v>3.863692243085667E-9</v>
      </c>
      <c r="I224">
        <v>3.8637025113104766E-9</v>
      </c>
      <c r="J224">
        <v>3.8636979510132867E-9</v>
      </c>
      <c r="K224">
        <v>3.8636944423636374E-9</v>
      </c>
      <c r="L224">
        <v>3.8637008858576613E-9</v>
      </c>
      <c r="P224" t="s">
        <v>2754</v>
      </c>
      <c r="Q224" t="s">
        <v>2755</v>
      </c>
      <c r="R224" t="s">
        <v>2354</v>
      </c>
      <c r="S224" t="s">
        <v>2684</v>
      </c>
      <c r="T224" t="s">
        <v>923</v>
      </c>
      <c r="U224">
        <v>3.8636975474467898E-9</v>
      </c>
      <c r="V224">
        <v>1.8632813600624864E-15</v>
      </c>
      <c r="W224">
        <v>3.8636913946896874E-9</v>
      </c>
      <c r="X224">
        <v>3.8637018033070854E-9</v>
      </c>
      <c r="Y224">
        <v>3.8636974283251997E-9</v>
      </c>
      <c r="Z224">
        <v>3.8636948451778491E-9</v>
      </c>
      <c r="AA224">
        <v>3.8637010732778068E-9</v>
      </c>
    </row>
    <row r="225" spans="1:27">
      <c r="A225" t="s">
        <v>2756</v>
      </c>
      <c r="B225" t="s">
        <v>2757</v>
      </c>
      <c r="C225" t="s">
        <v>2354</v>
      </c>
      <c r="D225" t="s">
        <v>2684</v>
      </c>
      <c r="E225" t="s">
        <v>923</v>
      </c>
      <c r="F225">
        <v>1.1052028079974957E-4</v>
      </c>
      <c r="G225">
        <v>1.1702778446826203E-10</v>
      </c>
      <c r="H225">
        <v>1.1051996212916752E-4</v>
      </c>
      <c r="I225">
        <v>1.1052055913857385E-4</v>
      </c>
      <c r="J225">
        <v>1.1052029399631523E-4</v>
      </c>
      <c r="K225">
        <v>1.1052008999836199E-4</v>
      </c>
      <c r="L225">
        <v>1.105204646324018E-4</v>
      </c>
      <c r="P225" t="s">
        <v>2756</v>
      </c>
      <c r="Q225" t="s">
        <v>2757</v>
      </c>
      <c r="R225" t="s">
        <v>2354</v>
      </c>
      <c r="S225" t="s">
        <v>2684</v>
      </c>
      <c r="T225" t="s">
        <v>923</v>
      </c>
      <c r="U225">
        <v>1.1052027053237681E-4</v>
      </c>
      <c r="V225">
        <v>1.0833386679243977E-10</v>
      </c>
      <c r="W225">
        <v>1.105199128022011E-4</v>
      </c>
      <c r="X225">
        <v>1.1052051797423516E-4</v>
      </c>
      <c r="Y225">
        <v>1.1052026360647566E-4</v>
      </c>
      <c r="Z225">
        <v>1.1052011341856151E-4</v>
      </c>
      <c r="AA225">
        <v>1.1052047552927952E-4</v>
      </c>
    </row>
    <row r="226" spans="1:27">
      <c r="A226" t="s">
        <v>2758</v>
      </c>
      <c r="B226" t="s">
        <v>2759</v>
      </c>
      <c r="C226" t="s">
        <v>2354</v>
      </c>
      <c r="D226" t="s">
        <v>2684</v>
      </c>
      <c r="E226" t="s">
        <v>923</v>
      </c>
      <c r="F226">
        <v>2.4329587652065386E-5</v>
      </c>
      <c r="G226">
        <v>6.8117679645507145E-11</v>
      </c>
      <c r="H226">
        <v>2.4329402165339147E-5</v>
      </c>
      <c r="I226">
        <v>2.4329749663120725E-5</v>
      </c>
      <c r="J226">
        <v>2.4329595333313361E-5</v>
      </c>
      <c r="K226">
        <v>2.4329476593415053E-5</v>
      </c>
      <c r="L226">
        <v>2.432969465446461E-5</v>
      </c>
      <c r="P226" t="s">
        <v>2758</v>
      </c>
      <c r="Q226" t="s">
        <v>2759</v>
      </c>
      <c r="R226" t="s">
        <v>2354</v>
      </c>
      <c r="S226" t="s">
        <v>2684</v>
      </c>
      <c r="T226" t="s">
        <v>923</v>
      </c>
      <c r="U226">
        <v>2.4329581675795621E-5</v>
      </c>
      <c r="V226">
        <v>6.3057261712330658E-11</v>
      </c>
      <c r="W226">
        <v>2.4329373453879634E-5</v>
      </c>
      <c r="X226">
        <v>2.4329725702834299E-5</v>
      </c>
      <c r="Y226">
        <v>2.432957764447677E-5</v>
      </c>
      <c r="Z226">
        <v>2.4329490225473934E-5</v>
      </c>
      <c r="AA226">
        <v>2.4329700997146642E-5</v>
      </c>
    </row>
    <row r="227" spans="1:27">
      <c r="A227" t="s">
        <v>2760</v>
      </c>
      <c r="B227" t="s">
        <v>2761</v>
      </c>
      <c r="C227" t="s">
        <v>2354</v>
      </c>
      <c r="D227" t="s">
        <v>2684</v>
      </c>
      <c r="E227" t="s">
        <v>923</v>
      </c>
      <c r="F227">
        <v>1.113770416032642E-3</v>
      </c>
      <c r="G227">
        <v>8.1572670449447843E-10</v>
      </c>
      <c r="H227">
        <v>1.113768194781467E-3</v>
      </c>
      <c r="I227">
        <v>1.1137723561566292E-3</v>
      </c>
      <c r="J227">
        <v>1.1137705080175584E-3</v>
      </c>
      <c r="K227">
        <v>1.1137690860767869E-3</v>
      </c>
      <c r="L227">
        <v>1.1137716974138475E-3</v>
      </c>
      <c r="P227" t="s">
        <v>2760</v>
      </c>
      <c r="Q227" t="s">
        <v>2761</v>
      </c>
      <c r="R227" t="s">
        <v>2354</v>
      </c>
      <c r="S227" t="s">
        <v>2684</v>
      </c>
      <c r="T227" t="s">
        <v>923</v>
      </c>
      <c r="U227">
        <v>1.1137703444652769E-3</v>
      </c>
      <c r="V227">
        <v>7.5512690035722157E-10</v>
      </c>
      <c r="W227">
        <v>1.113767850954367E-3</v>
      </c>
      <c r="X227">
        <v>1.1137720692260468E-3</v>
      </c>
      <c r="Y227">
        <v>1.1137702961891982E-3</v>
      </c>
      <c r="Z227">
        <v>1.1137692493241925E-3</v>
      </c>
      <c r="AA227">
        <v>1.1137717733690935E-3</v>
      </c>
    </row>
    <row r="228" spans="1:27">
      <c r="A228" t="s">
        <v>2762</v>
      </c>
      <c r="B228" t="s">
        <v>2763</v>
      </c>
      <c r="C228" t="s">
        <v>2354</v>
      </c>
      <c r="D228" t="s">
        <v>2684</v>
      </c>
      <c r="E228" t="s">
        <v>923</v>
      </c>
      <c r="F228">
        <v>2.0269121023553722E-4</v>
      </c>
      <c r="G228">
        <v>2.0830341422975522E-10</v>
      </c>
      <c r="H228">
        <v>2.0269064301835417E-4</v>
      </c>
      <c r="I228">
        <v>2.0269170566427394E-4</v>
      </c>
      <c r="J228">
        <v>2.0269123372474284E-4</v>
      </c>
      <c r="K228">
        <v>2.0269087061891843E-4</v>
      </c>
      <c r="L228">
        <v>2.0269153744816704E-4</v>
      </c>
      <c r="P228" t="s">
        <v>2762</v>
      </c>
      <c r="Q228" t="s">
        <v>2763</v>
      </c>
      <c r="R228" t="s">
        <v>2354</v>
      </c>
      <c r="S228" t="s">
        <v>2684</v>
      </c>
      <c r="T228" t="s">
        <v>923</v>
      </c>
      <c r="U228">
        <v>2.0269119196014381E-4</v>
      </c>
      <c r="V228">
        <v>1.9282868963026984E-10</v>
      </c>
      <c r="W228">
        <v>2.0269055521890069E-4</v>
      </c>
      <c r="X228">
        <v>2.0269163239387638E-4</v>
      </c>
      <c r="Y228">
        <v>2.0269117963239743E-4</v>
      </c>
      <c r="Z228">
        <v>2.0269091230566444E-4</v>
      </c>
      <c r="AA228">
        <v>2.0269155684404677E-4</v>
      </c>
    </row>
    <row r="229" spans="1:27">
      <c r="A229" t="s">
        <v>2764</v>
      </c>
      <c r="B229" t="s">
        <v>2765</v>
      </c>
      <c r="C229" t="s">
        <v>2354</v>
      </c>
      <c r="D229" t="s">
        <v>2684</v>
      </c>
      <c r="E229" t="s">
        <v>923</v>
      </c>
      <c r="F229">
        <v>7.5557843464514281E-9</v>
      </c>
      <c r="G229">
        <v>2.0497467814443225E-14</v>
      </c>
      <c r="H229">
        <v>7.555728531159109E-9</v>
      </c>
      <c r="I229">
        <v>7.5558330976186625E-9</v>
      </c>
      <c r="J229">
        <v>7.5557866578356906E-9</v>
      </c>
      <c r="K229">
        <v>7.5557509275046437E-9</v>
      </c>
      <c r="L229">
        <v>7.5558165448211481E-9</v>
      </c>
      <c r="P229" t="s">
        <v>2764</v>
      </c>
      <c r="Q229" t="s">
        <v>2765</v>
      </c>
      <c r="R229" t="s">
        <v>2354</v>
      </c>
      <c r="S229" t="s">
        <v>2684</v>
      </c>
      <c r="T229" t="s">
        <v>923</v>
      </c>
      <c r="U229">
        <v>7.5557825481165736E-9</v>
      </c>
      <c r="V229">
        <v>1.8974724317462271E-14</v>
      </c>
      <c r="W229">
        <v>7.5557198915192927E-9</v>
      </c>
      <c r="X229">
        <v>7.5558258876666733E-9</v>
      </c>
      <c r="Y229">
        <v>7.5557813350419529E-9</v>
      </c>
      <c r="Z229">
        <v>7.5557550295628706E-9</v>
      </c>
      <c r="AA229">
        <v>7.5558184534140647E-9</v>
      </c>
    </row>
    <row r="230" spans="1:27">
      <c r="A230" t="s">
        <v>2766</v>
      </c>
      <c r="B230" t="s">
        <v>2767</v>
      </c>
      <c r="C230" t="s">
        <v>2354</v>
      </c>
      <c r="D230" t="s">
        <v>2684</v>
      </c>
      <c r="E230" t="s">
        <v>923</v>
      </c>
      <c r="F230">
        <v>2.9797879373656298E-4</v>
      </c>
      <c r="G230">
        <v>5.7863214655948623E-10</v>
      </c>
      <c r="H230">
        <v>2.9797721810182138E-4</v>
      </c>
      <c r="I230">
        <v>2.9798016995497207E-4</v>
      </c>
      <c r="J230">
        <v>2.9797885898565866E-4</v>
      </c>
      <c r="K230">
        <v>2.9797785033823266E-4</v>
      </c>
      <c r="L230">
        <v>2.9797970267867997E-4</v>
      </c>
      <c r="P230" t="s">
        <v>2766</v>
      </c>
      <c r="Q230" t="s">
        <v>2767</v>
      </c>
      <c r="R230" t="s">
        <v>2354</v>
      </c>
      <c r="S230" t="s">
        <v>2684</v>
      </c>
      <c r="T230" t="s">
        <v>923</v>
      </c>
      <c r="U230">
        <v>2.9797874297056757E-4</v>
      </c>
      <c r="V230">
        <v>5.3564594229755321E-10</v>
      </c>
      <c r="W230">
        <v>2.9797697420958169E-4</v>
      </c>
      <c r="X230">
        <v>2.9797996642202674E-4</v>
      </c>
      <c r="Y230">
        <v>2.9797870872614397E-4</v>
      </c>
      <c r="Z230">
        <v>2.9797796613706103E-4</v>
      </c>
      <c r="AA230">
        <v>2.9797975655719935E-4</v>
      </c>
    </row>
    <row r="231" spans="1:27">
      <c r="A231" t="s">
        <v>2768</v>
      </c>
      <c r="B231" t="s">
        <v>2769</v>
      </c>
      <c r="C231" t="s">
        <v>2354</v>
      </c>
      <c r="D231" t="s">
        <v>2684</v>
      </c>
      <c r="E231" t="s">
        <v>923</v>
      </c>
      <c r="F231">
        <v>3.7010593991590246E-4</v>
      </c>
      <c r="G231">
        <v>3.8846190559099504E-10</v>
      </c>
      <c r="H231">
        <v>3.7010488212110517E-4</v>
      </c>
      <c r="I231">
        <v>3.7010686383350531E-4</v>
      </c>
      <c r="J231">
        <v>3.7010598372056884E-4</v>
      </c>
      <c r="K231">
        <v>3.7010530656997581E-4</v>
      </c>
      <c r="L231">
        <v>3.7010655012981647E-4</v>
      </c>
      <c r="P231" t="s">
        <v>2768</v>
      </c>
      <c r="Q231" t="s">
        <v>2769</v>
      </c>
      <c r="R231" t="s">
        <v>2354</v>
      </c>
      <c r="S231" t="s">
        <v>2684</v>
      </c>
      <c r="T231" t="s">
        <v>923</v>
      </c>
      <c r="U231">
        <v>3.7010590583439612E-4</v>
      </c>
      <c r="V231">
        <v>3.5960332432966209E-10</v>
      </c>
      <c r="W231">
        <v>3.7010471838522436E-4</v>
      </c>
      <c r="X231">
        <v>3.701067271926424E-4</v>
      </c>
      <c r="Y231">
        <v>3.7010588284456711E-4</v>
      </c>
      <c r="Z231">
        <v>3.7010538431096166E-4</v>
      </c>
      <c r="AA231">
        <v>3.7010658630090099E-4</v>
      </c>
    </row>
    <row r="232" spans="1:27">
      <c r="A232" t="s">
        <v>2770</v>
      </c>
      <c r="B232" t="s">
        <v>2771</v>
      </c>
      <c r="C232" t="s">
        <v>2354</v>
      </c>
      <c r="D232" t="s">
        <v>2684</v>
      </c>
      <c r="E232" t="s">
        <v>923</v>
      </c>
      <c r="F232">
        <v>3.0801504194668243E-4</v>
      </c>
      <c r="G232">
        <v>3.1661985693169474E-10</v>
      </c>
      <c r="H232">
        <v>3.0801417978019307E-4</v>
      </c>
      <c r="I232">
        <v>3.0801579499519248E-4</v>
      </c>
      <c r="J232">
        <v>3.0801507765012464E-4</v>
      </c>
      <c r="K232">
        <v>3.0801452573159466E-4</v>
      </c>
      <c r="L232">
        <v>3.0801553930778623E-4</v>
      </c>
      <c r="P232" t="s">
        <v>2770</v>
      </c>
      <c r="Q232" t="s">
        <v>2771</v>
      </c>
      <c r="R232" t="s">
        <v>2354</v>
      </c>
      <c r="S232" t="s">
        <v>2684</v>
      </c>
      <c r="T232" t="s">
        <v>923</v>
      </c>
      <c r="U232">
        <v>3.0801501416820131E-4</v>
      </c>
      <c r="V232">
        <v>2.9309837454443204E-10</v>
      </c>
      <c r="W232">
        <v>3.0801404632558558E-4</v>
      </c>
      <c r="X232">
        <v>3.0801568362465696E-4</v>
      </c>
      <c r="Y232">
        <v>3.080149954301057E-4</v>
      </c>
      <c r="Z232">
        <v>3.0801458909518182E-4</v>
      </c>
      <c r="AA232">
        <v>3.0801556878939934E-4</v>
      </c>
    </row>
    <row r="233" spans="1:27">
      <c r="A233" t="s">
        <v>2772</v>
      </c>
      <c r="B233" t="s">
        <v>2773</v>
      </c>
      <c r="C233" t="s">
        <v>2354</v>
      </c>
      <c r="D233" t="s">
        <v>2684</v>
      </c>
      <c r="E233" t="s">
        <v>923</v>
      </c>
      <c r="F233">
        <v>4.8926460054469957E-6</v>
      </c>
      <c r="G233">
        <v>9.6793170039189078E-12</v>
      </c>
      <c r="H233">
        <v>4.8926196483421654E-6</v>
      </c>
      <c r="I233">
        <v>4.8926690267297374E-6</v>
      </c>
      <c r="J233">
        <v>4.892647096929186E-6</v>
      </c>
      <c r="K233">
        <v>4.8926302243474613E-6</v>
      </c>
      <c r="L233">
        <v>4.8926612101654724E-6</v>
      </c>
      <c r="P233" t="s">
        <v>2772</v>
      </c>
      <c r="Q233" t="s">
        <v>2773</v>
      </c>
      <c r="R233" t="s">
        <v>2354</v>
      </c>
      <c r="S233" t="s">
        <v>2684</v>
      </c>
      <c r="T233" t="s">
        <v>923</v>
      </c>
      <c r="U233">
        <v>4.8926451562370721E-6</v>
      </c>
      <c r="V233">
        <v>8.9602468652521516E-12</v>
      </c>
      <c r="W233">
        <v>4.892615568530291E-6</v>
      </c>
      <c r="X233">
        <v>4.8926656220452407E-6</v>
      </c>
      <c r="Y233">
        <v>4.8926445833988128E-6</v>
      </c>
      <c r="Z233">
        <v>4.8926321614219474E-6</v>
      </c>
      <c r="AA233">
        <v>4.8926621114414762E-6</v>
      </c>
    </row>
    <row r="234" spans="1:27">
      <c r="A234" t="s">
        <v>2774</v>
      </c>
      <c r="B234" t="s">
        <v>2775</v>
      </c>
      <c r="C234" t="s">
        <v>2354</v>
      </c>
      <c r="D234" t="s">
        <v>2684</v>
      </c>
      <c r="E234" t="s">
        <v>923</v>
      </c>
      <c r="F234">
        <v>3.1949206983633996E-6</v>
      </c>
      <c r="G234">
        <v>7.1185020008655338E-12</v>
      </c>
      <c r="H234">
        <v>3.1949013144437085E-6</v>
      </c>
      <c r="I234">
        <v>3.1949376290050137E-6</v>
      </c>
      <c r="J234">
        <v>3.1949215010768717E-6</v>
      </c>
      <c r="K234">
        <v>3.1949090924010608E-6</v>
      </c>
      <c r="L234">
        <v>3.1949318804353226E-6</v>
      </c>
      <c r="P234" t="s">
        <v>2774</v>
      </c>
      <c r="Q234" t="s">
        <v>2775</v>
      </c>
      <c r="R234" t="s">
        <v>2354</v>
      </c>
      <c r="S234" t="s">
        <v>2684</v>
      </c>
      <c r="T234" t="s">
        <v>923</v>
      </c>
      <c r="U234">
        <v>3.1949200738252705E-6</v>
      </c>
      <c r="V234">
        <v>6.5896731363337488E-12</v>
      </c>
      <c r="W234">
        <v>3.1948983140100019E-6</v>
      </c>
      <c r="X234">
        <v>3.1949351250831574E-6</v>
      </c>
      <c r="Y234">
        <v>3.1949196525403492E-6</v>
      </c>
      <c r="Z234">
        <v>3.1949105169921358E-6</v>
      </c>
      <c r="AA234">
        <v>3.1949325432646348E-6</v>
      </c>
    </row>
    <row r="235" spans="1:27">
      <c r="A235" t="s">
        <v>2776</v>
      </c>
      <c r="B235" t="s">
        <v>2777</v>
      </c>
      <c r="C235" t="s">
        <v>2354</v>
      </c>
      <c r="D235" t="s">
        <v>2684</v>
      </c>
      <c r="E235" t="s">
        <v>923</v>
      </c>
      <c r="F235">
        <v>7.126071789918112E-6</v>
      </c>
      <c r="G235">
        <v>1.5809833555452106E-11</v>
      </c>
      <c r="H235">
        <v>7.126028739211102E-6</v>
      </c>
      <c r="I235">
        <v>7.126109392018365E-6</v>
      </c>
      <c r="J235">
        <v>7.1260735727042042E-6</v>
      </c>
      <c r="K235">
        <v>7.1260460136617004E-6</v>
      </c>
      <c r="L235">
        <v>7.1260966247353066E-6</v>
      </c>
      <c r="P235" t="s">
        <v>2776</v>
      </c>
      <c r="Q235" t="s">
        <v>2777</v>
      </c>
      <c r="R235" t="s">
        <v>2354</v>
      </c>
      <c r="S235" t="s">
        <v>2684</v>
      </c>
      <c r="T235" t="s">
        <v>923</v>
      </c>
      <c r="U235">
        <v>7.1260704028504595E-6</v>
      </c>
      <c r="V235">
        <v>1.4635331346132467E-11</v>
      </c>
      <c r="W235">
        <v>7.1260220753993216E-6</v>
      </c>
      <c r="X235">
        <v>7.1261038309343366E-6</v>
      </c>
      <c r="Y235">
        <v>7.1260694671979149E-6</v>
      </c>
      <c r="Z235">
        <v>7.1260491776065544E-6</v>
      </c>
      <c r="AA235">
        <v>7.1260980968457456E-6</v>
      </c>
    </row>
    <row r="236" spans="1:27">
      <c r="A236" t="s">
        <v>2778</v>
      </c>
      <c r="B236" t="s">
        <v>2779</v>
      </c>
      <c r="C236" t="s">
        <v>2354</v>
      </c>
      <c r="D236" t="s">
        <v>2684</v>
      </c>
      <c r="E236" t="s">
        <v>923</v>
      </c>
      <c r="F236">
        <v>4.7056482710869221E-8</v>
      </c>
      <c r="G236">
        <v>5.2130991591392875E-13</v>
      </c>
      <c r="H236">
        <v>4.7055063166484217E-8</v>
      </c>
      <c r="I236">
        <v>4.7057722594113542E-8</v>
      </c>
      <c r="J236">
        <v>4.7056541496059126E-8</v>
      </c>
      <c r="K236">
        <v>4.7055632770354955E-8</v>
      </c>
      <c r="L236">
        <v>4.705730160857728E-8</v>
      </c>
      <c r="P236" t="s">
        <v>2778</v>
      </c>
      <c r="Q236" t="s">
        <v>2779</v>
      </c>
      <c r="R236" t="s">
        <v>2354</v>
      </c>
      <c r="S236" t="s">
        <v>2684</v>
      </c>
      <c r="T236" t="s">
        <v>923</v>
      </c>
      <c r="U236">
        <v>4.7056436974010579E-8</v>
      </c>
      <c r="V236">
        <v>4.8258214272976629E-13</v>
      </c>
      <c r="W236">
        <v>4.7054843435444888E-8</v>
      </c>
      <c r="X236">
        <v>4.7057539224172483E-8</v>
      </c>
      <c r="Y236">
        <v>4.7056406122012878E-8</v>
      </c>
      <c r="Z236">
        <v>4.7055737097564967E-8</v>
      </c>
      <c r="AA236">
        <v>4.7057350149617651E-8</v>
      </c>
    </row>
    <row r="237" spans="1:27">
      <c r="A237" t="s">
        <v>2780</v>
      </c>
      <c r="B237" t="s">
        <v>2781</v>
      </c>
      <c r="C237" t="s">
        <v>2354</v>
      </c>
      <c r="D237" t="s">
        <v>2684</v>
      </c>
      <c r="E237" t="s">
        <v>923</v>
      </c>
      <c r="F237">
        <v>9.3966609402377117E-6</v>
      </c>
      <c r="G237">
        <v>2.6720624164209017E-11</v>
      </c>
      <c r="H237">
        <v>9.3965881790819398E-6</v>
      </c>
      <c r="I237">
        <v>9.3967244925569111E-6</v>
      </c>
      <c r="J237">
        <v>9.3966639533723499E-6</v>
      </c>
      <c r="K237">
        <v>9.3966173750946906E-6</v>
      </c>
      <c r="L237">
        <v>9.3967029142290313E-6</v>
      </c>
      <c r="P237" t="s">
        <v>2780</v>
      </c>
      <c r="Q237" t="s">
        <v>2781</v>
      </c>
      <c r="R237" t="s">
        <v>2354</v>
      </c>
      <c r="S237" t="s">
        <v>2684</v>
      </c>
      <c r="T237" t="s">
        <v>923</v>
      </c>
      <c r="U237">
        <v>9.3966585959174239E-6</v>
      </c>
      <c r="V237">
        <v>2.4735566446298662E-11</v>
      </c>
      <c r="W237">
        <v>9.3965769163947373E-6</v>
      </c>
      <c r="X237">
        <v>9.3967150936194875E-6</v>
      </c>
      <c r="Y237">
        <v>9.3966570145459427E-6</v>
      </c>
      <c r="Z237">
        <v>9.3966227225628356E-6</v>
      </c>
      <c r="AA237">
        <v>9.3967054022824059E-6</v>
      </c>
    </row>
    <row r="238" spans="1:27">
      <c r="A238" t="s">
        <v>2782</v>
      </c>
      <c r="B238" t="s">
        <v>2783</v>
      </c>
      <c r="C238" t="s">
        <v>2354</v>
      </c>
      <c r="D238" t="s">
        <v>2684</v>
      </c>
      <c r="E238" t="s">
        <v>923</v>
      </c>
      <c r="F238">
        <v>4.9806753323473787E-6</v>
      </c>
      <c r="G238">
        <v>1.4305800369371261E-11</v>
      </c>
      <c r="H238">
        <v>4.9806363771731779E-6</v>
      </c>
      <c r="I238">
        <v>4.9807093572558509E-6</v>
      </c>
      <c r="J238">
        <v>4.9806769455321003E-6</v>
      </c>
      <c r="K238">
        <v>4.9806520082575209E-6</v>
      </c>
      <c r="L238">
        <v>4.9806978045597368E-6</v>
      </c>
      <c r="P238" t="s">
        <v>2782</v>
      </c>
      <c r="Q238" t="s">
        <v>2783</v>
      </c>
      <c r="R238" t="s">
        <v>2354</v>
      </c>
      <c r="S238" t="s">
        <v>2684</v>
      </c>
      <c r="T238" t="s">
        <v>923</v>
      </c>
      <c r="U238">
        <v>4.9806740772353061E-6</v>
      </c>
      <c r="V238">
        <v>1.3243031803147377E-11</v>
      </c>
      <c r="W238">
        <v>4.9806303473082398E-6</v>
      </c>
      <c r="X238">
        <v>4.9807043252131244E-6</v>
      </c>
      <c r="Y238">
        <v>4.9806732305939769E-6</v>
      </c>
      <c r="Z238">
        <v>4.9806548712075509E-6</v>
      </c>
      <c r="AA238">
        <v>4.9806991366242377E-6</v>
      </c>
    </row>
    <row r="239" spans="1:27">
      <c r="A239" t="s">
        <v>2784</v>
      </c>
      <c r="B239" t="s">
        <v>2785</v>
      </c>
      <c r="C239" t="s">
        <v>2354</v>
      </c>
      <c r="D239" t="s">
        <v>2684</v>
      </c>
      <c r="E239" t="s">
        <v>923</v>
      </c>
      <c r="F239">
        <v>1.0968071743638478E-4</v>
      </c>
      <c r="G239">
        <v>1.153249391241635E-10</v>
      </c>
      <c r="H239">
        <v>1.0968040340270773E-4</v>
      </c>
      <c r="I239">
        <v>1.0968099172516256E-4</v>
      </c>
      <c r="J239">
        <v>1.0968073044093015E-4</v>
      </c>
      <c r="K239">
        <v>1.096805294113059E-4</v>
      </c>
      <c r="L239">
        <v>1.0968089859412887E-4</v>
      </c>
      <c r="P239" t="s">
        <v>2784</v>
      </c>
      <c r="Q239" t="s">
        <v>2785</v>
      </c>
      <c r="R239" t="s">
        <v>2354</v>
      </c>
      <c r="S239" t="s">
        <v>2684</v>
      </c>
      <c r="T239" t="s">
        <v>923</v>
      </c>
      <c r="U239">
        <v>1.096807073184103E-4</v>
      </c>
      <c r="V239">
        <v>1.0675752471561619E-10</v>
      </c>
      <c r="W239">
        <v>1.0968035479348706E-4</v>
      </c>
      <c r="X239">
        <v>1.0968095115979704E-4</v>
      </c>
      <c r="Y239">
        <v>1.096807004932864E-4</v>
      </c>
      <c r="Z239">
        <v>1.096805524907233E-4</v>
      </c>
      <c r="AA239">
        <v>1.0968090933244855E-4</v>
      </c>
    </row>
    <row r="240" spans="1:27">
      <c r="A240" t="s">
        <v>2786</v>
      </c>
      <c r="B240" t="s">
        <v>2787</v>
      </c>
      <c r="C240" t="s">
        <v>2354</v>
      </c>
      <c r="D240" t="s">
        <v>2684</v>
      </c>
      <c r="E240" t="s">
        <v>923</v>
      </c>
      <c r="F240">
        <v>7.3152980337082028E-5</v>
      </c>
      <c r="G240">
        <v>7.6998309447812415E-11</v>
      </c>
      <c r="H240">
        <v>7.315277066810299E-5</v>
      </c>
      <c r="I240">
        <v>7.3153163469822852E-5</v>
      </c>
      <c r="J240">
        <v>7.3152989019748714E-5</v>
      </c>
      <c r="K240">
        <v>7.3152854799506901E-5</v>
      </c>
      <c r="L240">
        <v>7.3153101289584951E-5</v>
      </c>
      <c r="P240" t="s">
        <v>2786</v>
      </c>
      <c r="Q240" t="s">
        <v>2787</v>
      </c>
      <c r="R240" t="s">
        <v>2354</v>
      </c>
      <c r="S240" t="s">
        <v>2684</v>
      </c>
      <c r="T240" t="s">
        <v>923</v>
      </c>
      <c r="U240">
        <v>7.3152973581674759E-5</v>
      </c>
      <c r="V240">
        <v>7.1278155326023648E-11</v>
      </c>
      <c r="W240">
        <v>7.3152738213476588E-5</v>
      </c>
      <c r="X240">
        <v>7.3153136385788902E-5</v>
      </c>
      <c r="Y240">
        <v>7.3152969024785279E-5</v>
      </c>
      <c r="Z240">
        <v>7.3152870208802905E-5</v>
      </c>
      <c r="AA240">
        <v>7.3153108459174349E-5</v>
      </c>
    </row>
    <row r="241" spans="1:27">
      <c r="A241" t="s">
        <v>2788</v>
      </c>
      <c r="B241" t="s">
        <v>2789</v>
      </c>
      <c r="C241" t="s">
        <v>2354</v>
      </c>
      <c r="D241" t="s">
        <v>2684</v>
      </c>
      <c r="E241" t="s">
        <v>923</v>
      </c>
      <c r="F241">
        <v>1.3991615337357479E-4</v>
      </c>
      <c r="G241">
        <v>3.1839707694582969E-10</v>
      </c>
      <c r="H241">
        <v>1.3991528636765572E-4</v>
      </c>
      <c r="I241">
        <v>1.3991691064902398E-4</v>
      </c>
      <c r="J241">
        <v>1.3991618927742405E-4</v>
      </c>
      <c r="K241">
        <v>1.3991563426091826E-4</v>
      </c>
      <c r="L241">
        <v>1.3991665352641787E-4</v>
      </c>
      <c r="P241" t="s">
        <v>2788</v>
      </c>
      <c r="Q241" t="s">
        <v>2789</v>
      </c>
      <c r="R241" t="s">
        <v>2354</v>
      </c>
      <c r="S241" t="s">
        <v>2684</v>
      </c>
      <c r="T241" t="s">
        <v>923</v>
      </c>
      <c r="U241">
        <v>1.3991612543917019E-4</v>
      </c>
      <c r="V241">
        <v>2.9474356604510498E-10</v>
      </c>
      <c r="W241">
        <v>1.3991515216395364E-4</v>
      </c>
      <c r="X241">
        <v>1.3991679865335414E-4</v>
      </c>
      <c r="Y241">
        <v>1.3991610659589565E-4</v>
      </c>
      <c r="Z241">
        <v>1.3991569798017182E-4</v>
      </c>
      <c r="AA241">
        <v>1.3991668317351434E-4</v>
      </c>
    </row>
    <row r="242" spans="1:27">
      <c r="A242" t="s">
        <v>2790</v>
      </c>
      <c r="B242" t="s">
        <v>2791</v>
      </c>
      <c r="C242" t="s">
        <v>2354</v>
      </c>
      <c r="D242" t="s">
        <v>2684</v>
      </c>
      <c r="E242" t="s">
        <v>923</v>
      </c>
      <c r="F242">
        <v>4.4107487600653035E-6</v>
      </c>
      <c r="G242">
        <v>1.2166767946213437E-11</v>
      </c>
      <c r="H242">
        <v>4.4107156295481309E-6</v>
      </c>
      <c r="I242">
        <v>4.4107776975001264E-6</v>
      </c>
      <c r="J242">
        <v>4.4107501320433581E-6</v>
      </c>
      <c r="K242">
        <v>4.4107289234408899E-6</v>
      </c>
      <c r="L242">
        <v>4.4107678721866764E-6</v>
      </c>
      <c r="P242" t="s">
        <v>2790</v>
      </c>
      <c r="Q242" t="s">
        <v>2791</v>
      </c>
      <c r="R242" t="s">
        <v>2354</v>
      </c>
      <c r="S242" t="s">
        <v>2684</v>
      </c>
      <c r="T242" t="s">
        <v>923</v>
      </c>
      <c r="U242">
        <v>4.4107476926201431E-6</v>
      </c>
      <c r="V242">
        <v>1.1262906701621984E-11</v>
      </c>
      <c r="W242">
        <v>4.4107105012808861E-6</v>
      </c>
      <c r="X242">
        <v>4.4107734178586828E-6</v>
      </c>
      <c r="Y242">
        <v>4.4107469725703536E-6</v>
      </c>
      <c r="Z242">
        <v>4.4107313583167984E-6</v>
      </c>
      <c r="AA242">
        <v>4.4107690050781798E-6</v>
      </c>
    </row>
    <row r="243" spans="1:27">
      <c r="A243" t="s">
        <v>2792</v>
      </c>
      <c r="B243" t="s">
        <v>2793</v>
      </c>
      <c r="C243" t="s">
        <v>2354</v>
      </c>
      <c r="D243" t="s">
        <v>2684</v>
      </c>
      <c r="E243" t="s">
        <v>923</v>
      </c>
      <c r="F243">
        <v>6.7694579998206551E-10</v>
      </c>
      <c r="G243">
        <v>7.1291329427132906E-16</v>
      </c>
      <c r="H243">
        <v>6.7694385869525501E-10</v>
      </c>
      <c r="I243">
        <v>6.7694749557468935E-10</v>
      </c>
      <c r="J243">
        <v>6.7694588037329159E-10</v>
      </c>
      <c r="K243">
        <v>6.7694463765256909E-10</v>
      </c>
      <c r="L243">
        <v>6.7694691985921505E-10</v>
      </c>
      <c r="P243" t="s">
        <v>2792</v>
      </c>
      <c r="Q243" t="s">
        <v>2793</v>
      </c>
      <c r="R243" t="s">
        <v>2354</v>
      </c>
      <c r="S243" t="s">
        <v>2684</v>
      </c>
      <c r="T243" t="s">
        <v>923</v>
      </c>
      <c r="U243">
        <v>6.7694573743498237E-10</v>
      </c>
      <c r="V243">
        <v>6.5995143125269972E-16</v>
      </c>
      <c r="W243">
        <v>6.7694355820379237E-10</v>
      </c>
      <c r="X243">
        <v>6.7694724480856203E-10</v>
      </c>
      <c r="Y243">
        <v>6.7694569524357447E-10</v>
      </c>
      <c r="Z243">
        <v>6.7694478032442834E-10</v>
      </c>
      <c r="AA243">
        <v>6.7694698624113481E-10</v>
      </c>
    </row>
    <row r="244" spans="1:27">
      <c r="A244" t="s">
        <v>2794</v>
      </c>
      <c r="B244" t="s">
        <v>2795</v>
      </c>
      <c r="C244" t="s">
        <v>2354</v>
      </c>
      <c r="D244" t="s">
        <v>2684</v>
      </c>
      <c r="E244" t="s">
        <v>923</v>
      </c>
      <c r="F244">
        <v>3.8105526407544232E-10</v>
      </c>
      <c r="G244">
        <v>1.9860211941110957E-16</v>
      </c>
      <c r="H244">
        <v>3.8105472327521039E-10</v>
      </c>
      <c r="I244">
        <v>3.8105573643062428E-10</v>
      </c>
      <c r="J244">
        <v>3.8105528647068749E-10</v>
      </c>
      <c r="K244">
        <v>3.8105494027575562E-10</v>
      </c>
      <c r="L244">
        <v>3.8105557604882987E-10</v>
      </c>
      <c r="P244" t="s">
        <v>2794</v>
      </c>
      <c r="Q244" t="s">
        <v>2795</v>
      </c>
      <c r="R244" t="s">
        <v>2354</v>
      </c>
      <c r="S244" t="s">
        <v>2684</v>
      </c>
      <c r="T244" t="s">
        <v>923</v>
      </c>
      <c r="U244">
        <v>3.8105524665118696E-10</v>
      </c>
      <c r="V244">
        <v>1.8384809766335117E-16</v>
      </c>
      <c r="W244">
        <v>3.8105463956483246E-10</v>
      </c>
      <c r="X244">
        <v>3.8105566657264188E-10</v>
      </c>
      <c r="Y244">
        <v>3.8105523489757958E-10</v>
      </c>
      <c r="Z244">
        <v>3.8105498002102879E-10</v>
      </c>
      <c r="AA244">
        <v>3.8105559454138723E-10</v>
      </c>
    </row>
    <row r="245" spans="1:27">
      <c r="A245" t="s">
        <v>2796</v>
      </c>
      <c r="B245" t="s">
        <v>2797</v>
      </c>
      <c r="C245" t="s">
        <v>2354</v>
      </c>
      <c r="D245" t="s">
        <v>2684</v>
      </c>
      <c r="E245" t="s">
        <v>923</v>
      </c>
      <c r="F245">
        <v>1.472252688937318E-5</v>
      </c>
      <c r="G245">
        <v>1.5205450882768124E-11</v>
      </c>
      <c r="H245">
        <v>1.4722485484420459E-5</v>
      </c>
      <c r="I245">
        <v>1.4722563054009986E-5</v>
      </c>
      <c r="J245">
        <v>1.4722528604006437E-5</v>
      </c>
      <c r="K245">
        <v>1.4722502098498601E-5</v>
      </c>
      <c r="L245">
        <v>1.4722550774798144E-5</v>
      </c>
      <c r="P245" t="s">
        <v>2796</v>
      </c>
      <c r="Q245" t="s">
        <v>2797</v>
      </c>
      <c r="R245" t="s">
        <v>2354</v>
      </c>
      <c r="S245" t="s">
        <v>2684</v>
      </c>
      <c r="T245" t="s">
        <v>923</v>
      </c>
      <c r="U245">
        <v>1.4722525555330726E-5</v>
      </c>
      <c r="V245">
        <v>1.4075847867364171E-11</v>
      </c>
      <c r="W245">
        <v>1.4722479075354712E-5</v>
      </c>
      <c r="X245">
        <v>1.4722557705516611E-5</v>
      </c>
      <c r="Y245">
        <v>1.4722524655446572E-5</v>
      </c>
      <c r="Z245">
        <v>1.4722505141491299E-5</v>
      </c>
      <c r="AA245">
        <v>1.4722552190632336E-5</v>
      </c>
    </row>
    <row r="246" spans="1:27">
      <c r="A246" t="s">
        <v>2798</v>
      </c>
      <c r="B246" t="s">
        <v>2799</v>
      </c>
      <c r="C246" t="s">
        <v>2354</v>
      </c>
      <c r="D246" t="s">
        <v>2684</v>
      </c>
      <c r="E246" t="s">
        <v>923</v>
      </c>
      <c r="F246">
        <v>1.9601072423044647E-9</v>
      </c>
      <c r="G246">
        <v>4.4673550314540292E-14</v>
      </c>
      <c r="H246">
        <v>1.9599855947286731E-9</v>
      </c>
      <c r="I246">
        <v>1.9602134938542789E-9</v>
      </c>
      <c r="J246">
        <v>1.960112279889707E-9</v>
      </c>
      <c r="K246">
        <v>1.9600344068199107E-9</v>
      </c>
      <c r="L246">
        <v>1.9601774175818705E-9</v>
      </c>
      <c r="P246" t="s">
        <v>2798</v>
      </c>
      <c r="Q246" t="s">
        <v>2799</v>
      </c>
      <c r="R246" t="s">
        <v>2354</v>
      </c>
      <c r="S246" t="s">
        <v>2684</v>
      </c>
      <c r="T246" t="s">
        <v>923</v>
      </c>
      <c r="U246">
        <v>1.9601033228933924E-9</v>
      </c>
      <c r="V246">
        <v>4.1354781438082209E-14</v>
      </c>
      <c r="W246">
        <v>1.9599667649206421E-9</v>
      </c>
      <c r="X246">
        <v>1.9601977800033848E-9</v>
      </c>
      <c r="Y246">
        <v>1.9601006790375423E-9</v>
      </c>
      <c r="Z246">
        <v>1.9600433471195739E-9</v>
      </c>
      <c r="AA246">
        <v>1.9601815772967408E-9</v>
      </c>
    </row>
    <row r="247" spans="1:27">
      <c r="A247" t="s">
        <v>2800</v>
      </c>
      <c r="B247" t="s">
        <v>2801</v>
      </c>
      <c r="C247" t="s">
        <v>2354</v>
      </c>
      <c r="D247" t="s">
        <v>2684</v>
      </c>
      <c r="E247" t="s">
        <v>923</v>
      </c>
      <c r="F247">
        <v>9.8541230209895107E-4</v>
      </c>
      <c r="G247">
        <v>2.8081343610713501E-9</v>
      </c>
      <c r="H247">
        <v>9.8540465545490568E-4</v>
      </c>
      <c r="I247">
        <v>9.85418980964317E-4</v>
      </c>
      <c r="J247">
        <v>9.8541261875648416E-4</v>
      </c>
      <c r="K247">
        <v>9.8540772373377928E-4</v>
      </c>
      <c r="L247">
        <v>9.8541671324618284E-4</v>
      </c>
      <c r="P247" t="s">
        <v>2800</v>
      </c>
      <c r="Q247" t="s">
        <v>2801</v>
      </c>
      <c r="R247" t="s">
        <v>2354</v>
      </c>
      <c r="S247" t="s">
        <v>2684</v>
      </c>
      <c r="T247" t="s">
        <v>923</v>
      </c>
      <c r="U247">
        <v>9.8541205572872043E-4</v>
      </c>
      <c r="V247">
        <v>2.599519893368367E-9</v>
      </c>
      <c r="W247">
        <v>9.8540347183214533E-4</v>
      </c>
      <c r="X247">
        <v>9.8541799320748277E-4</v>
      </c>
      <c r="Y247">
        <v>9.8541188953860581E-4</v>
      </c>
      <c r="Z247">
        <v>9.8540828571200799E-4</v>
      </c>
      <c r="AA247">
        <v>9.8541697472166821E-4</v>
      </c>
    </row>
    <row r="248" spans="1:27">
      <c r="A248" t="s">
        <v>2802</v>
      </c>
      <c r="B248" t="s">
        <v>2803</v>
      </c>
      <c r="C248" t="s">
        <v>2354</v>
      </c>
      <c r="D248" t="s">
        <v>2684</v>
      </c>
      <c r="E248" t="s">
        <v>923</v>
      </c>
      <c r="F248">
        <v>2.9524371836332545E-5</v>
      </c>
      <c r="G248">
        <v>6.6529689752576557E-11</v>
      </c>
      <c r="H248">
        <v>2.9524190673756027E-5</v>
      </c>
      <c r="I248">
        <v>2.9524530070513498E-5</v>
      </c>
      <c r="J248">
        <v>2.9524379338511809E-5</v>
      </c>
      <c r="K248">
        <v>2.9524263366731253E-5</v>
      </c>
      <c r="L248">
        <v>2.9524476344243838E-5</v>
      </c>
      <c r="P248" t="s">
        <v>2802</v>
      </c>
      <c r="Q248" t="s">
        <v>2803</v>
      </c>
      <c r="R248" t="s">
        <v>2354</v>
      </c>
      <c r="S248" t="s">
        <v>2684</v>
      </c>
      <c r="T248" t="s">
        <v>923</v>
      </c>
      <c r="U248">
        <v>2.9524365999384256E-5</v>
      </c>
      <c r="V248">
        <v>6.1587242551503663E-11</v>
      </c>
      <c r="W248">
        <v>2.9524162631630934E-5</v>
      </c>
      <c r="X248">
        <v>2.9524506668800015E-5</v>
      </c>
      <c r="Y248">
        <v>2.952436206204531E-5</v>
      </c>
      <c r="Z248">
        <v>2.9524276680993465E-5</v>
      </c>
      <c r="AA248">
        <v>2.9524482539062429E-5</v>
      </c>
    </row>
    <row r="249" spans="1:27">
      <c r="A249" t="s">
        <v>2804</v>
      </c>
      <c r="B249" t="s">
        <v>2805</v>
      </c>
      <c r="C249" t="s">
        <v>2354</v>
      </c>
      <c r="D249" t="s">
        <v>2684</v>
      </c>
      <c r="E249" t="s">
        <v>923</v>
      </c>
      <c r="F249">
        <v>4.8722221936691795E-3</v>
      </c>
      <c r="G249">
        <v>8.6915137623357762E-10</v>
      </c>
      <c r="H249">
        <v>4.8722198269408323E-3</v>
      </c>
      <c r="I249">
        <v>4.8722242608583806E-3</v>
      </c>
      <c r="J249">
        <v>4.8722222916784972E-3</v>
      </c>
      <c r="K249">
        <v>4.8722207766100662E-3</v>
      </c>
      <c r="L249">
        <v>4.8722235589723287E-3</v>
      </c>
      <c r="P249" t="s">
        <v>2804</v>
      </c>
      <c r="Q249" t="s">
        <v>2805</v>
      </c>
      <c r="R249" t="s">
        <v>2354</v>
      </c>
      <c r="S249" t="s">
        <v>2684</v>
      </c>
      <c r="T249" t="s">
        <v>923</v>
      </c>
      <c r="U249">
        <v>4.8722221174146291E-3</v>
      </c>
      <c r="V249">
        <v>8.0458268812091936E-10</v>
      </c>
      <c r="W249">
        <v>4.8722194605953454E-3</v>
      </c>
      <c r="X249">
        <v>4.8722239551357537E-3</v>
      </c>
      <c r="Y249">
        <v>4.8722220659767881E-3</v>
      </c>
      <c r="Z249">
        <v>4.8722209505490909E-3</v>
      </c>
      <c r="AA249">
        <v>4.8722236399021384E-3</v>
      </c>
    </row>
    <row r="250" spans="1:27">
      <c r="A250" t="s">
        <v>2806</v>
      </c>
      <c r="B250" t="s">
        <v>2807</v>
      </c>
      <c r="C250" t="s">
        <v>2354</v>
      </c>
      <c r="D250" t="s">
        <v>2684</v>
      </c>
      <c r="E250" t="s">
        <v>923</v>
      </c>
      <c r="F250">
        <v>3.2067395355378134E-8</v>
      </c>
      <c r="G250">
        <v>1.6712372788954658E-14</v>
      </c>
      <c r="H250">
        <v>3.2067349847026516E-8</v>
      </c>
      <c r="I250">
        <v>3.2067435104077243E-8</v>
      </c>
      <c r="J250">
        <v>3.2067397239938496E-8</v>
      </c>
      <c r="K250">
        <v>3.2067368107627239E-8</v>
      </c>
      <c r="L250">
        <v>3.2067421607945666E-8</v>
      </c>
      <c r="P250" t="s">
        <v>2806</v>
      </c>
      <c r="Q250" t="s">
        <v>2807</v>
      </c>
      <c r="R250" t="s">
        <v>2354</v>
      </c>
      <c r="S250" t="s">
        <v>2684</v>
      </c>
      <c r="T250" t="s">
        <v>923</v>
      </c>
      <c r="U250">
        <v>3.2067393889126661E-8</v>
      </c>
      <c r="V250">
        <v>1.547082152960671E-14</v>
      </c>
      <c r="W250">
        <v>3.2067342802796336E-8</v>
      </c>
      <c r="X250">
        <v>3.2067429225526466E-8</v>
      </c>
      <c r="Y250">
        <v>3.2067392900060324E-8</v>
      </c>
      <c r="Z250">
        <v>3.2067371452192868E-8</v>
      </c>
      <c r="AA250">
        <v>3.2067423164094771E-8</v>
      </c>
    </row>
    <row r="251" spans="1:27">
      <c r="A251" t="s">
        <v>2808</v>
      </c>
      <c r="B251" t="s">
        <v>2809</v>
      </c>
      <c r="C251" t="s">
        <v>2354</v>
      </c>
      <c r="D251" t="s">
        <v>2684</v>
      </c>
      <c r="E251" t="s">
        <v>923</v>
      </c>
      <c r="F251">
        <v>1.8120439183392359E-4</v>
      </c>
      <c r="G251">
        <v>5.0343250282892973E-10</v>
      </c>
      <c r="H251">
        <v>1.8120302097033398E-4</v>
      </c>
      <c r="I251">
        <v>1.812055891975375E-4</v>
      </c>
      <c r="J251">
        <v>1.8120444860317806E-4</v>
      </c>
      <c r="K251">
        <v>1.8120357104063479E-4</v>
      </c>
      <c r="L251">
        <v>1.8120518264896495E-4</v>
      </c>
      <c r="P251" t="s">
        <v>2808</v>
      </c>
      <c r="Q251" t="s">
        <v>2809</v>
      </c>
      <c r="R251" t="s">
        <v>2354</v>
      </c>
      <c r="S251" t="s">
        <v>2684</v>
      </c>
      <c r="T251" t="s">
        <v>923</v>
      </c>
      <c r="U251">
        <v>1.8120434766553064E-4</v>
      </c>
      <c r="V251">
        <v>4.6603283098641803E-10</v>
      </c>
      <c r="W251">
        <v>1.8120280877458687E-4</v>
      </c>
      <c r="X251">
        <v>1.8120541211594831E-4</v>
      </c>
      <c r="Y251">
        <v>1.8120431787154828E-4</v>
      </c>
      <c r="Z251">
        <v>1.8120367179012535E-4</v>
      </c>
      <c r="AA251">
        <v>1.8120522952537514E-4</v>
      </c>
    </row>
    <row r="252" spans="1:27">
      <c r="A252" t="s">
        <v>2810</v>
      </c>
      <c r="B252" t="s">
        <v>2811</v>
      </c>
      <c r="C252" t="s">
        <v>2354</v>
      </c>
      <c r="D252" t="s">
        <v>2684</v>
      </c>
      <c r="E252" t="s">
        <v>923</v>
      </c>
      <c r="F252">
        <v>1.0425146364653632E-2</v>
      </c>
      <c r="G252">
        <v>3.1306729540848189E-9</v>
      </c>
      <c r="H252">
        <v>1.0425137839726184E-2</v>
      </c>
      <c r="I252">
        <v>1.0425153810644631E-2</v>
      </c>
      <c r="J252">
        <v>1.0425146717682033E-2</v>
      </c>
      <c r="K252">
        <v>1.0425141260423505E-2</v>
      </c>
      <c r="L252">
        <v>1.0425151282459393E-2</v>
      </c>
      <c r="P252" t="s">
        <v>2810</v>
      </c>
      <c r="Q252" t="s">
        <v>2811</v>
      </c>
      <c r="R252" t="s">
        <v>2354</v>
      </c>
      <c r="S252" t="s">
        <v>2684</v>
      </c>
      <c r="T252" t="s">
        <v>923</v>
      </c>
      <c r="U252">
        <v>1.0425146089985647E-2</v>
      </c>
      <c r="V252">
        <v>2.8980973051474318E-9</v>
      </c>
      <c r="W252">
        <v>1.0425136520154079E-2</v>
      </c>
      <c r="X252">
        <v>1.0425152709435354E-2</v>
      </c>
      <c r="Y252">
        <v>1.0425145904707155E-2</v>
      </c>
      <c r="Z252">
        <v>1.0425141886949808E-2</v>
      </c>
      <c r="AA252">
        <v>1.0425151573967607E-2</v>
      </c>
    </row>
    <row r="253" spans="1:27">
      <c r="A253" t="s">
        <v>2812</v>
      </c>
      <c r="B253" t="s">
        <v>2813</v>
      </c>
      <c r="C253" t="s">
        <v>2354</v>
      </c>
      <c r="D253" t="s">
        <v>2684</v>
      </c>
      <c r="E253" t="s">
        <v>923</v>
      </c>
      <c r="F253">
        <v>2.1500570271411744E-4</v>
      </c>
      <c r="G253">
        <v>6.1724054134704931E-10</v>
      </c>
      <c r="H253">
        <v>2.1500402194742202E-4</v>
      </c>
      <c r="I253">
        <v>2.1500717075871351E-4</v>
      </c>
      <c r="J253">
        <v>2.1500577231686494E-4</v>
      </c>
      <c r="K253">
        <v>2.150046963688953E-4</v>
      </c>
      <c r="L253">
        <v>2.1500667230408532E-4</v>
      </c>
      <c r="P253" t="s">
        <v>2812</v>
      </c>
      <c r="Q253" t="s">
        <v>2813</v>
      </c>
      <c r="R253" t="s">
        <v>2354</v>
      </c>
      <c r="S253" t="s">
        <v>2684</v>
      </c>
      <c r="T253" t="s">
        <v>923</v>
      </c>
      <c r="U253">
        <v>2.1500564856083442E-4</v>
      </c>
      <c r="V253">
        <v>5.7138614464980711E-10</v>
      </c>
      <c r="W253">
        <v>2.150037617818247E-4</v>
      </c>
      <c r="X253">
        <v>2.1500695364532618E-4</v>
      </c>
      <c r="Y253">
        <v>2.1500561203150099E-4</v>
      </c>
      <c r="Z253">
        <v>2.1500481989423332E-4</v>
      </c>
      <c r="AA253">
        <v>2.1500672977757112E-4</v>
      </c>
    </row>
    <row r="254" spans="1:27">
      <c r="A254" t="s">
        <v>2814</v>
      </c>
      <c r="B254" t="s">
        <v>2815</v>
      </c>
      <c r="C254" t="s">
        <v>2354</v>
      </c>
      <c r="D254" t="s">
        <v>2684</v>
      </c>
      <c r="E254" t="s">
        <v>923</v>
      </c>
      <c r="F254">
        <v>1.9028160667665798E-3</v>
      </c>
      <c r="G254">
        <v>1.6755582254861634E-9</v>
      </c>
      <c r="H254">
        <v>1.9028115041653368E-3</v>
      </c>
      <c r="I254">
        <v>1.9028200519134294E-3</v>
      </c>
      <c r="J254">
        <v>1.9028162557098664E-3</v>
      </c>
      <c r="K254">
        <v>1.902813334946647E-3</v>
      </c>
      <c r="L254">
        <v>1.9028186988108765E-3</v>
      </c>
      <c r="P254" t="s">
        <v>2814</v>
      </c>
      <c r="Q254" t="s">
        <v>2815</v>
      </c>
      <c r="R254" t="s">
        <v>2354</v>
      </c>
      <c r="S254" t="s">
        <v>2684</v>
      </c>
      <c r="T254" t="s">
        <v>923</v>
      </c>
      <c r="U254">
        <v>1.9028159197623381E-3</v>
      </c>
      <c r="V254">
        <v>1.5510820992183038E-9</v>
      </c>
      <c r="W254">
        <v>1.9028107979210489E-3</v>
      </c>
      <c r="X254">
        <v>1.902819462538465E-3</v>
      </c>
      <c r="Y254">
        <v>1.9028158205999831E-3</v>
      </c>
      <c r="Z254">
        <v>1.9028136702679396E-3</v>
      </c>
      <c r="AA254">
        <v>1.9028188548281264E-3</v>
      </c>
    </row>
    <row r="255" spans="1:27">
      <c r="A255" t="s">
        <v>2816</v>
      </c>
      <c r="B255" t="s">
        <v>2817</v>
      </c>
      <c r="C255" t="s">
        <v>2354</v>
      </c>
      <c r="D255" t="s">
        <v>2684</v>
      </c>
      <c r="E255" t="s">
        <v>923</v>
      </c>
      <c r="F255">
        <v>1.8644141436134737E-4</v>
      </c>
      <c r="G255">
        <v>1.7881791717140019E-10</v>
      </c>
      <c r="H255">
        <v>1.8644092743416149E-4</v>
      </c>
      <c r="I255">
        <v>1.8644183966179235E-4</v>
      </c>
      <c r="J255">
        <v>1.8644143452563897E-4</v>
      </c>
      <c r="K255">
        <v>1.8644112281770335E-4</v>
      </c>
      <c r="L255">
        <v>1.8644169525679552E-4</v>
      </c>
      <c r="P255" t="s">
        <v>2816</v>
      </c>
      <c r="Q255" t="s">
        <v>2817</v>
      </c>
      <c r="R255" t="s">
        <v>2354</v>
      </c>
      <c r="S255" t="s">
        <v>2684</v>
      </c>
      <c r="T255" t="s">
        <v>923</v>
      </c>
      <c r="U255">
        <v>1.8644139867284888E-4</v>
      </c>
      <c r="V255">
        <v>1.6553365089055839E-10</v>
      </c>
      <c r="W255">
        <v>1.8644085206278338E-4</v>
      </c>
      <c r="X255">
        <v>1.864417767628719E-4</v>
      </c>
      <c r="Y255">
        <v>1.8644138809010367E-4</v>
      </c>
      <c r="Z255">
        <v>1.8644115860366067E-4</v>
      </c>
      <c r="AA255">
        <v>1.8644171190717465E-4</v>
      </c>
    </row>
    <row r="256" spans="1:27">
      <c r="A256" t="s">
        <v>2818</v>
      </c>
      <c r="B256" t="s">
        <v>2819</v>
      </c>
      <c r="C256" t="s">
        <v>2354</v>
      </c>
      <c r="D256" t="s">
        <v>2684</v>
      </c>
      <c r="E256" t="s">
        <v>923</v>
      </c>
      <c r="F256">
        <v>1.5391467655832266E-4</v>
      </c>
      <c r="G256">
        <v>4.3481197382777007E-10</v>
      </c>
      <c r="H256">
        <v>1.5391349255073497E-4</v>
      </c>
      <c r="I256">
        <v>1.5391571071490462E-4</v>
      </c>
      <c r="J256">
        <v>1.5391472558962569E-4</v>
      </c>
      <c r="K256">
        <v>1.5391396764352676E-4</v>
      </c>
      <c r="L256">
        <v>1.5391535958106584E-4</v>
      </c>
      <c r="P256" t="s">
        <v>2818</v>
      </c>
      <c r="Q256" t="s">
        <v>2819</v>
      </c>
      <c r="R256" t="s">
        <v>2354</v>
      </c>
      <c r="S256" t="s">
        <v>2684</v>
      </c>
      <c r="T256" t="s">
        <v>923</v>
      </c>
      <c r="U256">
        <v>1.5391463841031669E-4</v>
      </c>
      <c r="V256">
        <v>4.0251007626699623E-10</v>
      </c>
      <c r="W256">
        <v>1.5391330927839734E-4</v>
      </c>
      <c r="X256">
        <v>1.5391555777047832E-4</v>
      </c>
      <c r="Y256">
        <v>1.5391461267741271E-4</v>
      </c>
      <c r="Z256">
        <v>1.5391405466032564E-4</v>
      </c>
      <c r="AA256">
        <v>1.5391540006797183E-4</v>
      </c>
    </row>
    <row r="257" spans="1:27">
      <c r="A257" t="s">
        <v>2820</v>
      </c>
      <c r="B257" t="s">
        <v>2821</v>
      </c>
      <c r="C257" t="s">
        <v>2354</v>
      </c>
      <c r="D257" t="s">
        <v>2684</v>
      </c>
      <c r="E257" t="s">
        <v>923</v>
      </c>
      <c r="F257">
        <v>1.3095871694780183E-4</v>
      </c>
      <c r="G257">
        <v>3.4225349993914015E-10</v>
      </c>
      <c r="H257">
        <v>1.3095778498004284E-4</v>
      </c>
      <c r="I257">
        <v>1.3095953096335563E-4</v>
      </c>
      <c r="J257">
        <v>1.3095875554180588E-4</v>
      </c>
      <c r="K257">
        <v>1.3095815893977847E-4</v>
      </c>
      <c r="L257">
        <v>1.3095925457541667E-4</v>
      </c>
      <c r="P257" t="s">
        <v>2820</v>
      </c>
      <c r="Q257" t="s">
        <v>2821</v>
      </c>
      <c r="R257" t="s">
        <v>2354</v>
      </c>
      <c r="S257" t="s">
        <v>2684</v>
      </c>
      <c r="T257" t="s">
        <v>923</v>
      </c>
      <c r="U257">
        <v>1.3095868692036632E-4</v>
      </c>
      <c r="V257">
        <v>3.16827710955218E-10</v>
      </c>
      <c r="W257">
        <v>1.3095764072090839E-4</v>
      </c>
      <c r="X257">
        <v>1.309594105762266E-4</v>
      </c>
      <c r="Y257">
        <v>1.3095866666522839E-4</v>
      </c>
      <c r="Z257">
        <v>1.3095822743330158E-4</v>
      </c>
      <c r="AA257">
        <v>1.3095928644387046E-4</v>
      </c>
    </row>
    <row r="258" spans="1:27">
      <c r="A258" t="s">
        <v>2822</v>
      </c>
      <c r="B258" t="s">
        <v>2823</v>
      </c>
      <c r="C258" t="s">
        <v>2354</v>
      </c>
      <c r="D258" t="s">
        <v>2684</v>
      </c>
      <c r="E258" t="s">
        <v>923</v>
      </c>
      <c r="F258">
        <v>1.2597702510401467E-4</v>
      </c>
      <c r="G258">
        <v>3.5275228067728904E-10</v>
      </c>
      <c r="H258">
        <v>1.2597606454772359E-4</v>
      </c>
      <c r="I258">
        <v>1.2597786408986329E-4</v>
      </c>
      <c r="J258">
        <v>1.2597706488190718E-4</v>
      </c>
      <c r="K258">
        <v>1.2597644997884306E-4</v>
      </c>
      <c r="L258">
        <v>1.2597757922359947E-4</v>
      </c>
      <c r="P258" t="s">
        <v>2822</v>
      </c>
      <c r="Q258" t="s">
        <v>2823</v>
      </c>
      <c r="R258" t="s">
        <v>2354</v>
      </c>
      <c r="S258" t="s">
        <v>2684</v>
      </c>
      <c r="T258" t="s">
        <v>923</v>
      </c>
      <c r="U258">
        <v>1.2597699415547385E-4</v>
      </c>
      <c r="V258">
        <v>3.2654654413088297E-10</v>
      </c>
      <c r="W258">
        <v>1.2597591586337498E-4</v>
      </c>
      <c r="X258">
        <v>1.259777400098047E-4</v>
      </c>
      <c r="Y258">
        <v>1.2597697327900055E-4</v>
      </c>
      <c r="Z258">
        <v>1.2597652057343589E-4</v>
      </c>
      <c r="AA258">
        <v>1.2597761206963246E-4</v>
      </c>
    </row>
    <row r="259" spans="1:27">
      <c r="A259" t="s">
        <v>2824</v>
      </c>
      <c r="B259" t="s">
        <v>2825</v>
      </c>
      <c r="C259" t="s">
        <v>2354</v>
      </c>
      <c r="D259" t="s">
        <v>2684</v>
      </c>
      <c r="E259" t="s">
        <v>923</v>
      </c>
      <c r="F259">
        <v>6.7764125297451556E-5</v>
      </c>
      <c r="G259">
        <v>7.1304958736698228E-11</v>
      </c>
      <c r="H259">
        <v>6.776393113165745E-5</v>
      </c>
      <c r="I259">
        <v>6.776429488912989E-5</v>
      </c>
      <c r="J259">
        <v>6.7764133338111084E-5</v>
      </c>
      <c r="K259">
        <v>6.7764009042280783E-5</v>
      </c>
      <c r="L259">
        <v>6.7764237306576066E-5</v>
      </c>
      <c r="P259" t="s">
        <v>2824</v>
      </c>
      <c r="Q259" t="s">
        <v>2825</v>
      </c>
      <c r="R259" t="s">
        <v>2354</v>
      </c>
      <c r="S259" t="s">
        <v>2684</v>
      </c>
      <c r="T259" t="s">
        <v>923</v>
      </c>
      <c r="U259">
        <v>6.7764119041547504E-5</v>
      </c>
      <c r="V259">
        <v>6.6007759922460916E-11</v>
      </c>
      <c r="W259">
        <v>6.776390107676646E-5</v>
      </c>
      <c r="X259">
        <v>6.7764269807723076E-5</v>
      </c>
      <c r="Y259">
        <v>6.7764114821600101E-5</v>
      </c>
      <c r="Z259">
        <v>6.7764023312194281E-5</v>
      </c>
      <c r="AA259">
        <v>6.7764243946037114E-5</v>
      </c>
    </row>
    <row r="260" spans="1:27">
      <c r="A260" t="s">
        <v>2826</v>
      </c>
      <c r="B260" t="s">
        <v>2827</v>
      </c>
      <c r="C260" t="s">
        <v>2354</v>
      </c>
      <c r="D260" t="s">
        <v>2684</v>
      </c>
      <c r="E260" t="s">
        <v>923</v>
      </c>
      <c r="F260">
        <v>1.1876741181591623E-4</v>
      </c>
      <c r="G260">
        <v>1.2117293271081012E-10</v>
      </c>
      <c r="H260">
        <v>1.1876708185795651E-4</v>
      </c>
      <c r="I260">
        <v>1.1876770001355904E-4</v>
      </c>
      <c r="J260">
        <v>1.1876742547990697E-4</v>
      </c>
      <c r="K260">
        <v>1.187672142563042E-4</v>
      </c>
      <c r="L260">
        <v>1.1876760215995891E-4</v>
      </c>
      <c r="P260" t="s">
        <v>2826</v>
      </c>
      <c r="Q260" t="s">
        <v>2827</v>
      </c>
      <c r="R260" t="s">
        <v>2354</v>
      </c>
      <c r="S260" t="s">
        <v>2684</v>
      </c>
      <c r="T260" t="s">
        <v>923</v>
      </c>
      <c r="U260">
        <v>1.1876740118487099E-4</v>
      </c>
      <c r="V260">
        <v>1.1217107467847366E-10</v>
      </c>
      <c r="W260">
        <v>1.1876703078381878E-4</v>
      </c>
      <c r="X260">
        <v>1.18767657391171E-4</v>
      </c>
      <c r="Y260">
        <v>1.1876739401365304E-4</v>
      </c>
      <c r="Z260">
        <v>1.1876723850605202E-4</v>
      </c>
      <c r="AA260">
        <v>1.1876761344280629E-4</v>
      </c>
    </row>
    <row r="261" spans="1:27">
      <c r="A261" t="s">
        <v>2828</v>
      </c>
      <c r="B261" t="s">
        <v>2829</v>
      </c>
      <c r="C261" t="s">
        <v>2354</v>
      </c>
      <c r="D261" t="s">
        <v>2684</v>
      </c>
      <c r="E261" t="s">
        <v>923</v>
      </c>
      <c r="F261">
        <v>1.1070102837973397E-4</v>
      </c>
      <c r="G261">
        <v>1.1653783478368311E-10</v>
      </c>
      <c r="H261">
        <v>1.1070071104330137E-4</v>
      </c>
      <c r="I261">
        <v>1.1070130555326219E-4</v>
      </c>
      <c r="J261">
        <v>1.1070104152105078E-4</v>
      </c>
      <c r="K261">
        <v>1.1070083837715739E-4</v>
      </c>
      <c r="L261">
        <v>1.1070121144275062E-4</v>
      </c>
      <c r="P261" t="s">
        <v>2828</v>
      </c>
      <c r="Q261" t="s">
        <v>2829</v>
      </c>
      <c r="R261" t="s">
        <v>2354</v>
      </c>
      <c r="S261" t="s">
        <v>2684</v>
      </c>
      <c r="T261" t="s">
        <v>923</v>
      </c>
      <c r="U261">
        <v>1.107010181553467E-4</v>
      </c>
      <c r="V261">
        <v>1.0788031514930185E-10</v>
      </c>
      <c r="W261">
        <v>1.1070066192284772E-4</v>
      </c>
      <c r="X261">
        <v>1.1070126456126253E-4</v>
      </c>
      <c r="Y261">
        <v>1.1070101125844162E-4</v>
      </c>
      <c r="Z261">
        <v>1.1070086169930568E-4</v>
      </c>
      <c r="AA261">
        <v>1.1070122229400736E-4</v>
      </c>
    </row>
    <row r="262" spans="1:27">
      <c r="A262" t="s">
        <v>2830</v>
      </c>
      <c r="B262" t="s">
        <v>2831</v>
      </c>
      <c r="C262" t="s">
        <v>2354</v>
      </c>
      <c r="D262" t="s">
        <v>2684</v>
      </c>
      <c r="E262" t="s">
        <v>923</v>
      </c>
      <c r="F262">
        <v>2.6528905324652744E-6</v>
      </c>
      <c r="G262">
        <v>7.0221180728951332E-12</v>
      </c>
      <c r="H262">
        <v>2.6528714110022503E-6</v>
      </c>
      <c r="I262">
        <v>2.652907233867401E-6</v>
      </c>
      <c r="J262">
        <v>2.6528913243100711E-6</v>
      </c>
      <c r="K262">
        <v>2.6528790836467042E-6</v>
      </c>
      <c r="L262">
        <v>2.652901563132868E-6</v>
      </c>
      <c r="P262" t="s">
        <v>2830</v>
      </c>
      <c r="Q262" t="s">
        <v>2831</v>
      </c>
      <c r="R262" t="s">
        <v>2354</v>
      </c>
      <c r="S262" t="s">
        <v>2684</v>
      </c>
      <c r="T262" t="s">
        <v>923</v>
      </c>
      <c r="U262">
        <v>2.6528899163833395E-6</v>
      </c>
      <c r="V262">
        <v>6.5004495074579246E-12</v>
      </c>
      <c r="W262">
        <v>2.6528684511941684E-6</v>
      </c>
      <c r="X262">
        <v>2.6529047638484395E-6</v>
      </c>
      <c r="Y262">
        <v>2.6528895008025803E-6</v>
      </c>
      <c r="Z262">
        <v>2.6528804889489335E-6</v>
      </c>
      <c r="AA262">
        <v>2.6529022169875261E-6</v>
      </c>
    </row>
    <row r="263" spans="1:27">
      <c r="A263" t="s">
        <v>2832</v>
      </c>
      <c r="B263" t="s">
        <v>2833</v>
      </c>
      <c r="C263" t="s">
        <v>2354</v>
      </c>
      <c r="D263" t="s">
        <v>2684</v>
      </c>
      <c r="E263" t="s">
        <v>923</v>
      </c>
      <c r="F263">
        <v>3.4476378503115249E-4</v>
      </c>
      <c r="G263">
        <v>9.6961518816679456E-10</v>
      </c>
      <c r="H263">
        <v>3.4476114473647559E-4</v>
      </c>
      <c r="I263">
        <v>3.4476609116343296E-4</v>
      </c>
      <c r="J263">
        <v>3.4476389436920884E-4</v>
      </c>
      <c r="K263">
        <v>3.4476220417645063E-4</v>
      </c>
      <c r="L263">
        <v>3.4476530814750043E-4</v>
      </c>
      <c r="P263" t="s">
        <v>2832</v>
      </c>
      <c r="Q263" t="s">
        <v>2833</v>
      </c>
      <c r="R263" t="s">
        <v>2354</v>
      </c>
      <c r="S263" t="s">
        <v>2684</v>
      </c>
      <c r="T263" t="s">
        <v>923</v>
      </c>
      <c r="U263">
        <v>3.4476369996246016E-4</v>
      </c>
      <c r="V263">
        <v>8.9758310909398092E-10</v>
      </c>
      <c r="W263">
        <v>3.4476073604570155E-4</v>
      </c>
      <c r="X263">
        <v>3.4476575010281913E-4</v>
      </c>
      <c r="Y263">
        <v>3.4476364257900242E-4</v>
      </c>
      <c r="Z263">
        <v>3.4476239822080749E-4</v>
      </c>
      <c r="AA263">
        <v>3.4476539843185632E-4</v>
      </c>
    </row>
    <row r="264" spans="1:27">
      <c r="A264" t="s">
        <v>2834</v>
      </c>
      <c r="B264" t="s">
        <v>2835</v>
      </c>
      <c r="C264" t="s">
        <v>2354</v>
      </c>
      <c r="D264" t="s">
        <v>2684</v>
      </c>
      <c r="E264" t="s">
        <v>923</v>
      </c>
      <c r="F264">
        <v>2.3115859325085978E-3</v>
      </c>
      <c r="G264">
        <v>1.8401655473408549E-9</v>
      </c>
      <c r="H264">
        <v>2.3115809216760954E-3</v>
      </c>
      <c r="I264">
        <v>2.3115903091574189E-3</v>
      </c>
      <c r="J264">
        <v>2.3115861400137263E-3</v>
      </c>
      <c r="K264">
        <v>2.3115829323138884E-3</v>
      </c>
      <c r="L264">
        <v>2.311588823125682E-3</v>
      </c>
      <c r="P264" t="s">
        <v>2834</v>
      </c>
      <c r="Q264" t="s">
        <v>2835</v>
      </c>
      <c r="R264" t="s">
        <v>2354</v>
      </c>
      <c r="S264" t="s">
        <v>2684</v>
      </c>
      <c r="T264" t="s">
        <v>923</v>
      </c>
      <c r="U264">
        <v>2.3115857710626145E-3</v>
      </c>
      <c r="V264">
        <v>1.7034608506668665E-9</v>
      </c>
      <c r="W264">
        <v>2.3115801460501656E-3</v>
      </c>
      <c r="X264">
        <v>2.3115896618820884E-3</v>
      </c>
      <c r="Y264">
        <v>2.311585662158523E-3</v>
      </c>
      <c r="Z264">
        <v>2.3115833005772409E-3</v>
      </c>
      <c r="AA264">
        <v>2.3115889944701111E-3</v>
      </c>
    </row>
    <row r="265" spans="1:27">
      <c r="A265" t="s">
        <v>2836</v>
      </c>
      <c r="B265" t="s">
        <v>2837</v>
      </c>
      <c r="C265" t="s">
        <v>2354</v>
      </c>
      <c r="D265" t="s">
        <v>2684</v>
      </c>
      <c r="E265" t="s">
        <v>923</v>
      </c>
      <c r="F265">
        <v>2.9533225516305045E-8</v>
      </c>
      <c r="G265">
        <v>1.4423057578099026E-15</v>
      </c>
      <c r="H265">
        <v>2.9533221588858084E-8</v>
      </c>
      <c r="I265">
        <v>2.9533228946684332E-8</v>
      </c>
      <c r="J265">
        <v>2.953322567894575E-8</v>
      </c>
      <c r="K265">
        <v>2.9533223164778506E-8</v>
      </c>
      <c r="L265">
        <v>2.9533227781945576E-8</v>
      </c>
      <c r="P265" t="s">
        <v>2836</v>
      </c>
      <c r="Q265" t="s">
        <v>2837</v>
      </c>
      <c r="R265" t="s">
        <v>2354</v>
      </c>
      <c r="S265" t="s">
        <v>2684</v>
      </c>
      <c r="T265" t="s">
        <v>923</v>
      </c>
      <c r="U265">
        <v>2.9533225389765072E-8</v>
      </c>
      <c r="V265">
        <v>1.3351578049349261E-15</v>
      </c>
      <c r="W265">
        <v>2.9533220980929223E-8</v>
      </c>
      <c r="X265">
        <v>2.9533228439355553E-8</v>
      </c>
      <c r="Y265">
        <v>2.9533225304406998E-8</v>
      </c>
      <c r="Z265">
        <v>2.953322345342012E-8</v>
      </c>
      <c r="AA265">
        <v>2.9533227916243851E-8</v>
      </c>
    </row>
    <row r="266" spans="1:27">
      <c r="A266" t="s">
        <v>2838</v>
      </c>
      <c r="B266" t="s">
        <v>2839</v>
      </c>
      <c r="C266" t="s">
        <v>2354</v>
      </c>
      <c r="D266" t="s">
        <v>2684</v>
      </c>
      <c r="E266" t="s">
        <v>923</v>
      </c>
      <c r="F266">
        <v>2.3814022673367293E-5</v>
      </c>
      <c r="G266">
        <v>3.503005489285925E-11</v>
      </c>
      <c r="H266">
        <v>2.3813927285352962E-5</v>
      </c>
      <c r="I266">
        <v>2.3814105988832398E-5</v>
      </c>
      <c r="J266">
        <v>2.3814026623509742E-5</v>
      </c>
      <c r="K266">
        <v>2.3813965560578985E-5</v>
      </c>
      <c r="L266">
        <v>2.3814077700196418E-5</v>
      </c>
      <c r="P266" t="s">
        <v>2838</v>
      </c>
      <c r="Q266" t="s">
        <v>2839</v>
      </c>
      <c r="R266" t="s">
        <v>2354</v>
      </c>
      <c r="S266" t="s">
        <v>2684</v>
      </c>
      <c r="T266" t="s">
        <v>923</v>
      </c>
      <c r="U266">
        <v>2.3814019600023359E-5</v>
      </c>
      <c r="V266">
        <v>3.242769499275833E-11</v>
      </c>
      <c r="W266">
        <v>2.3813912520258084E-5</v>
      </c>
      <c r="X266">
        <v>2.3814093667065816E-5</v>
      </c>
      <c r="Y266">
        <v>2.3814017526885785E-5</v>
      </c>
      <c r="Z266">
        <v>2.3813972570972959E-5</v>
      </c>
      <c r="AA266">
        <v>2.3814080961970763E-5</v>
      </c>
    </row>
    <row r="267" spans="1:27">
      <c r="A267" t="s">
        <v>2840</v>
      </c>
      <c r="B267" t="s">
        <v>2841</v>
      </c>
      <c r="C267" t="s">
        <v>2354</v>
      </c>
      <c r="D267" t="s">
        <v>2684</v>
      </c>
      <c r="E267" t="s">
        <v>923</v>
      </c>
      <c r="F267">
        <v>4.0003288326935633E-6</v>
      </c>
      <c r="G267">
        <v>1.9013635111232357E-12</v>
      </c>
      <c r="H267">
        <v>4.0003236552169527E-6</v>
      </c>
      <c r="I267">
        <v>4.0003333548955901E-6</v>
      </c>
      <c r="J267">
        <v>4.0003290470996421E-6</v>
      </c>
      <c r="K267">
        <v>4.0003257327220653E-6</v>
      </c>
      <c r="L267">
        <v>4.0003318194432371E-6</v>
      </c>
      <c r="P267" t="s">
        <v>2840</v>
      </c>
      <c r="Q267" t="s">
        <v>2841</v>
      </c>
      <c r="R267" t="s">
        <v>2354</v>
      </c>
      <c r="S267" t="s">
        <v>2684</v>
      </c>
      <c r="T267" t="s">
        <v>923</v>
      </c>
      <c r="U267">
        <v>4.0003286658784093E-6</v>
      </c>
      <c r="V267">
        <v>1.7601124576532203E-12</v>
      </c>
      <c r="W267">
        <v>4.0003228537962095E-6</v>
      </c>
      <c r="X267">
        <v>4.000332686093973E-6</v>
      </c>
      <c r="Y267">
        <v>4.0003285533525175E-6</v>
      </c>
      <c r="Z267">
        <v>4.0003261132326687E-6</v>
      </c>
      <c r="AA267">
        <v>4.0003319964860284E-6</v>
      </c>
    </row>
    <row r="268" spans="1:27">
      <c r="A268" t="s">
        <v>2842</v>
      </c>
      <c r="B268" t="s">
        <v>2843</v>
      </c>
      <c r="C268" t="s">
        <v>2354</v>
      </c>
      <c r="D268" t="s">
        <v>2684</v>
      </c>
      <c r="E268" t="s">
        <v>923</v>
      </c>
      <c r="F268">
        <v>1.0779913328745408E-6</v>
      </c>
      <c r="G268">
        <v>1.0482469507883802E-12</v>
      </c>
      <c r="H268">
        <v>1.0779884784629368E-6</v>
      </c>
      <c r="I268">
        <v>1.077993826024566E-6</v>
      </c>
      <c r="J268">
        <v>1.0779914510794588E-6</v>
      </c>
      <c r="K268">
        <v>1.0779896238190913E-6</v>
      </c>
      <c r="L268">
        <v>1.0779929795092952E-6</v>
      </c>
      <c r="P268" t="s">
        <v>2842</v>
      </c>
      <c r="Q268" t="s">
        <v>2843</v>
      </c>
      <c r="R268" t="s">
        <v>2354</v>
      </c>
      <c r="S268" t="s">
        <v>2684</v>
      </c>
      <c r="T268" t="s">
        <v>923</v>
      </c>
      <c r="U268">
        <v>1.0779912409071307E-6</v>
      </c>
      <c r="V268">
        <v>9.7037336943433036E-13</v>
      </c>
      <c r="W268">
        <v>1.0779880366290392E-6</v>
      </c>
      <c r="X268">
        <v>1.0779934573053537E-6</v>
      </c>
      <c r="Y268">
        <v>1.077991178870113E-6</v>
      </c>
      <c r="Z268">
        <v>1.0779898335996391E-6</v>
      </c>
      <c r="AA268">
        <v>1.0779930771153372E-6</v>
      </c>
    </row>
    <row r="269" spans="1:27">
      <c r="A269" t="s">
        <v>2844</v>
      </c>
      <c r="B269" t="s">
        <v>2845</v>
      </c>
      <c r="C269" t="s">
        <v>2354</v>
      </c>
      <c r="D269" t="s">
        <v>2684</v>
      </c>
      <c r="E269" t="s">
        <v>923</v>
      </c>
      <c r="F269">
        <v>1.5211552716887975E-12</v>
      </c>
      <c r="G269">
        <v>1.438228332896576E-18</v>
      </c>
      <c r="H269">
        <v>1.5211513553448112E-12</v>
      </c>
      <c r="I269">
        <v>1.5211586923703482E-12</v>
      </c>
      <c r="J269">
        <v>1.5211554338697252E-12</v>
      </c>
      <c r="K269">
        <v>1.5211529268100767E-12</v>
      </c>
      <c r="L269">
        <v>1.5211575309243303E-12</v>
      </c>
      <c r="P269" t="s">
        <v>2844</v>
      </c>
      <c r="Q269" t="s">
        <v>2845</v>
      </c>
      <c r="R269" t="s">
        <v>2354</v>
      </c>
      <c r="S269" t="s">
        <v>2684</v>
      </c>
      <c r="T269" t="s">
        <v>923</v>
      </c>
      <c r="U269">
        <v>1.5211551455065713E-12</v>
      </c>
      <c r="V269">
        <v>1.3313832893577389E-18</v>
      </c>
      <c r="W269">
        <v>1.5211507491345767E-12</v>
      </c>
      <c r="X269">
        <v>1.5211581864757995E-12</v>
      </c>
      <c r="Y269">
        <v>1.5211550603897992E-12</v>
      </c>
      <c r="Z269">
        <v>1.5211532146356958E-12</v>
      </c>
      <c r="AA269">
        <v>1.5211576648429406E-12</v>
      </c>
    </row>
    <row r="270" spans="1:27">
      <c r="A270" t="s">
        <v>2846</v>
      </c>
      <c r="B270" t="s">
        <v>2847</v>
      </c>
      <c r="C270" t="s">
        <v>2354</v>
      </c>
      <c r="D270" t="s">
        <v>2684</v>
      </c>
      <c r="E270" t="s">
        <v>923</v>
      </c>
      <c r="F270">
        <v>2.0957729982716626E-9</v>
      </c>
      <c r="G270">
        <v>2.8988468677551227E-15</v>
      </c>
      <c r="H270">
        <v>2.0957651046144181E-9</v>
      </c>
      <c r="I270">
        <v>2.0957798928876082E-9</v>
      </c>
      <c r="J270">
        <v>2.0957733251583343E-9</v>
      </c>
      <c r="K270">
        <v>2.0957682720093711E-9</v>
      </c>
      <c r="L270">
        <v>2.0957775519142912E-9</v>
      </c>
      <c r="P270" t="s">
        <v>2846</v>
      </c>
      <c r="Q270" t="s">
        <v>2847</v>
      </c>
      <c r="R270" t="s">
        <v>2354</v>
      </c>
      <c r="S270" t="s">
        <v>2684</v>
      </c>
      <c r="T270" t="s">
        <v>923</v>
      </c>
      <c r="U270">
        <v>2.0957727439428158E-9</v>
      </c>
      <c r="V270">
        <v>2.6834934271683553E-15</v>
      </c>
      <c r="W270">
        <v>2.0957638827565258E-9</v>
      </c>
      <c r="X270">
        <v>2.0957788732227926E-9</v>
      </c>
      <c r="Y270">
        <v>2.0957725723841824E-9</v>
      </c>
      <c r="Z270">
        <v>2.0957688521414512E-9</v>
      </c>
      <c r="AA270">
        <v>2.095777821836344E-9</v>
      </c>
    </row>
    <row r="271" spans="1:27">
      <c r="A271" t="s">
        <v>2848</v>
      </c>
      <c r="B271" t="s">
        <v>2849</v>
      </c>
      <c r="C271" t="s">
        <v>2354</v>
      </c>
      <c r="D271" t="s">
        <v>2684</v>
      </c>
      <c r="E271" t="s">
        <v>923</v>
      </c>
      <c r="F271">
        <v>1.4863661091797693E-5</v>
      </c>
      <c r="G271">
        <v>5.0527638995739614E-12</v>
      </c>
      <c r="H271">
        <v>1.4863647332952136E-5</v>
      </c>
      <c r="I271">
        <v>1.4863673109288839E-5</v>
      </c>
      <c r="J271">
        <v>1.4863661661569489E-5</v>
      </c>
      <c r="K271">
        <v>1.4863652853802184E-5</v>
      </c>
      <c r="L271">
        <v>1.4863669028912741E-5</v>
      </c>
      <c r="P271" t="s">
        <v>2848</v>
      </c>
      <c r="Q271" t="s">
        <v>2849</v>
      </c>
      <c r="R271" t="s">
        <v>2354</v>
      </c>
      <c r="S271" t="s">
        <v>2684</v>
      </c>
      <c r="T271" t="s">
        <v>923</v>
      </c>
      <c r="U271">
        <v>1.4863660648496041E-5</v>
      </c>
      <c r="V271">
        <v>4.6773973695047956E-12</v>
      </c>
      <c r="W271">
        <v>1.4863645203222719E-5</v>
      </c>
      <c r="X271">
        <v>1.4863671331987102E-5</v>
      </c>
      <c r="Y271">
        <v>1.4863660349464976E-5</v>
      </c>
      <c r="Z271">
        <v>1.4863653864987172E-5</v>
      </c>
      <c r="AA271">
        <v>1.4863669499393753E-5</v>
      </c>
    </row>
    <row r="272" spans="1:27">
      <c r="A272" t="s">
        <v>2850</v>
      </c>
      <c r="B272" t="s">
        <v>2851</v>
      </c>
      <c r="C272" t="s">
        <v>2354</v>
      </c>
      <c r="D272" t="s">
        <v>2684</v>
      </c>
      <c r="E272" t="s">
        <v>923</v>
      </c>
      <c r="F272">
        <v>2.4273957640571912E-13</v>
      </c>
      <c r="G272">
        <v>1.6773320915855874E-18</v>
      </c>
      <c r="H272">
        <v>2.4273500897417847E-13</v>
      </c>
      <c r="I272">
        <v>2.4274356577153014E-13</v>
      </c>
      <c r="J272">
        <v>2.4273976554903393E-13</v>
      </c>
      <c r="K272">
        <v>2.4273684169368507E-13</v>
      </c>
      <c r="L272">
        <v>2.4274221123648585E-13</v>
      </c>
      <c r="P272" t="s">
        <v>2850</v>
      </c>
      <c r="Q272" t="s">
        <v>2851</v>
      </c>
      <c r="R272" t="s">
        <v>2354</v>
      </c>
      <c r="S272" t="s">
        <v>2684</v>
      </c>
      <c r="T272" t="s">
        <v>923</v>
      </c>
      <c r="U272">
        <v>2.427394292458466E-13</v>
      </c>
      <c r="V272">
        <v>1.5527241859690368E-18</v>
      </c>
      <c r="W272">
        <v>2.4273430198220972E-13</v>
      </c>
      <c r="X272">
        <v>2.4274297577261131E-13</v>
      </c>
      <c r="Y272">
        <v>2.4273932997851203E-13</v>
      </c>
      <c r="Z272">
        <v>2.4273717736997284E-13</v>
      </c>
      <c r="AA272">
        <v>2.4274236741890684E-13</v>
      </c>
    </row>
    <row r="273" spans="1:27">
      <c r="A273" t="s">
        <v>2852</v>
      </c>
      <c r="B273" t="s">
        <v>2853</v>
      </c>
      <c r="C273" t="s">
        <v>2354</v>
      </c>
      <c r="D273" t="s">
        <v>2684</v>
      </c>
      <c r="E273" t="s">
        <v>923</v>
      </c>
      <c r="F273">
        <v>7.5063565694107607E-9</v>
      </c>
      <c r="G273">
        <v>1.484686419742526E-14</v>
      </c>
      <c r="H273">
        <v>7.5063161409016107E-9</v>
      </c>
      <c r="I273">
        <v>7.5063918811851735E-9</v>
      </c>
      <c r="J273">
        <v>7.5063582436082104E-9</v>
      </c>
      <c r="K273">
        <v>7.5063323631737318E-9</v>
      </c>
      <c r="L273">
        <v>7.5063798915511853E-9</v>
      </c>
      <c r="P273" t="s">
        <v>2852</v>
      </c>
      <c r="Q273" t="s">
        <v>2853</v>
      </c>
      <c r="R273" t="s">
        <v>2354</v>
      </c>
      <c r="S273" t="s">
        <v>2684</v>
      </c>
      <c r="T273" t="s">
        <v>923</v>
      </c>
      <c r="U273">
        <v>7.5063552668287293E-9</v>
      </c>
      <c r="V273">
        <v>1.3743900352901661E-14</v>
      </c>
      <c r="W273">
        <v>7.5063098829793997E-9</v>
      </c>
      <c r="X273">
        <v>7.5063866588240993E-9</v>
      </c>
      <c r="Y273">
        <v>7.5063543881663343E-9</v>
      </c>
      <c r="Z273">
        <v>7.5063353344042256E-9</v>
      </c>
      <c r="AA273">
        <v>7.5063812739960855E-9</v>
      </c>
    </row>
    <row r="274" spans="1:27">
      <c r="A274" t="s">
        <v>2854</v>
      </c>
      <c r="B274" t="s">
        <v>2855</v>
      </c>
      <c r="C274" t="s">
        <v>2354</v>
      </c>
      <c r="D274" t="s">
        <v>2684</v>
      </c>
      <c r="E274" t="s">
        <v>923</v>
      </c>
      <c r="F274">
        <v>1.6343979210317929E-13</v>
      </c>
      <c r="G274">
        <v>5.7186235856346014E-20</v>
      </c>
      <c r="H274">
        <v>1.6343963638314113E-13</v>
      </c>
      <c r="I274">
        <v>1.6343992811489419E-13</v>
      </c>
      <c r="J274">
        <v>1.634397985517498E-13</v>
      </c>
      <c r="K274">
        <v>1.6343969886708839E-13</v>
      </c>
      <c r="L274">
        <v>1.6343988193396143E-13</v>
      </c>
      <c r="P274" t="s">
        <v>2854</v>
      </c>
      <c r="Q274" t="s">
        <v>2855</v>
      </c>
      <c r="R274" t="s">
        <v>2354</v>
      </c>
      <c r="S274" t="s">
        <v>2684</v>
      </c>
      <c r="T274" t="s">
        <v>923</v>
      </c>
      <c r="U274">
        <v>1.6343978708597423E-13</v>
      </c>
      <c r="V274">
        <v>5.2937907742479592E-20</v>
      </c>
      <c r="W274">
        <v>1.6343961227926232E-13</v>
      </c>
      <c r="X274">
        <v>1.6343990799972588E-13</v>
      </c>
      <c r="Y274">
        <v>1.6343978370159656E-13</v>
      </c>
      <c r="Z274">
        <v>1.6343971031149078E-13</v>
      </c>
      <c r="AA274">
        <v>1.6343988725877744E-13</v>
      </c>
    </row>
    <row r="275" spans="1:27">
      <c r="A275" t="s">
        <v>2856</v>
      </c>
      <c r="B275" t="s">
        <v>2857</v>
      </c>
      <c r="C275" t="s">
        <v>2354</v>
      </c>
      <c r="D275" t="s">
        <v>2684</v>
      </c>
      <c r="E275" t="s">
        <v>923</v>
      </c>
      <c r="F275">
        <v>2.7011810494631037E-5</v>
      </c>
      <c r="G275">
        <v>4.9193180055012864E-12</v>
      </c>
      <c r="H275">
        <v>2.7011797099163116E-5</v>
      </c>
      <c r="I275">
        <v>2.7011822194734526E-5</v>
      </c>
      <c r="J275">
        <v>2.701181104935488E-5</v>
      </c>
      <c r="K275">
        <v>2.7011802474204894E-5</v>
      </c>
      <c r="L275">
        <v>2.7011818222123098E-5</v>
      </c>
      <c r="P275" t="s">
        <v>2856</v>
      </c>
      <c r="Q275" t="s">
        <v>2857</v>
      </c>
      <c r="R275" t="s">
        <v>2354</v>
      </c>
      <c r="S275" t="s">
        <v>2684</v>
      </c>
      <c r="T275" t="s">
        <v>923</v>
      </c>
      <c r="U275">
        <v>2.7011810063037173E-5</v>
      </c>
      <c r="V275">
        <v>4.5538650838704981E-12</v>
      </c>
      <c r="W275">
        <v>2.7011795025680864E-5</v>
      </c>
      <c r="X275">
        <v>2.7011820464372172E-5</v>
      </c>
      <c r="Y275">
        <v>2.7011809771903668E-5</v>
      </c>
      <c r="Z275">
        <v>2.7011803458684004E-5</v>
      </c>
      <c r="AA275">
        <v>2.7011818680178482E-5</v>
      </c>
    </row>
    <row r="276" spans="1:27">
      <c r="A276" t="s">
        <v>2858</v>
      </c>
      <c r="B276" t="s">
        <v>2859</v>
      </c>
      <c r="C276" t="s">
        <v>2354</v>
      </c>
      <c r="D276" t="s">
        <v>2684</v>
      </c>
      <c r="E276" t="s">
        <v>923</v>
      </c>
      <c r="F276">
        <v>8.9607228853203482E-12</v>
      </c>
      <c r="G276">
        <v>9.3279436536168822E-19</v>
      </c>
      <c r="H276">
        <v>8.9607203452900073E-12</v>
      </c>
      <c r="I276">
        <v>8.9607251038780028E-12</v>
      </c>
      <c r="J276">
        <v>8.9607229905063281E-12</v>
      </c>
      <c r="K276">
        <v>8.9607213644980933E-12</v>
      </c>
      <c r="L276">
        <v>8.9607243505968467E-12</v>
      </c>
      <c r="P276" t="s">
        <v>2858</v>
      </c>
      <c r="Q276" t="s">
        <v>2859</v>
      </c>
      <c r="R276" t="s">
        <v>2354</v>
      </c>
      <c r="S276" t="s">
        <v>2684</v>
      </c>
      <c r="T276" t="s">
        <v>923</v>
      </c>
      <c r="U276">
        <v>8.9607228034821147E-12</v>
      </c>
      <c r="V276">
        <v>8.6349768114471539E-19</v>
      </c>
      <c r="W276">
        <v>8.9607199521191343E-12</v>
      </c>
      <c r="X276">
        <v>8.9607247757690564E-12</v>
      </c>
      <c r="Y276">
        <v>8.9607227482777738E-12</v>
      </c>
      <c r="Z276">
        <v>8.9607215511736775E-12</v>
      </c>
      <c r="AA276">
        <v>8.9607244374526834E-12</v>
      </c>
    </row>
    <row r="277" spans="1:27">
      <c r="A277" t="s">
        <v>2860</v>
      </c>
      <c r="B277" t="s">
        <v>2861</v>
      </c>
      <c r="C277" t="s">
        <v>2354</v>
      </c>
      <c r="D277" t="s">
        <v>2684</v>
      </c>
      <c r="E277" t="s">
        <v>923</v>
      </c>
      <c r="F277">
        <v>7.4159818250265327E-7</v>
      </c>
      <c r="G277">
        <v>2.1227360261334815E-13</v>
      </c>
      <c r="H277">
        <v>7.4159760447451412E-7</v>
      </c>
      <c r="I277">
        <v>7.4159868737408408E-7</v>
      </c>
      <c r="J277">
        <v>7.415982064395547E-7</v>
      </c>
      <c r="K277">
        <v>7.4159783641306357E-7</v>
      </c>
      <c r="L277">
        <v>7.4159851595183849E-7</v>
      </c>
      <c r="P277" t="s">
        <v>2860</v>
      </c>
      <c r="Q277" t="s">
        <v>2861</v>
      </c>
      <c r="R277" t="s">
        <v>2354</v>
      </c>
      <c r="S277" t="s">
        <v>2684</v>
      </c>
      <c r="T277" t="s">
        <v>923</v>
      </c>
      <c r="U277">
        <v>7.4159816387893764E-7</v>
      </c>
      <c r="V277">
        <v>1.965039353084585E-13</v>
      </c>
      <c r="W277">
        <v>7.4159751500163457E-7</v>
      </c>
      <c r="X277">
        <v>7.4159861270717898E-7</v>
      </c>
      <c r="Y277">
        <v>7.4159815131622862E-7</v>
      </c>
      <c r="Z277">
        <v>7.4159787889434392E-7</v>
      </c>
      <c r="AA277">
        <v>7.4159853571739678E-7</v>
      </c>
    </row>
    <row r="278" spans="1:27">
      <c r="A278" t="s">
        <v>2862</v>
      </c>
      <c r="B278" t="s">
        <v>2863</v>
      </c>
      <c r="C278" t="s">
        <v>2354</v>
      </c>
      <c r="D278" t="s">
        <v>2684</v>
      </c>
      <c r="E278" t="s">
        <v>923</v>
      </c>
      <c r="F278">
        <v>1.5337170929471092E-8</v>
      </c>
      <c r="G278">
        <v>1.5190261116284064E-13</v>
      </c>
      <c r="H278">
        <v>1.5336757293566306E-8</v>
      </c>
      <c r="I278">
        <v>1.5337532214565808E-8</v>
      </c>
      <c r="J278">
        <v>1.5337188058674989E-8</v>
      </c>
      <c r="K278">
        <v>1.5336923268378312E-8</v>
      </c>
      <c r="L278">
        <v>1.5337409545112826E-8</v>
      </c>
      <c r="P278" t="s">
        <v>2862</v>
      </c>
      <c r="Q278" t="s">
        <v>2863</v>
      </c>
      <c r="R278" t="s">
        <v>2354</v>
      </c>
      <c r="S278" t="s">
        <v>2684</v>
      </c>
      <c r="T278" t="s">
        <v>923</v>
      </c>
      <c r="U278">
        <v>1.5337157602373242E-8</v>
      </c>
      <c r="V278">
        <v>1.4061786538725365E-13</v>
      </c>
      <c r="W278">
        <v>1.5336693266933376E-8</v>
      </c>
      <c r="X278">
        <v>1.533747878306181E-8</v>
      </c>
      <c r="Y278">
        <v>1.533714861252121E-8</v>
      </c>
      <c r="Z278">
        <v>1.5336953667906756E-8</v>
      </c>
      <c r="AA278">
        <v>1.5337423689311038E-8</v>
      </c>
    </row>
    <row r="279" spans="1:27">
      <c r="A279" t="s">
        <v>2864</v>
      </c>
      <c r="B279" t="s">
        <v>2865</v>
      </c>
      <c r="C279" t="s">
        <v>2354</v>
      </c>
      <c r="D279" t="s">
        <v>2684</v>
      </c>
      <c r="E279" t="s">
        <v>923</v>
      </c>
      <c r="F279">
        <v>2.9974595907822407E-5</v>
      </c>
      <c r="G279">
        <v>3.1618320071521935E-11</v>
      </c>
      <c r="H279">
        <v>2.9974509810076419E-5</v>
      </c>
      <c r="I279">
        <v>2.9974671108819112E-5</v>
      </c>
      <c r="J279">
        <v>2.9974599473242695E-5</v>
      </c>
      <c r="K279">
        <v>2.9974544357505789E-5</v>
      </c>
      <c r="L279">
        <v>2.9974645575340806E-5</v>
      </c>
      <c r="P279" t="s">
        <v>2864</v>
      </c>
      <c r="Q279" t="s">
        <v>2865</v>
      </c>
      <c r="R279" t="s">
        <v>2354</v>
      </c>
      <c r="S279" t="s">
        <v>2684</v>
      </c>
      <c r="T279" t="s">
        <v>923</v>
      </c>
      <c r="U279">
        <v>2.997459313380528E-5</v>
      </c>
      <c r="V279">
        <v>2.92694157231528E-11</v>
      </c>
      <c r="W279">
        <v>2.9974496483020635E-5</v>
      </c>
      <c r="X279">
        <v>2.9974659987124876E-5</v>
      </c>
      <c r="Y279">
        <v>2.9974591262579913E-5</v>
      </c>
      <c r="Z279">
        <v>2.9974550685125919E-5</v>
      </c>
      <c r="AA279">
        <v>2.9974648519436254E-5</v>
      </c>
    </row>
    <row r="280" spans="1:27">
      <c r="A280" t="s">
        <v>2866</v>
      </c>
      <c r="B280" t="s">
        <v>2867</v>
      </c>
      <c r="C280" t="s">
        <v>2354</v>
      </c>
      <c r="D280" t="s">
        <v>2684</v>
      </c>
      <c r="E280" t="s">
        <v>923</v>
      </c>
      <c r="F280">
        <v>3.8062291268922286E-6</v>
      </c>
      <c r="G280">
        <v>3.794543833322092E-12</v>
      </c>
      <c r="H280">
        <v>3.8062187942221067E-6</v>
      </c>
      <c r="I280">
        <v>3.8062381518333911E-6</v>
      </c>
      <c r="J280">
        <v>3.8062295547816144E-6</v>
      </c>
      <c r="K280">
        <v>3.8062229402910556E-6</v>
      </c>
      <c r="L280">
        <v>3.8062350875370451E-6</v>
      </c>
      <c r="P280" t="s">
        <v>2866</v>
      </c>
      <c r="Q280" t="s">
        <v>2867</v>
      </c>
      <c r="R280" t="s">
        <v>2354</v>
      </c>
      <c r="S280" t="s">
        <v>2684</v>
      </c>
      <c r="T280" t="s">
        <v>923</v>
      </c>
      <c r="U280">
        <v>3.8062287939798662E-6</v>
      </c>
      <c r="V280">
        <v>3.5126496501780864E-12</v>
      </c>
      <c r="W280">
        <v>3.8062171948298166E-6</v>
      </c>
      <c r="X280">
        <v>3.80623681710858E-6</v>
      </c>
      <c r="Y280">
        <v>3.8062285694123808E-6</v>
      </c>
      <c r="Z280">
        <v>3.8062236996745997E-6</v>
      </c>
      <c r="AA280">
        <v>3.8062354408606629E-6</v>
      </c>
    </row>
    <row r="281" spans="1:27">
      <c r="A281" t="s">
        <v>2868</v>
      </c>
      <c r="B281" t="s">
        <v>2869</v>
      </c>
      <c r="C281" t="s">
        <v>2354</v>
      </c>
      <c r="D281" t="s">
        <v>2684</v>
      </c>
      <c r="E281" t="s">
        <v>923</v>
      </c>
      <c r="F281">
        <v>8.6735397283633866E-8</v>
      </c>
      <c r="G281">
        <v>1.1030069035246612E-12</v>
      </c>
      <c r="H281">
        <v>8.6732393758842347E-8</v>
      </c>
      <c r="I281">
        <v>8.6738020674703749E-8</v>
      </c>
      <c r="J281">
        <v>8.6735521663524437E-8</v>
      </c>
      <c r="K281">
        <v>8.6733598947891144E-8</v>
      </c>
      <c r="L281">
        <v>8.673712993785298E-8</v>
      </c>
      <c r="P281" t="s">
        <v>2868</v>
      </c>
      <c r="Q281" t="s">
        <v>2869</v>
      </c>
      <c r="R281" t="s">
        <v>2354</v>
      </c>
      <c r="S281" t="s">
        <v>2684</v>
      </c>
      <c r="T281" t="s">
        <v>923</v>
      </c>
      <c r="U281">
        <v>8.673530051188773E-8</v>
      </c>
      <c r="V281">
        <v>1.0210652410384637E-12</v>
      </c>
      <c r="W281">
        <v>8.6731928843739249E-8</v>
      </c>
      <c r="X281">
        <v>8.6737632693764368E-8</v>
      </c>
      <c r="Y281">
        <v>8.6735235234083876E-8</v>
      </c>
      <c r="Z281">
        <v>8.6733819687281203E-8</v>
      </c>
      <c r="AA281">
        <v>8.6737232642791055E-8</v>
      </c>
    </row>
    <row r="282" spans="1:27">
      <c r="A282" t="s">
        <v>2870</v>
      </c>
      <c r="B282" t="s">
        <v>2871</v>
      </c>
      <c r="C282" t="s">
        <v>2354</v>
      </c>
      <c r="D282" t="s">
        <v>2684</v>
      </c>
      <c r="E282" t="s">
        <v>923</v>
      </c>
      <c r="F282">
        <v>3.8948422762308554E-6</v>
      </c>
      <c r="G282">
        <v>8.8628850942341735E-12</v>
      </c>
      <c r="H282">
        <v>3.8948181422974953E-6</v>
      </c>
      <c r="I282">
        <v>3.8948633557123479E-6</v>
      </c>
      <c r="J282">
        <v>3.8948432756486052E-6</v>
      </c>
      <c r="K282">
        <v>3.8948278262369358E-6</v>
      </c>
      <c r="L282">
        <v>3.8948561984603551E-6</v>
      </c>
      <c r="P282" t="s">
        <v>2870</v>
      </c>
      <c r="Q282" t="s">
        <v>2871</v>
      </c>
      <c r="R282" t="s">
        <v>2354</v>
      </c>
      <c r="S282" t="s">
        <v>2684</v>
      </c>
      <c r="T282" t="s">
        <v>923</v>
      </c>
      <c r="U282">
        <v>3.894841498650168E-6</v>
      </c>
      <c r="V282">
        <v>8.2044671489037337E-12</v>
      </c>
      <c r="W282">
        <v>3.8948144066099632E-6</v>
      </c>
      <c r="X282">
        <v>3.8948602382064886E-6</v>
      </c>
      <c r="Y282">
        <v>3.8948409741297199E-6</v>
      </c>
      <c r="Z282">
        <v>3.894829599922888E-6</v>
      </c>
      <c r="AA282">
        <v>3.8948570237154483E-6</v>
      </c>
    </row>
    <row r="283" spans="1:27">
      <c r="A283" t="s">
        <v>2872</v>
      </c>
      <c r="B283" t="s">
        <v>2873</v>
      </c>
      <c r="C283" t="s">
        <v>2354</v>
      </c>
      <c r="D283" t="s">
        <v>2684</v>
      </c>
      <c r="E283" t="s">
        <v>923</v>
      </c>
      <c r="F283">
        <v>3.2826958640349494E-9</v>
      </c>
      <c r="G283">
        <v>4.6702422766685128E-14</v>
      </c>
      <c r="H283">
        <v>3.2825686917714258E-9</v>
      </c>
      <c r="I283">
        <v>3.2828069410539933E-9</v>
      </c>
      <c r="J283">
        <v>3.2827011304047384E-9</v>
      </c>
      <c r="K283">
        <v>3.2826197206890973E-9</v>
      </c>
      <c r="L283">
        <v>3.2827692263589667E-9</v>
      </c>
      <c r="P283" t="s">
        <v>2872</v>
      </c>
      <c r="Q283" t="s">
        <v>2873</v>
      </c>
      <c r="R283" t="s">
        <v>2354</v>
      </c>
      <c r="S283" t="s">
        <v>2684</v>
      </c>
      <c r="T283" t="s">
        <v>923</v>
      </c>
      <c r="U283">
        <v>3.2826917666217909E-9</v>
      </c>
      <c r="V283">
        <v>4.3232930280825166E-14</v>
      </c>
      <c r="W283">
        <v>3.2825490067978994E-9</v>
      </c>
      <c r="X283">
        <v>3.2827905135504134E-9</v>
      </c>
      <c r="Y283">
        <v>3.2826890026938572E-9</v>
      </c>
      <c r="Z283">
        <v>3.2826290670171057E-9</v>
      </c>
      <c r="AA283">
        <v>3.2827735749894453E-9</v>
      </c>
    </row>
    <row r="284" spans="1:27">
      <c r="A284" t="s">
        <v>2874</v>
      </c>
      <c r="B284" t="s">
        <v>2875</v>
      </c>
      <c r="C284" t="s">
        <v>2354</v>
      </c>
      <c r="D284" t="s">
        <v>2684</v>
      </c>
      <c r="E284" t="s">
        <v>923</v>
      </c>
      <c r="F284">
        <v>2.4809565740836905E-4</v>
      </c>
      <c r="G284">
        <v>3.3403479663145168E-9</v>
      </c>
      <c r="H284">
        <v>2.4808656152882643E-4</v>
      </c>
      <c r="I284">
        <v>2.4810360209030817E-4</v>
      </c>
      <c r="J284">
        <v>2.4809603408063936E-4</v>
      </c>
      <c r="K284">
        <v>2.4809021132537378E-4</v>
      </c>
      <c r="L284">
        <v>2.481009045813275E-4</v>
      </c>
      <c r="P284" t="s">
        <v>2874</v>
      </c>
      <c r="Q284" t="s">
        <v>2875</v>
      </c>
      <c r="R284" t="s">
        <v>2354</v>
      </c>
      <c r="S284" t="s">
        <v>2684</v>
      </c>
      <c r="T284" t="s">
        <v>923</v>
      </c>
      <c r="U284">
        <v>2.4809536434464982E-4</v>
      </c>
      <c r="V284">
        <v>3.0921956974872094E-9</v>
      </c>
      <c r="W284">
        <v>2.4808515357914435E-4</v>
      </c>
      <c r="X284">
        <v>2.4810242712817716E-4</v>
      </c>
      <c r="Y284">
        <v>2.4809516665723867E-4</v>
      </c>
      <c r="Z284">
        <v>2.4809087981291482E-4</v>
      </c>
      <c r="AA284">
        <v>2.4810121561313512E-4</v>
      </c>
    </row>
    <row r="285" spans="1:27">
      <c r="A285" t="s">
        <v>2876</v>
      </c>
      <c r="B285" t="s">
        <v>2877</v>
      </c>
      <c r="C285" t="s">
        <v>2354</v>
      </c>
      <c r="D285" t="s">
        <v>2684</v>
      </c>
      <c r="E285" t="s">
        <v>923</v>
      </c>
      <c r="F285">
        <v>7.9014934479089121E-10</v>
      </c>
      <c r="G285">
        <v>6.3588109094328819E-15</v>
      </c>
      <c r="H285">
        <v>7.9013202953551967E-10</v>
      </c>
      <c r="I285">
        <v>7.9016446858359046E-10</v>
      </c>
      <c r="J285">
        <v>7.901500618382665E-10</v>
      </c>
      <c r="K285">
        <v>7.9013897742428347E-10</v>
      </c>
      <c r="L285">
        <v>7.9015933350493776E-10</v>
      </c>
      <c r="P285" t="s">
        <v>2876</v>
      </c>
      <c r="Q285" t="s">
        <v>2877</v>
      </c>
      <c r="R285" t="s">
        <v>2354</v>
      </c>
      <c r="S285" t="s">
        <v>2684</v>
      </c>
      <c r="T285" t="s">
        <v>923</v>
      </c>
      <c r="U285">
        <v>7.9014878690387061E-10</v>
      </c>
      <c r="V285">
        <v>5.8864189999209326E-15</v>
      </c>
      <c r="W285">
        <v>7.9012934931001953E-10</v>
      </c>
      <c r="X285">
        <v>7.9016223188187797E-10</v>
      </c>
      <c r="Y285">
        <v>7.9014841057874514E-10</v>
      </c>
      <c r="Z285">
        <v>7.9014024998208637E-10</v>
      </c>
      <c r="AA285">
        <v>7.9015992559668132E-10</v>
      </c>
    </row>
    <row r="286" spans="1:27">
      <c r="A286" t="s">
        <v>2878</v>
      </c>
      <c r="B286" t="s">
        <v>2879</v>
      </c>
      <c r="C286" t="s">
        <v>2354</v>
      </c>
      <c r="D286" t="s">
        <v>2684</v>
      </c>
      <c r="E286" t="s">
        <v>923</v>
      </c>
      <c r="F286">
        <v>1.1071511574519393E-5</v>
      </c>
      <c r="G286">
        <v>9.2105501919447705E-12</v>
      </c>
      <c r="H286">
        <v>1.1071486493882312E-5</v>
      </c>
      <c r="I286">
        <v>1.1071533480887381E-5</v>
      </c>
      <c r="J286">
        <v>1.1071512613141381E-5</v>
      </c>
      <c r="K286">
        <v>1.1071496557694414E-5</v>
      </c>
      <c r="L286">
        <v>1.1071526042877296E-5</v>
      </c>
      <c r="P286" t="s">
        <v>2878</v>
      </c>
      <c r="Q286" t="s">
        <v>2879</v>
      </c>
      <c r="R286" t="s">
        <v>2354</v>
      </c>
      <c r="S286" t="s">
        <v>2684</v>
      </c>
      <c r="T286" t="s">
        <v>923</v>
      </c>
      <c r="U286">
        <v>1.1071510766436481E-5</v>
      </c>
      <c r="V286">
        <v>8.5263044334786952E-12</v>
      </c>
      <c r="W286">
        <v>1.107148261165467E-5</v>
      </c>
      <c r="X286">
        <v>1.1071530241090872E-5</v>
      </c>
      <c r="Y286">
        <v>1.1071510221340634E-5</v>
      </c>
      <c r="Z286">
        <v>1.1071498400956886E-5</v>
      </c>
      <c r="AA286">
        <v>1.1071526900504736E-5</v>
      </c>
    </row>
    <row r="287" spans="1:27">
      <c r="A287" t="s">
        <v>2880</v>
      </c>
      <c r="B287" t="s">
        <v>2881</v>
      </c>
      <c r="C287" t="s">
        <v>2354</v>
      </c>
      <c r="D287" t="s">
        <v>2684</v>
      </c>
      <c r="E287" t="s">
        <v>923</v>
      </c>
      <c r="F287">
        <v>4.5215007003213177E-8</v>
      </c>
      <c r="G287">
        <v>5.1638099168402184E-13</v>
      </c>
      <c r="H287">
        <v>4.5213600880454176E-8</v>
      </c>
      <c r="I287">
        <v>4.5216235163506566E-8</v>
      </c>
      <c r="J287">
        <v>4.5215065232596004E-8</v>
      </c>
      <c r="K287">
        <v>4.5214165098786984E-8</v>
      </c>
      <c r="L287">
        <v>4.5215818158339284E-8</v>
      </c>
      <c r="P287" t="s">
        <v>2880</v>
      </c>
      <c r="Q287" t="s">
        <v>2881</v>
      </c>
      <c r="R287" t="s">
        <v>2354</v>
      </c>
      <c r="S287" t="s">
        <v>2684</v>
      </c>
      <c r="T287" t="s">
        <v>923</v>
      </c>
      <c r="U287">
        <v>4.5214961698791172E-8</v>
      </c>
      <c r="V287">
        <v>4.7801938506154261E-13</v>
      </c>
      <c r="W287">
        <v>4.5213383226946096E-8</v>
      </c>
      <c r="X287">
        <v>4.5216053527306835E-8</v>
      </c>
      <c r="Y287">
        <v>4.5214931138495518E-8</v>
      </c>
      <c r="Z287">
        <v>4.5214268439595438E-8</v>
      </c>
      <c r="AA287">
        <v>4.5215866240429802E-8</v>
      </c>
    </row>
    <row r="288" spans="1:27">
      <c r="A288" t="s">
        <v>2882</v>
      </c>
      <c r="B288" t="s">
        <v>2883</v>
      </c>
      <c r="C288" t="s">
        <v>2354</v>
      </c>
      <c r="D288" t="s">
        <v>2684</v>
      </c>
      <c r="E288" t="s">
        <v>923</v>
      </c>
      <c r="F288">
        <v>3.8752848603277125E-6</v>
      </c>
      <c r="G288">
        <v>4.0737844366464362E-12</v>
      </c>
      <c r="H288">
        <v>3.8752737672760627E-6</v>
      </c>
      <c r="I288">
        <v>3.8752945494145875E-6</v>
      </c>
      <c r="J288">
        <v>3.8752853197054927E-6</v>
      </c>
      <c r="K288">
        <v>3.8752782184543599E-6</v>
      </c>
      <c r="L288">
        <v>3.8752912596165745E-6</v>
      </c>
      <c r="P288" t="s">
        <v>2882</v>
      </c>
      <c r="Q288" t="s">
        <v>2883</v>
      </c>
      <c r="R288" t="s">
        <v>2354</v>
      </c>
      <c r="S288" t="s">
        <v>2684</v>
      </c>
      <c r="T288" t="s">
        <v>923</v>
      </c>
      <c r="U288">
        <v>3.8752845029163193E-6</v>
      </c>
      <c r="V288">
        <v>3.7711456514521189E-12</v>
      </c>
      <c r="W288">
        <v>3.8752720501844423E-6</v>
      </c>
      <c r="X288">
        <v>3.8752931164673343E-6</v>
      </c>
      <c r="Y288">
        <v>3.8752842618229047E-6</v>
      </c>
      <c r="Z288">
        <v>3.8752790337209636E-6</v>
      </c>
      <c r="AA288">
        <v>3.8752916389412877E-6</v>
      </c>
    </row>
    <row r="289" spans="1:27">
      <c r="A289" t="s">
        <v>2884</v>
      </c>
      <c r="B289" t="s">
        <v>2885</v>
      </c>
      <c r="C289" t="s">
        <v>2354</v>
      </c>
      <c r="D289" t="s">
        <v>2684</v>
      </c>
      <c r="E289" t="s">
        <v>923</v>
      </c>
      <c r="F289">
        <v>9.1042675967865124E-8</v>
      </c>
      <c r="G289">
        <v>1.3896993246780123E-12</v>
      </c>
      <c r="H289">
        <v>9.1038891769995566E-8</v>
      </c>
      <c r="I289">
        <v>9.1045981228046671E-8</v>
      </c>
      <c r="J289">
        <v>9.1042832676449064E-8</v>
      </c>
      <c r="K289">
        <v>9.1040410210543742E-8</v>
      </c>
      <c r="L289">
        <v>9.1044858971788784E-8</v>
      </c>
      <c r="P289" t="s">
        <v>2884</v>
      </c>
      <c r="Q289" t="s">
        <v>2885</v>
      </c>
      <c r="R289" t="s">
        <v>2354</v>
      </c>
      <c r="S289" t="s">
        <v>2684</v>
      </c>
      <c r="T289" t="s">
        <v>923</v>
      </c>
      <c r="U289">
        <v>9.1042554043306148E-8</v>
      </c>
      <c r="V289">
        <v>1.2864594694645718E-12</v>
      </c>
      <c r="W289">
        <v>9.1038306014636514E-8</v>
      </c>
      <c r="X289">
        <v>9.1045492403500123E-8</v>
      </c>
      <c r="Y289">
        <v>9.1042471798562589E-8</v>
      </c>
      <c r="Z289">
        <v>9.1040688324289285E-8</v>
      </c>
      <c r="AA289">
        <v>9.1044988371688845E-8</v>
      </c>
    </row>
    <row r="290" spans="1:27">
      <c r="A290" t="s">
        <v>2886</v>
      </c>
      <c r="B290" t="s">
        <v>2887</v>
      </c>
      <c r="C290" t="s">
        <v>2354</v>
      </c>
      <c r="D290" t="s">
        <v>2684</v>
      </c>
      <c r="E290" t="s">
        <v>923</v>
      </c>
      <c r="F290">
        <v>3.1129179732012306E-9</v>
      </c>
      <c r="G290">
        <v>1.8444454433039489E-15</v>
      </c>
      <c r="H290">
        <v>3.11291295071443E-9</v>
      </c>
      <c r="I290">
        <v>3.1129223600293556E-9</v>
      </c>
      <c r="J290">
        <v>3.1129181811889805E-9</v>
      </c>
      <c r="K290">
        <v>3.1129149660286064E-9</v>
      </c>
      <c r="L290">
        <v>3.1129208705413748E-9</v>
      </c>
      <c r="P290" t="s">
        <v>2886</v>
      </c>
      <c r="Q290" t="s">
        <v>2887</v>
      </c>
      <c r="R290" t="s">
        <v>2354</v>
      </c>
      <c r="S290" t="s">
        <v>2684</v>
      </c>
      <c r="T290" t="s">
        <v>923</v>
      </c>
      <c r="U290">
        <v>3.1129178113797555E-9</v>
      </c>
      <c r="V290">
        <v>1.7074227959087468E-15</v>
      </c>
      <c r="W290">
        <v>3.1129121732845329E-9</v>
      </c>
      <c r="X290">
        <v>3.1129217112485787E-9</v>
      </c>
      <c r="Y290">
        <v>3.1129177022223714E-9</v>
      </c>
      <c r="Z290">
        <v>3.112915335148474E-9</v>
      </c>
      <c r="AA290">
        <v>3.1129210422843206E-9</v>
      </c>
    </row>
    <row r="291" spans="1:27">
      <c r="A291" t="s">
        <v>2888</v>
      </c>
      <c r="B291" t="s">
        <v>2889</v>
      </c>
      <c r="C291" t="s">
        <v>2354</v>
      </c>
      <c r="D291" t="s">
        <v>2684</v>
      </c>
      <c r="E291" t="s">
        <v>923</v>
      </c>
      <c r="F291">
        <v>1.0482187401220307E-9</v>
      </c>
      <c r="G291">
        <v>1.0214138196613314E-16</v>
      </c>
      <c r="H291">
        <v>1.048218461987622E-9</v>
      </c>
      <c r="I291">
        <v>1.0482189830550426E-9</v>
      </c>
      <c r="J291">
        <v>1.0482187516399405E-9</v>
      </c>
      <c r="K291">
        <v>1.0482185735913431E-9</v>
      </c>
      <c r="L291">
        <v>1.0482189005704341E-9</v>
      </c>
      <c r="P291" t="s">
        <v>2888</v>
      </c>
      <c r="Q291" t="s">
        <v>2889</v>
      </c>
      <c r="R291" t="s">
        <v>2354</v>
      </c>
      <c r="S291" t="s">
        <v>2684</v>
      </c>
      <c r="T291" t="s">
        <v>923</v>
      </c>
      <c r="U291">
        <v>1.048218731160709E-9</v>
      </c>
      <c r="V291">
        <v>9.4553365410599082E-17</v>
      </c>
      <c r="W291">
        <v>1.0482184189352431E-9</v>
      </c>
      <c r="X291">
        <v>1.0482189471269726E-9</v>
      </c>
      <c r="Y291">
        <v>1.04821872511581E-9</v>
      </c>
      <c r="Z291">
        <v>1.0482185940323997E-9</v>
      </c>
      <c r="AA291">
        <v>1.0482189100811851E-9</v>
      </c>
    </row>
    <row r="292" spans="1:27">
      <c r="A292" t="s">
        <v>2890</v>
      </c>
      <c r="B292" t="s">
        <v>2891</v>
      </c>
      <c r="C292" t="s">
        <v>2354</v>
      </c>
      <c r="D292" t="s">
        <v>2684</v>
      </c>
      <c r="E292" t="s">
        <v>923</v>
      </c>
      <c r="F292">
        <v>1.8199954886207164E-7</v>
      </c>
      <c r="G292">
        <v>4.0660672080748958E-12</v>
      </c>
      <c r="H292">
        <v>1.8198847682469426E-7</v>
      </c>
      <c r="I292">
        <v>1.8200921959429391E-7</v>
      </c>
      <c r="J292">
        <v>1.8200000736962304E-7</v>
      </c>
      <c r="K292">
        <v>1.8199291957084134E-7</v>
      </c>
      <c r="L292">
        <v>1.8200593602835398E-7</v>
      </c>
      <c r="P292" t="s">
        <v>2890</v>
      </c>
      <c r="Q292" t="s">
        <v>2891</v>
      </c>
      <c r="R292" t="s">
        <v>2354</v>
      </c>
      <c r="S292" t="s">
        <v>2684</v>
      </c>
      <c r="T292" t="s">
        <v>923</v>
      </c>
      <c r="U292">
        <v>1.8199919212774638E-7</v>
      </c>
      <c r="V292">
        <v>3.7640017307468372E-12</v>
      </c>
      <c r="W292">
        <v>1.8198676298586949E-7</v>
      </c>
      <c r="X292">
        <v>1.8200778936156377E-7</v>
      </c>
      <c r="Y292">
        <v>1.8199895149104969E-7</v>
      </c>
      <c r="Z292">
        <v>1.8199373329303348E-7</v>
      </c>
      <c r="AA292">
        <v>1.8200631463448916E-7</v>
      </c>
    </row>
    <row r="293" spans="1:27">
      <c r="A293" t="s">
        <v>2892</v>
      </c>
      <c r="B293" t="s">
        <v>2893</v>
      </c>
      <c r="C293" t="s">
        <v>2354</v>
      </c>
      <c r="D293" t="s">
        <v>2684</v>
      </c>
      <c r="E293" t="s">
        <v>923</v>
      </c>
      <c r="F293">
        <v>1.3391871564387057E-5</v>
      </c>
      <c r="G293">
        <v>6.945156616249812E-12</v>
      </c>
      <c r="H293">
        <v>1.3391852652492661E-5</v>
      </c>
      <c r="I293">
        <v>1.3391888082744094E-5</v>
      </c>
      <c r="J293">
        <v>1.3391872347553344E-5</v>
      </c>
      <c r="K293">
        <v>1.3391860241045978E-5</v>
      </c>
      <c r="L293">
        <v>1.3391882474160039E-5</v>
      </c>
      <c r="P293" t="s">
        <v>2892</v>
      </c>
      <c r="Q293" t="s">
        <v>2893</v>
      </c>
      <c r="R293" t="s">
        <v>2354</v>
      </c>
      <c r="S293" t="s">
        <v>2684</v>
      </c>
      <c r="T293" t="s">
        <v>923</v>
      </c>
      <c r="U293">
        <v>1.3391870955057299E-5</v>
      </c>
      <c r="V293">
        <v>6.4292054671277738E-12</v>
      </c>
      <c r="W293">
        <v>1.3391849725123673E-5</v>
      </c>
      <c r="X293">
        <v>1.3391885639796203E-5</v>
      </c>
      <c r="Y293">
        <v>1.3391870544031247E-5</v>
      </c>
      <c r="Z293">
        <v>1.3391861630946287E-5</v>
      </c>
      <c r="AA293">
        <v>1.3391883120848538E-5</v>
      </c>
    </row>
    <row r="294" spans="1:27">
      <c r="A294" t="s">
        <v>2894</v>
      </c>
      <c r="B294" t="s">
        <v>2895</v>
      </c>
      <c r="C294" t="s">
        <v>2354</v>
      </c>
      <c r="D294" t="s">
        <v>2684</v>
      </c>
      <c r="E294" t="s">
        <v>923</v>
      </c>
      <c r="F294">
        <v>1.728700590148842E-3</v>
      </c>
      <c r="G294">
        <v>2.6186971600250487E-10</v>
      </c>
      <c r="H294">
        <v>1.7286998770688223E-3</v>
      </c>
      <c r="I294">
        <v>1.7287012129796439E-3</v>
      </c>
      <c r="J294">
        <v>1.7287006196784181E-3</v>
      </c>
      <c r="K294">
        <v>1.7287001631980505E-3</v>
      </c>
      <c r="L294">
        <v>1.728701001505894E-3</v>
      </c>
      <c r="P294" t="s">
        <v>2894</v>
      </c>
      <c r="Q294" t="s">
        <v>2895</v>
      </c>
      <c r="R294" t="s">
        <v>2354</v>
      </c>
      <c r="S294" t="s">
        <v>2684</v>
      </c>
      <c r="T294" t="s">
        <v>923</v>
      </c>
      <c r="U294">
        <v>1.7287005671738362E-3</v>
      </c>
      <c r="V294">
        <v>2.4241558582602727E-10</v>
      </c>
      <c r="W294">
        <v>1.7286997666912847E-3</v>
      </c>
      <c r="X294">
        <v>1.728701120867384E-3</v>
      </c>
      <c r="Y294">
        <v>1.7287005516759459E-3</v>
      </c>
      <c r="Z294">
        <v>1.728700215604759E-3</v>
      </c>
      <c r="AA294">
        <v>1.7287010258895245E-3</v>
      </c>
    </row>
    <row r="295" spans="1:27">
      <c r="A295" t="s">
        <v>2896</v>
      </c>
      <c r="B295" t="s">
        <v>2897</v>
      </c>
      <c r="C295" t="s">
        <v>2354</v>
      </c>
      <c r="D295" t="s">
        <v>2684</v>
      </c>
      <c r="E295" t="s">
        <v>923</v>
      </c>
      <c r="F295">
        <v>3.4244080070848936E-6</v>
      </c>
      <c r="G295">
        <v>2.3130280722285802E-12</v>
      </c>
      <c r="H295">
        <v>3.424401708631876E-6</v>
      </c>
      <c r="I295">
        <v>3.4244135083897072E-6</v>
      </c>
      <c r="J295">
        <v>3.4244082679120709E-6</v>
      </c>
      <c r="K295">
        <v>3.424404235938E-6</v>
      </c>
      <c r="L295">
        <v>3.4244116404962839E-6</v>
      </c>
      <c r="P295" t="s">
        <v>2896</v>
      </c>
      <c r="Q295" t="s">
        <v>2897</v>
      </c>
      <c r="R295" t="s">
        <v>2354</v>
      </c>
      <c r="S295" t="s">
        <v>2684</v>
      </c>
      <c r="T295" t="s">
        <v>923</v>
      </c>
      <c r="U295">
        <v>3.4244078041525588E-6</v>
      </c>
      <c r="V295">
        <v>2.14119472741779E-12</v>
      </c>
      <c r="W295">
        <v>3.4244007336953808E-6</v>
      </c>
      <c r="X295">
        <v>3.4244126947857292E-6</v>
      </c>
      <c r="Y295">
        <v>3.4244076672636663E-6</v>
      </c>
      <c r="Z295">
        <v>3.4244046988330231E-6</v>
      </c>
      <c r="AA295">
        <v>3.4244118558706433E-6</v>
      </c>
    </row>
    <row r="296" spans="1:27">
      <c r="A296" t="s">
        <v>2898</v>
      </c>
      <c r="B296" t="s">
        <v>2899</v>
      </c>
      <c r="C296" t="s">
        <v>2354</v>
      </c>
      <c r="D296" t="s">
        <v>2684</v>
      </c>
      <c r="E296" t="s">
        <v>923</v>
      </c>
      <c r="F296">
        <v>6.0500658571172878E-6</v>
      </c>
      <c r="G296">
        <v>4.4674203360393874E-12</v>
      </c>
      <c r="H296">
        <v>6.0500536921818851E-6</v>
      </c>
      <c r="I296">
        <v>6.0500764824275932E-6</v>
      </c>
      <c r="J296">
        <v>6.0500663608831791E-6</v>
      </c>
      <c r="K296">
        <v>6.0500585734623642E-6</v>
      </c>
      <c r="L296">
        <v>6.0500728747476154E-6</v>
      </c>
      <c r="P296" t="s">
        <v>2898</v>
      </c>
      <c r="Q296" t="s">
        <v>2899</v>
      </c>
      <c r="R296" t="s">
        <v>2354</v>
      </c>
      <c r="S296" t="s">
        <v>2684</v>
      </c>
      <c r="T296" t="s">
        <v>923</v>
      </c>
      <c r="U296">
        <v>6.0500654651704547E-6</v>
      </c>
      <c r="V296">
        <v>4.1355385969924024E-12</v>
      </c>
      <c r="W296">
        <v>6.0500518091735561E-6</v>
      </c>
      <c r="X296">
        <v>6.0500749110195326E-6</v>
      </c>
      <c r="Y296">
        <v>6.0500652007810049E-6</v>
      </c>
      <c r="Z296">
        <v>6.0500594675053995E-6</v>
      </c>
      <c r="AA296">
        <v>6.0500732907251832E-6</v>
      </c>
    </row>
    <row r="297" spans="1:27">
      <c r="A297" t="s">
        <v>2900</v>
      </c>
      <c r="B297" t="s">
        <v>2901</v>
      </c>
      <c r="C297" t="s">
        <v>2354</v>
      </c>
      <c r="D297" t="s">
        <v>2684</v>
      </c>
      <c r="E297" t="s">
        <v>923</v>
      </c>
      <c r="F297">
        <v>6.6129344752351139E-6</v>
      </c>
      <c r="G297">
        <v>1.8767111501559384E-11</v>
      </c>
      <c r="H297">
        <v>6.6128833717610758E-6</v>
      </c>
      <c r="I297">
        <v>6.6129791109237621E-6</v>
      </c>
      <c r="J297">
        <v>6.6129365914968256E-6</v>
      </c>
      <c r="K297">
        <v>6.6129038774507386E-6</v>
      </c>
      <c r="L297">
        <v>6.6129639554811772E-6</v>
      </c>
      <c r="P297" t="s">
        <v>2900</v>
      </c>
      <c r="Q297" t="s">
        <v>2901</v>
      </c>
      <c r="R297" t="s">
        <v>2354</v>
      </c>
      <c r="S297" t="s">
        <v>2684</v>
      </c>
      <c r="T297" t="s">
        <v>923</v>
      </c>
      <c r="U297">
        <v>6.6129328287121928E-6</v>
      </c>
      <c r="V297">
        <v>1.7372915044999013E-11</v>
      </c>
      <c r="W297">
        <v>6.6128754614628261E-6</v>
      </c>
      <c r="X297">
        <v>6.612972509621879E-6</v>
      </c>
      <c r="Y297">
        <v>6.6129317180429682E-6</v>
      </c>
      <c r="Z297">
        <v>6.6129076332211991E-6</v>
      </c>
      <c r="AA297">
        <v>6.6129657029543973E-6</v>
      </c>
    </row>
    <row r="298" spans="1:27">
      <c r="A298" t="s">
        <v>2902</v>
      </c>
      <c r="B298" t="s">
        <v>2903</v>
      </c>
      <c r="C298" t="s">
        <v>2354</v>
      </c>
      <c r="D298" t="s">
        <v>2684</v>
      </c>
      <c r="E298" t="s">
        <v>923</v>
      </c>
      <c r="F298">
        <v>4.5471212146335743E-3</v>
      </c>
      <c r="G298">
        <v>7.3742734656146974E-10</v>
      </c>
      <c r="H298">
        <v>4.5471192065941789E-3</v>
      </c>
      <c r="I298">
        <v>4.5471229685304093E-3</v>
      </c>
      <c r="J298">
        <v>4.547121297789114E-3</v>
      </c>
      <c r="K298">
        <v>4.5471200123365172E-3</v>
      </c>
      <c r="L298">
        <v>4.5471223730185317E-3</v>
      </c>
      <c r="P298" t="s">
        <v>2902</v>
      </c>
      <c r="Q298" t="s">
        <v>2903</v>
      </c>
      <c r="R298" t="s">
        <v>2354</v>
      </c>
      <c r="S298" t="s">
        <v>2684</v>
      </c>
      <c r="T298" t="s">
        <v>923</v>
      </c>
      <c r="U298">
        <v>4.5471211499357638E-3</v>
      </c>
      <c r="V298">
        <v>6.8264435059152138E-10</v>
      </c>
      <c r="W298">
        <v>4.5471188957700946E-3</v>
      </c>
      <c r="X298">
        <v>4.5471227091415031E-3</v>
      </c>
      <c r="Y298">
        <v>4.5471211062935741E-3</v>
      </c>
      <c r="Z298">
        <v>4.5471201599142554E-3</v>
      </c>
      <c r="AA298">
        <v>4.5471224416830432E-3</v>
      </c>
    </row>
    <row r="299" spans="1:27">
      <c r="A299" t="s">
        <v>2904</v>
      </c>
      <c r="B299" t="s">
        <v>2905</v>
      </c>
      <c r="C299" t="s">
        <v>2354</v>
      </c>
      <c r="D299" t="s">
        <v>2684</v>
      </c>
      <c r="E299" t="s">
        <v>923</v>
      </c>
      <c r="F299">
        <v>6.1927282624172165E-7</v>
      </c>
      <c r="G299">
        <v>1.0675328870851306E-12</v>
      </c>
      <c r="H299">
        <v>6.1926991931386645E-7</v>
      </c>
      <c r="I299">
        <v>6.1927536526140828E-7</v>
      </c>
      <c r="J299">
        <v>6.1927294662140651E-7</v>
      </c>
      <c r="K299">
        <v>6.1927108574259927E-7</v>
      </c>
      <c r="L299">
        <v>6.1927450317171612E-7</v>
      </c>
      <c r="P299" t="s">
        <v>2904</v>
      </c>
      <c r="Q299" t="s">
        <v>2905</v>
      </c>
      <c r="R299" t="s">
        <v>2354</v>
      </c>
      <c r="S299" t="s">
        <v>2684</v>
      </c>
      <c r="T299" t="s">
        <v>923</v>
      </c>
      <c r="U299">
        <v>6.1927273258226995E-7</v>
      </c>
      <c r="V299">
        <v>9.8822656610533754E-13</v>
      </c>
      <c r="W299">
        <v>6.192694693509871E-7</v>
      </c>
      <c r="X299">
        <v>6.1927498975839821E-7</v>
      </c>
      <c r="Y299">
        <v>6.1927266940387813E-7</v>
      </c>
      <c r="Z299">
        <v>6.1927129938274752E-7</v>
      </c>
      <c r="AA299">
        <v>6.1927460257354097E-7</v>
      </c>
    </row>
    <row r="300" spans="1:27">
      <c r="A300" t="s">
        <v>2906</v>
      </c>
      <c r="B300" t="s">
        <v>2907</v>
      </c>
      <c r="C300" t="s">
        <v>2354</v>
      </c>
      <c r="D300" t="s">
        <v>2684</v>
      </c>
      <c r="E300" t="s">
        <v>923</v>
      </c>
      <c r="F300">
        <v>1.4504514951991629E-8</v>
      </c>
      <c r="G300">
        <v>6.0265351201066828E-15</v>
      </c>
      <c r="H300">
        <v>1.450449854153438E-8</v>
      </c>
      <c r="I300">
        <v>1.4504529285499761E-8</v>
      </c>
      <c r="J300">
        <v>1.4504515631570135E-8</v>
      </c>
      <c r="K300">
        <v>1.4504505126365452E-8</v>
      </c>
      <c r="L300">
        <v>1.4504524418751513E-8</v>
      </c>
      <c r="P300" t="s">
        <v>2906</v>
      </c>
      <c r="Q300" t="s">
        <v>2907</v>
      </c>
      <c r="R300" t="s">
        <v>2354</v>
      </c>
      <c r="S300" t="s">
        <v>2684</v>
      </c>
      <c r="T300" t="s">
        <v>923</v>
      </c>
      <c r="U300">
        <v>1.4504514423256653E-8</v>
      </c>
      <c r="V300">
        <v>5.57882776198976E-15</v>
      </c>
      <c r="W300">
        <v>1.4504496001362431E-8</v>
      </c>
      <c r="X300">
        <v>1.4504527165675533E-8</v>
      </c>
      <c r="Y300">
        <v>1.4504514066596174E-8</v>
      </c>
      <c r="Z300">
        <v>1.4504506332426522E-8</v>
      </c>
      <c r="AA300">
        <v>1.4504524979903866E-8</v>
      </c>
    </row>
    <row r="301" spans="1:27">
      <c r="A301" t="s">
        <v>2908</v>
      </c>
      <c r="B301" t="s">
        <v>2909</v>
      </c>
      <c r="C301" t="s">
        <v>2354</v>
      </c>
      <c r="D301" t="s">
        <v>2684</v>
      </c>
      <c r="E301" t="s">
        <v>923</v>
      </c>
      <c r="F301">
        <v>2.405310805449364E-10</v>
      </c>
      <c r="G301">
        <v>3.4639301263596383E-15</v>
      </c>
      <c r="H301">
        <v>2.405216481470273E-10</v>
      </c>
      <c r="I301">
        <v>2.4053931915462348E-10</v>
      </c>
      <c r="J301">
        <v>2.4053147115287257E-10</v>
      </c>
      <c r="K301">
        <v>2.4052543297433955E-10</v>
      </c>
      <c r="L301">
        <v>2.4053652184646321E-10</v>
      </c>
      <c r="P301" t="s">
        <v>2908</v>
      </c>
      <c r="Q301" t="s">
        <v>2909</v>
      </c>
      <c r="R301" t="s">
        <v>2354</v>
      </c>
      <c r="S301" t="s">
        <v>2684</v>
      </c>
      <c r="T301" t="s">
        <v>923</v>
      </c>
      <c r="U301">
        <v>2.4053077663879977E-10</v>
      </c>
      <c r="V301">
        <v>3.2065970195766722E-15</v>
      </c>
      <c r="W301">
        <v>2.4052018810772321E-10</v>
      </c>
      <c r="X301">
        <v>2.4053810072266251E-10</v>
      </c>
      <c r="Y301">
        <v>2.4053057163758843E-10</v>
      </c>
      <c r="Z301">
        <v>2.4052612619377538E-10</v>
      </c>
      <c r="AA301">
        <v>2.4053684438545008E-10</v>
      </c>
    </row>
    <row r="302" spans="1:27">
      <c r="A302" t="s">
        <v>2910</v>
      </c>
      <c r="B302" t="s">
        <v>2911</v>
      </c>
      <c r="C302" t="s">
        <v>2354</v>
      </c>
      <c r="D302" t="s">
        <v>2684</v>
      </c>
      <c r="E302" t="s">
        <v>923</v>
      </c>
      <c r="F302">
        <v>1.6061259967691352E-8</v>
      </c>
      <c r="G302">
        <v>1.5571810828081985E-15</v>
      </c>
      <c r="H302">
        <v>1.6061255727435031E-8</v>
      </c>
      <c r="I302">
        <v>1.6061263671290057E-8</v>
      </c>
      <c r="J302">
        <v>1.6061260143285907E-8</v>
      </c>
      <c r="K302">
        <v>1.6061257428872786E-8</v>
      </c>
      <c r="L302">
        <v>1.6061262413783355E-8</v>
      </c>
      <c r="P302" t="s">
        <v>2910</v>
      </c>
      <c r="Q302" t="s">
        <v>2911</v>
      </c>
      <c r="R302" t="s">
        <v>2354</v>
      </c>
      <c r="S302" t="s">
        <v>2684</v>
      </c>
      <c r="T302" t="s">
        <v>923</v>
      </c>
      <c r="U302">
        <v>1.6061259831072862E-8</v>
      </c>
      <c r="V302">
        <v>1.4414991172959854E-15</v>
      </c>
      <c r="W302">
        <v>1.6061255071086462E-8</v>
      </c>
      <c r="X302">
        <v>1.6061263123554067E-8</v>
      </c>
      <c r="Y302">
        <v>1.6061259738916266E-8</v>
      </c>
      <c r="Z302">
        <v>1.6061257740503837E-8</v>
      </c>
      <c r="AA302">
        <v>1.6061262558778085E-8</v>
      </c>
    </row>
    <row r="303" spans="1:27">
      <c r="A303" t="s">
        <v>2912</v>
      </c>
      <c r="B303" t="s">
        <v>2913</v>
      </c>
      <c r="C303" t="s">
        <v>2354</v>
      </c>
      <c r="D303" t="s">
        <v>2684</v>
      </c>
      <c r="E303" t="s">
        <v>923</v>
      </c>
      <c r="F303">
        <v>2.4418781696297332E-7</v>
      </c>
      <c r="G303">
        <v>5.7507752109979151E-13</v>
      </c>
      <c r="H303">
        <v>2.4418625100759611E-7</v>
      </c>
      <c r="I303">
        <v>2.4418918472706303E-7</v>
      </c>
      <c r="J303">
        <v>2.4418788181123395E-7</v>
      </c>
      <c r="K303">
        <v>2.4418687936008278E-7</v>
      </c>
      <c r="L303">
        <v>2.4418872032132045E-7</v>
      </c>
      <c r="P303" t="s">
        <v>2912</v>
      </c>
      <c r="Q303" t="s">
        <v>2913</v>
      </c>
      <c r="R303" t="s">
        <v>2354</v>
      </c>
      <c r="S303" t="s">
        <v>2684</v>
      </c>
      <c r="T303" t="s">
        <v>923</v>
      </c>
      <c r="U303">
        <v>2.4418776650884135E-7</v>
      </c>
      <c r="V303">
        <v>5.3235538764321426E-13</v>
      </c>
      <c r="W303">
        <v>2.4418600861362364E-7</v>
      </c>
      <c r="X303">
        <v>2.4418898244445161E-7</v>
      </c>
      <c r="Y303">
        <v>2.4418773247478637E-7</v>
      </c>
      <c r="Z303">
        <v>2.4418699444754126E-7</v>
      </c>
      <c r="AA303">
        <v>2.4418877386885587E-7</v>
      </c>
    </row>
    <row r="304" spans="1:27">
      <c r="A304" t="s">
        <v>2914</v>
      </c>
      <c r="B304" t="s">
        <v>2915</v>
      </c>
      <c r="C304" t="s">
        <v>2354</v>
      </c>
      <c r="D304" t="s">
        <v>2684</v>
      </c>
      <c r="E304" t="s">
        <v>923</v>
      </c>
      <c r="F304">
        <v>1.1468482360659803E-12</v>
      </c>
      <c r="G304">
        <v>7.2786820613792833E-20</v>
      </c>
      <c r="H304">
        <v>1.1468480378650259E-12</v>
      </c>
      <c r="I304">
        <v>1.1468484091821176E-12</v>
      </c>
      <c r="J304">
        <v>1.1468482442737405E-12</v>
      </c>
      <c r="K304">
        <v>1.1468481173947904E-12</v>
      </c>
      <c r="L304">
        <v>1.1468483504028813E-12</v>
      </c>
      <c r="P304" t="s">
        <v>2914</v>
      </c>
      <c r="Q304" t="s">
        <v>2915</v>
      </c>
      <c r="R304" t="s">
        <v>2354</v>
      </c>
      <c r="S304" t="s">
        <v>2684</v>
      </c>
      <c r="T304" t="s">
        <v>923</v>
      </c>
      <c r="U304">
        <v>1.1468482296800654E-12</v>
      </c>
      <c r="V304">
        <v>6.7379535245077661E-20</v>
      </c>
      <c r="W304">
        <v>1.1468480071855334E-12</v>
      </c>
      <c r="X304">
        <v>1.1468483835794682E-12</v>
      </c>
      <c r="Y304">
        <v>1.1468482253724188E-12</v>
      </c>
      <c r="Z304">
        <v>1.1468481319612615E-12</v>
      </c>
      <c r="AA304">
        <v>1.1468483571803239E-12</v>
      </c>
    </row>
    <row r="305" spans="1:27">
      <c r="A305" t="s">
        <v>2916</v>
      </c>
      <c r="B305" t="s">
        <v>2917</v>
      </c>
      <c r="C305" t="s">
        <v>2354</v>
      </c>
      <c r="D305" t="s">
        <v>2684</v>
      </c>
      <c r="E305" t="s">
        <v>923</v>
      </c>
      <c r="F305">
        <v>5.9990564804417649E-7</v>
      </c>
      <c r="G305">
        <v>1.3332405658082178E-12</v>
      </c>
      <c r="H305">
        <v>5.9990201758540065E-7</v>
      </c>
      <c r="I305">
        <v>5.9990881902287389E-7</v>
      </c>
      <c r="J305">
        <v>5.9990579838622323E-7</v>
      </c>
      <c r="K305">
        <v>5.9990347433687185E-7</v>
      </c>
      <c r="L305">
        <v>5.9990774236007232E-7</v>
      </c>
      <c r="P305" t="s">
        <v>2916</v>
      </c>
      <c r="Q305" t="s">
        <v>2917</v>
      </c>
      <c r="R305" t="s">
        <v>2354</v>
      </c>
      <c r="S305" t="s">
        <v>2684</v>
      </c>
      <c r="T305" t="s">
        <v>923</v>
      </c>
      <c r="U305">
        <v>5.9990553107299732E-7</v>
      </c>
      <c r="V305">
        <v>1.234194994912581E-12</v>
      </c>
      <c r="W305">
        <v>5.9990145562729053E-7</v>
      </c>
      <c r="X305">
        <v>5.9990835005760679E-7</v>
      </c>
      <c r="Y305">
        <v>5.9990545216957848E-7</v>
      </c>
      <c r="Z305">
        <v>5.9990374115180131E-7</v>
      </c>
      <c r="AA305">
        <v>5.9990786650289438E-7</v>
      </c>
    </row>
    <row r="306" spans="1:27">
      <c r="A306" t="s">
        <v>2918</v>
      </c>
      <c r="B306" t="s">
        <v>2919</v>
      </c>
      <c r="C306" t="s">
        <v>2354</v>
      </c>
      <c r="D306" t="s">
        <v>2684</v>
      </c>
      <c r="E306" t="s">
        <v>923</v>
      </c>
      <c r="F306">
        <v>3.9999844418803321E-5</v>
      </c>
      <c r="G306">
        <v>1.0292942291342902E-9</v>
      </c>
      <c r="H306">
        <v>3.9997041616096403E-5</v>
      </c>
      <c r="I306">
        <v>4.0002292491685183E-5</v>
      </c>
      <c r="J306">
        <v>3.999996048652983E-5</v>
      </c>
      <c r="K306">
        <v>3.9998166263756349E-5</v>
      </c>
      <c r="L306">
        <v>4.0001461281746929E-5</v>
      </c>
      <c r="P306" t="s">
        <v>2918</v>
      </c>
      <c r="Q306" t="s">
        <v>2919</v>
      </c>
      <c r="R306" t="s">
        <v>2354</v>
      </c>
      <c r="S306" t="s">
        <v>2684</v>
      </c>
      <c r="T306" t="s">
        <v>923</v>
      </c>
      <c r="U306">
        <v>3.9999754114200977E-5</v>
      </c>
      <c r="V306">
        <v>9.5282863308622018E-10</v>
      </c>
      <c r="W306">
        <v>3.9996607770731415E-5</v>
      </c>
      <c r="X306">
        <v>4.0001930439062797E-5</v>
      </c>
      <c r="Y306">
        <v>3.999969319883718E-5</v>
      </c>
      <c r="Z306">
        <v>3.999837225138852E-5</v>
      </c>
      <c r="AA306">
        <v>4.00015571230329E-5</v>
      </c>
    </row>
    <row r="307" spans="1:27">
      <c r="A307" t="s">
        <v>2920</v>
      </c>
      <c r="B307" t="s">
        <v>2921</v>
      </c>
      <c r="C307" t="s">
        <v>2354</v>
      </c>
      <c r="D307" t="s">
        <v>2684</v>
      </c>
      <c r="E307" t="s">
        <v>923</v>
      </c>
      <c r="F307">
        <v>3.351599678906426E-5</v>
      </c>
      <c r="G307">
        <v>2.9008718743305114E-9</v>
      </c>
      <c r="H307">
        <v>3.3508097617659532E-5</v>
      </c>
      <c r="I307">
        <v>3.3522896221285148E-5</v>
      </c>
      <c r="J307">
        <v>3.3516323904085196E-5</v>
      </c>
      <c r="K307">
        <v>3.35112672252148E-5</v>
      </c>
      <c r="L307">
        <v>3.3520553612667229E-5</v>
      </c>
      <c r="P307" t="s">
        <v>2920</v>
      </c>
      <c r="Q307" t="s">
        <v>2921</v>
      </c>
      <c r="R307" t="s">
        <v>2354</v>
      </c>
      <c r="S307" t="s">
        <v>2684</v>
      </c>
      <c r="T307" t="s">
        <v>923</v>
      </c>
      <c r="U307">
        <v>3.3515742282555151E-5</v>
      </c>
      <c r="V307">
        <v>2.6853679973540076E-9</v>
      </c>
      <c r="W307">
        <v>3.3506874906231157E-5</v>
      </c>
      <c r="X307">
        <v>3.3521875844176678E-5</v>
      </c>
      <c r="Y307">
        <v>3.3515570604078236E-5</v>
      </c>
      <c r="Z307">
        <v>3.3511847762549734E-5</v>
      </c>
      <c r="AA307">
        <v>3.3520823723276028E-5</v>
      </c>
    </row>
    <row r="308" spans="1:27">
      <c r="A308" t="s">
        <v>2922</v>
      </c>
      <c r="B308" t="s">
        <v>2923</v>
      </c>
      <c r="C308" t="s">
        <v>2354</v>
      </c>
      <c r="D308" t="s">
        <v>2684</v>
      </c>
      <c r="E308" t="s">
        <v>923</v>
      </c>
      <c r="F308">
        <v>6.4410050523409618E-2</v>
      </c>
      <c r="G308">
        <v>1.6863845167952948E-7</v>
      </c>
      <c r="H308">
        <v>6.4409591315249801E-2</v>
      </c>
      <c r="I308">
        <v>6.4410451613019087E-2</v>
      </c>
      <c r="J308">
        <v>6.4410069539820203E-2</v>
      </c>
      <c r="K308">
        <v>6.4409775576304312E-2</v>
      </c>
      <c r="L308">
        <v>6.4410315428483078E-2</v>
      </c>
      <c r="P308" t="s">
        <v>2922</v>
      </c>
      <c r="Q308" t="s">
        <v>2923</v>
      </c>
      <c r="R308" t="s">
        <v>2354</v>
      </c>
      <c r="S308" t="s">
        <v>2684</v>
      </c>
      <c r="T308" t="s">
        <v>923</v>
      </c>
      <c r="U308">
        <v>6.4410035728001386E-2</v>
      </c>
      <c r="V308">
        <v>1.5611041124192335E-7</v>
      </c>
      <c r="W308">
        <v>6.4409520234495102E-2</v>
      </c>
      <c r="X308">
        <v>6.4410392294709573E-2</v>
      </c>
      <c r="Y308">
        <v>6.4410025747694138E-2</v>
      </c>
      <c r="Z308">
        <v>6.4409809325094866E-2</v>
      </c>
      <c r="AA308">
        <v>6.4410331131015561E-2</v>
      </c>
    </row>
    <row r="309" spans="1:27">
      <c r="A309" t="s">
        <v>2924</v>
      </c>
      <c r="B309" t="s">
        <v>2925</v>
      </c>
      <c r="C309" t="s">
        <v>2354</v>
      </c>
      <c r="D309" t="s">
        <v>2684</v>
      </c>
      <c r="E309" t="s">
        <v>923</v>
      </c>
      <c r="F309">
        <v>1.06028502791435E-2</v>
      </c>
      <c r="G309">
        <v>1.0840219730070787E-8</v>
      </c>
      <c r="H309">
        <v>1.0602820760861612E-2</v>
      </c>
      <c r="I309">
        <v>1.0602876061516707E-2</v>
      </c>
      <c r="J309">
        <v>1.0602851501534168E-2</v>
      </c>
      <c r="K309">
        <v>1.0602832605315226E-2</v>
      </c>
      <c r="L309">
        <v>1.0602867307461631E-2</v>
      </c>
      <c r="P309" t="s">
        <v>2924</v>
      </c>
      <c r="Q309" t="s">
        <v>2925</v>
      </c>
      <c r="R309" t="s">
        <v>2354</v>
      </c>
      <c r="S309" t="s">
        <v>2684</v>
      </c>
      <c r="T309" t="s">
        <v>923</v>
      </c>
      <c r="U309">
        <v>1.060284932808237E-2</v>
      </c>
      <c r="V309">
        <v>1.0034906886086778E-8</v>
      </c>
      <c r="W309">
        <v>1.0602816191731666E-2</v>
      </c>
      <c r="X309">
        <v>1.0602872248486508E-2</v>
      </c>
      <c r="Y309">
        <v>1.0602848686539936E-2</v>
      </c>
      <c r="Z309">
        <v>1.0602834774715512E-2</v>
      </c>
      <c r="AA309">
        <v>1.060286831683346E-2</v>
      </c>
    </row>
    <row r="310" spans="1:27">
      <c r="A310" t="s">
        <v>2926</v>
      </c>
      <c r="B310" t="s">
        <v>2927</v>
      </c>
      <c r="C310" t="s">
        <v>2354</v>
      </c>
      <c r="D310" t="s">
        <v>2684</v>
      </c>
      <c r="E310" t="s">
        <v>923</v>
      </c>
      <c r="F310">
        <v>6.6036696479202526E-3</v>
      </c>
      <c r="G310">
        <v>1.7518576468535802E-8</v>
      </c>
      <c r="H310">
        <v>6.6036219442489824E-3</v>
      </c>
      <c r="I310">
        <v>6.6037113140938004E-3</v>
      </c>
      <c r="J310">
        <v>6.6036716233916831E-3</v>
      </c>
      <c r="K310">
        <v>6.6036410857397958E-3</v>
      </c>
      <c r="L310">
        <v>6.6036971669097859E-3</v>
      </c>
      <c r="P310" t="s">
        <v>2926</v>
      </c>
      <c r="Q310" t="s">
        <v>2927</v>
      </c>
      <c r="R310" t="s">
        <v>2354</v>
      </c>
      <c r="S310" t="s">
        <v>2684</v>
      </c>
      <c r="T310" t="s">
        <v>923</v>
      </c>
      <c r="U310">
        <v>6.6036681109369142E-3</v>
      </c>
      <c r="V310">
        <v>1.6217132863972545E-8</v>
      </c>
      <c r="W310">
        <v>6.6036145602056387E-3</v>
      </c>
      <c r="X310">
        <v>6.6037051519621448E-3</v>
      </c>
      <c r="Y310">
        <v>6.6036670741580908E-3</v>
      </c>
      <c r="Z310">
        <v>6.6036445916470314E-3</v>
      </c>
      <c r="AA310">
        <v>6.603698798127419E-3</v>
      </c>
    </row>
    <row r="311" spans="1:27">
      <c r="A311" t="s">
        <v>2928</v>
      </c>
      <c r="B311" t="s">
        <v>2929</v>
      </c>
      <c r="C311" t="s">
        <v>2354</v>
      </c>
      <c r="D311" t="s">
        <v>2684</v>
      </c>
      <c r="E311" t="s">
        <v>923</v>
      </c>
      <c r="F311">
        <v>1.8089492939676679E-3</v>
      </c>
      <c r="G311">
        <v>1.8608931696433704E-9</v>
      </c>
      <c r="H311">
        <v>1.8089442266931547E-3</v>
      </c>
      <c r="I311">
        <v>1.8089537199150547E-3</v>
      </c>
      <c r="J311">
        <v>1.8089495038101334E-3</v>
      </c>
      <c r="K311">
        <v>1.8089462599787686E-3</v>
      </c>
      <c r="L311">
        <v>1.8089522171446585E-3</v>
      </c>
      <c r="P311" t="s">
        <v>2928</v>
      </c>
      <c r="Q311" t="s">
        <v>2929</v>
      </c>
      <c r="R311" t="s">
        <v>2354</v>
      </c>
      <c r="S311" t="s">
        <v>2684</v>
      </c>
      <c r="T311" t="s">
        <v>923</v>
      </c>
      <c r="U311">
        <v>1.8089491307031573E-3</v>
      </c>
      <c r="V311">
        <v>1.7226486314069386E-9</v>
      </c>
      <c r="W311">
        <v>1.8089434423305755E-3</v>
      </c>
      <c r="X311">
        <v>1.8089530653488163E-3</v>
      </c>
      <c r="Y311">
        <v>1.8089490205723693E-3</v>
      </c>
      <c r="Z311">
        <v>1.8089466323902394E-3</v>
      </c>
      <c r="AA311">
        <v>1.8089523904191115E-3</v>
      </c>
    </row>
    <row r="312" spans="1:27">
      <c r="A312" t="s">
        <v>2930</v>
      </c>
      <c r="B312" t="s">
        <v>2931</v>
      </c>
      <c r="C312" t="s">
        <v>2354</v>
      </c>
      <c r="D312" t="s">
        <v>2684</v>
      </c>
      <c r="E312" t="s">
        <v>923</v>
      </c>
      <c r="F312">
        <v>6.8084608879468485E-3</v>
      </c>
      <c r="G312">
        <v>1.9102978640129564E-8</v>
      </c>
      <c r="H312">
        <v>6.8084088698953287E-3</v>
      </c>
      <c r="I312">
        <v>6.8085063224617333E-3</v>
      </c>
      <c r="J312">
        <v>6.8084630420824103E-3</v>
      </c>
      <c r="K312">
        <v>6.8084297425667351E-3</v>
      </c>
      <c r="L312">
        <v>6.8084908957885366E-3</v>
      </c>
      <c r="P312" t="s">
        <v>2930</v>
      </c>
      <c r="Q312" t="s">
        <v>2931</v>
      </c>
      <c r="R312" t="s">
        <v>2354</v>
      </c>
      <c r="S312" t="s">
        <v>2684</v>
      </c>
      <c r="T312" t="s">
        <v>923</v>
      </c>
      <c r="U312">
        <v>6.8084592119567987E-3</v>
      </c>
      <c r="V312">
        <v>1.7683830833136922E-8</v>
      </c>
      <c r="W312">
        <v>6.808400818029782E-3</v>
      </c>
      <c r="X312">
        <v>6.8084996030191129E-3</v>
      </c>
      <c r="Y312">
        <v>6.8084580814103896E-3</v>
      </c>
      <c r="Z312">
        <v>6.8084335655526473E-3</v>
      </c>
      <c r="AA312">
        <v>6.8084926745355526E-3</v>
      </c>
    </row>
    <row r="313" spans="1:27">
      <c r="A313" t="s">
        <v>2932</v>
      </c>
      <c r="B313" t="s">
        <v>2933</v>
      </c>
      <c r="C313" t="s">
        <v>2354</v>
      </c>
      <c r="D313" t="s">
        <v>2684</v>
      </c>
      <c r="E313" t="s">
        <v>923</v>
      </c>
      <c r="F313">
        <v>3.2067339871948215E-2</v>
      </c>
      <c r="G313">
        <v>3.3378492596024945E-8</v>
      </c>
      <c r="H313">
        <v>3.2067248981193404E-2</v>
      </c>
      <c r="I313">
        <v>3.206741925933837E-2</v>
      </c>
      <c r="J313">
        <v>3.2067343635853257E-2</v>
      </c>
      <c r="K313">
        <v>3.2067285451857018E-2</v>
      </c>
      <c r="L313">
        <v>3.2067392304426949E-2</v>
      </c>
      <c r="P313" t="s">
        <v>2932</v>
      </c>
      <c r="Q313" t="s">
        <v>2933</v>
      </c>
      <c r="R313" t="s">
        <v>2354</v>
      </c>
      <c r="S313" t="s">
        <v>2684</v>
      </c>
      <c r="T313" t="s">
        <v>923</v>
      </c>
      <c r="U313">
        <v>3.2067336943503229E-2</v>
      </c>
      <c r="V313">
        <v>3.0898826180589636E-8</v>
      </c>
      <c r="W313">
        <v>3.2067234912228577E-2</v>
      </c>
      <c r="X313">
        <v>3.2067407518506223E-2</v>
      </c>
      <c r="Y313">
        <v>3.2067334968107909E-2</v>
      </c>
      <c r="Z313">
        <v>3.2067292131731887E-2</v>
      </c>
      <c r="AA313">
        <v>3.206739541241839E-2</v>
      </c>
    </row>
    <row r="314" spans="1:27">
      <c r="A314" t="s">
        <v>2934</v>
      </c>
      <c r="B314" t="s">
        <v>2935</v>
      </c>
      <c r="C314" t="s">
        <v>2354</v>
      </c>
      <c r="D314" t="s">
        <v>2684</v>
      </c>
      <c r="E314" t="s">
        <v>923</v>
      </c>
      <c r="F314">
        <v>3.5287137940257347E-2</v>
      </c>
      <c r="G314">
        <v>3.9967419547211336E-8</v>
      </c>
      <c r="H314">
        <v>3.5287029107633476E-2</v>
      </c>
      <c r="I314">
        <v>3.5287232998748093E-2</v>
      </c>
      <c r="J314">
        <v>3.5287142447158672E-2</v>
      </c>
      <c r="K314">
        <v>3.5287072777619763E-2</v>
      </c>
      <c r="L314">
        <v>3.5287200722927056E-2</v>
      </c>
      <c r="P314" t="s">
        <v>2934</v>
      </c>
      <c r="Q314" t="s">
        <v>2935</v>
      </c>
      <c r="R314" t="s">
        <v>2354</v>
      </c>
      <c r="S314" t="s">
        <v>2684</v>
      </c>
      <c r="T314" t="s">
        <v>923</v>
      </c>
      <c r="U314">
        <v>3.5287134433736246E-2</v>
      </c>
      <c r="V314">
        <v>3.6998266051348835E-8</v>
      </c>
      <c r="W314">
        <v>3.5287012261449723E-2</v>
      </c>
      <c r="X314">
        <v>3.5287218940271273E-2</v>
      </c>
      <c r="Y314">
        <v>3.5287132068397134E-2</v>
      </c>
      <c r="Z314">
        <v>3.5287080776104429E-2</v>
      </c>
      <c r="AA314">
        <v>3.528720444443717E-2</v>
      </c>
    </row>
    <row r="315" spans="1:27">
      <c r="A315" t="s">
        <v>2936</v>
      </c>
      <c r="B315" t="s">
        <v>2937</v>
      </c>
      <c r="C315" t="s">
        <v>2354</v>
      </c>
      <c r="D315" t="s">
        <v>2684</v>
      </c>
      <c r="E315" t="s">
        <v>923</v>
      </c>
      <c r="F315">
        <v>0.17379278551101898</v>
      </c>
      <c r="G315">
        <v>3.5608714007546223E-7</v>
      </c>
      <c r="H315">
        <v>0.17379181587379391</v>
      </c>
      <c r="I315">
        <v>0.17379363242849555</v>
      </c>
      <c r="J315">
        <v>0.17379282566496487</v>
      </c>
      <c r="K315">
        <v>0.17379220494871292</v>
      </c>
      <c r="L315">
        <v>0.17379334486915504</v>
      </c>
      <c r="P315" t="s">
        <v>2936</v>
      </c>
      <c r="Q315" t="s">
        <v>2937</v>
      </c>
      <c r="R315" t="s">
        <v>2354</v>
      </c>
      <c r="S315" t="s">
        <v>2684</v>
      </c>
      <c r="T315" t="s">
        <v>923</v>
      </c>
      <c r="U315">
        <v>0.17379275426989596</v>
      </c>
      <c r="V315">
        <v>3.2963365900267658E-7</v>
      </c>
      <c r="W315">
        <v>0.17379166578380906</v>
      </c>
      <c r="X315">
        <v>0.17379350717540543</v>
      </c>
      <c r="Y315">
        <v>0.17379273319606009</v>
      </c>
      <c r="Z315">
        <v>0.17379227621069493</v>
      </c>
      <c r="AA315">
        <v>0.17379337802570877</v>
      </c>
    </row>
    <row r="316" spans="1:27">
      <c r="A316" t="s">
        <v>2938</v>
      </c>
      <c r="B316" t="s">
        <v>2939</v>
      </c>
      <c r="C316" t="s">
        <v>2354</v>
      </c>
      <c r="D316" t="s">
        <v>2684</v>
      </c>
      <c r="E316" t="s">
        <v>923</v>
      </c>
      <c r="F316">
        <v>1.1137689260357566E-2</v>
      </c>
      <c r="G316">
        <v>1.1696636590696712E-8</v>
      </c>
      <c r="H316">
        <v>1.1137657410023842E-2</v>
      </c>
      <c r="I316">
        <v>1.1137717079632207E-2</v>
      </c>
      <c r="J316">
        <v>1.113769057932155E-2</v>
      </c>
      <c r="K316">
        <v>1.1137670190232454E-2</v>
      </c>
      <c r="L316">
        <v>1.113770763397488E-2</v>
      </c>
      <c r="P316" t="s">
        <v>2938</v>
      </c>
      <c r="Q316" t="s">
        <v>2939</v>
      </c>
      <c r="R316" t="s">
        <v>2354</v>
      </c>
      <c r="S316" t="s">
        <v>2684</v>
      </c>
      <c r="T316" t="s">
        <v>923</v>
      </c>
      <c r="U316">
        <v>1.1137688234159141E-2</v>
      </c>
      <c r="V316">
        <v>1.0827701097540402E-8</v>
      </c>
      <c r="W316">
        <v>1.113765247991598E-2</v>
      </c>
      <c r="X316">
        <v>1.1137712965358726E-2</v>
      </c>
      <c r="Y316">
        <v>1.1137687541932515E-2</v>
      </c>
      <c r="Z316">
        <v>1.1137672531023268E-2</v>
      </c>
      <c r="AA316">
        <v>1.1137708723090761E-2</v>
      </c>
    </row>
    <row r="317" spans="1:27">
      <c r="A317" t="s">
        <v>2940</v>
      </c>
      <c r="B317" t="s">
        <v>2941</v>
      </c>
      <c r="C317" t="s">
        <v>2354</v>
      </c>
      <c r="D317" t="s">
        <v>2684</v>
      </c>
      <c r="E317" t="s">
        <v>923</v>
      </c>
      <c r="F317">
        <v>0.42093769125493324</v>
      </c>
      <c r="G317">
        <v>4.2837747083059072E-7</v>
      </c>
      <c r="H317">
        <v>0.42093652476871296</v>
      </c>
      <c r="I317">
        <v>0.4209387101076964</v>
      </c>
      <c r="J317">
        <v>0.42093773956065345</v>
      </c>
      <c r="K317">
        <v>0.42093699283091179</v>
      </c>
      <c r="L317">
        <v>0.42093836417006164</v>
      </c>
      <c r="P317" t="s">
        <v>2940</v>
      </c>
      <c r="Q317" t="s">
        <v>2941</v>
      </c>
      <c r="R317" t="s">
        <v>2354</v>
      </c>
      <c r="S317" t="s">
        <v>2684</v>
      </c>
      <c r="T317" t="s">
        <v>923</v>
      </c>
      <c r="U317">
        <v>0.42093765367145514</v>
      </c>
      <c r="V317">
        <v>3.9655358829820095E-7</v>
      </c>
      <c r="W317">
        <v>0.42093634420850484</v>
      </c>
      <c r="X317">
        <v>0.42093855942659636</v>
      </c>
      <c r="Y317">
        <v>0.42093762831935577</v>
      </c>
      <c r="Z317">
        <v>0.42093707856000495</v>
      </c>
      <c r="AA317">
        <v>0.42093840405782801</v>
      </c>
    </row>
    <row r="318" spans="1:27">
      <c r="A318" t="s">
        <v>2942</v>
      </c>
      <c r="B318" t="s">
        <v>2943</v>
      </c>
      <c r="C318" t="s">
        <v>2354</v>
      </c>
      <c r="D318" t="s">
        <v>2684</v>
      </c>
      <c r="E318" t="s">
        <v>923</v>
      </c>
      <c r="F318">
        <v>2.3732624481259523E-3</v>
      </c>
      <c r="G318">
        <v>6.6093644570010939E-9</v>
      </c>
      <c r="H318">
        <v>2.3732444506048677E-3</v>
      </c>
      <c r="I318">
        <v>2.3732781678350847E-3</v>
      </c>
      <c r="J318">
        <v>2.3732631934268436E-3</v>
      </c>
      <c r="K318">
        <v>2.373251672258366E-3</v>
      </c>
      <c r="L318">
        <v>2.3732728304210909E-3</v>
      </c>
      <c r="P318" t="s">
        <v>2942</v>
      </c>
      <c r="Q318" t="s">
        <v>2943</v>
      </c>
      <c r="R318" t="s">
        <v>2354</v>
      </c>
      <c r="S318" t="s">
        <v>2684</v>
      </c>
      <c r="T318" t="s">
        <v>923</v>
      </c>
      <c r="U318">
        <v>2.3732618682567449E-3</v>
      </c>
      <c r="V318">
        <v>6.1183590880840655E-9</v>
      </c>
      <c r="W318">
        <v>2.3732416647715714E-3</v>
      </c>
      <c r="X318">
        <v>2.3732758430015568E-3</v>
      </c>
      <c r="Y318">
        <v>2.373261477103439E-3</v>
      </c>
      <c r="Z318">
        <v>2.373252994958228E-3</v>
      </c>
      <c r="AA318">
        <v>2.3732734458427763E-3</v>
      </c>
    </row>
    <row r="319" spans="1:27">
      <c r="A319" t="s">
        <v>2944</v>
      </c>
      <c r="B319" t="s">
        <v>2945</v>
      </c>
      <c r="C319" t="s">
        <v>2354</v>
      </c>
      <c r="D319" t="s">
        <v>2684</v>
      </c>
      <c r="E319" t="s">
        <v>923</v>
      </c>
      <c r="F319">
        <v>3.4543665834361061E-2</v>
      </c>
      <c r="G319">
        <v>7.8570110252293856E-8</v>
      </c>
      <c r="H319">
        <v>3.4543451885315733E-2</v>
      </c>
      <c r="I319">
        <v>3.454385270547216E-2</v>
      </c>
      <c r="J319">
        <v>3.4543674694270915E-2</v>
      </c>
      <c r="K319">
        <v>3.4543537734131491E-2</v>
      </c>
      <c r="L319">
        <v>3.4543789255921345E-2</v>
      </c>
      <c r="P319" t="s">
        <v>2944</v>
      </c>
      <c r="Q319" t="s">
        <v>2945</v>
      </c>
      <c r="R319" t="s">
        <v>2354</v>
      </c>
      <c r="S319" t="s">
        <v>2684</v>
      </c>
      <c r="T319" t="s">
        <v>923</v>
      </c>
      <c r="U319">
        <v>3.4543658941052657E-2</v>
      </c>
      <c r="V319">
        <v>7.2733188075865287E-8</v>
      </c>
      <c r="W319">
        <v>3.4543418768178576E-2</v>
      </c>
      <c r="X319">
        <v>3.4543825068559748E-2</v>
      </c>
      <c r="Y319">
        <v>3.4543654291141382E-2</v>
      </c>
      <c r="Z319">
        <v>3.4543553457984308E-2</v>
      </c>
      <c r="AA319">
        <v>3.4543796571866771E-2</v>
      </c>
    </row>
    <row r="320" spans="1:27">
      <c r="A320" t="s">
        <v>2946</v>
      </c>
      <c r="B320" t="s">
        <v>2947</v>
      </c>
      <c r="C320" t="s">
        <v>2354</v>
      </c>
      <c r="D320" t="s">
        <v>2684</v>
      </c>
      <c r="E320" t="s">
        <v>923</v>
      </c>
      <c r="F320">
        <v>2.3555786452902975E-5</v>
      </c>
      <c r="G320">
        <v>6.5886100946487214E-11</v>
      </c>
      <c r="H320">
        <v>2.3555607042840376E-5</v>
      </c>
      <c r="I320">
        <v>2.3555943156372647E-5</v>
      </c>
      <c r="J320">
        <v>2.3555793882508357E-5</v>
      </c>
      <c r="K320">
        <v>2.3555679032604969E-5</v>
      </c>
      <c r="L320">
        <v>2.3555889949835245E-5</v>
      </c>
      <c r="P320" t="s">
        <v>2946</v>
      </c>
      <c r="Q320" t="s">
        <v>2947</v>
      </c>
      <c r="R320" t="s">
        <v>2354</v>
      </c>
      <c r="S320" t="s">
        <v>2684</v>
      </c>
      <c r="T320" t="s">
        <v>923</v>
      </c>
      <c r="U320">
        <v>2.3555780672419634E-5</v>
      </c>
      <c r="V320">
        <v>6.0991465537588338E-11</v>
      </c>
      <c r="W320">
        <v>2.3555579271986617E-5</v>
      </c>
      <c r="X320">
        <v>2.355591998104051E-5</v>
      </c>
      <c r="Y320">
        <v>2.3555776773169357E-5</v>
      </c>
      <c r="Z320">
        <v>2.3555692218068897E-5</v>
      </c>
      <c r="AA320">
        <v>2.3555896084726962E-5</v>
      </c>
    </row>
    <row r="321" spans="1:27">
      <c r="A321" t="s">
        <v>2948</v>
      </c>
      <c r="B321" t="s">
        <v>2949</v>
      </c>
      <c r="C321" t="s">
        <v>2354</v>
      </c>
      <c r="D321" t="s">
        <v>2684</v>
      </c>
      <c r="E321" t="s">
        <v>923</v>
      </c>
      <c r="F321">
        <v>3.7282234650450478E-5</v>
      </c>
      <c r="G321">
        <v>1.2581449256774044E-10</v>
      </c>
      <c r="H321">
        <v>3.72818920533676E-5</v>
      </c>
      <c r="I321">
        <v>3.7282533887576943E-5</v>
      </c>
      <c r="J321">
        <v>3.7282248837843851E-5</v>
      </c>
      <c r="K321">
        <v>3.7282029523267504E-5</v>
      </c>
      <c r="L321">
        <v>3.7282432285669893E-5</v>
      </c>
      <c r="P321" t="s">
        <v>2948</v>
      </c>
      <c r="Q321" t="s">
        <v>2949</v>
      </c>
      <c r="R321" t="s">
        <v>2354</v>
      </c>
      <c r="S321" t="s">
        <v>2684</v>
      </c>
      <c r="T321" t="s">
        <v>923</v>
      </c>
      <c r="U321">
        <v>3.7282223612180394E-5</v>
      </c>
      <c r="V321">
        <v>1.1646781608499931E-10</v>
      </c>
      <c r="W321">
        <v>3.7281839022822096E-5</v>
      </c>
      <c r="X321">
        <v>3.7282489632527529E-5</v>
      </c>
      <c r="Y321">
        <v>3.728221616626709E-5</v>
      </c>
      <c r="Z321">
        <v>3.7282054701908056E-5</v>
      </c>
      <c r="AA321">
        <v>3.7282444000709591E-5</v>
      </c>
    </row>
    <row r="322" spans="1:27">
      <c r="A322" t="s">
        <v>2950</v>
      </c>
      <c r="B322" t="s">
        <v>2951</v>
      </c>
      <c r="C322" t="s">
        <v>2354</v>
      </c>
      <c r="D322" t="s">
        <v>2684</v>
      </c>
      <c r="E322" t="s">
        <v>923</v>
      </c>
      <c r="F322">
        <v>9.0622443543205963E-2</v>
      </c>
      <c r="G322">
        <v>1.0275143566165229E-7</v>
      </c>
      <c r="H322">
        <v>9.0622163747600501E-2</v>
      </c>
      <c r="I322">
        <v>9.0622687927169335E-2</v>
      </c>
      <c r="J322">
        <v>9.0622455129907964E-2</v>
      </c>
      <c r="K322">
        <v>9.0622276017890566E-2</v>
      </c>
      <c r="L322">
        <v>9.0622604949909702E-2</v>
      </c>
      <c r="P322" t="s">
        <v>2950</v>
      </c>
      <c r="Q322" t="s">
        <v>2951</v>
      </c>
      <c r="R322" t="s">
        <v>2354</v>
      </c>
      <c r="S322" t="s">
        <v>2684</v>
      </c>
      <c r="T322" t="s">
        <v>923</v>
      </c>
      <c r="U322">
        <v>9.0622434528361315E-2</v>
      </c>
      <c r="V322">
        <v>9.5118098614771712E-8</v>
      </c>
      <c r="W322">
        <v>9.0622120438085249E-2</v>
      </c>
      <c r="X322">
        <v>9.0622651784513827E-2</v>
      </c>
      <c r="Y322">
        <v>9.062242844735853E-2</v>
      </c>
      <c r="Z322">
        <v>9.0622296581034073E-2</v>
      </c>
      <c r="AA322">
        <v>9.0622614517465255E-2</v>
      </c>
    </row>
    <row r="323" spans="1:27">
      <c r="A323" t="s">
        <v>2952</v>
      </c>
      <c r="B323" t="s">
        <v>2953</v>
      </c>
      <c r="C323" t="s">
        <v>2354</v>
      </c>
      <c r="D323" t="s">
        <v>2684</v>
      </c>
      <c r="E323" t="s">
        <v>923</v>
      </c>
      <c r="F323">
        <v>1.2514787653898846E-2</v>
      </c>
      <c r="G323">
        <v>3.5892911511293152E-8</v>
      </c>
      <c r="H323">
        <v>1.2514689916297008E-2</v>
      </c>
      <c r="I323">
        <v>1.2514873021581706E-2</v>
      </c>
      <c r="J323">
        <v>1.2514791701340792E-2</v>
      </c>
      <c r="K323">
        <v>1.251472913431436E-2</v>
      </c>
      <c r="L323">
        <v>1.2514844036143027E-2</v>
      </c>
      <c r="P323" t="s">
        <v>2952</v>
      </c>
      <c r="Q323" t="s">
        <v>2953</v>
      </c>
      <c r="R323" t="s">
        <v>2354</v>
      </c>
      <c r="S323" t="s">
        <v>2684</v>
      </c>
      <c r="T323" t="s">
        <v>923</v>
      </c>
      <c r="U323">
        <v>1.2514784504852626E-2</v>
      </c>
      <c r="V323">
        <v>3.3226450556901598E-8</v>
      </c>
      <c r="W323">
        <v>1.2514674787509868E-2</v>
      </c>
      <c r="X323">
        <v>1.2514860396306669E-2</v>
      </c>
      <c r="Y323">
        <v>1.251478238064975E-2</v>
      </c>
      <c r="Z323">
        <v>1.2514736317387622E-2</v>
      </c>
      <c r="AA323">
        <v>1.2514847378261054E-2</v>
      </c>
    </row>
    <row r="324" spans="1:27">
      <c r="A324" t="s">
        <v>2954</v>
      </c>
      <c r="B324" t="s">
        <v>2955</v>
      </c>
      <c r="C324" t="s">
        <v>2354</v>
      </c>
      <c r="D324" t="s">
        <v>2684</v>
      </c>
      <c r="E324" t="s">
        <v>923</v>
      </c>
      <c r="F324">
        <v>9.8018465115932543</v>
      </c>
      <c r="G324">
        <v>3.3669928024249254E-7</v>
      </c>
      <c r="H324">
        <v>9.8018455947498211</v>
      </c>
      <c r="I324">
        <v>9.8018473123986531</v>
      </c>
      <c r="J324">
        <v>9.8018465495609384</v>
      </c>
      <c r="K324">
        <v>9.8018459626407939</v>
      </c>
      <c r="L324">
        <v>9.8018470404960425</v>
      </c>
      <c r="P324" t="s">
        <v>2954</v>
      </c>
      <c r="Q324" t="s">
        <v>2955</v>
      </c>
      <c r="R324" t="s">
        <v>2354</v>
      </c>
      <c r="S324" t="s">
        <v>2684</v>
      </c>
      <c r="T324" t="s">
        <v>923</v>
      </c>
      <c r="U324">
        <v>9.8018464820531133</v>
      </c>
      <c r="V324">
        <v>3.1168611062713941E-7</v>
      </c>
      <c r="W324">
        <v>9.8018454528317775</v>
      </c>
      <c r="X324">
        <v>9.8018471939652123</v>
      </c>
      <c r="Y324">
        <v>9.8018464621266848</v>
      </c>
      <c r="Z324">
        <v>9.8018460300227801</v>
      </c>
      <c r="AA324">
        <v>9.8018470718473232</v>
      </c>
    </row>
    <row r="325" spans="1:27">
      <c r="A325" t="s">
        <v>2956</v>
      </c>
      <c r="B325" t="s">
        <v>2957</v>
      </c>
      <c r="C325" t="s">
        <v>2354</v>
      </c>
      <c r="D325" t="s">
        <v>2684</v>
      </c>
      <c r="E325" t="s">
        <v>923</v>
      </c>
      <c r="F325">
        <v>5.1317932132131415E-3</v>
      </c>
      <c r="G325">
        <v>1.7922758655651709E-8</v>
      </c>
      <c r="H325">
        <v>5.1317444089402217E-3</v>
      </c>
      <c r="I325">
        <v>5.1318358406934024E-3</v>
      </c>
      <c r="J325">
        <v>5.1317952342619273E-3</v>
      </c>
      <c r="K325">
        <v>5.1317639920565074E-3</v>
      </c>
      <c r="L325">
        <v>5.1318213671107341E-3</v>
      </c>
      <c r="P325" t="s">
        <v>2956</v>
      </c>
      <c r="Q325" t="s">
        <v>2957</v>
      </c>
      <c r="R325" t="s">
        <v>2354</v>
      </c>
      <c r="S325" t="s">
        <v>2684</v>
      </c>
      <c r="T325" t="s">
        <v>923</v>
      </c>
      <c r="U325">
        <v>5.1317916407690881E-3</v>
      </c>
      <c r="V325">
        <v>1.6591288620539479E-8</v>
      </c>
      <c r="W325">
        <v>5.1317368545349303E-3</v>
      </c>
      <c r="X325">
        <v>5.1318295363913012E-3</v>
      </c>
      <c r="Y325">
        <v>5.131790580070082E-3</v>
      </c>
      <c r="Z325">
        <v>5.1317675788507527E-3</v>
      </c>
      <c r="AA325">
        <v>5.1318230359632244E-3</v>
      </c>
    </row>
    <row r="326" spans="1:27">
      <c r="A326" t="s">
        <v>2958</v>
      </c>
      <c r="B326" t="s">
        <v>2959</v>
      </c>
      <c r="C326" t="s">
        <v>2354</v>
      </c>
      <c r="D326" t="s">
        <v>2684</v>
      </c>
      <c r="E326" t="s">
        <v>923</v>
      </c>
      <c r="F326">
        <v>2.3944202535692932E-8</v>
      </c>
      <c r="G326">
        <v>1.6462568631795929E-13</v>
      </c>
      <c r="H326">
        <v>2.394375425442778E-8</v>
      </c>
      <c r="I326">
        <v>2.3944594081343257E-8</v>
      </c>
      <c r="J326">
        <v>2.3944221099606522E-8</v>
      </c>
      <c r="K326">
        <v>2.3943934130975849E-8</v>
      </c>
      <c r="L326">
        <v>2.3944461137329112E-8</v>
      </c>
      <c r="P326" t="s">
        <v>2958</v>
      </c>
      <c r="Q326" t="s">
        <v>2959</v>
      </c>
      <c r="R326" t="s">
        <v>2354</v>
      </c>
      <c r="S326" t="s">
        <v>2684</v>
      </c>
      <c r="T326" t="s">
        <v>923</v>
      </c>
      <c r="U326">
        <v>2.3944188092342598E-8</v>
      </c>
      <c r="V326">
        <v>1.5239575159885971E-13</v>
      </c>
      <c r="W326">
        <v>2.3943684865045283E-8</v>
      </c>
      <c r="X326">
        <v>2.3944536174517634E-8</v>
      </c>
      <c r="Y326">
        <v>2.3944178349517574E-8</v>
      </c>
      <c r="Z326">
        <v>2.3943967076711246E-8</v>
      </c>
      <c r="AA326">
        <v>2.3944476466218593E-8</v>
      </c>
    </row>
    <row r="327" spans="1:27">
      <c r="A327" t="s">
        <v>2960</v>
      </c>
      <c r="B327" t="s">
        <v>2961</v>
      </c>
      <c r="C327" t="s">
        <v>2354</v>
      </c>
      <c r="D327" t="s">
        <v>2684</v>
      </c>
      <c r="E327" t="s">
        <v>923</v>
      </c>
      <c r="F327">
        <v>5.4628914877607989E-3</v>
      </c>
      <c r="G327">
        <v>1.5531459044129125E-8</v>
      </c>
      <c r="H327">
        <v>5.4628491950769196E-3</v>
      </c>
      <c r="I327">
        <v>5.4629284277752524E-3</v>
      </c>
      <c r="J327">
        <v>5.4628932391561618E-3</v>
      </c>
      <c r="K327">
        <v>5.4628661653644967E-3</v>
      </c>
      <c r="L327">
        <v>5.4629158852944459E-3</v>
      </c>
      <c r="P327" t="s">
        <v>2960</v>
      </c>
      <c r="Q327" t="s">
        <v>2961</v>
      </c>
      <c r="R327" t="s">
        <v>2354</v>
      </c>
      <c r="S327" t="s">
        <v>2684</v>
      </c>
      <c r="T327" t="s">
        <v>923</v>
      </c>
      <c r="U327">
        <v>5.4628901251161906E-3</v>
      </c>
      <c r="V327">
        <v>1.4377637095386716E-8</v>
      </c>
      <c r="W327">
        <v>5.4628426485994136E-3</v>
      </c>
      <c r="X327">
        <v>5.4629229646090197E-3</v>
      </c>
      <c r="Y327">
        <v>5.4628892059383188E-3</v>
      </c>
      <c r="Z327">
        <v>5.4628692735996173E-3</v>
      </c>
      <c r="AA327">
        <v>5.4629173314844331E-3</v>
      </c>
    </row>
    <row r="328" spans="1:27">
      <c r="A328" t="s">
        <v>2962</v>
      </c>
      <c r="B328" t="s">
        <v>2963</v>
      </c>
      <c r="C328" t="s">
        <v>2354</v>
      </c>
      <c r="D328" t="s">
        <v>2684</v>
      </c>
      <c r="E328" t="s">
        <v>923</v>
      </c>
      <c r="F328">
        <v>6.1078568692771152E-4</v>
      </c>
      <c r="G328">
        <v>1.7263712415051509E-9</v>
      </c>
      <c r="H328">
        <v>6.1078098596092109E-4</v>
      </c>
      <c r="I328">
        <v>6.1078979292821238E-4</v>
      </c>
      <c r="J328">
        <v>6.1078588160089578E-4</v>
      </c>
      <c r="K328">
        <v>6.1078287226254597E-4</v>
      </c>
      <c r="L328">
        <v>6.1078839879144141E-4</v>
      </c>
      <c r="P328" t="s">
        <v>2962</v>
      </c>
      <c r="Q328" t="s">
        <v>2963</v>
      </c>
      <c r="R328" t="s">
        <v>2354</v>
      </c>
      <c r="S328" t="s">
        <v>2684</v>
      </c>
      <c r="T328" t="s">
        <v>923</v>
      </c>
      <c r="U328">
        <v>6.1078553546541406E-4</v>
      </c>
      <c r="V328">
        <v>1.5981202494615738E-9</v>
      </c>
      <c r="W328">
        <v>6.1078025829905316E-4</v>
      </c>
      <c r="X328">
        <v>6.107891856798499E-4</v>
      </c>
      <c r="Y328">
        <v>6.1078543329586043E-4</v>
      </c>
      <c r="Z328">
        <v>6.1078321775279967E-4</v>
      </c>
      <c r="AA328">
        <v>6.1078855954007391E-4</v>
      </c>
    </row>
    <row r="329" spans="1:27">
      <c r="A329" t="s">
        <v>2964</v>
      </c>
      <c r="B329" t="s">
        <v>2965</v>
      </c>
      <c r="C329" t="s">
        <v>2354</v>
      </c>
      <c r="D329" t="s">
        <v>2684</v>
      </c>
      <c r="E329" t="s">
        <v>923</v>
      </c>
      <c r="F329">
        <v>4.228389529969887E-4</v>
      </c>
      <c r="G329">
        <v>1.2114893932200109E-9</v>
      </c>
      <c r="H329">
        <v>4.2283565407073956E-4</v>
      </c>
      <c r="I329">
        <v>4.2284183440275823E-4</v>
      </c>
      <c r="J329">
        <v>4.2283908960984021E-4</v>
      </c>
      <c r="K329">
        <v>4.2283697779205517E-4</v>
      </c>
      <c r="L329">
        <v>4.2284085606051627E-4</v>
      </c>
      <c r="P329" t="s">
        <v>2964</v>
      </c>
      <c r="Q329" t="s">
        <v>2965</v>
      </c>
      <c r="R329" t="s">
        <v>2354</v>
      </c>
      <c r="S329" t="s">
        <v>2684</v>
      </c>
      <c r="T329" t="s">
        <v>923</v>
      </c>
      <c r="U329">
        <v>4.2283884670758705E-4</v>
      </c>
      <c r="V329">
        <v>1.1214886374235203E-9</v>
      </c>
      <c r="W329">
        <v>4.2283514343049392E-4</v>
      </c>
      <c r="X329">
        <v>4.2284140826327407E-4</v>
      </c>
      <c r="Y329">
        <v>4.2283877500960698E-4</v>
      </c>
      <c r="Z329">
        <v>4.2283722024151661E-4</v>
      </c>
      <c r="AA329">
        <v>4.2284096886664898E-4</v>
      </c>
    </row>
    <row r="330" spans="1:27">
      <c r="A330" t="s">
        <v>2966</v>
      </c>
      <c r="B330" t="s">
        <v>2967</v>
      </c>
      <c r="C330" t="s">
        <v>2354</v>
      </c>
      <c r="D330" t="s">
        <v>2684</v>
      </c>
      <c r="E330" t="s">
        <v>923</v>
      </c>
      <c r="F330">
        <v>1.0277686716070316E-3</v>
      </c>
      <c r="G330">
        <v>1.0888870035487943E-9</v>
      </c>
      <c r="H330">
        <v>1.0277657065312009E-3</v>
      </c>
      <c r="I330">
        <v>1.0277712614153382E-3</v>
      </c>
      <c r="J330">
        <v>1.0277687943947001E-3</v>
      </c>
      <c r="K330">
        <v>1.0277668962922876E-3</v>
      </c>
      <c r="L330">
        <v>1.027770382081059E-3</v>
      </c>
      <c r="P330" t="s">
        <v>2966</v>
      </c>
      <c r="Q330" t="s">
        <v>2967</v>
      </c>
      <c r="R330" t="s">
        <v>2354</v>
      </c>
      <c r="S330" t="s">
        <v>2684</v>
      </c>
      <c r="T330" t="s">
        <v>923</v>
      </c>
      <c r="U330">
        <v>1.0277685760740874E-3</v>
      </c>
      <c r="V330">
        <v>1.0079942992183659E-9</v>
      </c>
      <c r="W330">
        <v>1.0277652475676061E-3</v>
      </c>
      <c r="X330">
        <v>1.0277708784010512E-3</v>
      </c>
      <c r="Y330">
        <v>1.0277685116319229E-3</v>
      </c>
      <c r="Z330">
        <v>1.0277671142059309E-3</v>
      </c>
      <c r="AA330">
        <v>1.0277704834712425E-3</v>
      </c>
    </row>
    <row r="331" spans="1:27">
      <c r="A331" t="s">
        <v>2968</v>
      </c>
      <c r="B331" t="s">
        <v>2969</v>
      </c>
      <c r="C331" t="s">
        <v>2354</v>
      </c>
      <c r="D331" t="s">
        <v>2684</v>
      </c>
      <c r="E331" t="s">
        <v>923</v>
      </c>
      <c r="F331">
        <v>9.2480484945064339E-4</v>
      </c>
      <c r="G331">
        <v>2.662168892308781E-9</v>
      </c>
      <c r="H331">
        <v>9.2479760027546431E-4</v>
      </c>
      <c r="I331">
        <v>9.2481118115181067E-4</v>
      </c>
      <c r="J331">
        <v>9.2480514964847027E-4</v>
      </c>
      <c r="K331">
        <v>9.2480050906668305E-4</v>
      </c>
      <c r="L331">
        <v>9.248090313085705E-4</v>
      </c>
      <c r="P331" t="s">
        <v>2968</v>
      </c>
      <c r="Q331" t="s">
        <v>2969</v>
      </c>
      <c r="R331" t="s">
        <v>2354</v>
      </c>
      <c r="S331" t="s">
        <v>2684</v>
      </c>
      <c r="T331" t="s">
        <v>923</v>
      </c>
      <c r="U331">
        <v>9.2480461588661806E-4</v>
      </c>
      <c r="V331">
        <v>2.4643981039704129E-9</v>
      </c>
      <c r="W331">
        <v>9.2479647817684369E-4</v>
      </c>
      <c r="X331">
        <v>9.2481024473809977E-4</v>
      </c>
      <c r="Y331">
        <v>9.2480445833498519E-4</v>
      </c>
      <c r="Z331">
        <v>9.2480104183355479E-4</v>
      </c>
      <c r="AA331">
        <v>9.2480927919268651E-4</v>
      </c>
    </row>
    <row r="332" spans="1:27">
      <c r="A332" t="s">
        <v>2970</v>
      </c>
      <c r="B332" t="s">
        <v>2971</v>
      </c>
      <c r="C332" t="s">
        <v>2354</v>
      </c>
      <c r="D332" t="s">
        <v>2684</v>
      </c>
      <c r="E332" t="s">
        <v>923</v>
      </c>
      <c r="F332">
        <v>5.3798940720005281E-2</v>
      </c>
      <c r="G332">
        <v>3.9566155557576899E-8</v>
      </c>
      <c r="H332">
        <v>5.379883298003673E-2</v>
      </c>
      <c r="I332">
        <v>5.3799034824129968E-2</v>
      </c>
      <c r="J332">
        <v>5.3798945181658335E-2</v>
      </c>
      <c r="K332">
        <v>5.3798876211586077E-2</v>
      </c>
      <c r="L332">
        <v>5.3799002872350982E-2</v>
      </c>
      <c r="P332" t="s">
        <v>2970</v>
      </c>
      <c r="Q332" t="s">
        <v>2971</v>
      </c>
      <c r="R332" t="s">
        <v>2354</v>
      </c>
      <c r="S332" t="s">
        <v>2684</v>
      </c>
      <c r="T332" t="s">
        <v>923</v>
      </c>
      <c r="U332">
        <v>5.3798937248688915E-2</v>
      </c>
      <c r="V332">
        <v>3.6626811701743884E-8</v>
      </c>
      <c r="W332">
        <v>5.3798816302984907E-2</v>
      </c>
      <c r="X332">
        <v>5.3799020906797126E-2</v>
      </c>
      <c r="Y332">
        <v>5.3798934907097258E-2</v>
      </c>
      <c r="Z332">
        <v>5.3798884129767743E-2</v>
      </c>
      <c r="AA332">
        <v>5.3799006556497969E-2</v>
      </c>
    </row>
    <row r="333" spans="1:27">
      <c r="A333" t="s">
        <v>2972</v>
      </c>
      <c r="B333" t="s">
        <v>2973</v>
      </c>
      <c r="C333" t="s">
        <v>2354</v>
      </c>
      <c r="D333" t="s">
        <v>2684</v>
      </c>
      <c r="E333" t="s">
        <v>923</v>
      </c>
      <c r="F333">
        <v>7.1726235425861413E-3</v>
      </c>
      <c r="G333">
        <v>7.5027997473372387E-9</v>
      </c>
      <c r="H333">
        <v>7.172603112210801E-3</v>
      </c>
      <c r="I333">
        <v>7.1726413872413271E-3</v>
      </c>
      <c r="J333">
        <v>7.1726243886347137E-3</v>
      </c>
      <c r="K333">
        <v>7.1726113100670993E-3</v>
      </c>
      <c r="L333">
        <v>7.1726353283307282E-3</v>
      </c>
      <c r="P333" t="s">
        <v>2972</v>
      </c>
      <c r="Q333" t="s">
        <v>2973</v>
      </c>
      <c r="R333" t="s">
        <v>2354</v>
      </c>
      <c r="S333" t="s">
        <v>2684</v>
      </c>
      <c r="T333" t="s">
        <v>923</v>
      </c>
      <c r="U333">
        <v>7.1726228843318508E-3</v>
      </c>
      <c r="V333">
        <v>6.9454216542349305E-9</v>
      </c>
      <c r="W333">
        <v>7.1725999497963978E-3</v>
      </c>
      <c r="X333">
        <v>7.1726387481433444E-3</v>
      </c>
      <c r="Y333">
        <v>7.172622440303541E-3</v>
      </c>
      <c r="Z333">
        <v>7.172612811565806E-3</v>
      </c>
      <c r="AA333">
        <v>7.1726360269433846E-3</v>
      </c>
    </row>
    <row r="334" spans="1:27">
      <c r="A334" t="s">
        <v>2974</v>
      </c>
      <c r="B334" t="s">
        <v>2975</v>
      </c>
      <c r="C334" t="s">
        <v>2354</v>
      </c>
      <c r="D334" t="s">
        <v>2684</v>
      </c>
      <c r="E334" t="s">
        <v>923</v>
      </c>
      <c r="F334">
        <v>3.2055407070086697E-3</v>
      </c>
      <c r="G334">
        <v>8.3269815378865593E-9</v>
      </c>
      <c r="H334">
        <v>3.2055180323586662E-3</v>
      </c>
      <c r="I334">
        <v>3.2055605118974104E-3</v>
      </c>
      <c r="J334">
        <v>3.2055416459955861E-3</v>
      </c>
      <c r="K334">
        <v>3.2055271307486464E-3</v>
      </c>
      <c r="L334">
        <v>3.2055537874160966E-3</v>
      </c>
      <c r="P334" t="s">
        <v>2974</v>
      </c>
      <c r="Q334" t="s">
        <v>2975</v>
      </c>
      <c r="R334" t="s">
        <v>2354</v>
      </c>
      <c r="S334" t="s">
        <v>2684</v>
      </c>
      <c r="T334" t="s">
        <v>923</v>
      </c>
      <c r="U334">
        <v>3.2055399764452062E-3</v>
      </c>
      <c r="V334">
        <v>7.7083755178538672E-9</v>
      </c>
      <c r="W334">
        <v>3.2055145225533621E-3</v>
      </c>
      <c r="X334">
        <v>3.2055575828947823E-3</v>
      </c>
      <c r="Y334">
        <v>3.2055394836404318E-3</v>
      </c>
      <c r="Z334">
        <v>3.2055287971868344E-3</v>
      </c>
      <c r="AA334">
        <v>3.2055545627712829E-3</v>
      </c>
    </row>
    <row r="335" spans="1:27">
      <c r="A335" t="s">
        <v>2976</v>
      </c>
      <c r="B335" t="s">
        <v>2977</v>
      </c>
      <c r="C335" t="s">
        <v>2354</v>
      </c>
      <c r="D335" t="s">
        <v>2684</v>
      </c>
      <c r="E335" t="s">
        <v>923</v>
      </c>
      <c r="F335">
        <v>3.7415955539706294E-2</v>
      </c>
      <c r="G335">
        <v>7.5382424014586869E-8</v>
      </c>
      <c r="H335">
        <v>3.7415750270837482E-2</v>
      </c>
      <c r="I335">
        <v>3.7416134829226011E-2</v>
      </c>
      <c r="J335">
        <v>3.7415964040158664E-2</v>
      </c>
      <c r="K335">
        <v>3.7415832636660942E-2</v>
      </c>
      <c r="L335">
        <v>3.7416073953901702E-2</v>
      </c>
      <c r="P335" t="s">
        <v>2976</v>
      </c>
      <c r="Q335" t="s">
        <v>2977</v>
      </c>
      <c r="R335" t="s">
        <v>2354</v>
      </c>
      <c r="S335" t="s">
        <v>2684</v>
      </c>
      <c r="T335" t="s">
        <v>923</v>
      </c>
      <c r="U335">
        <v>3.7415948926067893E-2</v>
      </c>
      <c r="V335">
        <v>6.9782312967086662E-8</v>
      </c>
      <c r="W335">
        <v>3.7415718497303407E-2</v>
      </c>
      <c r="X335">
        <v>3.7416108313577209E-2</v>
      </c>
      <c r="Y335">
        <v>3.7415944464809253E-2</v>
      </c>
      <c r="Z335">
        <v>3.7415847722577673E-2</v>
      </c>
      <c r="AA335">
        <v>3.7416080973030202E-2</v>
      </c>
    </row>
    <row r="336" spans="1:27">
      <c r="A336" t="s">
        <v>2978</v>
      </c>
      <c r="B336" t="s">
        <v>2979</v>
      </c>
      <c r="C336" t="s">
        <v>2354</v>
      </c>
      <c r="D336" t="s">
        <v>2684</v>
      </c>
      <c r="E336" t="s">
        <v>923</v>
      </c>
      <c r="F336">
        <v>2.6712859247563586E-2</v>
      </c>
      <c r="G336">
        <v>2.7795255498810493E-8</v>
      </c>
      <c r="H336">
        <v>2.6712783560150645E-2</v>
      </c>
      <c r="I336">
        <v>2.6712925355785413E-2</v>
      </c>
      <c r="J336">
        <v>2.6712862381878359E-2</v>
      </c>
      <c r="K336">
        <v>2.6712813930348175E-2</v>
      </c>
      <c r="L336">
        <v>2.6712902909635468E-2</v>
      </c>
      <c r="P336" t="s">
        <v>2978</v>
      </c>
      <c r="Q336" t="s">
        <v>2979</v>
      </c>
      <c r="R336" t="s">
        <v>2354</v>
      </c>
      <c r="S336" t="s">
        <v>2684</v>
      </c>
      <c r="T336" t="s">
        <v>923</v>
      </c>
      <c r="U336">
        <v>2.6712856808961065E-2</v>
      </c>
      <c r="V336">
        <v>2.573036412083947E-8</v>
      </c>
      <c r="W336">
        <v>2.6712771844508581E-2</v>
      </c>
      <c r="X336">
        <v>2.6712915578848112E-2</v>
      </c>
      <c r="Y336">
        <v>2.6712855163991092E-2</v>
      </c>
      <c r="Z336">
        <v>2.6712819492877043E-2</v>
      </c>
      <c r="AA336">
        <v>2.6712905497751627E-2</v>
      </c>
    </row>
    <row r="337" spans="1:27">
      <c r="A337" t="s">
        <v>2980</v>
      </c>
      <c r="B337" t="s">
        <v>2981</v>
      </c>
      <c r="C337" t="s">
        <v>2354</v>
      </c>
      <c r="D337" t="s">
        <v>2684</v>
      </c>
      <c r="E337" t="s">
        <v>923</v>
      </c>
      <c r="F337">
        <v>1.1767618763279275E-3</v>
      </c>
      <c r="G337">
        <v>1.2370378782382153E-9</v>
      </c>
      <c r="H337">
        <v>1.1767585078322968E-3</v>
      </c>
      <c r="I337">
        <v>1.1767648184982009E-3</v>
      </c>
      <c r="J337">
        <v>1.1767620158217381E-3</v>
      </c>
      <c r="K337">
        <v>1.1767598594688994E-3</v>
      </c>
      <c r="L337">
        <v>1.1767638195241958E-3</v>
      </c>
      <c r="P337" t="s">
        <v>2980</v>
      </c>
      <c r="Q337" t="s">
        <v>2981</v>
      </c>
      <c r="R337" t="s">
        <v>2354</v>
      </c>
      <c r="S337" t="s">
        <v>2684</v>
      </c>
      <c r="T337" t="s">
        <v>923</v>
      </c>
      <c r="U337">
        <v>1.1767617677970424E-3</v>
      </c>
      <c r="V337">
        <v>1.1451391421786859E-9</v>
      </c>
      <c r="W337">
        <v>1.1767579864234181E-3</v>
      </c>
      <c r="X337">
        <v>1.1767643833720774E-3</v>
      </c>
      <c r="Y337">
        <v>1.1767616945870601E-3</v>
      </c>
      <c r="Z337">
        <v>1.1767601070312545E-3</v>
      </c>
      <c r="AA337">
        <v>1.1767639347092401E-3</v>
      </c>
    </row>
    <row r="338" spans="1:27">
      <c r="A338" t="s">
        <v>2982</v>
      </c>
      <c r="B338" t="s">
        <v>2983</v>
      </c>
      <c r="C338" t="s">
        <v>2354</v>
      </c>
      <c r="D338" t="s">
        <v>2684</v>
      </c>
      <c r="E338" t="s">
        <v>923</v>
      </c>
      <c r="F338">
        <v>4.7078343372353371E-4</v>
      </c>
      <c r="G338">
        <v>1.6523512727399963E-9</v>
      </c>
      <c r="H338">
        <v>4.7077893431560067E-4</v>
      </c>
      <c r="I338">
        <v>4.7078736367497774E-4</v>
      </c>
      <c r="J338">
        <v>4.70783620049902E-4</v>
      </c>
      <c r="K338">
        <v>4.7078073974007471E-4</v>
      </c>
      <c r="L338">
        <v>4.7078602931327582E-4</v>
      </c>
      <c r="P338" t="s">
        <v>2982</v>
      </c>
      <c r="Q338" t="s">
        <v>2983</v>
      </c>
      <c r="R338" t="s">
        <v>2354</v>
      </c>
      <c r="S338" t="s">
        <v>2684</v>
      </c>
      <c r="T338" t="s">
        <v>923</v>
      </c>
      <c r="U338">
        <v>4.7078328875534056E-4</v>
      </c>
      <c r="V338">
        <v>1.5295991758442726E-9</v>
      </c>
      <c r="W338">
        <v>4.7077823785299477E-4</v>
      </c>
      <c r="X338">
        <v>4.7078678246302255E-4</v>
      </c>
      <c r="Y338">
        <v>4.7078319096641294E-4</v>
      </c>
      <c r="Z338">
        <v>4.7078107041707319E-4</v>
      </c>
      <c r="AA338">
        <v>4.7078618316964292E-4</v>
      </c>
    </row>
    <row r="339" spans="1:27">
      <c r="A339" t="s">
        <v>2984</v>
      </c>
      <c r="B339" t="s">
        <v>2985</v>
      </c>
      <c r="C339" t="s">
        <v>2354</v>
      </c>
      <c r="D339" t="s">
        <v>2684</v>
      </c>
      <c r="E339" t="s">
        <v>923</v>
      </c>
      <c r="F339">
        <v>5.2021279763008843E-4</v>
      </c>
      <c r="G339">
        <v>1.2534107058704116E-9</v>
      </c>
      <c r="H339">
        <v>5.2020938455069911E-4</v>
      </c>
      <c r="I339">
        <v>5.2021577874148718E-4</v>
      </c>
      <c r="J339">
        <v>5.2021293897017097E-4</v>
      </c>
      <c r="K339">
        <v>5.2021075407690195E-4</v>
      </c>
      <c r="L339">
        <v>5.2021476654555139E-4</v>
      </c>
      <c r="P339" t="s">
        <v>2984</v>
      </c>
      <c r="Q339" t="s">
        <v>2985</v>
      </c>
      <c r="R339" t="s">
        <v>2354</v>
      </c>
      <c r="S339" t="s">
        <v>2684</v>
      </c>
      <c r="T339" t="s">
        <v>923</v>
      </c>
      <c r="U339">
        <v>5.2021268766274179E-4</v>
      </c>
      <c r="V339">
        <v>1.1602956431346214E-9</v>
      </c>
      <c r="W339">
        <v>5.2020885624070787E-4</v>
      </c>
      <c r="X339">
        <v>5.2021533785624741E-4</v>
      </c>
      <c r="Y339">
        <v>5.2021261348378812E-4</v>
      </c>
      <c r="Z339">
        <v>5.2021100491587123E-4</v>
      </c>
      <c r="AA339">
        <v>5.2021488325512829E-4</v>
      </c>
    </row>
    <row r="340" spans="1:27">
      <c r="A340" t="s">
        <v>2986</v>
      </c>
      <c r="B340" t="s">
        <v>2987</v>
      </c>
      <c r="C340" t="s">
        <v>2354</v>
      </c>
      <c r="D340" t="s">
        <v>2684</v>
      </c>
      <c r="E340" t="s">
        <v>923</v>
      </c>
      <c r="F340">
        <v>2.627560560966287E-3</v>
      </c>
      <c r="G340">
        <v>9.3107935403296574E-9</v>
      </c>
      <c r="H340">
        <v>2.6275352073632063E-3</v>
      </c>
      <c r="I340">
        <v>2.6275827057530049E-3</v>
      </c>
      <c r="J340">
        <v>2.6275616108921555E-3</v>
      </c>
      <c r="K340">
        <v>2.6275453807051629E-3</v>
      </c>
      <c r="L340">
        <v>2.6275751867910748E-3</v>
      </c>
      <c r="P340" t="s">
        <v>2986</v>
      </c>
      <c r="Q340" t="s">
        <v>2987</v>
      </c>
      <c r="R340" t="s">
        <v>2354</v>
      </c>
      <c r="S340" t="s">
        <v>2684</v>
      </c>
      <c r="T340" t="s">
        <v>923</v>
      </c>
      <c r="U340">
        <v>2.6275597440885818E-3</v>
      </c>
      <c r="V340">
        <v>8.619100769113736E-9</v>
      </c>
      <c r="W340">
        <v>2.6275312828832006E-3</v>
      </c>
      <c r="X340">
        <v>2.6275794306960558E-3</v>
      </c>
      <c r="Y340">
        <v>2.6275591930601579E-3</v>
      </c>
      <c r="Z340">
        <v>2.6275472440288475E-3</v>
      </c>
      <c r="AA340">
        <v>2.6275760537525332E-3</v>
      </c>
    </row>
    <row r="341" spans="1:27">
      <c r="A341" t="s">
        <v>2988</v>
      </c>
      <c r="B341" t="s">
        <v>2989</v>
      </c>
      <c r="C341" t="s">
        <v>2354</v>
      </c>
      <c r="D341" t="s">
        <v>2684</v>
      </c>
      <c r="E341" t="s">
        <v>923</v>
      </c>
      <c r="F341">
        <v>3.7444759067871257E-4</v>
      </c>
      <c r="G341">
        <v>1.0774424954757995E-9</v>
      </c>
      <c r="H341">
        <v>3.7444465676666149E-4</v>
      </c>
      <c r="I341">
        <v>3.7445015326740703E-4</v>
      </c>
      <c r="J341">
        <v>3.7444771217584843E-4</v>
      </c>
      <c r="K341">
        <v>3.7444583402302506E-4</v>
      </c>
      <c r="L341">
        <v>3.7444928317517803E-4</v>
      </c>
      <c r="P341" t="s">
        <v>2988</v>
      </c>
      <c r="Q341" t="s">
        <v>2989</v>
      </c>
      <c r="R341" t="s">
        <v>2354</v>
      </c>
      <c r="S341" t="s">
        <v>2684</v>
      </c>
      <c r="T341" t="s">
        <v>923</v>
      </c>
      <c r="U341">
        <v>3.744474961498466E-4</v>
      </c>
      <c r="V341">
        <v>9.9739999616645677E-10</v>
      </c>
      <c r="W341">
        <v>3.7444420262690292E-4</v>
      </c>
      <c r="X341">
        <v>3.7444977427870789E-4</v>
      </c>
      <c r="Y341">
        <v>3.7444743238498743E-4</v>
      </c>
      <c r="Z341">
        <v>3.7444604964633491E-4</v>
      </c>
      <c r="AA341">
        <v>3.7444938349972216E-4</v>
      </c>
    </row>
    <row r="342" spans="1:27">
      <c r="A342" t="s">
        <v>2990</v>
      </c>
      <c r="B342" t="s">
        <v>2991</v>
      </c>
      <c r="C342" t="s">
        <v>2354</v>
      </c>
      <c r="D342" t="s">
        <v>2684</v>
      </c>
      <c r="E342" t="s">
        <v>923</v>
      </c>
      <c r="F342">
        <v>1.8587527801962943E-2</v>
      </c>
      <c r="G342">
        <v>1.9543913604318242E-8</v>
      </c>
      <c r="H342">
        <v>1.8587474583230727E-2</v>
      </c>
      <c r="I342">
        <v>1.8587574285197327E-2</v>
      </c>
      <c r="J342">
        <v>1.8587530005820262E-2</v>
      </c>
      <c r="K342">
        <v>1.8587495937685147E-2</v>
      </c>
      <c r="L342">
        <v>1.8587558502445652E-2</v>
      </c>
      <c r="P342" t="s">
        <v>2990</v>
      </c>
      <c r="Q342" t="s">
        <v>2991</v>
      </c>
      <c r="R342" t="s">
        <v>2354</v>
      </c>
      <c r="S342" t="s">
        <v>2684</v>
      </c>
      <c r="T342" t="s">
        <v>923</v>
      </c>
      <c r="U342">
        <v>1.8587526087287681E-2</v>
      </c>
      <c r="V342">
        <v>1.8092009026946954E-8</v>
      </c>
      <c r="W342">
        <v>1.8587466345512015E-2</v>
      </c>
      <c r="X342">
        <v>1.8587567410656529E-2</v>
      </c>
      <c r="Y342">
        <v>1.8587524930646009E-2</v>
      </c>
      <c r="Z342">
        <v>1.8587499848913225E-2</v>
      </c>
      <c r="AA342">
        <v>1.8587560322249706E-2</v>
      </c>
    </row>
    <row r="343" spans="1:27">
      <c r="A343" t="s">
        <v>2992</v>
      </c>
      <c r="B343" t="s">
        <v>2993</v>
      </c>
      <c r="C343" t="s">
        <v>2354</v>
      </c>
      <c r="D343" t="s">
        <v>2684</v>
      </c>
      <c r="E343" t="s">
        <v>923</v>
      </c>
      <c r="F343">
        <v>1.1750661795089247E-3</v>
      </c>
      <c r="G343">
        <v>1.2321990501481696E-9</v>
      </c>
      <c r="H343">
        <v>1.1750628241895854E-3</v>
      </c>
      <c r="I343">
        <v>1.1750691101705321E-3</v>
      </c>
      <c r="J343">
        <v>1.1750663184570882E-3</v>
      </c>
      <c r="K343">
        <v>1.1750641705390928E-3</v>
      </c>
      <c r="L343">
        <v>1.1750681151041387E-3</v>
      </c>
      <c r="P343" t="s">
        <v>2992</v>
      </c>
      <c r="Q343" t="s">
        <v>2993</v>
      </c>
      <c r="R343" t="s">
        <v>2354</v>
      </c>
      <c r="S343" t="s">
        <v>2684</v>
      </c>
      <c r="T343" t="s">
        <v>923</v>
      </c>
      <c r="U343">
        <v>1.175066071402572E-3</v>
      </c>
      <c r="V343">
        <v>1.1406597874599099E-9</v>
      </c>
      <c r="W343">
        <v>1.1750623048202627E-3</v>
      </c>
      <c r="X343">
        <v>1.1750686767464588E-3</v>
      </c>
      <c r="Y343">
        <v>1.1750659984789598E-3</v>
      </c>
      <c r="Z343">
        <v>1.1750644171330767E-3</v>
      </c>
      <c r="AA343">
        <v>1.1750682298386221E-3</v>
      </c>
    </row>
    <row r="344" spans="1:27">
      <c r="A344" t="s">
        <v>2994</v>
      </c>
      <c r="B344" t="s">
        <v>2995</v>
      </c>
      <c r="C344" t="s">
        <v>2354</v>
      </c>
      <c r="D344" t="s">
        <v>2684</v>
      </c>
      <c r="E344" t="s">
        <v>923</v>
      </c>
      <c r="F344">
        <v>1.8676432721686847E-4</v>
      </c>
      <c r="G344">
        <v>4.4773611455100927E-10</v>
      </c>
      <c r="H344">
        <v>1.8676310801641203E-4</v>
      </c>
      <c r="I344">
        <v>1.8676539211222017E-4</v>
      </c>
      <c r="J344">
        <v>1.8676437770555411E-4</v>
      </c>
      <c r="K344">
        <v>1.8676359723063206E-4</v>
      </c>
      <c r="L344">
        <v>1.8676503054144907E-4</v>
      </c>
      <c r="P344" t="s">
        <v>2994</v>
      </c>
      <c r="Q344" t="s">
        <v>2995</v>
      </c>
      <c r="R344" t="s">
        <v>2354</v>
      </c>
      <c r="S344" t="s">
        <v>2684</v>
      </c>
      <c r="T344" t="s">
        <v>923</v>
      </c>
      <c r="U344">
        <v>1.8676428793496956E-4</v>
      </c>
      <c r="V344">
        <v>4.144740910190088E-10</v>
      </c>
      <c r="W344">
        <v>1.867629192965761E-4</v>
      </c>
      <c r="X344">
        <v>1.8676523462174773E-4</v>
      </c>
      <c r="Y344">
        <v>1.8676426143719315E-4</v>
      </c>
      <c r="Z344">
        <v>1.8676368683387618E-4</v>
      </c>
      <c r="AA344">
        <v>1.8676507223176829E-4</v>
      </c>
    </row>
    <row r="345" spans="1:27">
      <c r="A345" t="s">
        <v>2996</v>
      </c>
      <c r="B345" t="s">
        <v>2997</v>
      </c>
      <c r="C345" t="s">
        <v>2354</v>
      </c>
      <c r="D345" t="s">
        <v>2684</v>
      </c>
      <c r="E345" t="s">
        <v>923</v>
      </c>
      <c r="F345">
        <v>3.8439137445576716E-3</v>
      </c>
      <c r="G345">
        <v>1.038004692111736E-8</v>
      </c>
      <c r="H345">
        <v>3.8438854793417724E-3</v>
      </c>
      <c r="I345">
        <v>3.8439384324560964E-3</v>
      </c>
      <c r="J345">
        <v>3.8439149150572343E-3</v>
      </c>
      <c r="K345">
        <v>3.8438968209923417E-3</v>
      </c>
      <c r="L345">
        <v>3.8439300500150838E-3</v>
      </c>
      <c r="P345" t="s">
        <v>2996</v>
      </c>
      <c r="Q345" t="s">
        <v>2997</v>
      </c>
      <c r="R345" t="s">
        <v>2354</v>
      </c>
      <c r="S345" t="s">
        <v>2684</v>
      </c>
      <c r="T345" t="s">
        <v>923</v>
      </c>
      <c r="U345">
        <v>3.8439128338695647E-3</v>
      </c>
      <c r="V345">
        <v>9.6089200145830233E-9</v>
      </c>
      <c r="W345">
        <v>3.843881104173703E-3</v>
      </c>
      <c r="X345">
        <v>3.8439347812909562E-3</v>
      </c>
      <c r="Y345">
        <v>3.8439122195609294E-3</v>
      </c>
      <c r="Z345">
        <v>3.8438988983004879E-3</v>
      </c>
      <c r="AA345">
        <v>3.8439310165385683E-3</v>
      </c>
    </row>
    <row r="346" spans="1:27">
      <c r="A346" t="s">
        <v>2998</v>
      </c>
      <c r="B346" t="s">
        <v>2999</v>
      </c>
      <c r="C346" t="s">
        <v>2354</v>
      </c>
      <c r="D346" t="s">
        <v>2684</v>
      </c>
      <c r="E346" t="s">
        <v>923</v>
      </c>
      <c r="F346">
        <v>1.7685541057965875E-3</v>
      </c>
      <c r="G346">
        <v>1.8625210275868738E-9</v>
      </c>
      <c r="H346">
        <v>1.7685490340893623E-3</v>
      </c>
      <c r="I346">
        <v>1.7685585356156709E-3</v>
      </c>
      <c r="J346">
        <v>1.7685543158226173E-3</v>
      </c>
      <c r="K346">
        <v>1.7685510691536385E-3</v>
      </c>
      <c r="L346">
        <v>1.7685570315306926E-3</v>
      </c>
      <c r="P346" t="s">
        <v>2998</v>
      </c>
      <c r="Q346" t="s">
        <v>2999</v>
      </c>
      <c r="R346" t="s">
        <v>2354</v>
      </c>
      <c r="S346" t="s">
        <v>2684</v>
      </c>
      <c r="T346" t="s">
        <v>923</v>
      </c>
      <c r="U346">
        <v>1.7685539423892588E-3</v>
      </c>
      <c r="V346">
        <v>1.7241555568641641E-9</v>
      </c>
      <c r="W346">
        <v>1.7685482490406444E-3</v>
      </c>
      <c r="X346">
        <v>1.7685578804768358E-3</v>
      </c>
      <c r="Y346">
        <v>1.7685538321621304E-3</v>
      </c>
      <c r="Z346">
        <v>1.7685514418908845E-3</v>
      </c>
      <c r="AA346">
        <v>1.7685572049567213E-3</v>
      </c>
    </row>
    <row r="347" spans="1:27">
      <c r="A347" t="s">
        <v>3000</v>
      </c>
      <c r="B347" t="s">
        <v>3001</v>
      </c>
      <c r="C347" t="s">
        <v>2354</v>
      </c>
      <c r="D347" t="s">
        <v>2684</v>
      </c>
      <c r="E347" t="s">
        <v>923</v>
      </c>
      <c r="F347">
        <v>1.8849439115977641E-4</v>
      </c>
      <c r="G347">
        <v>1.9739304124844814E-10</v>
      </c>
      <c r="H347">
        <v>1.8849385365190486E-4</v>
      </c>
      <c r="I347">
        <v>1.8849486063928742E-4</v>
      </c>
      <c r="J347">
        <v>1.8849441341868052E-4</v>
      </c>
      <c r="K347">
        <v>1.8849406933136331E-4</v>
      </c>
      <c r="L347">
        <v>1.8849470123388808E-4</v>
      </c>
      <c r="P347" t="s">
        <v>3000</v>
      </c>
      <c r="Q347" t="s">
        <v>3001</v>
      </c>
      <c r="R347" t="s">
        <v>2354</v>
      </c>
      <c r="S347" t="s">
        <v>2684</v>
      </c>
      <c r="T347" t="s">
        <v>923</v>
      </c>
      <c r="U347">
        <v>1.88494373841599E-4</v>
      </c>
      <c r="V347">
        <v>1.8272884112974464E-10</v>
      </c>
      <c r="W347">
        <v>1.8849377045115079E-4</v>
      </c>
      <c r="X347">
        <v>1.8849479120659635E-4</v>
      </c>
      <c r="Y347">
        <v>1.8849436215954681E-4</v>
      </c>
      <c r="Z347">
        <v>1.8849410883466956E-4</v>
      </c>
      <c r="AA347">
        <v>1.8849471961386377E-4</v>
      </c>
    </row>
    <row r="348" spans="1:27">
      <c r="A348" t="s">
        <v>3002</v>
      </c>
      <c r="B348" t="s">
        <v>3003</v>
      </c>
      <c r="C348" t="s">
        <v>2354</v>
      </c>
      <c r="D348" t="s">
        <v>2684</v>
      </c>
      <c r="E348" t="s">
        <v>923</v>
      </c>
      <c r="F348">
        <v>3.0755556054080299E-3</v>
      </c>
      <c r="G348">
        <v>8.790935966198894E-9</v>
      </c>
      <c r="H348">
        <v>3.0755316673945579E-3</v>
      </c>
      <c r="I348">
        <v>3.0755765137657517E-3</v>
      </c>
      <c r="J348">
        <v>3.0755565967124803E-3</v>
      </c>
      <c r="K348">
        <v>3.0755412727195303E-3</v>
      </c>
      <c r="L348">
        <v>3.0755694146165145E-3</v>
      </c>
      <c r="P348" t="s">
        <v>3002</v>
      </c>
      <c r="Q348" t="s">
        <v>3003</v>
      </c>
      <c r="R348" t="s">
        <v>2354</v>
      </c>
      <c r="S348" t="s">
        <v>2684</v>
      </c>
      <c r="T348" t="s">
        <v>923</v>
      </c>
      <c r="U348">
        <v>3.0755548341397602E-3</v>
      </c>
      <c r="V348">
        <v>8.1378630746491451E-9</v>
      </c>
      <c r="W348">
        <v>3.0755279620334327E-3</v>
      </c>
      <c r="X348">
        <v>3.075573421567885E-3</v>
      </c>
      <c r="Y348">
        <v>3.075554313877384E-3</v>
      </c>
      <c r="Z348">
        <v>3.0755430320066543E-3</v>
      </c>
      <c r="AA348">
        <v>3.0755702331721653E-3</v>
      </c>
    </row>
    <row r="349" spans="1:27">
      <c r="A349" t="s">
        <v>3004</v>
      </c>
      <c r="B349" t="s">
        <v>3005</v>
      </c>
      <c r="C349" t="s">
        <v>2354</v>
      </c>
      <c r="D349" t="s">
        <v>2684</v>
      </c>
      <c r="E349" t="s">
        <v>923</v>
      </c>
      <c r="F349">
        <v>1.864010404425178E-2</v>
      </c>
      <c r="G349">
        <v>4.5112433424753509E-8</v>
      </c>
      <c r="H349">
        <v>1.8639981201582563E-2</v>
      </c>
      <c r="I349">
        <v>1.8640211339640968E-2</v>
      </c>
      <c r="J349">
        <v>1.8640109131327409E-2</v>
      </c>
      <c r="K349">
        <v>1.8640030493214881E-2</v>
      </c>
      <c r="L349">
        <v>1.8640174908947062E-2</v>
      </c>
      <c r="P349" t="s">
        <v>3004</v>
      </c>
      <c r="Q349" t="s">
        <v>3005</v>
      </c>
      <c r="R349" t="s">
        <v>2354</v>
      </c>
      <c r="S349" t="s">
        <v>2684</v>
      </c>
      <c r="T349" t="s">
        <v>923</v>
      </c>
      <c r="U349">
        <v>1.8640100086335529E-2</v>
      </c>
      <c r="V349">
        <v>4.176106020847769E-8</v>
      </c>
      <c r="W349">
        <v>1.8639962186786221E-2</v>
      </c>
      <c r="X349">
        <v>1.8640195471413632E-2</v>
      </c>
      <c r="Y349">
        <v>1.8640097416505835E-2</v>
      </c>
      <c r="Z349">
        <v>1.8640039521346075E-2</v>
      </c>
      <c r="AA349">
        <v>1.8640179109527914E-2</v>
      </c>
    </row>
    <row r="350" spans="1:27">
      <c r="A350" t="s">
        <v>3006</v>
      </c>
      <c r="B350" t="s">
        <v>3007</v>
      </c>
      <c r="C350" t="s">
        <v>2354</v>
      </c>
      <c r="D350" t="s">
        <v>2684</v>
      </c>
      <c r="E350" t="s">
        <v>923</v>
      </c>
      <c r="F350">
        <v>2.6176933815111661E-6</v>
      </c>
      <c r="G350">
        <v>1.339441639529941E-10</v>
      </c>
      <c r="H350">
        <v>2.6173286470604339E-6</v>
      </c>
      <c r="I350">
        <v>2.6180119542439897E-6</v>
      </c>
      <c r="J350">
        <v>2.6177084856418872E-6</v>
      </c>
      <c r="K350">
        <v>2.6174749997614292E-6</v>
      </c>
      <c r="L350">
        <v>2.6179037871940851E-6</v>
      </c>
      <c r="P350" t="s">
        <v>3006</v>
      </c>
      <c r="Q350" t="s">
        <v>3007</v>
      </c>
      <c r="R350" t="s">
        <v>2354</v>
      </c>
      <c r="S350" t="s">
        <v>2684</v>
      </c>
      <c r="T350" t="s">
        <v>923</v>
      </c>
      <c r="U350">
        <v>2.6176816299885003E-6</v>
      </c>
      <c r="V350">
        <v>1.2399353949220399E-10</v>
      </c>
      <c r="W350">
        <v>2.6172721898754481E-6</v>
      </c>
      <c r="X350">
        <v>2.6179648395954868E-6</v>
      </c>
      <c r="Y350">
        <v>2.6176737029475771E-6</v>
      </c>
      <c r="Z350">
        <v>2.6175018053534512E-6</v>
      </c>
      <c r="AA350">
        <v>2.6179162592167178E-6</v>
      </c>
    </row>
    <row r="351" spans="1:27">
      <c r="A351" t="s">
        <v>3008</v>
      </c>
      <c r="B351" t="s">
        <v>3009</v>
      </c>
      <c r="C351" t="s">
        <v>2354</v>
      </c>
      <c r="D351" t="s">
        <v>2684</v>
      </c>
      <c r="E351" t="s">
        <v>923</v>
      </c>
      <c r="F351">
        <v>1.158476648592016E-10</v>
      </c>
      <c r="G351">
        <v>4.0488941170772122E-17</v>
      </c>
      <c r="H351">
        <v>1.158475546064569E-10</v>
      </c>
      <c r="I351">
        <v>1.1584776115807916E-10</v>
      </c>
      <c r="J351">
        <v>1.1584766942491203E-10</v>
      </c>
      <c r="K351">
        <v>1.1584759884627837E-10</v>
      </c>
      <c r="L351">
        <v>1.1584772846110162E-10</v>
      </c>
      <c r="P351" t="s">
        <v>3008</v>
      </c>
      <c r="Q351" t="s">
        <v>3009</v>
      </c>
      <c r="R351" t="s">
        <v>2354</v>
      </c>
      <c r="S351" t="s">
        <v>2684</v>
      </c>
      <c r="T351" t="s">
        <v>923</v>
      </c>
      <c r="U351">
        <v>1.1584766130692513E-10</v>
      </c>
      <c r="V351">
        <v>3.7481044174453886E-17</v>
      </c>
      <c r="W351">
        <v>1.1584753754045288E-10</v>
      </c>
      <c r="X351">
        <v>1.1584774691615793E-10</v>
      </c>
      <c r="Y351">
        <v>1.1584765891072147E-10</v>
      </c>
      <c r="Z351">
        <v>1.1584760694913262E-10</v>
      </c>
      <c r="AA351">
        <v>1.158477322311725E-10</v>
      </c>
    </row>
    <row r="352" spans="1:27">
      <c r="A352" t="s">
        <v>3010</v>
      </c>
      <c r="B352" t="s">
        <v>3011</v>
      </c>
      <c r="C352" t="s">
        <v>2354</v>
      </c>
      <c r="D352" t="s">
        <v>2684</v>
      </c>
      <c r="E352" t="s">
        <v>923</v>
      </c>
      <c r="F352">
        <v>2.6910128186473523E-2</v>
      </c>
      <c r="G352">
        <v>7.6386385304015597E-8</v>
      </c>
      <c r="H352">
        <v>2.690992018378445E-2</v>
      </c>
      <c r="I352">
        <v>2.6910309863814274E-2</v>
      </c>
      <c r="J352">
        <v>2.6910136800136965E-2</v>
      </c>
      <c r="K352">
        <v>2.6910003646575798E-2</v>
      </c>
      <c r="L352">
        <v>2.6910248177737722E-2</v>
      </c>
      <c r="P352" t="s">
        <v>3010</v>
      </c>
      <c r="Q352" t="s">
        <v>3011</v>
      </c>
      <c r="R352" t="s">
        <v>2354</v>
      </c>
      <c r="S352" t="s">
        <v>2684</v>
      </c>
      <c r="T352" t="s">
        <v>923</v>
      </c>
      <c r="U352">
        <v>2.6910121484753108E-2</v>
      </c>
      <c r="V352">
        <v>7.0711690627900367E-8</v>
      </c>
      <c r="W352">
        <v>2.6909887987082791E-2</v>
      </c>
      <c r="X352">
        <v>2.6910282995023668E-2</v>
      </c>
      <c r="Y352">
        <v>2.6910116964078332E-2</v>
      </c>
      <c r="Z352">
        <v>2.6910018933410402E-2</v>
      </c>
      <c r="AA352">
        <v>2.6910255290348666E-2</v>
      </c>
    </row>
    <row r="353" spans="1:27">
      <c r="A353" t="s">
        <v>3012</v>
      </c>
      <c r="B353" t="s">
        <v>3013</v>
      </c>
      <c r="C353" t="s">
        <v>2354</v>
      </c>
      <c r="D353" t="s">
        <v>2684</v>
      </c>
      <c r="E353" t="s">
        <v>923</v>
      </c>
      <c r="F353">
        <v>0.50898004631330485</v>
      </c>
      <c r="G353">
        <v>6.1298703585852737E-7</v>
      </c>
      <c r="H353">
        <v>0.50897837712904759</v>
      </c>
      <c r="I353">
        <v>0.50898150424136557</v>
      </c>
      <c r="J353">
        <v>0.50898011543640842</v>
      </c>
      <c r="K353">
        <v>0.50897904690297224</v>
      </c>
      <c r="L353">
        <v>0.50898100922166978</v>
      </c>
      <c r="P353" t="s">
        <v>3012</v>
      </c>
      <c r="Q353" t="s">
        <v>3013</v>
      </c>
      <c r="R353" t="s">
        <v>2354</v>
      </c>
      <c r="S353" t="s">
        <v>2684</v>
      </c>
      <c r="T353" t="s">
        <v>923</v>
      </c>
      <c r="U353">
        <v>0.50897999253320092</v>
      </c>
      <c r="V353">
        <v>5.6744862931470246E-7</v>
      </c>
      <c r="W353">
        <v>0.50897811875629384</v>
      </c>
      <c r="X353">
        <v>0.50898128862414216</v>
      </c>
      <c r="Y353">
        <v>0.50897995625559722</v>
      </c>
      <c r="Z353">
        <v>0.5089791695770769</v>
      </c>
      <c r="AA353">
        <v>0.50898106629909634</v>
      </c>
    </row>
    <row r="354" spans="1:27">
      <c r="A354" t="s">
        <v>3014</v>
      </c>
      <c r="B354" t="s">
        <v>3015</v>
      </c>
      <c r="C354" t="s">
        <v>2354</v>
      </c>
      <c r="D354" t="s">
        <v>2684</v>
      </c>
      <c r="E354" t="s">
        <v>923</v>
      </c>
      <c r="F354">
        <v>1.3214439939138938E-2</v>
      </c>
      <c r="G354">
        <v>3.8018580277725219E-8</v>
      </c>
      <c r="H354">
        <v>1.3214336413269757E-2</v>
      </c>
      <c r="I354">
        <v>1.3214530362511334E-2</v>
      </c>
      <c r="J354">
        <v>1.3214444226280606E-2</v>
      </c>
      <c r="K354">
        <v>1.3214377953877032E-2</v>
      </c>
      <c r="L354">
        <v>1.3214499660481854E-2</v>
      </c>
      <c r="P354" t="s">
        <v>3014</v>
      </c>
      <c r="Q354" t="s">
        <v>3015</v>
      </c>
      <c r="R354" t="s">
        <v>2354</v>
      </c>
      <c r="S354" t="s">
        <v>2684</v>
      </c>
      <c r="T354" t="s">
        <v>923</v>
      </c>
      <c r="U354">
        <v>1.3214436603598254E-2</v>
      </c>
      <c r="V354">
        <v>3.5194204778947443E-8</v>
      </c>
      <c r="W354">
        <v>1.3214320388517678E-2</v>
      </c>
      <c r="X354">
        <v>1.3214516989535659E-2</v>
      </c>
      <c r="Y354">
        <v>1.3214434353594729E-2</v>
      </c>
      <c r="Z354">
        <v>1.3214385562350012E-2</v>
      </c>
      <c r="AA354">
        <v>1.3214503200528541E-2</v>
      </c>
    </row>
    <row r="355" spans="1:27">
      <c r="A355" t="s">
        <v>3016</v>
      </c>
      <c r="B355" t="s">
        <v>3017</v>
      </c>
      <c r="C355" t="s">
        <v>2354</v>
      </c>
      <c r="D355" t="s">
        <v>2684</v>
      </c>
      <c r="E355" t="s">
        <v>923</v>
      </c>
      <c r="F355">
        <v>9.0437827749278416E-2</v>
      </c>
      <c r="G355">
        <v>8.7075480543535257E-8</v>
      </c>
      <c r="H355">
        <v>9.0437590639824483E-2</v>
      </c>
      <c r="I355">
        <v>9.0438034849557938E-2</v>
      </c>
      <c r="J355">
        <v>9.0437837568291032E-2</v>
      </c>
      <c r="K355">
        <v>9.0437685781944832E-2</v>
      </c>
      <c r="L355">
        <v>9.043796453146738E-2</v>
      </c>
      <c r="P355" t="s">
        <v>3016</v>
      </c>
      <c r="Q355" t="s">
        <v>3017</v>
      </c>
      <c r="R355" t="s">
        <v>2354</v>
      </c>
      <c r="S355" t="s">
        <v>2684</v>
      </c>
      <c r="T355" t="s">
        <v>923</v>
      </c>
      <c r="U355">
        <v>9.0437820109755637E-2</v>
      </c>
      <c r="V355">
        <v>8.0606699962982343E-8</v>
      </c>
      <c r="W355">
        <v>9.0437553937691539E-2</v>
      </c>
      <c r="X355">
        <v>9.043800422089493E-2</v>
      </c>
      <c r="Y355">
        <v>9.043781495648226E-2</v>
      </c>
      <c r="Z355">
        <v>9.0437703207935927E-2</v>
      </c>
      <c r="AA355">
        <v>9.0437972639378417E-2</v>
      </c>
    </row>
    <row r="356" spans="1:27">
      <c r="A356" t="s">
        <v>3018</v>
      </c>
      <c r="B356" t="s">
        <v>3019</v>
      </c>
      <c r="C356" t="s">
        <v>2354</v>
      </c>
      <c r="D356" t="s">
        <v>2684</v>
      </c>
      <c r="E356" t="s">
        <v>923</v>
      </c>
      <c r="F356">
        <v>7.9458385038160606E-2</v>
      </c>
      <c r="G356">
        <v>2.2556567825308944E-7</v>
      </c>
      <c r="H356">
        <v>7.9457770815253598E-2</v>
      </c>
      <c r="I356">
        <v>7.9458921523457418E-2</v>
      </c>
      <c r="J356">
        <v>7.9458410473934676E-2</v>
      </c>
      <c r="K356">
        <v>7.9458017277251575E-2</v>
      </c>
      <c r="L356">
        <v>7.9458739367152462E-2</v>
      </c>
      <c r="P356" t="s">
        <v>3018</v>
      </c>
      <c r="Q356" t="s">
        <v>3019</v>
      </c>
      <c r="R356" t="s">
        <v>2354</v>
      </c>
      <c r="S356" t="s">
        <v>2684</v>
      </c>
      <c r="T356" t="s">
        <v>923</v>
      </c>
      <c r="U356">
        <v>7.9458365248271309E-2</v>
      </c>
      <c r="V356">
        <v>2.0880855133326603E-7</v>
      </c>
      <c r="W356">
        <v>7.9457675739791941E-2</v>
      </c>
      <c r="X356">
        <v>7.9458842181085704E-2</v>
      </c>
      <c r="Y356">
        <v>7.945835189891505E-2</v>
      </c>
      <c r="Z356">
        <v>7.9458062418610226E-2</v>
      </c>
      <c r="AA356">
        <v>7.9458760370383658E-2</v>
      </c>
    </row>
    <row r="357" spans="1:27">
      <c r="A357" t="s">
        <v>3020</v>
      </c>
      <c r="B357" t="s">
        <v>3021</v>
      </c>
      <c r="C357" t="s">
        <v>2354</v>
      </c>
      <c r="D357" t="s">
        <v>2684</v>
      </c>
      <c r="E357" t="s">
        <v>923</v>
      </c>
      <c r="F357">
        <v>9.7270608930720998E-3</v>
      </c>
      <c r="G357">
        <v>3.1328654952449802E-8</v>
      </c>
      <c r="H357">
        <v>9.7269755840939491E-3</v>
      </c>
      <c r="I357">
        <v>9.7271354051294348E-3</v>
      </c>
      <c r="J357">
        <v>9.7270644258284807E-3</v>
      </c>
      <c r="K357">
        <v>9.7270098150237308E-3</v>
      </c>
      <c r="L357">
        <v>9.7271101055711427E-3</v>
      </c>
      <c r="P357" t="s">
        <v>3020</v>
      </c>
      <c r="Q357" t="s">
        <v>3021</v>
      </c>
      <c r="R357" t="s">
        <v>2354</v>
      </c>
      <c r="S357" t="s">
        <v>2684</v>
      </c>
      <c r="T357" t="s">
        <v>923</v>
      </c>
      <c r="U357">
        <v>9.7270581444685936E-3</v>
      </c>
      <c r="V357">
        <v>2.9001269636941651E-8</v>
      </c>
      <c r="W357">
        <v>9.7269623791314038E-3</v>
      </c>
      <c r="X357">
        <v>9.7271243853244444E-3</v>
      </c>
      <c r="Y357">
        <v>9.7270562903860984E-3</v>
      </c>
      <c r="Z357">
        <v>9.7270160846745935E-3</v>
      </c>
      <c r="AA357">
        <v>9.7271130226948312E-3</v>
      </c>
    </row>
    <row r="358" spans="1:27">
      <c r="A358" t="s">
        <v>3022</v>
      </c>
      <c r="B358" t="s">
        <v>3023</v>
      </c>
      <c r="C358" t="s">
        <v>2354</v>
      </c>
      <c r="D358" t="s">
        <v>2684</v>
      </c>
      <c r="E358" t="s">
        <v>923</v>
      </c>
      <c r="F358">
        <v>5.7040651937899428E-3</v>
      </c>
      <c r="G358">
        <v>1.6048213037846618E-8</v>
      </c>
      <c r="H358">
        <v>5.70402149396761E-3</v>
      </c>
      <c r="I358">
        <v>5.7041033628518392E-3</v>
      </c>
      <c r="J358">
        <v>5.7040670034567524E-3</v>
      </c>
      <c r="K358">
        <v>5.7040390288810756E-3</v>
      </c>
      <c r="L358">
        <v>5.704090403064647E-3</v>
      </c>
      <c r="P358" t="s">
        <v>3022</v>
      </c>
      <c r="Q358" t="s">
        <v>3023</v>
      </c>
      <c r="R358" t="s">
        <v>2354</v>
      </c>
      <c r="S358" t="s">
        <v>2684</v>
      </c>
      <c r="T358" t="s">
        <v>923</v>
      </c>
      <c r="U358">
        <v>5.7040637858081864E-3</v>
      </c>
      <c r="V358">
        <v>1.4856001772351341E-8</v>
      </c>
      <c r="W358">
        <v>5.7040147296793763E-3</v>
      </c>
      <c r="X358">
        <v>5.704097717918204E-3</v>
      </c>
      <c r="Y358">
        <v>5.7040628360479472E-3</v>
      </c>
      <c r="Z358">
        <v>5.7040422405316513E-3</v>
      </c>
      <c r="AA358">
        <v>5.7040918973714555E-3</v>
      </c>
    </row>
    <row r="359" spans="1:27">
      <c r="A359" t="s">
        <v>3024</v>
      </c>
      <c r="B359" t="s">
        <v>3025</v>
      </c>
      <c r="C359" t="s">
        <v>2354</v>
      </c>
      <c r="D359" t="s">
        <v>2684</v>
      </c>
      <c r="E359" t="s">
        <v>923</v>
      </c>
      <c r="F359">
        <v>4.8248907281020156E-4</v>
      </c>
      <c r="G359">
        <v>5.0771680628020119E-10</v>
      </c>
      <c r="H359">
        <v>4.8248769028030988E-4</v>
      </c>
      <c r="I359">
        <v>4.8249028036360063E-4</v>
      </c>
      <c r="J359">
        <v>4.8248913006257281E-4</v>
      </c>
      <c r="K359">
        <v>4.8248824503181048E-4</v>
      </c>
      <c r="L359">
        <v>4.8248987035522475E-4</v>
      </c>
      <c r="P359" t="s">
        <v>3024</v>
      </c>
      <c r="Q359" t="s">
        <v>3025</v>
      </c>
      <c r="R359" t="s">
        <v>2354</v>
      </c>
      <c r="S359" t="s">
        <v>2684</v>
      </c>
      <c r="T359" t="s">
        <v>923</v>
      </c>
      <c r="U359">
        <v>4.8248902826592737E-4</v>
      </c>
      <c r="V359">
        <v>4.6999885633189748E-10</v>
      </c>
      <c r="W359">
        <v>4.8248747627873789E-4</v>
      </c>
      <c r="X359">
        <v>4.8249010177501444E-4</v>
      </c>
      <c r="Y359">
        <v>4.8248899821839276E-4</v>
      </c>
      <c r="Z359">
        <v>4.8248834663869772E-4</v>
      </c>
      <c r="AA359">
        <v>4.8248991763056182E-4</v>
      </c>
    </row>
    <row r="360" spans="1:27">
      <c r="A360" t="s">
        <v>3026</v>
      </c>
      <c r="B360" t="s">
        <v>3027</v>
      </c>
      <c r="C360" t="s">
        <v>2354</v>
      </c>
      <c r="D360" t="s">
        <v>2684</v>
      </c>
      <c r="E360" t="s">
        <v>923</v>
      </c>
      <c r="F360">
        <v>1.2006653909921764E-2</v>
      </c>
      <c r="G360">
        <v>1.3060851848122079E-8</v>
      </c>
      <c r="H360">
        <v>1.2006618344784139E-2</v>
      </c>
      <c r="I360">
        <v>1.2006684973845293E-2</v>
      </c>
      <c r="J360">
        <v>1.2006655382720634E-2</v>
      </c>
      <c r="K360">
        <v>1.2006632615588396E-2</v>
      </c>
      <c r="L360">
        <v>1.200667442651145E-2</v>
      </c>
      <c r="P360" t="s">
        <v>3026</v>
      </c>
      <c r="Q360" t="s">
        <v>3027</v>
      </c>
      <c r="R360" t="s">
        <v>2354</v>
      </c>
      <c r="S360" t="s">
        <v>2684</v>
      </c>
      <c r="T360" t="s">
        <v>923</v>
      </c>
      <c r="U360">
        <v>1.2006652764034611E-2</v>
      </c>
      <c r="V360">
        <v>1.2090569694455024E-8</v>
      </c>
      <c r="W360">
        <v>1.2006612839662398E-2</v>
      </c>
      <c r="X360">
        <v>1.2006680379711246E-2</v>
      </c>
      <c r="Y360">
        <v>1.200665199107143E-2</v>
      </c>
      <c r="Z360">
        <v>1.2006635229392954E-2</v>
      </c>
      <c r="AA360">
        <v>1.2006675642654318E-2</v>
      </c>
    </row>
    <row r="361" spans="1:27">
      <c r="A361" t="s">
        <v>3028</v>
      </c>
      <c r="B361" t="s">
        <v>3029</v>
      </c>
      <c r="C361" t="s">
        <v>2354</v>
      </c>
      <c r="D361" t="s">
        <v>2684</v>
      </c>
      <c r="E361" t="s">
        <v>923</v>
      </c>
      <c r="F361">
        <v>1.9521702866631136E-3</v>
      </c>
      <c r="G361">
        <v>2.2419936518705494E-9</v>
      </c>
      <c r="H361">
        <v>1.9521641816392062E-3</v>
      </c>
      <c r="I361">
        <v>1.9521756190196981E-3</v>
      </c>
      <c r="J361">
        <v>1.9521705394801396E-3</v>
      </c>
      <c r="K361">
        <v>1.9521666313303079E-3</v>
      </c>
      <c r="L361">
        <v>1.9521738084903547E-3</v>
      </c>
      <c r="P361" t="s">
        <v>3028</v>
      </c>
      <c r="Q361" t="s">
        <v>3029</v>
      </c>
      <c r="R361" t="s">
        <v>2354</v>
      </c>
      <c r="S361" t="s">
        <v>2684</v>
      </c>
      <c r="T361" t="s">
        <v>923</v>
      </c>
      <c r="U361">
        <v>1.9521700899629481E-3</v>
      </c>
      <c r="V361">
        <v>2.0754374077272661E-9</v>
      </c>
      <c r="W361">
        <v>1.9521632366435707E-3</v>
      </c>
      <c r="X361">
        <v>1.9521748304019658E-3</v>
      </c>
      <c r="Y361">
        <v>1.9521699572779925E-3</v>
      </c>
      <c r="Z361">
        <v>1.952167080009559E-3</v>
      </c>
      <c r="AA361">
        <v>1.9521740172504436E-3</v>
      </c>
    </row>
    <row r="362" spans="1:27">
      <c r="A362" t="s">
        <v>3030</v>
      </c>
      <c r="B362" t="s">
        <v>3031</v>
      </c>
      <c r="C362" t="s">
        <v>2354</v>
      </c>
      <c r="D362" t="s">
        <v>2684</v>
      </c>
      <c r="E362" t="s">
        <v>923</v>
      </c>
      <c r="F362">
        <v>2.3397699525238511E-4</v>
      </c>
      <c r="G362">
        <v>6.1932972379290007E-10</v>
      </c>
      <c r="H362">
        <v>2.3397530879677592E-4</v>
      </c>
      <c r="I362">
        <v>2.3397846826589178E-4</v>
      </c>
      <c r="J362">
        <v>2.3397706509071809E-4</v>
      </c>
      <c r="K362">
        <v>2.3397598550097275E-4</v>
      </c>
      <c r="L362">
        <v>2.3397796812413746E-4</v>
      </c>
      <c r="P362" t="s">
        <v>3030</v>
      </c>
      <c r="Q362" t="s">
        <v>3031</v>
      </c>
      <c r="R362" t="s">
        <v>2354</v>
      </c>
      <c r="S362" t="s">
        <v>2684</v>
      </c>
      <c r="T362" t="s">
        <v>923</v>
      </c>
      <c r="U362">
        <v>2.3397694091580897E-4</v>
      </c>
      <c r="V362">
        <v>5.7332012309787221E-10</v>
      </c>
      <c r="W362">
        <v>2.3397504775059258E-4</v>
      </c>
      <c r="X362">
        <v>2.3397825041763783E-4</v>
      </c>
      <c r="Y362">
        <v>2.339769042628341E-4</v>
      </c>
      <c r="Z362">
        <v>2.3397610944440867E-4</v>
      </c>
      <c r="AA362">
        <v>2.3397802579215452E-4</v>
      </c>
    </row>
    <row r="363" spans="1:27">
      <c r="A363" t="s">
        <v>3032</v>
      </c>
      <c r="B363" t="s">
        <v>3033</v>
      </c>
      <c r="C363" t="s">
        <v>2354</v>
      </c>
      <c r="D363" t="s">
        <v>2684</v>
      </c>
      <c r="E363" t="s">
        <v>923</v>
      </c>
      <c r="F363">
        <v>1.1047951031386191E-2</v>
      </c>
      <c r="G363">
        <v>3.1920075067645955E-8</v>
      </c>
      <c r="H363">
        <v>1.1047864111951227E-2</v>
      </c>
      <c r="I363">
        <v>1.1048026950076829E-2</v>
      </c>
      <c r="J363">
        <v>1.1047954630833691E-2</v>
      </c>
      <c r="K363">
        <v>1.104789898909006E-2</v>
      </c>
      <c r="L363">
        <v>1.1048001172915279E-2</v>
      </c>
      <c r="P363" t="s">
        <v>3032</v>
      </c>
      <c r="Q363" t="s">
        <v>3033</v>
      </c>
      <c r="R363" t="s">
        <v>2354</v>
      </c>
      <c r="S363" t="s">
        <v>2684</v>
      </c>
      <c r="T363" t="s">
        <v>923</v>
      </c>
      <c r="U363">
        <v>1.1047948230894738E-2</v>
      </c>
      <c r="V363">
        <v>2.9548753538038967E-8</v>
      </c>
      <c r="W363">
        <v>1.104785065770634E-2</v>
      </c>
      <c r="X363">
        <v>1.1048015722240746E-2</v>
      </c>
      <c r="Y363">
        <v>1.1047946341811006E-2</v>
      </c>
      <c r="Z363">
        <v>1.1047905377098946E-2</v>
      </c>
      <c r="AA363">
        <v>1.1048004145108221E-2</v>
      </c>
    </row>
    <row r="364" spans="1:27">
      <c r="A364" t="s">
        <v>3034</v>
      </c>
      <c r="B364" t="s">
        <v>3035</v>
      </c>
      <c r="C364" t="s">
        <v>2354</v>
      </c>
      <c r="D364" t="s">
        <v>2684</v>
      </c>
      <c r="E364" t="s">
        <v>923</v>
      </c>
      <c r="F364">
        <v>0.12943592458629574</v>
      </c>
      <c r="G364">
        <v>1.0758797940954962E-7</v>
      </c>
      <c r="H364">
        <v>0.12943563162061947</v>
      </c>
      <c r="I364">
        <v>0.12943618047349237</v>
      </c>
      <c r="J364">
        <v>0.12943593671838763</v>
      </c>
      <c r="K364">
        <v>0.12943574917550887</v>
      </c>
      <c r="L364">
        <v>0.12943609359046593</v>
      </c>
      <c r="P364" t="s">
        <v>3034</v>
      </c>
      <c r="Q364" t="s">
        <v>3035</v>
      </c>
      <c r="R364" t="s">
        <v>2354</v>
      </c>
      <c r="S364" t="s">
        <v>2684</v>
      </c>
      <c r="T364" t="s">
        <v>923</v>
      </c>
      <c r="U364">
        <v>0.12943591514711944</v>
      </c>
      <c r="V364">
        <v>9.9595338685244937E-8</v>
      </c>
      <c r="W364">
        <v>0.12943558627251114</v>
      </c>
      <c r="X364">
        <v>0.12943614262959022</v>
      </c>
      <c r="Y364">
        <v>0.12943590877988184</v>
      </c>
      <c r="Z364">
        <v>0.12943577070656628</v>
      </c>
      <c r="AA364">
        <v>0.12943610360836949</v>
      </c>
    </row>
    <row r="365" spans="1:27">
      <c r="A365" t="s">
        <v>3036</v>
      </c>
      <c r="B365" t="s">
        <v>3037</v>
      </c>
      <c r="C365" t="s">
        <v>2354</v>
      </c>
      <c r="D365" t="s">
        <v>2684</v>
      </c>
      <c r="E365" t="s">
        <v>923</v>
      </c>
      <c r="F365">
        <v>1.1357994117162876E-4</v>
      </c>
      <c r="G365">
        <v>2.6745174254997231E-10</v>
      </c>
      <c r="H365">
        <v>1.1357921289156387E-4</v>
      </c>
      <c r="I365">
        <v>1.1358057727872002E-4</v>
      </c>
      <c r="J365">
        <v>1.1357997133065892E-4</v>
      </c>
      <c r="K365">
        <v>1.135795051199354E-4</v>
      </c>
      <c r="L365">
        <v>1.1358036129718615E-4</v>
      </c>
      <c r="P365" t="s">
        <v>3036</v>
      </c>
      <c r="Q365" t="s">
        <v>3037</v>
      </c>
      <c r="R365" t="s">
        <v>2354</v>
      </c>
      <c r="S365" t="s">
        <v>2684</v>
      </c>
      <c r="T365" t="s">
        <v>923</v>
      </c>
      <c r="U365">
        <v>1.1357991770688702E-4</v>
      </c>
      <c r="V365">
        <v>2.4758292726908478E-10</v>
      </c>
      <c r="W365">
        <v>1.1357910016121371E-4</v>
      </c>
      <c r="X365">
        <v>1.1358048320299122E-4</v>
      </c>
      <c r="Y365">
        <v>1.1357990187864303E-4</v>
      </c>
      <c r="Z365">
        <v>1.1357955864374773E-4</v>
      </c>
      <c r="AA365">
        <v>1.1358038620057938E-4</v>
      </c>
    </row>
    <row r="366" spans="1:27">
      <c r="A366" t="s">
        <v>3038</v>
      </c>
      <c r="B366" t="s">
        <v>3039</v>
      </c>
      <c r="C366" t="s">
        <v>2354</v>
      </c>
      <c r="D366" t="s">
        <v>2684</v>
      </c>
      <c r="E366" t="s">
        <v>923</v>
      </c>
      <c r="F366">
        <v>3.1620727698965678E-18</v>
      </c>
      <c r="G366">
        <v>8.3520004510618486E-24</v>
      </c>
      <c r="H366">
        <v>3.1620500271192257E-18</v>
      </c>
      <c r="I366">
        <v>3.1620926342902799E-18</v>
      </c>
      <c r="J366">
        <v>3.1620737117047273E-18</v>
      </c>
      <c r="K366">
        <v>3.1620591528458617E-18</v>
      </c>
      <c r="L366">
        <v>3.1620858896048611E-18</v>
      </c>
      <c r="P366" t="s">
        <v>3038</v>
      </c>
      <c r="Q366" t="s">
        <v>3039</v>
      </c>
      <c r="R366" t="s">
        <v>2354</v>
      </c>
      <c r="S366" t="s">
        <v>2684</v>
      </c>
      <c r="T366" t="s">
        <v>923</v>
      </c>
      <c r="U366">
        <v>3.1620720371380835E-18</v>
      </c>
      <c r="V366">
        <v>7.7315357922915474E-24</v>
      </c>
      <c r="W366">
        <v>3.1620465067685027E-18</v>
      </c>
      <c r="X366">
        <v>3.1620896964872884E-18</v>
      </c>
      <c r="Y366">
        <v>3.1620715428526477E-18</v>
      </c>
      <c r="Z366">
        <v>3.1620608242909629E-18</v>
      </c>
      <c r="AA366">
        <v>3.1620866672896484E-18</v>
      </c>
    </row>
    <row r="367" spans="1:27">
      <c r="A367" t="s">
        <v>3040</v>
      </c>
      <c r="B367" t="s">
        <v>3041</v>
      </c>
      <c r="C367" t="s">
        <v>2354</v>
      </c>
      <c r="D367" t="s">
        <v>2684</v>
      </c>
      <c r="E367" t="s">
        <v>923</v>
      </c>
      <c r="F367">
        <v>3.0715732471423903E-7</v>
      </c>
      <c r="G367">
        <v>1.6785211188196129E-12</v>
      </c>
      <c r="H367">
        <v>3.0715275404493735E-7</v>
      </c>
      <c r="I367">
        <v>3.0716131690803178E-7</v>
      </c>
      <c r="J367">
        <v>3.0715751399163368E-7</v>
      </c>
      <c r="K367">
        <v>3.0715458806362214E-7</v>
      </c>
      <c r="L367">
        <v>3.0715996141278464E-7</v>
      </c>
      <c r="P367" t="s">
        <v>3040</v>
      </c>
      <c r="Q367" t="s">
        <v>3041</v>
      </c>
      <c r="R367" t="s">
        <v>2354</v>
      </c>
      <c r="S367" t="s">
        <v>2684</v>
      </c>
      <c r="T367" t="s">
        <v>923</v>
      </c>
      <c r="U367">
        <v>3.0715717745004765E-7</v>
      </c>
      <c r="V367">
        <v>1.553824881147764E-12</v>
      </c>
      <c r="W367">
        <v>3.0715204655179602E-7</v>
      </c>
      <c r="X367">
        <v>3.0716072649087448E-7</v>
      </c>
      <c r="Y367">
        <v>3.0715707811234457E-7</v>
      </c>
      <c r="Z367">
        <v>3.0715492397786419E-7</v>
      </c>
      <c r="AA367">
        <v>3.0716011770592028E-7</v>
      </c>
    </row>
    <row r="368" spans="1:27">
      <c r="A368" t="s">
        <v>3042</v>
      </c>
      <c r="B368" t="s">
        <v>3043</v>
      </c>
      <c r="C368" t="s">
        <v>2354</v>
      </c>
      <c r="D368" t="s">
        <v>2684</v>
      </c>
      <c r="E368" t="s">
        <v>923</v>
      </c>
      <c r="F368">
        <v>1.8571189815891018E-5</v>
      </c>
      <c r="G368">
        <v>1.9796394443524381E-11</v>
      </c>
      <c r="H368">
        <v>1.8571135909645011E-5</v>
      </c>
      <c r="I368">
        <v>1.8571236899625705E-5</v>
      </c>
      <c r="J368">
        <v>1.8571192048219181E-5</v>
      </c>
      <c r="K368">
        <v>1.8571157539969997E-5</v>
      </c>
      <c r="L368">
        <v>1.8571220912982293E-5</v>
      </c>
      <c r="P368" t="s">
        <v>3042</v>
      </c>
      <c r="Q368" t="s">
        <v>3043</v>
      </c>
      <c r="R368" t="s">
        <v>2354</v>
      </c>
      <c r="S368" t="s">
        <v>2684</v>
      </c>
      <c r="T368" t="s">
        <v>923</v>
      </c>
      <c r="U368">
        <v>1.8571188079064478E-5</v>
      </c>
      <c r="V368">
        <v>1.8325733229138615E-11</v>
      </c>
      <c r="W368">
        <v>1.8571127565506151E-5</v>
      </c>
      <c r="X368">
        <v>1.8571229936275168E-5</v>
      </c>
      <c r="Y368">
        <v>1.8571186907480564E-5</v>
      </c>
      <c r="Z368">
        <v>1.8571161501725834E-5</v>
      </c>
      <c r="AA368">
        <v>1.8571222756295748E-5</v>
      </c>
    </row>
    <row r="369" spans="1:27">
      <c r="A369" t="s">
        <v>3044</v>
      </c>
      <c r="B369" t="s">
        <v>3045</v>
      </c>
      <c r="C369" t="s">
        <v>2354</v>
      </c>
      <c r="D369" t="s">
        <v>2684</v>
      </c>
      <c r="E369" t="s">
        <v>923</v>
      </c>
      <c r="F369">
        <v>1.1140552635019615E-10</v>
      </c>
      <c r="G369">
        <v>1.4291445453720975E-17</v>
      </c>
      <c r="H369">
        <v>1.1140548743411085E-10</v>
      </c>
      <c r="I369">
        <v>1.1140556034096288E-10</v>
      </c>
      <c r="J369">
        <v>1.1140552796176214E-10</v>
      </c>
      <c r="K369">
        <v>1.1140550304951044E-10</v>
      </c>
      <c r="L369">
        <v>1.1140554879985913E-10</v>
      </c>
      <c r="P369" t="s">
        <v>3044</v>
      </c>
      <c r="Q369" t="s">
        <v>3045</v>
      </c>
      <c r="R369" t="s">
        <v>2354</v>
      </c>
      <c r="S369" t="s">
        <v>2684</v>
      </c>
      <c r="T369" t="s">
        <v>923</v>
      </c>
      <c r="U369">
        <v>1.1140552509634343E-10</v>
      </c>
      <c r="V369">
        <v>1.3229743304658054E-17</v>
      </c>
      <c r="W369">
        <v>1.1140548141029647E-10</v>
      </c>
      <c r="X369">
        <v>1.1140555531396947E-10</v>
      </c>
      <c r="Y369">
        <v>1.114055242505517E-10</v>
      </c>
      <c r="Z369">
        <v>1.114055059095877E-10</v>
      </c>
      <c r="AA369">
        <v>1.1140555013058699E-10</v>
      </c>
    </row>
    <row r="370" spans="1:27">
      <c r="A370" t="s">
        <v>3046</v>
      </c>
      <c r="B370" t="s">
        <v>2659</v>
      </c>
      <c r="C370" t="s">
        <v>2354</v>
      </c>
      <c r="D370" t="s">
        <v>2684</v>
      </c>
      <c r="E370" t="s">
        <v>923</v>
      </c>
      <c r="F370">
        <v>1.041390930107861E-6</v>
      </c>
      <c r="G370">
        <v>5.4473910581586584E-13</v>
      </c>
      <c r="H370">
        <v>1.0413894467650058E-6</v>
      </c>
      <c r="I370">
        <v>1.0413922257150787E-6</v>
      </c>
      <c r="J370">
        <v>1.0413909915350287E-6</v>
      </c>
      <c r="K370">
        <v>1.0413900419685378E-6</v>
      </c>
      <c r="L370">
        <v>1.0413917858092231E-6</v>
      </c>
      <c r="P370" t="s">
        <v>3046</v>
      </c>
      <c r="Q370" t="s">
        <v>2659</v>
      </c>
      <c r="R370" t="s">
        <v>2354</v>
      </c>
      <c r="S370" t="s">
        <v>2684</v>
      </c>
      <c r="T370" t="s">
        <v>923</v>
      </c>
      <c r="U370">
        <v>1.0413908823154542E-6</v>
      </c>
      <c r="V370">
        <v>5.0427079342960896E-13</v>
      </c>
      <c r="W370">
        <v>1.0413892171586121E-6</v>
      </c>
      <c r="X370">
        <v>1.041392034103957E-6</v>
      </c>
      <c r="Y370">
        <v>1.0413908500768775E-6</v>
      </c>
      <c r="Z370">
        <v>1.0413901509845174E-6</v>
      </c>
      <c r="AA370">
        <v>1.0413918365318396E-6</v>
      </c>
    </row>
    <row r="371" spans="1:27">
      <c r="A371" t="s">
        <v>3047</v>
      </c>
      <c r="B371" t="s">
        <v>2661</v>
      </c>
      <c r="C371" t="s">
        <v>2354</v>
      </c>
      <c r="D371" t="s">
        <v>2684</v>
      </c>
      <c r="E371" t="s">
        <v>923</v>
      </c>
      <c r="F371">
        <v>2.1174805988352357E-5</v>
      </c>
      <c r="G371">
        <v>1.6443496805171307E-15</v>
      </c>
      <c r="H371">
        <v>2.1174805983874738E-5</v>
      </c>
      <c r="I371">
        <v>2.1174805992263278E-5</v>
      </c>
      <c r="J371">
        <v>2.1174805988537783E-5</v>
      </c>
      <c r="K371">
        <v>2.117480598567142E-5</v>
      </c>
      <c r="L371">
        <v>2.1174805990935378E-5</v>
      </c>
      <c r="P371" t="s">
        <v>3047</v>
      </c>
      <c r="Q371" t="s">
        <v>2661</v>
      </c>
      <c r="R371" t="s">
        <v>2354</v>
      </c>
      <c r="S371" t="s">
        <v>2684</v>
      </c>
      <c r="T371" t="s">
        <v>923</v>
      </c>
      <c r="U371">
        <v>2.1174805988208098E-5</v>
      </c>
      <c r="V371">
        <v>1.5221919578647214E-15</v>
      </c>
      <c r="W371">
        <v>2.1174805983181648E-5</v>
      </c>
      <c r="X371">
        <v>2.117480599168488E-5</v>
      </c>
      <c r="Y371">
        <v>2.1174805988110777E-5</v>
      </c>
      <c r="Z371">
        <v>2.1174805986000496E-5</v>
      </c>
      <c r="AA371">
        <v>2.1174805991088491E-5</v>
      </c>
    </row>
    <row r="372" spans="1:27">
      <c r="A372" t="s">
        <v>3048</v>
      </c>
      <c r="B372" t="s">
        <v>3049</v>
      </c>
      <c r="C372" t="s">
        <v>2354</v>
      </c>
      <c r="D372" t="s">
        <v>2684</v>
      </c>
      <c r="E372" t="s">
        <v>923</v>
      </c>
      <c r="F372">
        <v>8.4420509289816721E-6</v>
      </c>
      <c r="G372">
        <v>7.961859959516327E-12</v>
      </c>
      <c r="H372">
        <v>8.4420292485699744E-6</v>
      </c>
      <c r="I372">
        <v>8.4420698654654347E-6</v>
      </c>
      <c r="J372">
        <v>8.4420518267958827E-6</v>
      </c>
      <c r="K372">
        <v>8.4420379480136498E-6</v>
      </c>
      <c r="L372">
        <v>8.4420634358392517E-6</v>
      </c>
      <c r="P372" t="s">
        <v>3048</v>
      </c>
      <c r="Q372" t="s">
        <v>3049</v>
      </c>
      <c r="R372" t="s">
        <v>2354</v>
      </c>
      <c r="S372" t="s">
        <v>2684</v>
      </c>
      <c r="T372" t="s">
        <v>923</v>
      </c>
      <c r="U372">
        <v>8.4420502304519676E-6</v>
      </c>
      <c r="V372">
        <v>7.3703785830367906E-12</v>
      </c>
      <c r="W372">
        <v>8.4420258926626526E-6</v>
      </c>
      <c r="X372">
        <v>8.4420670648937468E-6</v>
      </c>
      <c r="Y372">
        <v>8.442049759255701E-6</v>
      </c>
      <c r="Z372">
        <v>8.4420395413818382E-6</v>
      </c>
      <c r="AA372">
        <v>8.4420641771966565E-6</v>
      </c>
    </row>
    <row r="373" spans="1:27">
      <c r="A373" t="s">
        <v>3050</v>
      </c>
      <c r="B373" t="s">
        <v>2663</v>
      </c>
      <c r="C373" t="s">
        <v>2354</v>
      </c>
      <c r="D373" t="s">
        <v>2684</v>
      </c>
      <c r="E373" t="s">
        <v>923</v>
      </c>
      <c r="F373">
        <v>9.8871514588374485E-5</v>
      </c>
      <c r="G373">
        <v>9.8455591037358329E-11</v>
      </c>
      <c r="H373">
        <v>9.8871246490497985E-5</v>
      </c>
      <c r="I373">
        <v>9.8871748755103122E-5</v>
      </c>
      <c r="J373">
        <v>9.8871525690658209E-5</v>
      </c>
      <c r="K373">
        <v>9.8871354066978003E-5</v>
      </c>
      <c r="L373">
        <v>9.8871669246966922E-5</v>
      </c>
      <c r="P373" t="s">
        <v>3050</v>
      </c>
      <c r="Q373" t="s">
        <v>2663</v>
      </c>
      <c r="R373" t="s">
        <v>2354</v>
      </c>
      <c r="S373" t="s">
        <v>2684</v>
      </c>
      <c r="T373" t="s">
        <v>923</v>
      </c>
      <c r="U373">
        <v>9.8871505950423534E-5</v>
      </c>
      <c r="V373">
        <v>9.1141389481242851E-11</v>
      </c>
      <c r="W373">
        <v>9.8871204991672274E-5</v>
      </c>
      <c r="X373">
        <v>9.8871714123504182E-5</v>
      </c>
      <c r="Y373">
        <v>9.8871500123656067E-5</v>
      </c>
      <c r="Z373">
        <v>9.8871373770415073E-5</v>
      </c>
      <c r="AA373">
        <v>9.8871678414520954E-5</v>
      </c>
    </row>
    <row r="374" spans="1:27">
      <c r="A374" t="s">
        <v>3051</v>
      </c>
      <c r="B374" t="s">
        <v>3052</v>
      </c>
      <c r="C374" t="s">
        <v>2354</v>
      </c>
      <c r="D374" t="s">
        <v>2684</v>
      </c>
      <c r="E374" t="s">
        <v>923</v>
      </c>
      <c r="F374">
        <v>6.0021320078132014E-8</v>
      </c>
      <c r="G374">
        <v>2.9728334183238599E-14</v>
      </c>
      <c r="H374">
        <v>6.0021239126880955E-8</v>
      </c>
      <c r="I374">
        <v>6.002139078398719E-8</v>
      </c>
      <c r="J374">
        <v>6.0021323430429175E-8</v>
      </c>
      <c r="K374">
        <v>6.0021271609236847E-8</v>
      </c>
      <c r="L374">
        <v>6.0021366776773202E-8</v>
      </c>
      <c r="P374" t="s">
        <v>3051</v>
      </c>
      <c r="Q374" t="s">
        <v>3052</v>
      </c>
      <c r="R374" t="s">
        <v>2354</v>
      </c>
      <c r="S374" t="s">
        <v>2684</v>
      </c>
      <c r="T374" t="s">
        <v>923</v>
      </c>
      <c r="U374">
        <v>6.0021317469931792E-8</v>
      </c>
      <c r="V374">
        <v>2.751983565163905E-14</v>
      </c>
      <c r="W374">
        <v>6.0021226596450272E-8</v>
      </c>
      <c r="X374">
        <v>6.0021380327092513E-8</v>
      </c>
      <c r="Y374">
        <v>6.0021315710558969E-8</v>
      </c>
      <c r="Z374">
        <v>6.0021277558623315E-8</v>
      </c>
      <c r="AA374">
        <v>6.0021369544885264E-8</v>
      </c>
    </row>
    <row r="375" spans="1:27">
      <c r="A375" t="s">
        <v>3053</v>
      </c>
      <c r="B375" t="s">
        <v>3054</v>
      </c>
      <c r="C375" t="s">
        <v>2354</v>
      </c>
      <c r="D375" t="s">
        <v>2684</v>
      </c>
      <c r="E375" t="s">
        <v>923</v>
      </c>
      <c r="F375">
        <v>1.0660465186027688E-7</v>
      </c>
      <c r="G375">
        <v>5.4718065084564804E-14</v>
      </c>
      <c r="H375">
        <v>1.0660450286115049E-7</v>
      </c>
      <c r="I375">
        <v>1.066047820016956E-7</v>
      </c>
      <c r="J375">
        <v>1.0660465803052561E-7</v>
      </c>
      <c r="K375">
        <v>1.0660456264827655E-7</v>
      </c>
      <c r="L375">
        <v>1.0660473781394227E-7</v>
      </c>
      <c r="P375" t="s">
        <v>3053</v>
      </c>
      <c r="Q375" t="s">
        <v>3054</v>
      </c>
      <c r="R375" t="s">
        <v>2354</v>
      </c>
      <c r="S375" t="s">
        <v>2684</v>
      </c>
      <c r="T375" t="s">
        <v>923</v>
      </c>
      <c r="U375">
        <v>1.0660464705961546E-7</v>
      </c>
      <c r="V375">
        <v>5.0653095766774859E-14</v>
      </c>
      <c r="W375">
        <v>1.0660447979760048E-7</v>
      </c>
      <c r="X375">
        <v>1.0660476275470247E-7</v>
      </c>
      <c r="Y375">
        <v>1.0660464382130831E-7</v>
      </c>
      <c r="Z375">
        <v>1.0660457359873597E-7</v>
      </c>
      <c r="AA375">
        <v>1.0660474290893803E-7</v>
      </c>
    </row>
    <row r="376" spans="1:27">
      <c r="A376" t="s">
        <v>3055</v>
      </c>
      <c r="B376" t="s">
        <v>3056</v>
      </c>
      <c r="C376" t="s">
        <v>2354</v>
      </c>
      <c r="D376" t="s">
        <v>2684</v>
      </c>
      <c r="E376" t="s">
        <v>923</v>
      </c>
      <c r="F376">
        <v>2.9972716880358322E-7</v>
      </c>
      <c r="G376">
        <v>1.4341025744730697E-13</v>
      </c>
      <c r="H376">
        <v>2.9972677829264238E-7</v>
      </c>
      <c r="I376">
        <v>2.9972750989046807E-7</v>
      </c>
      <c r="J376">
        <v>2.9972718497515208E-7</v>
      </c>
      <c r="K376">
        <v>2.9972693498837225E-7</v>
      </c>
      <c r="L376">
        <v>2.9972739407904323E-7</v>
      </c>
      <c r="P376" t="s">
        <v>3055</v>
      </c>
      <c r="Q376" t="s">
        <v>3056</v>
      </c>
      <c r="R376" t="s">
        <v>2354</v>
      </c>
      <c r="S376" t="s">
        <v>2684</v>
      </c>
      <c r="T376" t="s">
        <v>923</v>
      </c>
      <c r="U376">
        <v>2.9972715622155767E-7</v>
      </c>
      <c r="V376">
        <v>1.3275640308430841E-13</v>
      </c>
      <c r="W376">
        <v>2.9972671784551882E-7</v>
      </c>
      <c r="X376">
        <v>2.9972745944613611E-7</v>
      </c>
      <c r="Y376">
        <v>2.9972714773429739E-7</v>
      </c>
      <c r="Z376">
        <v>2.9972696368836742E-7</v>
      </c>
      <c r="AA376">
        <v>2.9972740743248789E-7</v>
      </c>
    </row>
    <row r="377" spans="1:27">
      <c r="A377" t="s">
        <v>3057</v>
      </c>
      <c r="B377" t="s">
        <v>3058</v>
      </c>
      <c r="C377" t="s">
        <v>2354</v>
      </c>
      <c r="D377" t="s">
        <v>2684</v>
      </c>
      <c r="E377" t="s">
        <v>923</v>
      </c>
      <c r="F377">
        <v>1.1681061661642082E-8</v>
      </c>
      <c r="G377">
        <v>2.6590463656034703E-15</v>
      </c>
      <c r="H377">
        <v>1.1681054420969644E-8</v>
      </c>
      <c r="I377">
        <v>1.1681067985916629E-8</v>
      </c>
      <c r="J377">
        <v>1.1681061961487795E-8</v>
      </c>
      <c r="K377">
        <v>1.1681057326349065E-8</v>
      </c>
      <c r="L377">
        <v>1.1681065838594995E-8</v>
      </c>
      <c r="P377" t="s">
        <v>3057</v>
      </c>
      <c r="Q377" t="s">
        <v>3058</v>
      </c>
      <c r="R377" t="s">
        <v>2354</v>
      </c>
      <c r="S377" t="s">
        <v>2684</v>
      </c>
      <c r="T377" t="s">
        <v>923</v>
      </c>
      <c r="U377">
        <v>1.1681061428352006E-8</v>
      </c>
      <c r="V377">
        <v>2.4615075476530284E-15</v>
      </c>
      <c r="W377">
        <v>1.1681053300187162E-8</v>
      </c>
      <c r="X377">
        <v>1.1681067050601262E-8</v>
      </c>
      <c r="Y377">
        <v>1.1681061270985169E-8</v>
      </c>
      <c r="Z377">
        <v>1.1681057858491042E-8</v>
      </c>
      <c r="AA377">
        <v>1.1681066086188362E-8</v>
      </c>
    </row>
    <row r="378" spans="1:27">
      <c r="A378" t="s">
        <v>3059</v>
      </c>
      <c r="B378" t="s">
        <v>3060</v>
      </c>
      <c r="C378" t="s">
        <v>2354</v>
      </c>
      <c r="D378" t="s">
        <v>2684</v>
      </c>
      <c r="E378" t="s">
        <v>923</v>
      </c>
      <c r="F378">
        <v>4.1625044535940533E-9</v>
      </c>
      <c r="G378">
        <v>5.8197314720086786E-24</v>
      </c>
      <c r="H378">
        <v>4.1625044535940475E-9</v>
      </c>
      <c r="I378">
        <v>4.1625044535940475E-9</v>
      </c>
      <c r="J378">
        <v>4.1625044535940475E-9</v>
      </c>
      <c r="K378">
        <v>4.1625044535940475E-9</v>
      </c>
      <c r="L378">
        <v>4.1625044535940475E-9</v>
      </c>
      <c r="P378" t="s">
        <v>3059</v>
      </c>
      <c r="Q378" t="s">
        <v>3060</v>
      </c>
      <c r="R378" t="s">
        <v>2354</v>
      </c>
      <c r="S378" t="s">
        <v>2684</v>
      </c>
      <c r="T378" t="s">
        <v>923</v>
      </c>
      <c r="U378">
        <v>4.1625044535940533E-9</v>
      </c>
      <c r="V378">
        <v>5.8197314720086786E-24</v>
      </c>
      <c r="W378">
        <v>4.1625044535940475E-9</v>
      </c>
      <c r="X378">
        <v>4.1625044535940475E-9</v>
      </c>
      <c r="Y378">
        <v>4.1625044535940475E-9</v>
      </c>
      <c r="Z378">
        <v>4.1625044535940475E-9</v>
      </c>
      <c r="AA378">
        <v>4.1625044535940475E-9</v>
      </c>
    </row>
    <row r="379" spans="1:27">
      <c r="A379" t="s">
        <v>3061</v>
      </c>
      <c r="B379" t="s">
        <v>3062</v>
      </c>
      <c r="C379" t="s">
        <v>2354</v>
      </c>
      <c r="D379" t="s">
        <v>2684</v>
      </c>
      <c r="E379" t="s">
        <v>923</v>
      </c>
      <c r="F379">
        <v>4.2150797556118498E-7</v>
      </c>
      <c r="G379">
        <v>2.1608104551024435E-13</v>
      </c>
      <c r="H379">
        <v>4.2150738716525096E-7</v>
      </c>
      <c r="I379">
        <v>4.2150848948823592E-7</v>
      </c>
      <c r="J379">
        <v>4.2150799992743015E-7</v>
      </c>
      <c r="K379">
        <v>4.2150762326396334E-7</v>
      </c>
      <c r="L379">
        <v>4.2150831499127725E-7</v>
      </c>
      <c r="P379" t="s">
        <v>3061</v>
      </c>
      <c r="Q379" t="s">
        <v>3062</v>
      </c>
      <c r="R379" t="s">
        <v>2354</v>
      </c>
      <c r="S379" t="s">
        <v>2684</v>
      </c>
      <c r="T379" t="s">
        <v>923</v>
      </c>
      <c r="U379">
        <v>4.2150795660342512E-7</v>
      </c>
      <c r="V379">
        <v>2.0002852576844237E-13</v>
      </c>
      <c r="W379">
        <v>4.2150729608754213E-7</v>
      </c>
      <c r="X379">
        <v>4.2150841348206882E-7</v>
      </c>
      <c r="Y379">
        <v>4.2150794381538517E-7</v>
      </c>
      <c r="Z379">
        <v>4.215076665072087E-7</v>
      </c>
      <c r="AA379">
        <v>4.2150833511136023E-7</v>
      </c>
    </row>
    <row r="380" spans="1:27">
      <c r="A380" t="s">
        <v>3063</v>
      </c>
      <c r="B380" t="s">
        <v>3064</v>
      </c>
      <c r="C380" t="s">
        <v>2354</v>
      </c>
      <c r="D380" t="s">
        <v>2684</v>
      </c>
      <c r="E380" t="s">
        <v>923</v>
      </c>
      <c r="F380">
        <v>1.1788505483363022E-7</v>
      </c>
      <c r="G380">
        <v>6.469897238147771E-14</v>
      </c>
      <c r="H380">
        <v>1.1788487865615854E-7</v>
      </c>
      <c r="I380">
        <v>1.1788520871363393E-7</v>
      </c>
      <c r="J380">
        <v>1.178850621293698E-7</v>
      </c>
      <c r="K380">
        <v>1.1788494934881942E-7</v>
      </c>
      <c r="L380">
        <v>1.178851564657661E-7</v>
      </c>
      <c r="P380" t="s">
        <v>3063</v>
      </c>
      <c r="Q380" t="s">
        <v>3064</v>
      </c>
      <c r="R380" t="s">
        <v>2354</v>
      </c>
      <c r="S380" t="s">
        <v>2684</v>
      </c>
      <c r="T380" t="s">
        <v>923</v>
      </c>
      <c r="U380">
        <v>1.1788504915729903E-7</v>
      </c>
      <c r="V380">
        <v>5.9892527978531722E-14</v>
      </c>
      <c r="W380">
        <v>1.1788485138567699E-7</v>
      </c>
      <c r="X380">
        <v>1.1788518595587239E-7</v>
      </c>
      <c r="Y380">
        <v>1.1788504532830501E-7</v>
      </c>
      <c r="Z380">
        <v>1.178849622967091E-7</v>
      </c>
      <c r="AA380">
        <v>1.1788516249012E-7</v>
      </c>
    </row>
    <row r="381" spans="1:27">
      <c r="A381" t="s">
        <v>3065</v>
      </c>
      <c r="B381" t="s">
        <v>3066</v>
      </c>
      <c r="C381" t="s">
        <v>2354</v>
      </c>
      <c r="D381" t="s">
        <v>2684</v>
      </c>
      <c r="E381" t="s">
        <v>923</v>
      </c>
      <c r="F381">
        <v>1.1838313078117315E-7</v>
      </c>
      <c r="G381">
        <v>6.7411346030459671E-14</v>
      </c>
      <c r="H381">
        <v>1.1838294721781703E-7</v>
      </c>
      <c r="I381">
        <v>1.1838329111228496E-7</v>
      </c>
      <c r="J381">
        <v>1.1838313838277183E-7</v>
      </c>
      <c r="K381">
        <v>1.1838302087412483E-7</v>
      </c>
      <c r="L381">
        <v>1.1838323667403088E-7</v>
      </c>
      <c r="P381" t="s">
        <v>3065</v>
      </c>
      <c r="Q381" t="s">
        <v>3066</v>
      </c>
      <c r="R381" t="s">
        <v>2354</v>
      </c>
      <c r="S381" t="s">
        <v>2684</v>
      </c>
      <c r="T381" t="s">
        <v>923</v>
      </c>
      <c r="U381">
        <v>1.1838312486687319E-7</v>
      </c>
      <c r="V381">
        <v>6.2403401159986612E-14</v>
      </c>
      <c r="W381">
        <v>1.1838291880407566E-7</v>
      </c>
      <c r="X381">
        <v>1.1838326740045027E-7</v>
      </c>
      <c r="Y381">
        <v>1.1838312087735636E-7</v>
      </c>
      <c r="Z381">
        <v>1.183830343648286E-7</v>
      </c>
      <c r="AA381">
        <v>1.1838324295094365E-7</v>
      </c>
    </row>
    <row r="382" spans="1:27">
      <c r="A382" t="s">
        <v>3067</v>
      </c>
      <c r="B382" t="s">
        <v>3068</v>
      </c>
      <c r="C382" t="s">
        <v>2354</v>
      </c>
      <c r="D382" t="s">
        <v>2684</v>
      </c>
      <c r="E382" t="s">
        <v>923</v>
      </c>
      <c r="F382">
        <v>1.2710416202061132E-8</v>
      </c>
      <c r="G382">
        <v>1.2497525605060266E-15</v>
      </c>
      <c r="H382">
        <v>1.2710412798942991E-8</v>
      </c>
      <c r="I382">
        <v>1.2710419174471996E-8</v>
      </c>
      <c r="J382">
        <v>1.2710416342988702E-8</v>
      </c>
      <c r="K382">
        <v>1.2710414164472158E-8</v>
      </c>
      <c r="L382">
        <v>1.2710418165230208E-8</v>
      </c>
      <c r="P382" t="s">
        <v>3067</v>
      </c>
      <c r="Q382" t="s">
        <v>3068</v>
      </c>
      <c r="R382" t="s">
        <v>2354</v>
      </c>
      <c r="S382" t="s">
        <v>2684</v>
      </c>
      <c r="T382" t="s">
        <v>923</v>
      </c>
      <c r="U382">
        <v>1.2710416092414734E-8</v>
      </c>
      <c r="V382">
        <v>1.1569092590128142E-15</v>
      </c>
      <c r="W382">
        <v>1.27104122721749E-8</v>
      </c>
      <c r="X382">
        <v>1.2710418734873502E-8</v>
      </c>
      <c r="Y382">
        <v>1.2710416018452268E-8</v>
      </c>
      <c r="Z382">
        <v>1.2710414414579041E-8</v>
      </c>
      <c r="AA382">
        <v>1.2710418281599161E-8</v>
      </c>
    </row>
    <row r="383" spans="1:27">
      <c r="A383" t="s">
        <v>3069</v>
      </c>
      <c r="B383" t="s">
        <v>3070</v>
      </c>
      <c r="C383" t="s">
        <v>2354</v>
      </c>
      <c r="D383" t="s">
        <v>2684</v>
      </c>
      <c r="E383" t="s">
        <v>923</v>
      </c>
      <c r="F383">
        <v>4.9002681580844258E-10</v>
      </c>
      <c r="G383">
        <v>1.1168388183311844E-14</v>
      </c>
      <c r="H383">
        <v>4.8999640391284828E-10</v>
      </c>
      <c r="I383">
        <v>4.900533786973344E-10</v>
      </c>
      <c r="J383">
        <v>4.9002807520482152E-10</v>
      </c>
      <c r="K383">
        <v>4.9000860693631829E-10</v>
      </c>
      <c r="L383">
        <v>4.9004435962874395E-10</v>
      </c>
      <c r="P383" t="s">
        <v>3069</v>
      </c>
      <c r="Q383" t="s">
        <v>3070</v>
      </c>
      <c r="R383" t="s">
        <v>2354</v>
      </c>
      <c r="S383" t="s">
        <v>2684</v>
      </c>
      <c r="T383" t="s">
        <v>923</v>
      </c>
      <c r="U383">
        <v>4.9002583595562177E-10</v>
      </c>
      <c r="V383">
        <v>1.0338695919277242E-14</v>
      </c>
      <c r="W383">
        <v>4.8999169646058577E-10</v>
      </c>
      <c r="X383">
        <v>4.9004945023439818E-10</v>
      </c>
      <c r="Y383">
        <v>4.9002517499162327E-10</v>
      </c>
      <c r="Z383">
        <v>4.9001084201135518E-10</v>
      </c>
      <c r="AA383">
        <v>4.9004539955751789E-10</v>
      </c>
    </row>
    <row r="384" spans="1:27">
      <c r="A384" t="s">
        <v>3071</v>
      </c>
      <c r="B384" t="s">
        <v>3072</v>
      </c>
      <c r="C384" t="s">
        <v>2354</v>
      </c>
      <c r="D384" t="s">
        <v>2684</v>
      </c>
      <c r="E384" t="s">
        <v>923</v>
      </c>
      <c r="F384">
        <v>6.1351739473751922E-6</v>
      </c>
      <c r="G384">
        <v>5.76756292430219E-10</v>
      </c>
      <c r="H384">
        <v>6.1336034206473569E-6</v>
      </c>
      <c r="I384">
        <v>6.1365457042538069E-6</v>
      </c>
      <c r="J384">
        <v>6.1352389849414298E-6</v>
      </c>
      <c r="K384">
        <v>6.1342336074261017E-6</v>
      </c>
      <c r="L384">
        <v>6.1360799428139299E-6</v>
      </c>
      <c r="P384" t="s">
        <v>3071</v>
      </c>
      <c r="Q384" t="s">
        <v>3072</v>
      </c>
      <c r="R384" t="s">
        <v>2354</v>
      </c>
      <c r="S384" t="s">
        <v>2684</v>
      </c>
      <c r="T384" t="s">
        <v>923</v>
      </c>
      <c r="U384">
        <v>6.1351233459570797E-6</v>
      </c>
      <c r="V384">
        <v>5.3390944414665523E-10</v>
      </c>
      <c r="W384">
        <v>6.1333603190762797E-6</v>
      </c>
      <c r="X384">
        <v>6.1363428311372211E-6</v>
      </c>
      <c r="Y384">
        <v>6.1350892125495687E-6</v>
      </c>
      <c r="Z384">
        <v>6.134349030848927E-6</v>
      </c>
      <c r="AA384">
        <v>6.1361336466657457E-6</v>
      </c>
    </row>
    <row r="385" spans="1:27">
      <c r="A385" t="s">
        <v>3073</v>
      </c>
      <c r="B385" t="s">
        <v>2667</v>
      </c>
      <c r="C385" t="s">
        <v>2354</v>
      </c>
      <c r="D385" t="s">
        <v>2684</v>
      </c>
      <c r="E385" t="s">
        <v>923</v>
      </c>
      <c r="F385">
        <v>7.5332709411979402E-4</v>
      </c>
      <c r="G385">
        <v>1.3715885484660477E-10</v>
      </c>
      <c r="H385">
        <v>7.5332672063163197E-4</v>
      </c>
      <c r="I385">
        <v>7.5332742033834587E-4</v>
      </c>
      <c r="J385">
        <v>7.533271095864271E-4</v>
      </c>
      <c r="K385">
        <v>7.5332687049683164E-4</v>
      </c>
      <c r="L385">
        <v>7.5332730957526173E-4</v>
      </c>
      <c r="P385" t="s">
        <v>3073</v>
      </c>
      <c r="Q385" t="s">
        <v>2667</v>
      </c>
      <c r="R385" t="s">
        <v>2354</v>
      </c>
      <c r="S385" t="s">
        <v>2684</v>
      </c>
      <c r="T385" t="s">
        <v>923</v>
      </c>
      <c r="U385">
        <v>7.5332708208623194E-4</v>
      </c>
      <c r="V385">
        <v>1.2696941310289345E-10</v>
      </c>
      <c r="W385">
        <v>7.5332666281946144E-4</v>
      </c>
      <c r="X385">
        <v>7.5332737209293484E-4</v>
      </c>
      <c r="Y385">
        <v>7.5332707396894016E-4</v>
      </c>
      <c r="Z385">
        <v>7.5332689794576399E-4</v>
      </c>
      <c r="AA385">
        <v>7.533273223466158E-4</v>
      </c>
    </row>
    <row r="386" spans="1:27">
      <c r="A386" t="s">
        <v>3074</v>
      </c>
      <c r="B386" t="s">
        <v>3075</v>
      </c>
      <c r="C386" t="s">
        <v>2354</v>
      </c>
      <c r="D386" t="s">
        <v>2684</v>
      </c>
      <c r="E386" t="s">
        <v>923</v>
      </c>
      <c r="F386">
        <v>6.3291127871875952E-8</v>
      </c>
      <c r="G386">
        <v>2.0646879067684271E-13</v>
      </c>
      <c r="H386">
        <v>6.3290565650434288E-8</v>
      </c>
      <c r="I386">
        <v>6.3291618937144864E-8</v>
      </c>
      <c r="J386">
        <v>6.3291151154201315E-8</v>
      </c>
      <c r="K386">
        <v>6.3290791246416195E-8</v>
      </c>
      <c r="L386">
        <v>6.3291452202594246E-8</v>
      </c>
      <c r="P386" t="s">
        <v>3074</v>
      </c>
      <c r="Q386" t="s">
        <v>3075</v>
      </c>
      <c r="R386" t="s">
        <v>2354</v>
      </c>
      <c r="S386" t="s">
        <v>2684</v>
      </c>
      <c r="T386" t="s">
        <v>923</v>
      </c>
      <c r="U386">
        <v>6.3291109757442305E-8</v>
      </c>
      <c r="V386">
        <v>1.9113035906194957E-13</v>
      </c>
      <c r="W386">
        <v>6.3290478624270819E-8</v>
      </c>
      <c r="X386">
        <v>6.3291546312073238E-8</v>
      </c>
      <c r="Y386">
        <v>6.329109753827197E-8</v>
      </c>
      <c r="Z386">
        <v>6.329083256600791E-8</v>
      </c>
      <c r="AA386">
        <v>6.3291471427645596E-8</v>
      </c>
    </row>
    <row r="387" spans="1:27">
      <c r="A387" t="s">
        <v>3076</v>
      </c>
      <c r="B387" t="s">
        <v>3077</v>
      </c>
      <c r="C387" t="s">
        <v>2354</v>
      </c>
      <c r="D387" t="s">
        <v>2684</v>
      </c>
      <c r="E387" t="s">
        <v>923</v>
      </c>
      <c r="F387">
        <v>6.0329208792498235E-5</v>
      </c>
      <c r="G387">
        <v>5.6714365866650157E-9</v>
      </c>
      <c r="H387">
        <v>6.0313765280461204E-5</v>
      </c>
      <c r="I387">
        <v>6.0342697734450829E-5</v>
      </c>
      <c r="J387">
        <v>6.0329848328533652E-5</v>
      </c>
      <c r="K387">
        <v>6.0319962116803195E-5</v>
      </c>
      <c r="L387">
        <v>6.0338117747191999E-5</v>
      </c>
      <c r="P387" t="s">
        <v>3076</v>
      </c>
      <c r="Q387" t="s">
        <v>3077</v>
      </c>
      <c r="R387" t="s">
        <v>2354</v>
      </c>
      <c r="S387" t="s">
        <v>2684</v>
      </c>
      <c r="T387" t="s">
        <v>923</v>
      </c>
      <c r="U387">
        <v>6.0328711211912154E-5</v>
      </c>
      <c r="V387">
        <v>5.2501092666714596E-9</v>
      </c>
      <c r="W387">
        <v>6.031137478180072E-5</v>
      </c>
      <c r="X387">
        <v>6.0340702815572682E-5</v>
      </c>
      <c r="Y387">
        <v>6.0328375566755378E-5</v>
      </c>
      <c r="Z387">
        <v>6.0321097113736493E-5</v>
      </c>
      <c r="AA387">
        <v>6.0338645835041293E-5</v>
      </c>
    </row>
    <row r="388" spans="1:27">
      <c r="A388" t="s">
        <v>3078</v>
      </c>
      <c r="B388" t="s">
        <v>2669</v>
      </c>
      <c r="C388" t="s">
        <v>2354</v>
      </c>
      <c r="D388" t="s">
        <v>2684</v>
      </c>
      <c r="E388" t="s">
        <v>923</v>
      </c>
      <c r="F388">
        <v>2.3443411324811402E-5</v>
      </c>
      <c r="G388">
        <v>1.6008373612503106E-12</v>
      </c>
      <c r="H388">
        <v>2.344340696567758E-5</v>
      </c>
      <c r="I388">
        <v>2.344341513224219E-5</v>
      </c>
      <c r="J388">
        <v>2.3443411505328841E-5</v>
      </c>
      <c r="K388">
        <v>2.3443408714815917E-5</v>
      </c>
      <c r="L388">
        <v>2.3443413839480716E-5</v>
      </c>
      <c r="P388" t="s">
        <v>3078</v>
      </c>
      <c r="Q388" t="s">
        <v>2669</v>
      </c>
      <c r="R388" t="s">
        <v>2354</v>
      </c>
      <c r="S388" t="s">
        <v>2684</v>
      </c>
      <c r="T388" t="s">
        <v>923</v>
      </c>
      <c r="U388">
        <v>2.3443411184362759E-5</v>
      </c>
      <c r="V388">
        <v>1.481912199039514E-12</v>
      </c>
      <c r="W388">
        <v>2.3443406290927983E-5</v>
      </c>
      <c r="X388">
        <v>2.344341456915017E-5</v>
      </c>
      <c r="Y388">
        <v>2.3443411089622513E-5</v>
      </c>
      <c r="Z388">
        <v>2.3443409035183686E-5</v>
      </c>
      <c r="AA388">
        <v>2.3443413988540435E-5</v>
      </c>
    </row>
    <row r="389" spans="1:27">
      <c r="A389" t="s">
        <v>3079</v>
      </c>
      <c r="B389" t="s">
        <v>2671</v>
      </c>
      <c r="C389" t="s">
        <v>2354</v>
      </c>
      <c r="D389" t="s">
        <v>2684</v>
      </c>
      <c r="E389" t="s">
        <v>923</v>
      </c>
      <c r="F389">
        <v>1.755624608234183E-3</v>
      </c>
      <c r="G389">
        <v>2.9583389441156125E-9</v>
      </c>
      <c r="H389">
        <v>1.7556165525780196E-3</v>
      </c>
      <c r="I389">
        <v>1.7556316443460536E-3</v>
      </c>
      <c r="J389">
        <v>1.7556249418294422E-3</v>
      </c>
      <c r="K389">
        <v>1.7556197849763725E-3</v>
      </c>
      <c r="L389">
        <v>1.7556292553297147E-3</v>
      </c>
      <c r="P389" t="s">
        <v>3079</v>
      </c>
      <c r="Q389" t="s">
        <v>2671</v>
      </c>
      <c r="R389" t="s">
        <v>2354</v>
      </c>
      <c r="S389" t="s">
        <v>2684</v>
      </c>
      <c r="T389" t="s">
        <v>923</v>
      </c>
      <c r="U389">
        <v>1.755624348685829E-3</v>
      </c>
      <c r="V389">
        <v>2.7385658760453097E-9</v>
      </c>
      <c r="W389">
        <v>1.7556153056443417E-3</v>
      </c>
      <c r="X389">
        <v>1.7556306037549941E-3</v>
      </c>
      <c r="Y389">
        <v>1.7556241736063549E-3</v>
      </c>
      <c r="Z389">
        <v>1.7556203770143115E-3</v>
      </c>
      <c r="AA389">
        <v>1.755629530791289E-3</v>
      </c>
    </row>
    <row r="390" spans="1:27">
      <c r="A390" t="s">
        <v>3080</v>
      </c>
      <c r="B390" t="s">
        <v>3081</v>
      </c>
      <c r="C390" t="s">
        <v>2354</v>
      </c>
      <c r="D390" t="s">
        <v>2684</v>
      </c>
      <c r="E390" t="s">
        <v>923</v>
      </c>
      <c r="F390">
        <v>8.5848233197948929E-6</v>
      </c>
      <c r="G390">
        <v>8.0704324647988931E-10</v>
      </c>
      <c r="H390">
        <v>8.5826257139676964E-6</v>
      </c>
      <c r="I390">
        <v>8.5867427910503021E-6</v>
      </c>
      <c r="J390">
        <v>8.5849143255269264E-6</v>
      </c>
      <c r="K390">
        <v>8.5835075213974233E-6</v>
      </c>
      <c r="L390">
        <v>8.5860910606236788E-6</v>
      </c>
      <c r="P390" t="s">
        <v>3080</v>
      </c>
      <c r="Q390" t="s">
        <v>3081</v>
      </c>
      <c r="R390" t="s">
        <v>2354</v>
      </c>
      <c r="S390" t="s">
        <v>2684</v>
      </c>
      <c r="T390" t="s">
        <v>923</v>
      </c>
      <c r="U390">
        <v>8.5847525142687355E-6</v>
      </c>
      <c r="V390">
        <v>7.4708853078097215E-10</v>
      </c>
      <c r="W390">
        <v>8.5822855469270918E-6</v>
      </c>
      <c r="X390">
        <v>8.5864589148606843E-6</v>
      </c>
      <c r="Y390">
        <v>8.5847047520919315E-6</v>
      </c>
      <c r="Z390">
        <v>8.5836690310247982E-6</v>
      </c>
      <c r="AA390">
        <v>8.5861662073216641E-6</v>
      </c>
    </row>
    <row r="391" spans="1:27">
      <c r="A391" t="s">
        <v>3082</v>
      </c>
      <c r="B391" t="s">
        <v>3083</v>
      </c>
      <c r="C391" t="s">
        <v>2354</v>
      </c>
      <c r="D391" t="s">
        <v>2684</v>
      </c>
      <c r="E391" t="s">
        <v>923</v>
      </c>
      <c r="F391">
        <v>3.4754068473070059E-9</v>
      </c>
      <c r="G391">
        <v>9.5547319570143086E-18</v>
      </c>
      <c r="H391">
        <v>3.4754068212891502E-9</v>
      </c>
      <c r="I391">
        <v>3.4754068700319755E-9</v>
      </c>
      <c r="J391">
        <v>3.4754068483844393E-9</v>
      </c>
      <c r="K391">
        <v>3.475406831729029E-9</v>
      </c>
      <c r="L391">
        <v>3.4754068623160203E-9</v>
      </c>
      <c r="P391" t="s">
        <v>3082</v>
      </c>
      <c r="Q391" t="s">
        <v>3083</v>
      </c>
      <c r="R391" t="s">
        <v>2354</v>
      </c>
      <c r="S391" t="s">
        <v>2684</v>
      </c>
      <c r="T391" t="s">
        <v>923</v>
      </c>
      <c r="U391">
        <v>3.4754068464687283E-9</v>
      </c>
      <c r="V391">
        <v>8.8449171756888785E-18</v>
      </c>
      <c r="W391">
        <v>3.4754068172618506E-9</v>
      </c>
      <c r="X391">
        <v>3.4754068666711138E-9</v>
      </c>
      <c r="Y391">
        <v>3.475406845903261E-9</v>
      </c>
      <c r="Z391">
        <v>3.4754068336411707E-9</v>
      </c>
      <c r="AA391">
        <v>3.4754068632056956E-9</v>
      </c>
    </row>
    <row r="392" spans="1:27">
      <c r="A392" t="s">
        <v>3084</v>
      </c>
      <c r="B392" t="s">
        <v>2673</v>
      </c>
      <c r="C392" t="s">
        <v>2354</v>
      </c>
      <c r="D392" t="s">
        <v>2684</v>
      </c>
      <c r="E392" t="s">
        <v>923</v>
      </c>
      <c r="F392">
        <v>2.2410471575590944E-7</v>
      </c>
      <c r="G392">
        <v>2.0377786676354267E-12</v>
      </c>
      <c r="H392">
        <v>2.2409916681625346E-7</v>
      </c>
      <c r="I392">
        <v>2.2410956240767753E-7</v>
      </c>
      <c r="J392">
        <v>2.2410494554475933E-7</v>
      </c>
      <c r="K392">
        <v>2.2410139337397153E-7</v>
      </c>
      <c r="L392">
        <v>2.2410791679281585E-7</v>
      </c>
      <c r="P392" t="s">
        <v>3084</v>
      </c>
      <c r="Q392" t="s">
        <v>2673</v>
      </c>
      <c r="R392" t="s">
        <v>2354</v>
      </c>
      <c r="S392" t="s">
        <v>2684</v>
      </c>
      <c r="T392" t="s">
        <v>923</v>
      </c>
      <c r="U392">
        <v>2.2410453697244112E-7</v>
      </c>
      <c r="V392">
        <v>1.886393421295016E-12</v>
      </c>
      <c r="W392">
        <v>2.240983078968067E-7</v>
      </c>
      <c r="X392">
        <v>2.241088456222438E-7</v>
      </c>
      <c r="Y392">
        <v>2.2410441637327194E-7</v>
      </c>
      <c r="Z392">
        <v>2.2410180118467401E-7</v>
      </c>
      <c r="AA392">
        <v>2.2410810653771337E-7</v>
      </c>
    </row>
    <row r="393" spans="1:27">
      <c r="A393" t="s">
        <v>3085</v>
      </c>
      <c r="B393" t="s">
        <v>3086</v>
      </c>
      <c r="C393" t="s">
        <v>2354</v>
      </c>
      <c r="D393" t="s">
        <v>2684</v>
      </c>
      <c r="E393" t="s">
        <v>923</v>
      </c>
      <c r="F393">
        <v>2.2163890944100112E-9</v>
      </c>
      <c r="G393">
        <v>1.2118251473298266E-16</v>
      </c>
      <c r="H393">
        <v>2.2163887644259609E-9</v>
      </c>
      <c r="I393">
        <v>2.2163893826304453E-9</v>
      </c>
      <c r="J393">
        <v>2.2163891080750837E-9</v>
      </c>
      <c r="K393">
        <v>2.2163888968347782E-9</v>
      </c>
      <c r="L393">
        <v>2.2163892847691071E-9</v>
      </c>
      <c r="P393" t="s">
        <v>3085</v>
      </c>
      <c r="Q393" t="s">
        <v>3086</v>
      </c>
      <c r="R393" t="s">
        <v>2354</v>
      </c>
      <c r="S393" t="s">
        <v>2684</v>
      </c>
      <c r="T393" t="s">
        <v>923</v>
      </c>
      <c r="U393">
        <v>2.2163890837781268E-9</v>
      </c>
      <c r="V393">
        <v>1.1217994486493899E-16</v>
      </c>
      <c r="W393">
        <v>2.2163887133477843E-9</v>
      </c>
      <c r="X393">
        <v>2.2163893400046868E-9</v>
      </c>
      <c r="Y393">
        <v>2.2163890766063415E-9</v>
      </c>
      <c r="Z393">
        <v>2.2163889210864436E-9</v>
      </c>
      <c r="AA393">
        <v>2.216389296052847E-9</v>
      </c>
    </row>
    <row r="394" spans="1:27">
      <c r="A394" t="s">
        <v>3087</v>
      </c>
      <c r="B394" t="s">
        <v>3088</v>
      </c>
      <c r="C394" t="s">
        <v>2354</v>
      </c>
      <c r="D394" t="s">
        <v>2684</v>
      </c>
      <c r="E394" t="s">
        <v>923</v>
      </c>
      <c r="F394">
        <v>2.2658149072203091E-7</v>
      </c>
      <c r="G394">
        <v>3.7321460656122606E-13</v>
      </c>
      <c r="H394">
        <v>2.2658047444614015E-7</v>
      </c>
      <c r="I394">
        <v>2.265823783754652E-7</v>
      </c>
      <c r="J394">
        <v>2.2658153280734491E-7</v>
      </c>
      <c r="K394">
        <v>2.2658088223520769E-7</v>
      </c>
      <c r="L394">
        <v>2.2658207698478281E-7</v>
      </c>
      <c r="P394" t="s">
        <v>3087</v>
      </c>
      <c r="Q394" t="s">
        <v>3088</v>
      </c>
      <c r="R394" t="s">
        <v>2354</v>
      </c>
      <c r="S394" t="s">
        <v>2684</v>
      </c>
      <c r="T394" t="s">
        <v>923</v>
      </c>
      <c r="U394">
        <v>2.265814579782384E-7</v>
      </c>
      <c r="V394">
        <v>3.4548873718890335E-13</v>
      </c>
      <c r="W394">
        <v>2.2658031713696398E-7</v>
      </c>
      <c r="X394">
        <v>2.2658224709781574E-7</v>
      </c>
      <c r="Y394">
        <v>2.2658143589077021E-7</v>
      </c>
      <c r="Z394">
        <v>2.2658095692482597E-7</v>
      </c>
      <c r="AA394">
        <v>2.2658211173613655E-7</v>
      </c>
    </row>
    <row r="395" spans="1:27">
      <c r="A395" t="s">
        <v>3089</v>
      </c>
      <c r="B395" t="s">
        <v>3090</v>
      </c>
      <c r="C395" t="s">
        <v>2354</v>
      </c>
      <c r="D395" t="s">
        <v>2684</v>
      </c>
      <c r="E395" t="s">
        <v>923</v>
      </c>
      <c r="F395">
        <v>2.1444654425554707E-15</v>
      </c>
      <c r="G395">
        <v>3.3219646845328334E-21</v>
      </c>
      <c r="H395">
        <v>2.1444563967342216E-15</v>
      </c>
      <c r="I395">
        <v>2.1444733435146224E-15</v>
      </c>
      <c r="J395">
        <v>2.1444658171547624E-15</v>
      </c>
      <c r="K395">
        <v>2.1444600264444672E-15</v>
      </c>
      <c r="L395">
        <v>2.1444706608511216E-15</v>
      </c>
      <c r="P395" t="s">
        <v>3089</v>
      </c>
      <c r="Q395" t="s">
        <v>3090</v>
      </c>
      <c r="R395" t="s">
        <v>2354</v>
      </c>
      <c r="S395" t="s">
        <v>2684</v>
      </c>
      <c r="T395" t="s">
        <v>923</v>
      </c>
      <c r="U395">
        <v>2.1444651511045997E-15</v>
      </c>
      <c r="V395">
        <v>3.0751780977225494E-21</v>
      </c>
      <c r="W395">
        <v>2.1444549965330544E-15</v>
      </c>
      <c r="X395">
        <v>2.1444721750187819E-15</v>
      </c>
      <c r="Y395">
        <v>2.1444649545051425E-15</v>
      </c>
      <c r="Z395">
        <v>2.1444606912530515E-15</v>
      </c>
      <c r="AA395">
        <v>2.1444709701711956E-15</v>
      </c>
    </row>
    <row r="396" spans="1:27">
      <c r="A396" t="s">
        <v>3091</v>
      </c>
      <c r="B396" t="s">
        <v>3092</v>
      </c>
      <c r="C396" t="s">
        <v>2354</v>
      </c>
      <c r="D396" t="s">
        <v>2684</v>
      </c>
      <c r="E396" t="s">
        <v>923</v>
      </c>
      <c r="F396">
        <v>7.9034902399516937E-6</v>
      </c>
      <c r="G396">
        <v>1.1114572365680999E-11</v>
      </c>
      <c r="H396">
        <v>7.9034599745983768E-6</v>
      </c>
      <c r="I396">
        <v>7.9035166748450728E-6</v>
      </c>
      <c r="J396">
        <v>7.9034914932795659E-6</v>
      </c>
      <c r="K396">
        <v>7.9034721188205518E-6</v>
      </c>
      <c r="L396">
        <v>7.9035076992356207E-6</v>
      </c>
      <c r="P396" t="s">
        <v>3091</v>
      </c>
      <c r="Q396" t="s">
        <v>3092</v>
      </c>
      <c r="R396" t="s">
        <v>2354</v>
      </c>
      <c r="S396" t="s">
        <v>2684</v>
      </c>
      <c r="T396" t="s">
        <v>923</v>
      </c>
      <c r="U396">
        <v>7.9034892648203766E-6</v>
      </c>
      <c r="V396">
        <v>1.0288878043545102E-11</v>
      </c>
      <c r="W396">
        <v>7.9034552898293686E-6</v>
      </c>
      <c r="X396">
        <v>7.9035127653117651E-6</v>
      </c>
      <c r="Y396">
        <v>7.9034886070412883E-6</v>
      </c>
      <c r="Z396">
        <v>7.9034743431256917E-6</v>
      </c>
      <c r="AA396">
        <v>7.9035087341534116E-6</v>
      </c>
    </row>
    <row r="397" spans="1:27">
      <c r="A397" t="s">
        <v>3093</v>
      </c>
      <c r="B397" t="s">
        <v>3094</v>
      </c>
      <c r="C397" t="s">
        <v>2354</v>
      </c>
      <c r="D397" t="s">
        <v>2684</v>
      </c>
      <c r="E397" t="s">
        <v>923</v>
      </c>
      <c r="F397">
        <v>3.5463195933104052E-9</v>
      </c>
      <c r="G397">
        <v>3.5123505757724565E-14</v>
      </c>
      <c r="H397">
        <v>3.5462239508262358E-9</v>
      </c>
      <c r="I397">
        <v>3.5464031310390023E-9</v>
      </c>
      <c r="J397">
        <v>3.5463235539907855E-9</v>
      </c>
      <c r="K397">
        <v>3.5462623281603755E-9</v>
      </c>
      <c r="L397">
        <v>3.5463747669364687E-9</v>
      </c>
      <c r="P397" t="s">
        <v>3093</v>
      </c>
      <c r="Q397" t="s">
        <v>3094</v>
      </c>
      <c r="R397" t="s">
        <v>2354</v>
      </c>
      <c r="S397" t="s">
        <v>2684</v>
      </c>
      <c r="T397" t="s">
        <v>923</v>
      </c>
      <c r="U397">
        <v>3.5463165117676045E-9</v>
      </c>
      <c r="V397">
        <v>3.2514203454245994E-14</v>
      </c>
      <c r="W397">
        <v>3.5462091463420134E-9</v>
      </c>
      <c r="X397">
        <v>3.5463907764012254E-9</v>
      </c>
      <c r="Y397">
        <v>3.546314433099454E-9</v>
      </c>
      <c r="Z397">
        <v>3.5462693572562159E-9</v>
      </c>
      <c r="AA397">
        <v>3.546378037412358E-9</v>
      </c>
    </row>
    <row r="398" spans="1:27">
      <c r="A398" t="s">
        <v>3095</v>
      </c>
      <c r="B398" t="s">
        <v>3096</v>
      </c>
      <c r="C398" t="s">
        <v>2354</v>
      </c>
      <c r="D398" t="s">
        <v>2684</v>
      </c>
      <c r="E398" t="s">
        <v>923</v>
      </c>
      <c r="F398">
        <v>1.2618484753898655E-6</v>
      </c>
      <c r="G398">
        <v>1.0412980218267392E-12</v>
      </c>
      <c r="H398">
        <v>1.2618456399004288E-6</v>
      </c>
      <c r="I398">
        <v>1.2618509520125622E-6</v>
      </c>
      <c r="J398">
        <v>1.2618485928111927E-6</v>
      </c>
      <c r="K398">
        <v>1.2618467776639083E-6</v>
      </c>
      <c r="L398">
        <v>1.2618501111089218E-6</v>
      </c>
      <c r="P398" t="s">
        <v>3095</v>
      </c>
      <c r="Q398" t="s">
        <v>3096</v>
      </c>
      <c r="R398" t="s">
        <v>2354</v>
      </c>
      <c r="S398" t="s">
        <v>2684</v>
      </c>
      <c r="T398" t="s">
        <v>923</v>
      </c>
      <c r="U398">
        <v>1.2618483840321171E-6</v>
      </c>
      <c r="V398">
        <v>9.6394067184927654E-13</v>
      </c>
      <c r="W398">
        <v>1.2618452009954905E-6</v>
      </c>
      <c r="X398">
        <v>1.2618505857376248E-6</v>
      </c>
      <c r="Y398">
        <v>1.2618483224063485E-6</v>
      </c>
      <c r="Z398">
        <v>1.2618469860538011E-6</v>
      </c>
      <c r="AA398">
        <v>1.2618502080679242E-6</v>
      </c>
    </row>
    <row r="399" spans="1:27">
      <c r="A399" t="s">
        <v>3097</v>
      </c>
      <c r="B399" t="s">
        <v>3098</v>
      </c>
      <c r="C399" t="s">
        <v>2354</v>
      </c>
      <c r="D399" t="s">
        <v>2684</v>
      </c>
      <c r="E399" t="s">
        <v>923</v>
      </c>
      <c r="F399">
        <v>2.9423009755681359E-6</v>
      </c>
      <c r="G399">
        <v>2.8389126147915366E-12</v>
      </c>
      <c r="H399">
        <v>2.9422932451138727E-6</v>
      </c>
      <c r="I399">
        <v>2.9423077276364842E-6</v>
      </c>
      <c r="J399">
        <v>2.9423012956963588E-6</v>
      </c>
      <c r="K399">
        <v>2.9422963470222856E-6</v>
      </c>
      <c r="L399">
        <v>2.9423054350632701E-6</v>
      </c>
      <c r="P399" t="s">
        <v>3097</v>
      </c>
      <c r="Q399" t="s">
        <v>3098</v>
      </c>
      <c r="R399" t="s">
        <v>2354</v>
      </c>
      <c r="S399" t="s">
        <v>2684</v>
      </c>
      <c r="T399" t="s">
        <v>923</v>
      </c>
      <c r="U399">
        <v>2.94230072649759E-6</v>
      </c>
      <c r="V399">
        <v>2.6280116507832213E-12</v>
      </c>
      <c r="W399">
        <v>2.9422920485181421E-6</v>
      </c>
      <c r="X399">
        <v>2.9423067290534481E-6</v>
      </c>
      <c r="Y399">
        <v>2.9423005584859664E-6</v>
      </c>
      <c r="Z399">
        <v>2.9422969151600161E-6</v>
      </c>
      <c r="AA399">
        <v>2.9423056994046295E-6</v>
      </c>
    </row>
    <row r="400" spans="1:27">
      <c r="A400" t="s">
        <v>3099</v>
      </c>
      <c r="B400" t="s">
        <v>3100</v>
      </c>
      <c r="C400" t="s">
        <v>2354</v>
      </c>
      <c r="D400" t="s">
        <v>2684</v>
      </c>
      <c r="E400" t="s">
        <v>923</v>
      </c>
      <c r="F400">
        <v>7.8243550367009267E-5</v>
      </c>
      <c r="G400">
        <v>1.029007493623806E-10</v>
      </c>
      <c r="H400">
        <v>7.8243270164817604E-5</v>
      </c>
      <c r="I400">
        <v>7.824379510610028E-5</v>
      </c>
      <c r="J400">
        <v>7.8243561970548549E-5</v>
      </c>
      <c r="K400">
        <v>7.8243382598253741E-5</v>
      </c>
      <c r="L400">
        <v>7.8243712008261868E-5</v>
      </c>
      <c r="P400" t="s">
        <v>3099</v>
      </c>
      <c r="Q400" t="s">
        <v>3100</v>
      </c>
      <c r="R400" t="s">
        <v>2354</v>
      </c>
      <c r="S400" t="s">
        <v>2684</v>
      </c>
      <c r="T400" t="s">
        <v>923</v>
      </c>
      <c r="U400">
        <v>7.8243541339064683E-5</v>
      </c>
      <c r="V400">
        <v>9.5256319896501725E-11</v>
      </c>
      <c r="W400">
        <v>7.8243226792366953E-5</v>
      </c>
      <c r="X400">
        <v>7.824375891092392E-5</v>
      </c>
      <c r="Y400">
        <v>7.8243535249225248E-5</v>
      </c>
      <c r="Z400">
        <v>7.8243403191278652E-5</v>
      </c>
      <c r="AA400">
        <v>7.8243721589720569E-5</v>
      </c>
    </row>
    <row r="401" spans="1:27">
      <c r="A401" t="s">
        <v>3101</v>
      </c>
      <c r="B401" t="s">
        <v>3102</v>
      </c>
      <c r="C401" t="s">
        <v>2354</v>
      </c>
      <c r="D401" t="s">
        <v>2684</v>
      </c>
      <c r="E401" t="s">
        <v>923</v>
      </c>
      <c r="F401">
        <v>9.156449491878936E-8</v>
      </c>
      <c r="G401">
        <v>2.6550431539944182E-13</v>
      </c>
      <c r="H401">
        <v>9.1563771941633916E-8</v>
      </c>
      <c r="I401">
        <v>9.156512639412085E-8</v>
      </c>
      <c r="J401">
        <v>9.1564524858219109E-8</v>
      </c>
      <c r="K401">
        <v>9.1564062042169375E-8</v>
      </c>
      <c r="L401">
        <v>9.1564911985238186E-8</v>
      </c>
      <c r="P401" t="s">
        <v>3101</v>
      </c>
      <c r="Q401" t="s">
        <v>3102</v>
      </c>
      <c r="R401" t="s">
        <v>2354</v>
      </c>
      <c r="S401" t="s">
        <v>2684</v>
      </c>
      <c r="T401" t="s">
        <v>923</v>
      </c>
      <c r="U401">
        <v>9.1564471624904155E-8</v>
      </c>
      <c r="V401">
        <v>2.4578017320954958E-13</v>
      </c>
      <c r="W401">
        <v>9.1563660032120227E-8</v>
      </c>
      <c r="X401">
        <v>9.1565033003396497E-8</v>
      </c>
      <c r="Y401">
        <v>9.1564455911912172E-8</v>
      </c>
      <c r="Z401">
        <v>9.1564115176252633E-8</v>
      </c>
      <c r="AA401">
        <v>9.1564936707299476E-8</v>
      </c>
    </row>
    <row r="402" spans="1:27">
      <c r="A402" t="s">
        <v>3103</v>
      </c>
      <c r="B402" t="s">
        <v>3104</v>
      </c>
      <c r="C402" t="s">
        <v>2354</v>
      </c>
      <c r="D402" t="s">
        <v>2684</v>
      </c>
      <c r="E402" t="s">
        <v>923</v>
      </c>
      <c r="F402">
        <v>1.9370463520416821E-9</v>
      </c>
      <c r="G402">
        <v>2.7558068429717907E-14</v>
      </c>
      <c r="H402">
        <v>1.9369713104970913E-9</v>
      </c>
      <c r="I402">
        <v>1.9371118961379077E-9</v>
      </c>
      <c r="J402">
        <v>1.937049459610207E-9</v>
      </c>
      <c r="K402">
        <v>1.9370014215346305E-9</v>
      </c>
      <c r="L402">
        <v>1.937089641529158E-9</v>
      </c>
      <c r="P402" t="s">
        <v>3103</v>
      </c>
      <c r="Q402" t="s">
        <v>3104</v>
      </c>
      <c r="R402" t="s">
        <v>2354</v>
      </c>
      <c r="S402" t="s">
        <v>2684</v>
      </c>
      <c r="T402" t="s">
        <v>923</v>
      </c>
      <c r="U402">
        <v>1.9370439342486533E-9</v>
      </c>
      <c r="V402">
        <v>2.5510797524301272E-14</v>
      </c>
      <c r="W402">
        <v>1.936959694828881E-9</v>
      </c>
      <c r="X402">
        <v>1.937102202630784E-9</v>
      </c>
      <c r="Y402">
        <v>1.9370423033158102E-9</v>
      </c>
      <c r="Z402">
        <v>1.93700693659641E-9</v>
      </c>
      <c r="AA402">
        <v>1.9370922075599798E-9</v>
      </c>
    </row>
    <row r="403" spans="1:27">
      <c r="A403" t="s">
        <v>3105</v>
      </c>
      <c r="B403" t="s">
        <v>3106</v>
      </c>
      <c r="C403" t="s">
        <v>2354</v>
      </c>
      <c r="D403" t="s">
        <v>2684</v>
      </c>
      <c r="E403" t="s">
        <v>923</v>
      </c>
      <c r="F403">
        <v>5.3550987014801339E-5</v>
      </c>
      <c r="G403">
        <v>1.8204162977243856E-11</v>
      </c>
      <c r="H403">
        <v>5.3550937444255002E-5</v>
      </c>
      <c r="I403">
        <v>5.3551030311573485E-5</v>
      </c>
      <c r="J403">
        <v>5.3550989067582495E-5</v>
      </c>
      <c r="K403">
        <v>5.3550957334844794E-5</v>
      </c>
      <c r="L403">
        <v>5.3551015610741828E-5</v>
      </c>
      <c r="P403" t="s">
        <v>3105</v>
      </c>
      <c r="Q403" t="s">
        <v>3106</v>
      </c>
      <c r="R403" t="s">
        <v>2354</v>
      </c>
      <c r="S403" t="s">
        <v>2684</v>
      </c>
      <c r="T403" t="s">
        <v>923</v>
      </c>
      <c r="U403">
        <v>5.3550985417668384E-5</v>
      </c>
      <c r="V403">
        <v>1.6851787599008217E-11</v>
      </c>
      <c r="W403">
        <v>5.3550929771238374E-5</v>
      </c>
      <c r="X403">
        <v>5.3551023908287855E-5</v>
      </c>
      <c r="Y403">
        <v>5.3550984340315421E-5</v>
      </c>
      <c r="Z403">
        <v>5.3550960977955117E-5</v>
      </c>
      <c r="AA403">
        <v>5.3551017305796894E-5</v>
      </c>
    </row>
    <row r="404" spans="1:27">
      <c r="A404" t="s">
        <v>3107</v>
      </c>
      <c r="B404" t="s">
        <v>3108</v>
      </c>
      <c r="C404" t="s">
        <v>2354</v>
      </c>
      <c r="D404" t="s">
        <v>2684</v>
      </c>
      <c r="E404" t="s">
        <v>923</v>
      </c>
      <c r="F404">
        <v>9.8894711761360796E-6</v>
      </c>
      <c r="G404">
        <v>9.2846463089955143E-12</v>
      </c>
      <c r="H404">
        <v>9.8894458937327877E-6</v>
      </c>
      <c r="I404">
        <v>9.8894932587342368E-6</v>
      </c>
      <c r="J404">
        <v>9.8894722231134733E-6</v>
      </c>
      <c r="K404">
        <v>9.8894560385052441E-6</v>
      </c>
      <c r="L404">
        <v>9.8894857608875888E-6</v>
      </c>
      <c r="P404" t="s">
        <v>3107</v>
      </c>
      <c r="Q404" t="s">
        <v>3108</v>
      </c>
      <c r="R404" t="s">
        <v>2354</v>
      </c>
      <c r="S404" t="s">
        <v>2684</v>
      </c>
      <c r="T404" t="s">
        <v>923</v>
      </c>
      <c r="U404">
        <v>9.8894703615523903E-6</v>
      </c>
      <c r="V404">
        <v>8.5948959985382541E-12</v>
      </c>
      <c r="W404">
        <v>9.8894419802737856E-6</v>
      </c>
      <c r="X404">
        <v>9.8894899928745353E-6</v>
      </c>
      <c r="Y404">
        <v>9.8894698120714024E-6</v>
      </c>
      <c r="Z404">
        <v>9.8894578965962092E-6</v>
      </c>
      <c r="AA404">
        <v>9.8894866254143855E-6</v>
      </c>
    </row>
    <row r="405" spans="1:27">
      <c r="A405" t="s">
        <v>3109</v>
      </c>
      <c r="B405" t="s">
        <v>3110</v>
      </c>
      <c r="C405" t="s">
        <v>2354</v>
      </c>
      <c r="D405" t="s">
        <v>2684</v>
      </c>
      <c r="E405" t="s">
        <v>923</v>
      </c>
      <c r="F405">
        <v>6.361130033993523E-10</v>
      </c>
      <c r="G405">
        <v>5.1191875338779084E-15</v>
      </c>
      <c r="H405">
        <v>6.3609906368000759E-10</v>
      </c>
      <c r="I405">
        <v>6.3612517887243277E-10</v>
      </c>
      <c r="J405">
        <v>6.3611358066136514E-10</v>
      </c>
      <c r="K405">
        <v>6.3610465710715189E-10</v>
      </c>
      <c r="L405">
        <v>6.3612104485571186E-10</v>
      </c>
      <c r="P405" t="s">
        <v>3109</v>
      </c>
      <c r="Q405" t="s">
        <v>3110</v>
      </c>
      <c r="R405" t="s">
        <v>2354</v>
      </c>
      <c r="S405" t="s">
        <v>2684</v>
      </c>
      <c r="T405" t="s">
        <v>923</v>
      </c>
      <c r="U405">
        <v>6.3611255427005384E-10</v>
      </c>
      <c r="V405">
        <v>4.7388864353482646E-15</v>
      </c>
      <c r="W405">
        <v>6.3609690595316795E-10</v>
      </c>
      <c r="X405">
        <v>6.3612337820628834E-10</v>
      </c>
      <c r="Y405">
        <v>6.3611225130792525E-10</v>
      </c>
      <c r="Z405">
        <v>6.3610568158517664E-10</v>
      </c>
      <c r="AA405">
        <v>6.3612152152166659E-10</v>
      </c>
    </row>
    <row r="406" spans="1:27">
      <c r="A406" t="s">
        <v>3111</v>
      </c>
      <c r="B406" t="s">
        <v>3112</v>
      </c>
      <c r="C406" t="s">
        <v>2354</v>
      </c>
      <c r="D406" t="s">
        <v>2684</v>
      </c>
      <c r="E406" t="s">
        <v>923</v>
      </c>
      <c r="F406">
        <v>6.4126329085559583E-6</v>
      </c>
      <c r="G406">
        <v>1.6800801247626388E-10</v>
      </c>
      <c r="H406">
        <v>6.4121754171032443E-6</v>
      </c>
      <c r="I406">
        <v>6.4130324987291389E-6</v>
      </c>
      <c r="J406">
        <v>6.4126518538754663E-6</v>
      </c>
      <c r="K406">
        <v>6.4123589893148964E-6</v>
      </c>
      <c r="L406">
        <v>6.4128968233063837E-6</v>
      </c>
      <c r="P406" t="s">
        <v>3111</v>
      </c>
      <c r="Q406" t="s">
        <v>3112</v>
      </c>
      <c r="R406" t="s">
        <v>2354</v>
      </c>
      <c r="S406" t="s">
        <v>2684</v>
      </c>
      <c r="T406" t="s">
        <v>923</v>
      </c>
      <c r="U406">
        <v>6.4126181684589759E-6</v>
      </c>
      <c r="V406">
        <v>1.5552680695594064E-10</v>
      </c>
      <c r="W406">
        <v>6.4121046020773438E-6</v>
      </c>
      <c r="X406">
        <v>6.4129734021756206E-6</v>
      </c>
      <c r="Y406">
        <v>6.4126082254621995E-6</v>
      </c>
      <c r="Z406">
        <v>6.4123926119387262E-6</v>
      </c>
      <c r="AA406">
        <v>6.4129124671364117E-6</v>
      </c>
    </row>
    <row r="407" spans="1:27">
      <c r="A407" t="s">
        <v>3113</v>
      </c>
      <c r="B407" t="s">
        <v>3114</v>
      </c>
      <c r="C407" t="s">
        <v>2354</v>
      </c>
      <c r="D407" t="s">
        <v>2684</v>
      </c>
      <c r="E407" t="s">
        <v>923</v>
      </c>
      <c r="F407">
        <v>1.1322070405947448E-5</v>
      </c>
      <c r="G407">
        <v>1.48853382745257E-11</v>
      </c>
      <c r="H407">
        <v>1.1322029872672093E-5</v>
      </c>
      <c r="I407">
        <v>1.1322105809228583E-5</v>
      </c>
      <c r="J407">
        <v>1.1322072084483401E-5</v>
      </c>
      <c r="K407">
        <v>1.1322046136982514E-5</v>
      </c>
      <c r="L407">
        <v>1.1322093788524728E-5</v>
      </c>
      <c r="P407" t="s">
        <v>3113</v>
      </c>
      <c r="Q407" t="s">
        <v>3114</v>
      </c>
      <c r="R407" t="s">
        <v>2354</v>
      </c>
      <c r="S407" t="s">
        <v>2684</v>
      </c>
      <c r="T407" t="s">
        <v>923</v>
      </c>
      <c r="U407">
        <v>1.1322069099989912E-5</v>
      </c>
      <c r="V407">
        <v>1.3779516215739055E-11</v>
      </c>
      <c r="W407">
        <v>1.1322023598533141E-5</v>
      </c>
      <c r="X407">
        <v>1.1322100573334313E-5</v>
      </c>
      <c r="Y407">
        <v>1.1322068219050556E-5</v>
      </c>
      <c r="Z407">
        <v>1.1322049115912639E-5</v>
      </c>
      <c r="AA407">
        <v>1.1322095174552089E-5</v>
      </c>
    </row>
    <row r="408" spans="1:27">
      <c r="A408" t="s">
        <v>3115</v>
      </c>
      <c r="B408" t="s">
        <v>3116</v>
      </c>
      <c r="C408" t="s">
        <v>2354</v>
      </c>
      <c r="D408" t="s">
        <v>2684</v>
      </c>
      <c r="E408" t="s">
        <v>923</v>
      </c>
      <c r="F408">
        <v>3.479862501184408E-5</v>
      </c>
      <c r="G408">
        <v>3.4733010525363628E-11</v>
      </c>
      <c r="H408">
        <v>3.4798530432691532E-5</v>
      </c>
      <c r="I408">
        <v>3.4798707620819018E-5</v>
      </c>
      <c r="J408">
        <v>3.4798628928490512E-5</v>
      </c>
      <c r="K408">
        <v>3.4798568383355106E-5</v>
      </c>
      <c r="L408">
        <v>3.4798679572062192E-5</v>
      </c>
      <c r="P408" t="s">
        <v>3115</v>
      </c>
      <c r="Q408" t="s">
        <v>3116</v>
      </c>
      <c r="R408" t="s">
        <v>2354</v>
      </c>
      <c r="S408" t="s">
        <v>2684</v>
      </c>
      <c r="T408" t="s">
        <v>923</v>
      </c>
      <c r="U408">
        <v>3.4798621964561188E-5</v>
      </c>
      <c r="V408">
        <v>3.2152717857313863E-11</v>
      </c>
      <c r="W408">
        <v>3.4798515792800236E-5</v>
      </c>
      <c r="X408">
        <v>3.4798695403537327E-5</v>
      </c>
      <c r="Y408">
        <v>3.47986199090032E-5</v>
      </c>
      <c r="Z408">
        <v>3.4798575334303041E-5</v>
      </c>
      <c r="AA408">
        <v>3.4798682806177668E-5</v>
      </c>
    </row>
    <row r="409" spans="1:27">
      <c r="A409" t="s">
        <v>3117</v>
      </c>
      <c r="B409" t="s">
        <v>3118</v>
      </c>
      <c r="C409" t="s">
        <v>2354</v>
      </c>
      <c r="D409" t="s">
        <v>2684</v>
      </c>
      <c r="E409" t="s">
        <v>923</v>
      </c>
      <c r="F409">
        <v>1.1172664899954614E-11</v>
      </c>
      <c r="G409">
        <v>1.7307435852103419E-17</v>
      </c>
      <c r="H409">
        <v>1.1172617771226325E-11</v>
      </c>
      <c r="I409">
        <v>1.1172706063951425E-11</v>
      </c>
      <c r="J409">
        <v>1.1172666851616904E-11</v>
      </c>
      <c r="K409">
        <v>1.1172636682016533E-11</v>
      </c>
      <c r="L409">
        <v>1.117269208727471E-11</v>
      </c>
      <c r="P409" t="s">
        <v>3117</v>
      </c>
      <c r="Q409" t="s">
        <v>3118</v>
      </c>
      <c r="R409" t="s">
        <v>2354</v>
      </c>
      <c r="S409" t="s">
        <v>2684</v>
      </c>
      <c r="T409" t="s">
        <v>923</v>
      </c>
      <c r="U409">
        <v>1.1172663381495585E-11</v>
      </c>
      <c r="V409">
        <v>1.6021677746204813E-17</v>
      </c>
      <c r="W409">
        <v>1.1172610476178308E-11</v>
      </c>
      <c r="X409">
        <v>1.117269997608815E-11</v>
      </c>
      <c r="Y409">
        <v>1.1172662357212424E-11</v>
      </c>
      <c r="Z409">
        <v>1.1172640145669227E-11</v>
      </c>
      <c r="AA409">
        <v>1.1172693698832282E-11</v>
      </c>
    </row>
    <row r="410" spans="1:27">
      <c r="A410" t="s">
        <v>3119</v>
      </c>
      <c r="B410" t="s">
        <v>3120</v>
      </c>
      <c r="C410" t="s">
        <v>2354</v>
      </c>
      <c r="D410" t="s">
        <v>2684</v>
      </c>
      <c r="E410" t="s">
        <v>923</v>
      </c>
      <c r="F410">
        <v>1.1987561909041868E-11</v>
      </c>
      <c r="G410">
        <v>1.856978320859454E-17</v>
      </c>
      <c r="H410">
        <v>1.1987511342899396E-11</v>
      </c>
      <c r="I410">
        <v>1.1987606075405009E-11</v>
      </c>
      <c r="J410">
        <v>1.1987564003051983E-11</v>
      </c>
      <c r="K410">
        <v>1.1987531632980346E-11</v>
      </c>
      <c r="L410">
        <v>1.1987591079315535E-11</v>
      </c>
      <c r="P410" t="s">
        <v>3119</v>
      </c>
      <c r="Q410" t="s">
        <v>3120</v>
      </c>
      <c r="R410" t="s">
        <v>2354</v>
      </c>
      <c r="S410" t="s">
        <v>2684</v>
      </c>
      <c r="T410" t="s">
        <v>923</v>
      </c>
      <c r="U410">
        <v>1.1987560279831451E-11</v>
      </c>
      <c r="V410">
        <v>1.7190246141983939E-17</v>
      </c>
      <c r="W410">
        <v>1.1987503515774609E-11</v>
      </c>
      <c r="X410">
        <v>1.198759954351304E-11</v>
      </c>
      <c r="Y410">
        <v>1.1987559180840445E-11</v>
      </c>
      <c r="Z410">
        <v>1.1987535349260458E-11</v>
      </c>
      <c r="AA410">
        <v>1.1987592808414808E-11</v>
      </c>
    </row>
    <row r="411" spans="1:27">
      <c r="A411" t="s">
        <v>3121</v>
      </c>
      <c r="B411" t="s">
        <v>3122</v>
      </c>
      <c r="C411" t="s">
        <v>2354</v>
      </c>
      <c r="D411" t="s">
        <v>2684</v>
      </c>
      <c r="E411" t="s">
        <v>923</v>
      </c>
      <c r="F411">
        <v>5.5970547773834367E-12</v>
      </c>
      <c r="G411">
        <v>8.6703280673364945E-18</v>
      </c>
      <c r="H411">
        <v>5.5970311677893195E-12</v>
      </c>
      <c r="I411">
        <v>5.5970753988873932E-12</v>
      </c>
      <c r="J411">
        <v>5.5970557550876135E-12</v>
      </c>
      <c r="K411">
        <v>5.5970406413333231E-12</v>
      </c>
      <c r="L411">
        <v>5.5970683971354618E-12</v>
      </c>
      <c r="P411" t="s">
        <v>3121</v>
      </c>
      <c r="Q411" t="s">
        <v>3122</v>
      </c>
      <c r="R411" t="s">
        <v>2354</v>
      </c>
      <c r="S411" t="s">
        <v>2684</v>
      </c>
      <c r="T411" t="s">
        <v>923</v>
      </c>
      <c r="U411">
        <v>5.5970540166966432E-12</v>
      </c>
      <c r="V411">
        <v>8.0262150577653398E-18</v>
      </c>
      <c r="W411">
        <v>5.5970275132641717E-12</v>
      </c>
      <c r="X411">
        <v>5.5970723491131649E-12</v>
      </c>
      <c r="Y411">
        <v>5.5970535035720428E-12</v>
      </c>
      <c r="Z411">
        <v>5.5970423764837761E-12</v>
      </c>
      <c r="AA411">
        <v>5.5970692044608768E-12</v>
      </c>
    </row>
    <row r="412" spans="1:27">
      <c r="A412" t="s">
        <v>3123</v>
      </c>
      <c r="B412" t="s">
        <v>3124</v>
      </c>
      <c r="C412" t="s">
        <v>2354</v>
      </c>
      <c r="D412" t="s">
        <v>2684</v>
      </c>
      <c r="E412" t="s">
        <v>923</v>
      </c>
      <c r="F412">
        <v>3.1552690403210924E-9</v>
      </c>
      <c r="G412">
        <v>2.97436206969583E-14</v>
      </c>
      <c r="H412">
        <v>3.155188047444377E-9</v>
      </c>
      <c r="I412">
        <v>3.1553397825337409E-9</v>
      </c>
      <c r="J412">
        <v>3.1552723943420647E-9</v>
      </c>
      <c r="K412">
        <v>3.1552205465029243E-9</v>
      </c>
      <c r="L412">
        <v>3.1553157629750729E-9</v>
      </c>
      <c r="P412" t="s">
        <v>3123</v>
      </c>
      <c r="Q412" t="s">
        <v>3124</v>
      </c>
      <c r="R412" t="s">
        <v>2354</v>
      </c>
      <c r="S412" t="s">
        <v>2684</v>
      </c>
      <c r="T412" t="s">
        <v>923</v>
      </c>
      <c r="U412">
        <v>3.1552664307797534E-9</v>
      </c>
      <c r="V412">
        <v>2.7533986541019444E-14</v>
      </c>
      <c r="W412">
        <v>3.1551755105704567E-9</v>
      </c>
      <c r="X412">
        <v>3.1553293202620524E-9</v>
      </c>
      <c r="Y412">
        <v>3.1552646705022509E-9</v>
      </c>
      <c r="Z412">
        <v>3.1552264989486156E-9</v>
      </c>
      <c r="AA412">
        <v>3.1553185325105239E-9</v>
      </c>
    </row>
    <row r="413" spans="1:27">
      <c r="A413" t="s">
        <v>3125</v>
      </c>
      <c r="B413" t="s">
        <v>3126</v>
      </c>
      <c r="C413" t="s">
        <v>2354</v>
      </c>
      <c r="D413" t="s">
        <v>2684</v>
      </c>
      <c r="E413" t="s">
        <v>923</v>
      </c>
      <c r="F413">
        <v>1.2474355357648626E-11</v>
      </c>
      <c r="G413">
        <v>1.9323868989612262E-17</v>
      </c>
      <c r="H413">
        <v>1.2474302738105269E-11</v>
      </c>
      <c r="I413">
        <v>1.2474401317529E-11</v>
      </c>
      <c r="J413">
        <v>1.2474357536692745E-11</v>
      </c>
      <c r="K413">
        <v>1.2474323852130224E-11</v>
      </c>
      <c r="L413">
        <v>1.2474385712475076E-11</v>
      </c>
      <c r="P413" t="s">
        <v>3125</v>
      </c>
      <c r="Q413" t="s">
        <v>3126</v>
      </c>
      <c r="R413" t="s">
        <v>2354</v>
      </c>
      <c r="S413" t="s">
        <v>2684</v>
      </c>
      <c r="T413" t="s">
        <v>923</v>
      </c>
      <c r="U413">
        <v>1.247435366227887E-11</v>
      </c>
      <c r="V413">
        <v>1.7888311382812152E-17</v>
      </c>
      <c r="W413">
        <v>1.2474294593134903E-11</v>
      </c>
      <c r="X413">
        <v>1.2474394520388548E-11</v>
      </c>
      <c r="Y413">
        <v>1.2474352518659796E-11</v>
      </c>
      <c r="Z413">
        <v>1.2474327719321844E-11</v>
      </c>
      <c r="AA413">
        <v>1.2474387511789987E-11</v>
      </c>
    </row>
    <row r="414" spans="1:27">
      <c r="A414" t="s">
        <v>3127</v>
      </c>
      <c r="B414" t="s">
        <v>3128</v>
      </c>
      <c r="C414" t="s">
        <v>2354</v>
      </c>
      <c r="D414" t="s">
        <v>2684</v>
      </c>
      <c r="E414" t="s">
        <v>923</v>
      </c>
      <c r="F414">
        <v>7.9167545424707252E-9</v>
      </c>
      <c r="G414">
        <v>1.2084341866085864E-13</v>
      </c>
      <c r="H414">
        <v>7.9164254817888011E-9</v>
      </c>
      <c r="I414">
        <v>7.9170419563974694E-9</v>
      </c>
      <c r="J414">
        <v>7.916768169304012E-9</v>
      </c>
      <c r="K414">
        <v>7.9165575200963797E-9</v>
      </c>
      <c r="L414">
        <v>7.9169443688974923E-9</v>
      </c>
      <c r="P414" t="s">
        <v>3127</v>
      </c>
      <c r="Q414" t="s">
        <v>3128</v>
      </c>
      <c r="R414" t="s">
        <v>2354</v>
      </c>
      <c r="S414" t="s">
        <v>2684</v>
      </c>
      <c r="T414" t="s">
        <v>923</v>
      </c>
      <c r="U414">
        <v>7.9167439403352376E-9</v>
      </c>
      <c r="V414">
        <v>1.1186604001175288E-13</v>
      </c>
      <c r="W414">
        <v>7.9163745465405576E-9</v>
      </c>
      <c r="X414">
        <v>7.9169994499154701E-9</v>
      </c>
      <c r="Y414">
        <v>7.9167367886184591E-9</v>
      </c>
      <c r="Z414">
        <v>7.9165817039001645E-9</v>
      </c>
      <c r="AA414">
        <v>7.916955621062632E-9</v>
      </c>
    </row>
    <row r="415" spans="1:27">
      <c r="A415" t="s">
        <v>3129</v>
      </c>
      <c r="B415" t="s">
        <v>3130</v>
      </c>
      <c r="C415" t="s">
        <v>2354</v>
      </c>
      <c r="D415" t="s">
        <v>2684</v>
      </c>
      <c r="E415" t="s">
        <v>923</v>
      </c>
      <c r="F415">
        <v>1.2817123500008151E-8</v>
      </c>
      <c r="G415">
        <v>3.3179063269025848E-14</v>
      </c>
      <c r="H415">
        <v>1.2817033152306093E-8</v>
      </c>
      <c r="I415">
        <v>1.2817202413075704E-8</v>
      </c>
      <c r="J415">
        <v>1.281712724142468E-8</v>
      </c>
      <c r="K415">
        <v>1.2817069405065324E-8</v>
      </c>
      <c r="L415">
        <v>1.2817175619214093E-8</v>
      </c>
      <c r="P415" t="s">
        <v>3129</v>
      </c>
      <c r="Q415" t="s">
        <v>3130</v>
      </c>
      <c r="R415" t="s">
        <v>2354</v>
      </c>
      <c r="S415" t="s">
        <v>2684</v>
      </c>
      <c r="T415" t="s">
        <v>923</v>
      </c>
      <c r="U415">
        <v>1.2817120589060012E-8</v>
      </c>
      <c r="V415">
        <v>3.071421232808628E-14</v>
      </c>
      <c r="W415">
        <v>1.2817019167400313E-8</v>
      </c>
      <c r="X415">
        <v>1.2817190742392506E-8</v>
      </c>
      <c r="Y415">
        <v>1.2817118625467245E-8</v>
      </c>
      <c r="Z415">
        <v>1.2817076045029376E-8</v>
      </c>
      <c r="AA415">
        <v>1.2817178708635951E-8</v>
      </c>
    </row>
    <row r="416" spans="1:27">
      <c r="A416" t="s">
        <v>3131</v>
      </c>
      <c r="B416" t="s">
        <v>3132</v>
      </c>
      <c r="C416" t="s">
        <v>2354</v>
      </c>
      <c r="D416" t="s">
        <v>2684</v>
      </c>
      <c r="E416" t="s">
        <v>923</v>
      </c>
      <c r="F416">
        <v>1.699722325494486E-9</v>
      </c>
      <c r="G416">
        <v>1.6562573336181727E-16</v>
      </c>
      <c r="H416">
        <v>1.6997218744900601E-9</v>
      </c>
      <c r="I416">
        <v>1.6997227194186487E-9</v>
      </c>
      <c r="J416">
        <v>1.6997223441711702E-9</v>
      </c>
      <c r="K416">
        <v>1.6997220554592992E-9</v>
      </c>
      <c r="L416">
        <v>1.6997225856670432E-9</v>
      </c>
      <c r="P416" t="s">
        <v>3131</v>
      </c>
      <c r="Q416" t="s">
        <v>3132</v>
      </c>
      <c r="R416" t="s">
        <v>2354</v>
      </c>
      <c r="S416" t="s">
        <v>2684</v>
      </c>
      <c r="T416" t="s">
        <v>923</v>
      </c>
      <c r="U416">
        <v>1.6997223109633986E-9</v>
      </c>
      <c r="V416">
        <v>1.5332150579666387E-16</v>
      </c>
      <c r="W416">
        <v>1.6997218046791599E-9</v>
      </c>
      <c r="X416">
        <v>1.699722661160058E-9</v>
      </c>
      <c r="Y416">
        <v>1.6997223011613886E-9</v>
      </c>
      <c r="Z416">
        <v>1.6997220886051692E-9</v>
      </c>
      <c r="AA416">
        <v>1.6997226010890507E-9</v>
      </c>
    </row>
    <row r="417" spans="1:27">
      <c r="A417" t="s">
        <v>3133</v>
      </c>
      <c r="B417" t="s">
        <v>3134</v>
      </c>
      <c r="C417" t="s">
        <v>2354</v>
      </c>
      <c r="D417" t="s">
        <v>2684</v>
      </c>
      <c r="E417" t="s">
        <v>923</v>
      </c>
      <c r="F417">
        <v>1.0977177554754485E-7</v>
      </c>
      <c r="G417">
        <v>1.0793318539010607E-14</v>
      </c>
      <c r="H417">
        <v>1.0977174615697648E-7</v>
      </c>
      <c r="I417">
        <v>1.0977180121836829E-7</v>
      </c>
      <c r="J417">
        <v>1.0977177676464673E-7</v>
      </c>
      <c r="K417">
        <v>1.0977175795018399E-7</v>
      </c>
      <c r="L417">
        <v>1.0977179250218842E-7</v>
      </c>
      <c r="P417" t="s">
        <v>3133</v>
      </c>
      <c r="Q417" t="s">
        <v>3134</v>
      </c>
      <c r="R417" t="s">
        <v>2354</v>
      </c>
      <c r="S417" t="s">
        <v>2684</v>
      </c>
      <c r="T417" t="s">
        <v>923</v>
      </c>
      <c r="U417">
        <v>1.0977177460059858E-7</v>
      </c>
      <c r="V417">
        <v>9.9914899535679597E-15</v>
      </c>
      <c r="W417">
        <v>1.0977174160761528E-7</v>
      </c>
      <c r="X417">
        <v>1.097717974218355E-7</v>
      </c>
      <c r="Y417">
        <v>1.0977177396183182E-7</v>
      </c>
      <c r="Z417">
        <v>1.0977176011019817E-7</v>
      </c>
      <c r="AA417">
        <v>1.0977179350719311E-7</v>
      </c>
    </row>
    <row r="418" spans="1:27">
      <c r="A418" t="s">
        <v>3135</v>
      </c>
      <c r="B418" t="s">
        <v>3136</v>
      </c>
      <c r="C418" t="s">
        <v>2354</v>
      </c>
      <c r="D418" t="s">
        <v>2684</v>
      </c>
      <c r="E418" t="s">
        <v>923</v>
      </c>
      <c r="F418">
        <v>2.8453212631570435E-8</v>
      </c>
      <c r="G418">
        <v>6.3567558304917877E-13</v>
      </c>
      <c r="H418">
        <v>2.8451481665638174E-8</v>
      </c>
      <c r="I418">
        <v>2.8454724522060502E-8</v>
      </c>
      <c r="J418">
        <v>2.8453284313133993E-8</v>
      </c>
      <c r="K418">
        <v>2.8452176229968491E-8</v>
      </c>
      <c r="L418">
        <v>2.8454211180153805E-8</v>
      </c>
      <c r="P418" t="s">
        <v>3135</v>
      </c>
      <c r="Q418" t="s">
        <v>3136</v>
      </c>
      <c r="R418" t="s">
        <v>2354</v>
      </c>
      <c r="S418" t="s">
        <v>2684</v>
      </c>
      <c r="T418" t="s">
        <v>923</v>
      </c>
      <c r="U418">
        <v>2.8453156860898523E-8</v>
      </c>
      <c r="V418">
        <v>5.8845165914571459E-13</v>
      </c>
      <c r="W418">
        <v>2.8451213729709321E-8</v>
      </c>
      <c r="X418">
        <v>2.8454500924176329E-8</v>
      </c>
      <c r="Y418">
        <v>2.8453119240548276E-8</v>
      </c>
      <c r="Z418">
        <v>2.845230344462148E-8</v>
      </c>
      <c r="AA418">
        <v>2.8454270370192584E-8</v>
      </c>
    </row>
    <row r="419" spans="1:27">
      <c r="A419" t="s">
        <v>3137</v>
      </c>
      <c r="B419" t="s">
        <v>3138</v>
      </c>
      <c r="C419" t="s">
        <v>2354</v>
      </c>
      <c r="D419" t="s">
        <v>2684</v>
      </c>
      <c r="E419" t="s">
        <v>923</v>
      </c>
      <c r="F419">
        <v>6.6669562475421552E-7</v>
      </c>
      <c r="G419">
        <v>9.5776152225057111E-22</v>
      </c>
      <c r="H419">
        <v>6.6669562475421647E-7</v>
      </c>
      <c r="I419">
        <v>6.6669562475421647E-7</v>
      </c>
      <c r="J419">
        <v>6.6669562475421647E-7</v>
      </c>
      <c r="K419">
        <v>6.6669562475421647E-7</v>
      </c>
      <c r="L419">
        <v>6.6669562475421647E-7</v>
      </c>
      <c r="P419" t="s">
        <v>3137</v>
      </c>
      <c r="Q419" t="s">
        <v>3138</v>
      </c>
      <c r="R419" t="s">
        <v>2354</v>
      </c>
      <c r="S419" t="s">
        <v>2684</v>
      </c>
      <c r="T419" t="s">
        <v>923</v>
      </c>
      <c r="U419">
        <v>6.6669562475421552E-7</v>
      </c>
      <c r="V419">
        <v>9.5776152225057111E-22</v>
      </c>
      <c r="W419">
        <v>6.6669562475421647E-7</v>
      </c>
      <c r="X419">
        <v>6.6669562475421647E-7</v>
      </c>
      <c r="Y419">
        <v>6.6669562475421647E-7</v>
      </c>
      <c r="Z419">
        <v>6.6669562475421647E-7</v>
      </c>
      <c r="AA419">
        <v>6.6669562475421647E-7</v>
      </c>
    </row>
    <row r="420" spans="1:27">
      <c r="A420" t="s">
        <v>3139</v>
      </c>
      <c r="B420" t="s">
        <v>3140</v>
      </c>
      <c r="C420" t="s">
        <v>2354</v>
      </c>
      <c r="D420" t="s">
        <v>2684</v>
      </c>
      <c r="E420" t="s">
        <v>923</v>
      </c>
      <c r="F420">
        <v>3.1309194768325789E-13</v>
      </c>
      <c r="G420">
        <v>4.8500685369768316E-19</v>
      </c>
      <c r="H420">
        <v>3.1309062699332886E-13</v>
      </c>
      <c r="I420">
        <v>3.1309310122331713E-13</v>
      </c>
      <c r="J420">
        <v>3.1309200237475544E-13</v>
      </c>
      <c r="K420">
        <v>3.130911569310353E-13</v>
      </c>
      <c r="L420">
        <v>3.1309270955443809E-13</v>
      </c>
      <c r="P420" t="s">
        <v>3139</v>
      </c>
      <c r="Q420" t="s">
        <v>3140</v>
      </c>
      <c r="R420" t="s">
        <v>2354</v>
      </c>
      <c r="S420" t="s">
        <v>2684</v>
      </c>
      <c r="T420" t="s">
        <v>923</v>
      </c>
      <c r="U420">
        <v>3.1309190513142969E-13</v>
      </c>
      <c r="V420">
        <v>4.4897601129681918E-19</v>
      </c>
      <c r="W420">
        <v>3.1309042256395433E-13</v>
      </c>
      <c r="X420">
        <v>3.1309293062292097E-13</v>
      </c>
      <c r="Y420">
        <v>3.1309187642790842E-13</v>
      </c>
      <c r="Z420">
        <v>3.1309125399309061E-13</v>
      </c>
      <c r="AA420">
        <v>3.1309275471516981E-13</v>
      </c>
    </row>
    <row r="421" spans="1:27">
      <c r="A421" t="s">
        <v>3141</v>
      </c>
      <c r="B421" t="s">
        <v>3142</v>
      </c>
      <c r="C421" t="s">
        <v>2354</v>
      </c>
      <c r="D421" t="s">
        <v>2684</v>
      </c>
      <c r="E421" t="s">
        <v>923</v>
      </c>
      <c r="F421">
        <v>7.4467289597736732E-5</v>
      </c>
      <c r="G421">
        <v>1.4134250860898257E-10</v>
      </c>
      <c r="H421">
        <v>7.4466904717345394E-5</v>
      </c>
      <c r="I421">
        <v>7.4467625766688809E-5</v>
      </c>
      <c r="J421">
        <v>7.4467305536137234E-5</v>
      </c>
      <c r="K421">
        <v>7.4467059153770902E-5</v>
      </c>
      <c r="L421">
        <v>7.4467511625081362E-5</v>
      </c>
      <c r="P421" t="s">
        <v>3141</v>
      </c>
      <c r="Q421" t="s">
        <v>3142</v>
      </c>
      <c r="R421" t="s">
        <v>2354</v>
      </c>
      <c r="S421" t="s">
        <v>2684</v>
      </c>
      <c r="T421" t="s">
        <v>923</v>
      </c>
      <c r="U421">
        <v>7.4467277197124104E-5</v>
      </c>
      <c r="V421">
        <v>1.308422659563713E-10</v>
      </c>
      <c r="W421">
        <v>7.4466845141773596E-5</v>
      </c>
      <c r="X421">
        <v>7.4467576049684235E-5</v>
      </c>
      <c r="Y421">
        <v>7.4467268832236708E-5</v>
      </c>
      <c r="Z421">
        <v>7.4467087439957554E-5</v>
      </c>
      <c r="AA421">
        <v>7.4467524785990465E-5</v>
      </c>
    </row>
    <row r="422" spans="1:27">
      <c r="A422" t="s">
        <v>3143</v>
      </c>
      <c r="B422" t="s">
        <v>3144</v>
      </c>
      <c r="C422" t="s">
        <v>2354</v>
      </c>
      <c r="D422" t="s">
        <v>2684</v>
      </c>
      <c r="E422" t="s">
        <v>923</v>
      </c>
      <c r="F422">
        <v>4.8735124629372264E-6</v>
      </c>
      <c r="G422">
        <v>4.923197581899848E-12</v>
      </c>
      <c r="H422">
        <v>4.8734990569050928E-6</v>
      </c>
      <c r="I422">
        <v>4.8735241722679013E-6</v>
      </c>
      <c r="J422">
        <v>4.8735130180985527E-6</v>
      </c>
      <c r="K422">
        <v>4.8735044361858496E-6</v>
      </c>
      <c r="L422">
        <v>4.8735201965235104E-6</v>
      </c>
      <c r="P422" t="s">
        <v>3143</v>
      </c>
      <c r="Q422" t="s">
        <v>3144</v>
      </c>
      <c r="R422" t="s">
        <v>2354</v>
      </c>
      <c r="S422" t="s">
        <v>2684</v>
      </c>
      <c r="T422" t="s">
        <v>923</v>
      </c>
      <c r="U422">
        <v>4.8735120310030063E-6</v>
      </c>
      <c r="V422">
        <v>4.5574564488215514E-12</v>
      </c>
      <c r="W422">
        <v>4.8734969817876085E-6</v>
      </c>
      <c r="X422">
        <v>4.8735224405409136E-6</v>
      </c>
      <c r="Y422">
        <v>4.8735117396398914E-6</v>
      </c>
      <c r="Z422">
        <v>4.8735054214413619E-6</v>
      </c>
      <c r="AA422">
        <v>4.873520654940136E-6</v>
      </c>
    </row>
    <row r="423" spans="1:27">
      <c r="A423" t="s">
        <v>3145</v>
      </c>
      <c r="B423" t="s">
        <v>3146</v>
      </c>
      <c r="C423" t="s">
        <v>2354</v>
      </c>
      <c r="D423" t="s">
        <v>2684</v>
      </c>
      <c r="E423" t="s">
        <v>923</v>
      </c>
      <c r="F423">
        <v>5.3495820801697943E-6</v>
      </c>
      <c r="G423">
        <v>5.0123198008927618E-12</v>
      </c>
      <c r="H423">
        <v>5.349568431454871E-6</v>
      </c>
      <c r="I423">
        <v>5.3495940014687126E-6</v>
      </c>
      <c r="J423">
        <v>5.3495826453809336E-6</v>
      </c>
      <c r="K423">
        <v>5.3495739081140955E-6</v>
      </c>
      <c r="L423">
        <v>5.3495899537533806E-6</v>
      </c>
      <c r="P423" t="s">
        <v>3145</v>
      </c>
      <c r="Q423" t="s">
        <v>3146</v>
      </c>
      <c r="R423" t="s">
        <v>2354</v>
      </c>
      <c r="S423" t="s">
        <v>2684</v>
      </c>
      <c r="T423" t="s">
        <v>923</v>
      </c>
      <c r="U423">
        <v>5.3495816404164817E-6</v>
      </c>
      <c r="V423">
        <v>4.639957836435744E-12</v>
      </c>
      <c r="W423">
        <v>5.3495663187725571E-6</v>
      </c>
      <c r="X423">
        <v>5.3495922383931245E-6</v>
      </c>
      <c r="Y423">
        <v>5.3495813437789656E-6</v>
      </c>
      <c r="Z423">
        <v>5.3495749112052028E-6</v>
      </c>
      <c r="AA423">
        <v>5.3495904204684964E-6</v>
      </c>
    </row>
    <row r="424" spans="1:27">
      <c r="A424" t="s">
        <v>3147</v>
      </c>
      <c r="B424" t="s">
        <v>3148</v>
      </c>
      <c r="C424" t="s">
        <v>2354</v>
      </c>
      <c r="D424" t="s">
        <v>2684</v>
      </c>
      <c r="E424" t="s">
        <v>923</v>
      </c>
      <c r="F424">
        <v>2.5586446419211749E-4</v>
      </c>
      <c r="G424">
        <v>1.3129848160569044E-10</v>
      </c>
      <c r="H424">
        <v>2.5586410666194855E-4</v>
      </c>
      <c r="I424">
        <v>2.5586477647236076E-4</v>
      </c>
      <c r="J424">
        <v>2.5586447899790949E-4</v>
      </c>
      <c r="K424">
        <v>2.5586425012387215E-4</v>
      </c>
      <c r="L424">
        <v>2.5586467044184035E-4</v>
      </c>
      <c r="P424" t="s">
        <v>3147</v>
      </c>
      <c r="Q424" t="s">
        <v>3148</v>
      </c>
      <c r="R424" t="s">
        <v>2354</v>
      </c>
      <c r="S424" t="s">
        <v>2684</v>
      </c>
      <c r="T424" t="s">
        <v>923</v>
      </c>
      <c r="U424">
        <v>2.5586445267271248E-4</v>
      </c>
      <c r="V424">
        <v>1.2154440316007916E-10</v>
      </c>
      <c r="W424">
        <v>2.5586405131991312E-4</v>
      </c>
      <c r="X424">
        <v>2.5586473028832684E-4</v>
      </c>
      <c r="Y424">
        <v>2.5586444490224744E-4</v>
      </c>
      <c r="Z424">
        <v>2.5586427639999671E-4</v>
      </c>
      <c r="AA424">
        <v>2.5586468266751395E-4</v>
      </c>
    </row>
    <row r="425" spans="1:27">
      <c r="A425" t="s">
        <v>3149</v>
      </c>
      <c r="B425" t="s">
        <v>3150</v>
      </c>
      <c r="C425" t="s">
        <v>2354</v>
      </c>
      <c r="D425" t="s">
        <v>2684</v>
      </c>
      <c r="E425" t="s">
        <v>923</v>
      </c>
      <c r="F425">
        <v>9.3312292959119654E-6</v>
      </c>
      <c r="G425">
        <v>1.0347821928889312E-11</v>
      </c>
      <c r="H425">
        <v>9.3312011184457999E-6</v>
      </c>
      <c r="I425">
        <v>9.331253907166484E-6</v>
      </c>
      <c r="J425">
        <v>9.331230462777696E-6</v>
      </c>
      <c r="K425">
        <v>9.3312124248860675E-6</v>
      </c>
      <c r="L425">
        <v>9.331245550748872E-6</v>
      </c>
      <c r="P425" t="s">
        <v>3149</v>
      </c>
      <c r="Q425" t="s">
        <v>3150</v>
      </c>
      <c r="R425" t="s">
        <v>2354</v>
      </c>
      <c r="S425" t="s">
        <v>2684</v>
      </c>
      <c r="T425" t="s">
        <v>923</v>
      </c>
      <c r="U425">
        <v>9.3312283880511004E-6</v>
      </c>
      <c r="V425">
        <v>9.5790889959259626E-12</v>
      </c>
      <c r="W425">
        <v>9.3311967568604984E-6</v>
      </c>
      <c r="X425">
        <v>9.3312502673364356E-6</v>
      </c>
      <c r="Y425">
        <v>9.3312277756495965E-6</v>
      </c>
      <c r="Z425">
        <v>9.3312144957451835E-6</v>
      </c>
      <c r="AA425">
        <v>9.3312465142717702E-6</v>
      </c>
    </row>
    <row r="426" spans="1:27">
      <c r="A426" t="s">
        <v>3151</v>
      </c>
      <c r="B426" t="s">
        <v>3152</v>
      </c>
      <c r="C426" t="s">
        <v>2354</v>
      </c>
      <c r="D426" t="s">
        <v>2684</v>
      </c>
      <c r="E426" t="s">
        <v>923</v>
      </c>
      <c r="F426">
        <v>2.5226000821735332E-9</v>
      </c>
      <c r="G426">
        <v>1.0481246055048995E-15</v>
      </c>
      <c r="H426">
        <v>2.522597228095079E-9</v>
      </c>
      <c r="I426">
        <v>2.5226025750325718E-9</v>
      </c>
      <c r="J426">
        <v>2.5226002003646547E-9</v>
      </c>
      <c r="K426">
        <v>2.5225983733175542E-9</v>
      </c>
      <c r="L426">
        <v>2.5226017286161012E-9</v>
      </c>
      <c r="P426" t="s">
        <v>3151</v>
      </c>
      <c r="Q426" t="s">
        <v>3152</v>
      </c>
      <c r="R426" t="s">
        <v>2354</v>
      </c>
      <c r="S426" t="s">
        <v>2684</v>
      </c>
      <c r="T426" t="s">
        <v>923</v>
      </c>
      <c r="U426">
        <v>2.5225999902168563E-9</v>
      </c>
      <c r="V426">
        <v>9.702601130746468E-16</v>
      </c>
      <c r="W426">
        <v>2.5225967863127501E-9</v>
      </c>
      <c r="X426">
        <v>2.5226022063563944E-9</v>
      </c>
      <c r="Y426">
        <v>2.5225999281870797E-9</v>
      </c>
      <c r="Z426">
        <v>2.5225985830736177E-9</v>
      </c>
      <c r="AA426">
        <v>2.5226018262107514E-9</v>
      </c>
    </row>
    <row r="427" spans="1:27">
      <c r="A427" t="s">
        <v>3153</v>
      </c>
      <c r="B427" t="s">
        <v>3154</v>
      </c>
      <c r="C427" t="s">
        <v>2354</v>
      </c>
      <c r="D427" t="s">
        <v>2684</v>
      </c>
      <c r="E427" t="s">
        <v>923</v>
      </c>
      <c r="F427">
        <v>2.1444654425554707E-15</v>
      </c>
      <c r="G427">
        <v>3.3219646845328334E-21</v>
      </c>
      <c r="H427">
        <v>2.1444563967342216E-15</v>
      </c>
      <c r="I427">
        <v>2.1444733435146224E-15</v>
      </c>
      <c r="J427">
        <v>2.1444658171547624E-15</v>
      </c>
      <c r="K427">
        <v>2.1444600264444672E-15</v>
      </c>
      <c r="L427">
        <v>2.1444706608511216E-15</v>
      </c>
      <c r="P427" t="s">
        <v>3153</v>
      </c>
      <c r="Q427" t="s">
        <v>3154</v>
      </c>
      <c r="R427" t="s">
        <v>2354</v>
      </c>
      <c r="S427" t="s">
        <v>2684</v>
      </c>
      <c r="T427" t="s">
        <v>923</v>
      </c>
      <c r="U427">
        <v>2.1444651511045997E-15</v>
      </c>
      <c r="V427">
        <v>3.0751780977225494E-21</v>
      </c>
      <c r="W427">
        <v>2.1444549965330544E-15</v>
      </c>
      <c r="X427">
        <v>2.1444721750187819E-15</v>
      </c>
      <c r="Y427">
        <v>2.1444649545051425E-15</v>
      </c>
      <c r="Z427">
        <v>2.1444606912530515E-15</v>
      </c>
      <c r="AA427">
        <v>2.1444709701711956E-15</v>
      </c>
    </row>
    <row r="428" spans="1:27">
      <c r="A428" t="s">
        <v>3155</v>
      </c>
      <c r="B428" t="s">
        <v>3156</v>
      </c>
      <c r="C428" t="s">
        <v>2354</v>
      </c>
      <c r="D428" t="s">
        <v>2684</v>
      </c>
      <c r="E428" t="s">
        <v>923</v>
      </c>
      <c r="F428">
        <v>3.6995389323497698E-10</v>
      </c>
      <c r="G428">
        <v>5.3277707903618371E-15</v>
      </c>
      <c r="H428">
        <v>3.6993938553642918E-10</v>
      </c>
      <c r="I428">
        <v>3.699665648023707E-10</v>
      </c>
      <c r="J428">
        <v>3.6995449401775152E-10</v>
      </c>
      <c r="K428">
        <v>3.6994520686990458E-10</v>
      </c>
      <c r="L428">
        <v>3.6996226234355536E-10</v>
      </c>
      <c r="P428" t="s">
        <v>3155</v>
      </c>
      <c r="Q428" t="s">
        <v>3156</v>
      </c>
      <c r="R428" t="s">
        <v>2354</v>
      </c>
      <c r="S428" t="s">
        <v>2684</v>
      </c>
      <c r="T428" t="s">
        <v>923</v>
      </c>
      <c r="U428">
        <v>3.6995342580573343E-10</v>
      </c>
      <c r="V428">
        <v>4.9319741779275326E-15</v>
      </c>
      <c r="W428">
        <v>3.6993713989218315E-10</v>
      </c>
      <c r="X428">
        <v>3.6996469076739462E-10</v>
      </c>
      <c r="Y428">
        <v>3.6995311049929661E-10</v>
      </c>
      <c r="Z428">
        <v>3.6994627309067881E-10</v>
      </c>
      <c r="AA428">
        <v>3.699627584314469E-10</v>
      </c>
    </row>
    <row r="429" spans="1:27">
      <c r="A429" t="s">
        <v>3157</v>
      </c>
      <c r="B429" t="s">
        <v>3158</v>
      </c>
      <c r="C429" t="s">
        <v>2354</v>
      </c>
      <c r="D429" t="s">
        <v>2684</v>
      </c>
      <c r="E429" t="s">
        <v>923</v>
      </c>
      <c r="F429">
        <v>1.1261268689278705E-10</v>
      </c>
      <c r="G429">
        <v>9.7391251218603E-18</v>
      </c>
      <c r="H429">
        <v>1.1261266037282271E-10</v>
      </c>
      <c r="I429">
        <v>1.1261271005631739E-10</v>
      </c>
      <c r="J429">
        <v>1.1261268799101347E-10</v>
      </c>
      <c r="K429">
        <v>1.1261267101417672E-10</v>
      </c>
      <c r="L429">
        <v>1.1261270219145489E-10</v>
      </c>
      <c r="P429" t="s">
        <v>3157</v>
      </c>
      <c r="Q429" t="s">
        <v>3158</v>
      </c>
      <c r="R429" t="s">
        <v>2354</v>
      </c>
      <c r="S429" t="s">
        <v>2684</v>
      </c>
      <c r="T429" t="s">
        <v>923</v>
      </c>
      <c r="U429">
        <v>1.1261268603832987E-10</v>
      </c>
      <c r="V429">
        <v>9.0156118776359103E-18</v>
      </c>
      <c r="W429">
        <v>1.1261265626780184E-10</v>
      </c>
      <c r="X429">
        <v>1.1261270663059548E-10</v>
      </c>
      <c r="Y429">
        <v>1.1261268546195208E-10</v>
      </c>
      <c r="Z429">
        <v>1.1261267296322032E-10</v>
      </c>
      <c r="AA429">
        <v>1.1261270309829985E-10</v>
      </c>
    </row>
    <row r="430" spans="1:27">
      <c r="A430" t="s">
        <v>3159</v>
      </c>
      <c r="B430" t="s">
        <v>3160</v>
      </c>
      <c r="C430" t="s">
        <v>2354</v>
      </c>
      <c r="D430" t="s">
        <v>2684</v>
      </c>
      <c r="E430" t="s">
        <v>923</v>
      </c>
      <c r="F430">
        <v>1.6124361915575425E-7</v>
      </c>
      <c r="G430">
        <v>1.3204634002758455E-12</v>
      </c>
      <c r="H430">
        <v>1.6124002348962891E-7</v>
      </c>
      <c r="I430">
        <v>1.6124675974524769E-7</v>
      </c>
      <c r="J430">
        <v>1.6124376805699205E-7</v>
      </c>
      <c r="K430">
        <v>1.6124146628026267E-7</v>
      </c>
      <c r="L430">
        <v>1.6124569340068813E-7</v>
      </c>
      <c r="P430" t="s">
        <v>3159</v>
      </c>
      <c r="Q430" t="s">
        <v>3160</v>
      </c>
      <c r="R430" t="s">
        <v>2354</v>
      </c>
      <c r="S430" t="s">
        <v>2684</v>
      </c>
      <c r="T430" t="s">
        <v>923</v>
      </c>
      <c r="U430">
        <v>1.6124350330557371E-7</v>
      </c>
      <c r="V430">
        <v>1.2223670366673374E-12</v>
      </c>
      <c r="W430">
        <v>1.6123946691706722E-7</v>
      </c>
      <c r="X430">
        <v>1.612462952743284E-7</v>
      </c>
      <c r="Y430">
        <v>1.6124342515832858E-7</v>
      </c>
      <c r="Z430">
        <v>1.6124173053816043E-7</v>
      </c>
      <c r="AA430">
        <v>1.6124581635378238E-7</v>
      </c>
    </row>
    <row r="431" spans="1:27">
      <c r="A431" t="s">
        <v>3161</v>
      </c>
      <c r="B431" t="s">
        <v>3162</v>
      </c>
      <c r="C431" t="s">
        <v>2354</v>
      </c>
      <c r="D431" t="s">
        <v>2684</v>
      </c>
      <c r="E431" t="s">
        <v>923</v>
      </c>
      <c r="F431">
        <v>6.0909085023118957E-7</v>
      </c>
      <c r="G431">
        <v>1.0769119449293272E-18</v>
      </c>
      <c r="H431">
        <v>6.0909085022825693E-7</v>
      </c>
      <c r="I431">
        <v>6.0909085023375068E-7</v>
      </c>
      <c r="J431">
        <v>6.090908502313108E-7</v>
      </c>
      <c r="K431">
        <v>6.0909085022943356E-7</v>
      </c>
      <c r="L431">
        <v>6.0909085023288098E-7</v>
      </c>
      <c r="P431" t="s">
        <v>3161</v>
      </c>
      <c r="Q431" t="s">
        <v>3162</v>
      </c>
      <c r="R431" t="s">
        <v>2354</v>
      </c>
      <c r="S431" t="s">
        <v>2684</v>
      </c>
      <c r="T431" t="s">
        <v>923</v>
      </c>
      <c r="U431">
        <v>6.090908502310947E-7</v>
      </c>
      <c r="V431">
        <v>9.9691374422160301E-19</v>
      </c>
      <c r="W431">
        <v>6.0909085022780302E-7</v>
      </c>
      <c r="X431">
        <v>6.0909085023337195E-7</v>
      </c>
      <c r="Y431">
        <v>6.0909085023103117E-7</v>
      </c>
      <c r="Z431">
        <v>6.0909085022964913E-7</v>
      </c>
      <c r="AA431">
        <v>6.0909085023298136E-7</v>
      </c>
    </row>
    <row r="432" spans="1:27">
      <c r="A432" t="s">
        <v>3163</v>
      </c>
      <c r="B432" t="s">
        <v>3164</v>
      </c>
      <c r="C432" t="s">
        <v>2354</v>
      </c>
      <c r="D432" t="s">
        <v>2684</v>
      </c>
      <c r="E432" t="s">
        <v>923</v>
      </c>
      <c r="F432">
        <v>9.1610886363580301E-7</v>
      </c>
      <c r="G432">
        <v>1.3172639596519815E-12</v>
      </c>
      <c r="H432">
        <v>9.1610527668186161E-7</v>
      </c>
      <c r="I432">
        <v>9.1611199661574827E-7</v>
      </c>
      <c r="J432">
        <v>9.1610901217625769E-7</v>
      </c>
      <c r="K432">
        <v>9.1610671597665981E-7</v>
      </c>
      <c r="L432">
        <v>9.1611093285490745E-7</v>
      </c>
      <c r="P432" t="s">
        <v>3163</v>
      </c>
      <c r="Q432" t="s">
        <v>3164</v>
      </c>
      <c r="R432" t="s">
        <v>2354</v>
      </c>
      <c r="S432" t="s">
        <v>2684</v>
      </c>
      <c r="T432" t="s">
        <v>923</v>
      </c>
      <c r="U432">
        <v>9.161087480663235E-7</v>
      </c>
      <c r="V432">
        <v>1.2194052803942754E-12</v>
      </c>
      <c r="W432">
        <v>9.1610472145785739E-7</v>
      </c>
      <c r="X432">
        <v>9.1611153327022714E-7</v>
      </c>
      <c r="Y432">
        <v>9.1610867010842668E-7</v>
      </c>
      <c r="Z432">
        <v>9.1610697959426912E-7</v>
      </c>
      <c r="AA432">
        <v>9.1611105551009031E-7</v>
      </c>
    </row>
    <row r="433" spans="1:27">
      <c r="A433" t="s">
        <v>3165</v>
      </c>
      <c r="B433" t="s">
        <v>3166</v>
      </c>
      <c r="C433" t="s">
        <v>2354</v>
      </c>
      <c r="D433" t="s">
        <v>1667</v>
      </c>
      <c r="E433" t="s">
        <v>3167</v>
      </c>
      <c r="F433">
        <v>1.2728411195391971E-5</v>
      </c>
      <c r="G433">
        <v>7.365708486770024E-11</v>
      </c>
      <c r="H433">
        <v>1.2728210624679531E-5</v>
      </c>
      <c r="I433">
        <v>1.2728586381365934E-5</v>
      </c>
      <c r="J433">
        <v>1.2728419501287548E-5</v>
      </c>
      <c r="K433">
        <v>1.2728291105329079E-5</v>
      </c>
      <c r="L433">
        <v>1.2728526899344922E-5</v>
      </c>
      <c r="P433" t="s">
        <v>3165</v>
      </c>
      <c r="Q433" t="s">
        <v>3166</v>
      </c>
      <c r="R433" t="s">
        <v>2354</v>
      </c>
      <c r="S433" t="s">
        <v>1667</v>
      </c>
      <c r="T433" t="s">
        <v>3167</v>
      </c>
      <c r="U433">
        <v>1.2728404733125335E-5</v>
      </c>
      <c r="V433">
        <v>6.8185148138452382E-11</v>
      </c>
      <c r="W433">
        <v>1.2728179578372303E-5</v>
      </c>
      <c r="X433">
        <v>1.2728560472602454E-5</v>
      </c>
      <c r="Y433">
        <v>1.272840037397516E-5</v>
      </c>
      <c r="Z433">
        <v>1.2728305845962101E-5</v>
      </c>
      <c r="AA433">
        <v>1.2728533757820892E-5</v>
      </c>
    </row>
    <row r="434" spans="1:27">
      <c r="A434" t="s">
        <v>3168</v>
      </c>
      <c r="B434" t="s">
        <v>3169</v>
      </c>
      <c r="C434" t="s">
        <v>2354</v>
      </c>
      <c r="D434" t="s">
        <v>1667</v>
      </c>
      <c r="E434" t="s">
        <v>3167</v>
      </c>
      <c r="F434">
        <v>8.5988866826716837E-7</v>
      </c>
      <c r="G434">
        <v>4.7727531455517422E-12</v>
      </c>
      <c r="H434">
        <v>8.5987567190028174E-7</v>
      </c>
      <c r="I434">
        <v>8.5990001978087203E-7</v>
      </c>
      <c r="J434">
        <v>8.5988920646372167E-7</v>
      </c>
      <c r="K434">
        <v>8.5988088679948616E-7</v>
      </c>
      <c r="L434">
        <v>8.5989616552838019E-7</v>
      </c>
      <c r="P434" t="s">
        <v>3168</v>
      </c>
      <c r="Q434" t="s">
        <v>3169</v>
      </c>
      <c r="R434" t="s">
        <v>2354</v>
      </c>
      <c r="S434" t="s">
        <v>1667</v>
      </c>
      <c r="T434" t="s">
        <v>3167</v>
      </c>
      <c r="U434">
        <v>8.5988824953211378E-7</v>
      </c>
      <c r="V434">
        <v>4.4181884314674018E-12</v>
      </c>
      <c r="W434">
        <v>8.5987366019481226E-7</v>
      </c>
      <c r="X434">
        <v>8.598983409724775E-7</v>
      </c>
      <c r="Y434">
        <v>8.5988796707255461E-7</v>
      </c>
      <c r="Z434">
        <v>8.5988184194728703E-7</v>
      </c>
      <c r="AA434">
        <v>8.598966099365836E-7</v>
      </c>
    </row>
    <row r="435" spans="1:27">
      <c r="A435" t="s">
        <v>3170</v>
      </c>
      <c r="B435" t="s">
        <v>3171</v>
      </c>
      <c r="C435" t="s">
        <v>2354</v>
      </c>
      <c r="D435" t="s">
        <v>1667</v>
      </c>
      <c r="E435" t="s">
        <v>3167</v>
      </c>
      <c r="F435">
        <v>7.1845315065895919E-9</v>
      </c>
      <c r="G435">
        <v>4.9453817921945881E-14</v>
      </c>
      <c r="H435">
        <v>7.1843968421847851E-9</v>
      </c>
      <c r="I435">
        <v>7.1846491275255046E-9</v>
      </c>
      <c r="J435">
        <v>7.1845370832187545E-9</v>
      </c>
      <c r="K435">
        <v>7.1844508773858249E-9</v>
      </c>
      <c r="L435">
        <v>7.1846091909322764E-9</v>
      </c>
      <c r="P435" t="s">
        <v>3170</v>
      </c>
      <c r="Q435" t="s">
        <v>3171</v>
      </c>
      <c r="R435" t="s">
        <v>2354</v>
      </c>
      <c r="S435" t="s">
        <v>1667</v>
      </c>
      <c r="T435" t="s">
        <v>3167</v>
      </c>
      <c r="U435">
        <v>7.1845271677841897E-9</v>
      </c>
      <c r="V435">
        <v>4.5779926086978537E-14</v>
      </c>
      <c r="W435">
        <v>7.1843759975039543E-9</v>
      </c>
      <c r="X435">
        <v>7.1846317322230163E-9</v>
      </c>
      <c r="Y435">
        <v>7.184524241024063E-9</v>
      </c>
      <c r="Z435">
        <v>7.1844607743371215E-9</v>
      </c>
      <c r="AA435">
        <v>7.1846137957550485E-9</v>
      </c>
    </row>
    <row r="436" spans="1:27">
      <c r="A436" t="s">
        <v>3172</v>
      </c>
      <c r="B436" t="s">
        <v>3173</v>
      </c>
      <c r="C436" t="s">
        <v>2354</v>
      </c>
      <c r="D436" t="s">
        <v>1667</v>
      </c>
      <c r="E436" t="s">
        <v>3167</v>
      </c>
      <c r="F436">
        <v>6.8515403071279736E-8</v>
      </c>
      <c r="G436">
        <v>2.3462221523612878E-14</v>
      </c>
      <c r="H436">
        <v>6.8515339182863627E-8</v>
      </c>
      <c r="I436">
        <v>6.8515458873815714E-8</v>
      </c>
      <c r="J436">
        <v>6.8515405716982607E-8</v>
      </c>
      <c r="K436">
        <v>6.8515364818616552E-8</v>
      </c>
      <c r="L436">
        <v>6.8515439926821604E-8</v>
      </c>
      <c r="P436" t="s">
        <v>3172</v>
      </c>
      <c r="Q436" t="s">
        <v>3173</v>
      </c>
      <c r="R436" t="s">
        <v>2354</v>
      </c>
      <c r="S436" t="s">
        <v>1667</v>
      </c>
      <c r="T436" t="s">
        <v>3167</v>
      </c>
      <c r="U436">
        <v>6.8515401012833728E-8</v>
      </c>
      <c r="V436">
        <v>2.1719228409550049E-14</v>
      </c>
      <c r="W436">
        <v>6.8515329293586322E-8</v>
      </c>
      <c r="X436">
        <v>6.851545062101628E-8</v>
      </c>
      <c r="Y436">
        <v>6.8515399624300002E-8</v>
      </c>
      <c r="Z436">
        <v>6.851536951399647E-8</v>
      </c>
      <c r="AA436">
        <v>6.8515442111473391E-8</v>
      </c>
    </row>
    <row r="437" spans="1:27">
      <c r="A437" t="s">
        <v>3174</v>
      </c>
      <c r="B437" t="s">
        <v>3175</v>
      </c>
      <c r="C437" t="s">
        <v>2354</v>
      </c>
      <c r="D437" t="s">
        <v>1667</v>
      </c>
      <c r="E437" t="s">
        <v>3167</v>
      </c>
      <c r="F437">
        <v>7.9754766204169775E-8</v>
      </c>
      <c r="G437">
        <v>5.5153695059706632E-13</v>
      </c>
      <c r="H437">
        <v>7.9753264350555574E-8</v>
      </c>
      <c r="I437">
        <v>7.9756077979378342E-8</v>
      </c>
      <c r="J437">
        <v>7.9754828397892549E-8</v>
      </c>
      <c r="K437">
        <v>7.9753866981682126E-8</v>
      </c>
      <c r="L437">
        <v>7.9755632583900857E-8</v>
      </c>
      <c r="P437" t="s">
        <v>3174</v>
      </c>
      <c r="Q437" t="s">
        <v>3175</v>
      </c>
      <c r="R437" t="s">
        <v>2354</v>
      </c>
      <c r="S437" t="s">
        <v>1667</v>
      </c>
      <c r="T437" t="s">
        <v>3167</v>
      </c>
      <c r="U437">
        <v>7.9754717815357708E-8</v>
      </c>
      <c r="V437">
        <v>5.1056363074675882E-13</v>
      </c>
      <c r="W437">
        <v>7.9753031878884344E-8</v>
      </c>
      <c r="X437">
        <v>7.9755883977125484E-8</v>
      </c>
      <c r="Y437">
        <v>7.9754685174473273E-8</v>
      </c>
      <c r="Z437">
        <v>7.9753977358081124E-8</v>
      </c>
      <c r="AA437">
        <v>7.9755683939489086E-8</v>
      </c>
    </row>
    <row r="438" spans="1:27">
      <c r="A438" t="s">
        <v>3176</v>
      </c>
      <c r="B438" t="s">
        <v>3177</v>
      </c>
      <c r="C438" t="s">
        <v>2354</v>
      </c>
      <c r="D438" t="s">
        <v>1667</v>
      </c>
      <c r="E438" t="s">
        <v>3167</v>
      </c>
      <c r="F438">
        <v>2.1784001368279944E-5</v>
      </c>
      <c r="G438">
        <v>4.1991515081291515E-11</v>
      </c>
      <c r="H438">
        <v>2.1783887023976044E-5</v>
      </c>
      <c r="I438">
        <v>2.1784101240878494E-5</v>
      </c>
      <c r="J438">
        <v>2.1784006103427144E-5</v>
      </c>
      <c r="K438">
        <v>2.1783932905569311E-5</v>
      </c>
      <c r="L438">
        <v>2.1784067330492456E-5</v>
      </c>
      <c r="P438" t="s">
        <v>3176</v>
      </c>
      <c r="Q438" t="s">
        <v>3177</v>
      </c>
      <c r="R438" t="s">
        <v>2354</v>
      </c>
      <c r="S438" t="s">
        <v>1667</v>
      </c>
      <c r="T438" t="s">
        <v>3167</v>
      </c>
      <c r="U438">
        <v>2.1783997684175849E-5</v>
      </c>
      <c r="V438">
        <v>3.8871992850717556E-11</v>
      </c>
      <c r="W438">
        <v>2.1783869324640256E-5</v>
      </c>
      <c r="X438">
        <v>2.1784086470429267E-5</v>
      </c>
      <c r="Y438">
        <v>2.1783995199047365E-5</v>
      </c>
      <c r="Z438">
        <v>2.1783941309126347E-5</v>
      </c>
      <c r="AA438">
        <v>2.1784071240473387E-5</v>
      </c>
    </row>
    <row r="439" spans="1:27">
      <c r="A439" t="s">
        <v>3178</v>
      </c>
      <c r="B439" t="s">
        <v>3179</v>
      </c>
      <c r="C439" t="s">
        <v>2354</v>
      </c>
      <c r="D439" t="s">
        <v>1667</v>
      </c>
      <c r="E439" t="s">
        <v>3167</v>
      </c>
      <c r="F439">
        <v>3.693400704993038E-22</v>
      </c>
      <c r="G439">
        <v>3.7565849369435999E-29</v>
      </c>
      <c r="H439">
        <v>3.69339968206236E-22</v>
      </c>
      <c r="I439">
        <v>3.6934015984590113E-22</v>
      </c>
      <c r="J439">
        <v>3.6934007473539349E-22</v>
      </c>
      <c r="K439">
        <v>3.6934000925217153E-22</v>
      </c>
      <c r="L439">
        <v>3.6934012950947596E-22</v>
      </c>
      <c r="P439" t="s">
        <v>3178</v>
      </c>
      <c r="Q439" t="s">
        <v>3179</v>
      </c>
      <c r="R439" t="s">
        <v>2354</v>
      </c>
      <c r="S439" t="s">
        <v>1667</v>
      </c>
      <c r="T439" t="s">
        <v>3167</v>
      </c>
      <c r="U439">
        <v>3.6934006720348312E-22</v>
      </c>
      <c r="V439">
        <v>3.4775106955851698E-29</v>
      </c>
      <c r="W439">
        <v>3.6933995237230904E-22</v>
      </c>
      <c r="X439">
        <v>3.6934014663217285E-22</v>
      </c>
      <c r="Y439">
        <v>3.69340064980273E-22</v>
      </c>
      <c r="Z439">
        <v>3.693400167700417E-22</v>
      </c>
      <c r="AA439">
        <v>3.6934013300736733E-22</v>
      </c>
    </row>
    <row r="440" spans="1:27">
      <c r="A440" t="s">
        <v>3180</v>
      </c>
      <c r="B440" t="s">
        <v>3181</v>
      </c>
      <c r="C440" t="s">
        <v>2354</v>
      </c>
      <c r="D440" t="s">
        <v>1667</v>
      </c>
      <c r="E440" t="s">
        <v>3167</v>
      </c>
      <c r="F440">
        <v>5.3989481197325009E-5</v>
      </c>
      <c r="G440">
        <v>3.357295554941815E-10</v>
      </c>
      <c r="H440">
        <v>5.3988566994485527E-5</v>
      </c>
      <c r="I440">
        <v>5.3990279696332558E-5</v>
      </c>
      <c r="J440">
        <v>5.3989519055660474E-5</v>
      </c>
      <c r="K440">
        <v>5.3988933825900943E-5</v>
      </c>
      <c r="L440">
        <v>5.3990008576826393E-5</v>
      </c>
      <c r="P440" t="s">
        <v>3180</v>
      </c>
      <c r="Q440" t="s">
        <v>3181</v>
      </c>
      <c r="R440" t="s">
        <v>2354</v>
      </c>
      <c r="S440" t="s">
        <v>1667</v>
      </c>
      <c r="T440" t="s">
        <v>3167</v>
      </c>
      <c r="U440">
        <v>5.3989451742264284E-5</v>
      </c>
      <c r="V440">
        <v>3.1078842608195884E-10</v>
      </c>
      <c r="W440">
        <v>5.3988425485180006E-5</v>
      </c>
      <c r="X440">
        <v>5.3990161603990691E-5</v>
      </c>
      <c r="Y440">
        <v>5.398943187322448E-5</v>
      </c>
      <c r="Z440">
        <v>5.3989001013818872E-5</v>
      </c>
      <c r="AA440">
        <v>5.3990039837812245E-5</v>
      </c>
    </row>
    <row r="441" spans="1:27">
      <c r="A441" t="s">
        <v>3182</v>
      </c>
      <c r="B441" t="s">
        <v>3183</v>
      </c>
      <c r="C441" t="s">
        <v>2354</v>
      </c>
      <c r="D441" t="s">
        <v>1667</v>
      </c>
      <c r="E441" t="s">
        <v>3167</v>
      </c>
      <c r="F441">
        <v>1.3963533989792918E-3</v>
      </c>
      <c r="G441">
        <v>1.4943093732423617E-9</v>
      </c>
      <c r="H441">
        <v>1.3963493299247517E-3</v>
      </c>
      <c r="I441">
        <v>1.3963569530439609E-3</v>
      </c>
      <c r="J441">
        <v>1.3963535674841633E-3</v>
      </c>
      <c r="K441">
        <v>1.3963509626663841E-3</v>
      </c>
      <c r="L441">
        <v>1.3963557463095144E-3</v>
      </c>
      <c r="P441" t="s">
        <v>3182</v>
      </c>
      <c r="Q441" t="s">
        <v>3183</v>
      </c>
      <c r="R441" t="s">
        <v>2354</v>
      </c>
      <c r="S441" t="s">
        <v>1667</v>
      </c>
      <c r="T441" t="s">
        <v>3167</v>
      </c>
      <c r="U441">
        <v>1.3963532678768237E-3</v>
      </c>
      <c r="V441">
        <v>1.3832981058559556E-9</v>
      </c>
      <c r="W441">
        <v>1.3963487000764759E-3</v>
      </c>
      <c r="X441">
        <v>1.3963564274229949E-3</v>
      </c>
      <c r="Y441">
        <v>1.3963531794410817E-3</v>
      </c>
      <c r="Z441">
        <v>1.3963512617152282E-3</v>
      </c>
      <c r="AA441">
        <v>1.3963558854500323E-3</v>
      </c>
    </row>
    <row r="442" spans="1:27">
      <c r="A442" t="s">
        <v>3184</v>
      </c>
      <c r="B442" t="s">
        <v>3185</v>
      </c>
      <c r="C442" t="s">
        <v>2354</v>
      </c>
      <c r="D442" t="s">
        <v>1667</v>
      </c>
      <c r="E442" t="s">
        <v>3167</v>
      </c>
      <c r="F442">
        <v>1.2568138353260923E-5</v>
      </c>
      <c r="G442">
        <v>5.7128211520374071E-10</v>
      </c>
      <c r="H442">
        <v>1.2566582732901263E-5</v>
      </c>
      <c r="I442">
        <v>1.2569497090359143E-5</v>
      </c>
      <c r="J442">
        <v>1.2568202773534946E-5</v>
      </c>
      <c r="K442">
        <v>1.256720693837706E-5</v>
      </c>
      <c r="L442">
        <v>1.256903574960908E-5</v>
      </c>
      <c r="P442" t="s">
        <v>3184</v>
      </c>
      <c r="Q442" t="s">
        <v>3185</v>
      </c>
      <c r="R442" t="s">
        <v>2354</v>
      </c>
      <c r="S442" t="s">
        <v>1667</v>
      </c>
      <c r="T442" t="s">
        <v>3167</v>
      </c>
      <c r="U442">
        <v>1.2568088232116941E-5</v>
      </c>
      <c r="V442">
        <v>5.2884193997124872E-10</v>
      </c>
      <c r="W442">
        <v>1.2566341938684439E-5</v>
      </c>
      <c r="X442">
        <v>1.2569296142775764E-5</v>
      </c>
      <c r="Y442">
        <v>1.2568054422680447E-5</v>
      </c>
      <c r="Z442">
        <v>1.2567321266279506E-5</v>
      </c>
      <c r="AA442">
        <v>1.2569088943740576E-5</v>
      </c>
    </row>
    <row r="443" spans="1:27">
      <c r="A443" t="s">
        <v>3186</v>
      </c>
      <c r="B443" t="s">
        <v>3187</v>
      </c>
      <c r="C443" t="s">
        <v>2354</v>
      </c>
      <c r="D443" t="s">
        <v>1667</v>
      </c>
      <c r="E443" t="s">
        <v>3167</v>
      </c>
      <c r="F443">
        <v>2.210519217721471E-4</v>
      </c>
      <c r="G443">
        <v>2.6657308947689088E-10</v>
      </c>
      <c r="H443">
        <v>2.2105119588468404E-4</v>
      </c>
      <c r="I443">
        <v>2.2105255578945036E-4</v>
      </c>
      <c r="J443">
        <v>2.2105195183209656E-4</v>
      </c>
      <c r="K443">
        <v>2.210514871530044E-4</v>
      </c>
      <c r="L443">
        <v>2.2105234051747569E-4</v>
      </c>
      <c r="P443" t="s">
        <v>3186</v>
      </c>
      <c r="Q443" t="s">
        <v>3187</v>
      </c>
      <c r="R443" t="s">
        <v>2354</v>
      </c>
      <c r="S443" t="s">
        <v>1667</v>
      </c>
      <c r="T443" t="s">
        <v>3167</v>
      </c>
      <c r="U443">
        <v>2.2105189838449364E-4</v>
      </c>
      <c r="V443">
        <v>2.4676954875911749E-10</v>
      </c>
      <c r="W443">
        <v>2.2105108352468432E-4</v>
      </c>
      <c r="X443">
        <v>2.2105246202278639E-4</v>
      </c>
      <c r="Y443">
        <v>2.2105188260824975E-4</v>
      </c>
      <c r="Z443">
        <v>2.2105154050097622E-4</v>
      </c>
      <c r="AA443">
        <v>2.2105236533905438E-4</v>
      </c>
    </row>
    <row r="444" spans="1:27">
      <c r="A444" t="s">
        <v>3188</v>
      </c>
      <c r="B444" t="s">
        <v>3189</v>
      </c>
      <c r="C444" t="s">
        <v>2354</v>
      </c>
      <c r="D444" t="s">
        <v>1667</v>
      </c>
      <c r="E444" t="s">
        <v>3167</v>
      </c>
      <c r="F444">
        <v>2.7818726726414129E-2</v>
      </c>
      <c r="G444">
        <v>2.5958326129813309E-8</v>
      </c>
      <c r="H444">
        <v>2.7818656041021482E-2</v>
      </c>
      <c r="I444">
        <v>2.7818788465684072E-2</v>
      </c>
      <c r="J444">
        <v>2.7818729653588711E-2</v>
      </c>
      <c r="K444">
        <v>2.7818684404117194E-2</v>
      </c>
      <c r="L444">
        <v>2.7818767502952476E-2</v>
      </c>
      <c r="P444" t="s">
        <v>3188</v>
      </c>
      <c r="Q444" t="s">
        <v>3189</v>
      </c>
      <c r="R444" t="s">
        <v>2354</v>
      </c>
      <c r="S444" t="s">
        <v>1667</v>
      </c>
      <c r="T444" t="s">
        <v>3167</v>
      </c>
      <c r="U444">
        <v>2.7818724448973674E-2</v>
      </c>
      <c r="V444">
        <v>2.4029899034947459E-8</v>
      </c>
      <c r="W444">
        <v>2.7818645099641305E-2</v>
      </c>
      <c r="X444">
        <v>2.7818779334883779E-2</v>
      </c>
      <c r="Y444">
        <v>2.7818722912716275E-2</v>
      </c>
      <c r="Z444">
        <v>2.7818689599030354E-2</v>
      </c>
      <c r="AA444">
        <v>2.7818769920025542E-2</v>
      </c>
    </row>
    <row r="445" spans="1:27">
      <c r="A445" t="s">
        <v>3190</v>
      </c>
      <c r="B445" t="s">
        <v>3191</v>
      </c>
      <c r="C445" t="s">
        <v>2354</v>
      </c>
      <c r="D445" t="s">
        <v>1667</v>
      </c>
      <c r="E445" t="s">
        <v>3167</v>
      </c>
      <c r="F445">
        <v>4.1897103691826274E-4</v>
      </c>
      <c r="G445">
        <v>9.1023525834719083E-11</v>
      </c>
      <c r="H445">
        <v>4.1897078905814934E-4</v>
      </c>
      <c r="I445">
        <v>4.1897125340857149E-4</v>
      </c>
      <c r="J445">
        <v>4.1897104718247453E-4</v>
      </c>
      <c r="K445">
        <v>4.1897088851406046E-4</v>
      </c>
      <c r="L445">
        <v>4.1897117990222395E-4</v>
      </c>
      <c r="P445" t="s">
        <v>3190</v>
      </c>
      <c r="Q445" t="s">
        <v>3191</v>
      </c>
      <c r="R445" t="s">
        <v>2354</v>
      </c>
      <c r="S445" t="s">
        <v>1667</v>
      </c>
      <c r="T445" t="s">
        <v>3167</v>
      </c>
      <c r="U445">
        <v>4.189710289323606E-4</v>
      </c>
      <c r="V445">
        <v>8.4261447546489851E-11</v>
      </c>
      <c r="W445">
        <v>4.1897075069192356E-4</v>
      </c>
      <c r="X445">
        <v>4.1897122139118975E-4</v>
      </c>
      <c r="Y445">
        <v>4.1897102354543516E-4</v>
      </c>
      <c r="Z445">
        <v>4.1897090673015456E-4</v>
      </c>
      <c r="AA445">
        <v>4.1897118837775174E-4</v>
      </c>
    </row>
    <row r="446" spans="1:27">
      <c r="A446" t="s">
        <v>3192</v>
      </c>
      <c r="B446" t="s">
        <v>3193</v>
      </c>
      <c r="C446" t="s">
        <v>2354</v>
      </c>
      <c r="D446" t="s">
        <v>1667</v>
      </c>
      <c r="E446" t="s">
        <v>3167</v>
      </c>
      <c r="F446">
        <v>1.3429318201920191E-7</v>
      </c>
      <c r="G446">
        <v>5.4436469284267318E-12</v>
      </c>
      <c r="H446">
        <v>1.3427835878604399E-7</v>
      </c>
      <c r="I446">
        <v>1.3430612918634484E-7</v>
      </c>
      <c r="J446">
        <v>1.3429379586867757E-7</v>
      </c>
      <c r="K446">
        <v>1.3428430673037937E-7</v>
      </c>
      <c r="L446">
        <v>1.343017331513733E-7</v>
      </c>
      <c r="P446" t="s">
        <v>3192</v>
      </c>
      <c r="Q446" t="s">
        <v>3193</v>
      </c>
      <c r="R446" t="s">
        <v>2354</v>
      </c>
      <c r="S446" t="s">
        <v>1667</v>
      </c>
      <c r="T446" t="s">
        <v>3167</v>
      </c>
      <c r="U446">
        <v>1.3429270442362496E-7</v>
      </c>
      <c r="V446">
        <v>5.0392419533721154E-12</v>
      </c>
      <c r="W446">
        <v>1.3427606430024808E-7</v>
      </c>
      <c r="X446">
        <v>1.3430421439211987E-7</v>
      </c>
      <c r="Y446">
        <v>1.3429238225944326E-7</v>
      </c>
      <c r="Z446">
        <v>1.3428539614087973E-7</v>
      </c>
      <c r="AA446">
        <v>1.343022400289086E-7</v>
      </c>
    </row>
    <row r="447" spans="1:27">
      <c r="A447" t="s">
        <v>3194</v>
      </c>
      <c r="B447" t="s">
        <v>3195</v>
      </c>
      <c r="C447" t="s">
        <v>2354</v>
      </c>
      <c r="D447" t="s">
        <v>1667</v>
      </c>
      <c r="E447" t="s">
        <v>3167</v>
      </c>
      <c r="F447">
        <v>1.3892590458428442E-3</v>
      </c>
      <c r="G447">
        <v>1.2728324112078705E-8</v>
      </c>
      <c r="H447">
        <v>1.3892243861893976E-3</v>
      </c>
      <c r="I447">
        <v>1.3892893188825718E-3</v>
      </c>
      <c r="J447">
        <v>1.389260481144432E-3</v>
      </c>
      <c r="K447">
        <v>1.3892382936606749E-3</v>
      </c>
      <c r="L447">
        <v>1.3892790400825941E-3</v>
      </c>
      <c r="P447" t="s">
        <v>3194</v>
      </c>
      <c r="Q447" t="s">
        <v>3195</v>
      </c>
      <c r="R447" t="s">
        <v>2354</v>
      </c>
      <c r="S447" t="s">
        <v>1667</v>
      </c>
      <c r="T447" t="s">
        <v>3167</v>
      </c>
      <c r="U447">
        <v>1.3892579291298428E-3</v>
      </c>
      <c r="V447">
        <v>1.178274522669008E-8</v>
      </c>
      <c r="W447">
        <v>1.3892190212274034E-3</v>
      </c>
      <c r="X447">
        <v>1.389284841714632E-3</v>
      </c>
      <c r="Y447">
        <v>1.3892571758462122E-3</v>
      </c>
      <c r="Z447">
        <v>1.3892408409180786E-3</v>
      </c>
      <c r="AA447">
        <v>1.3892802252626103E-3</v>
      </c>
    </row>
    <row r="448" spans="1:27">
      <c r="A448" t="s">
        <v>3196</v>
      </c>
      <c r="B448" t="s">
        <v>3197</v>
      </c>
      <c r="C448" t="s">
        <v>2354</v>
      </c>
      <c r="D448" t="s">
        <v>1667</v>
      </c>
      <c r="E448" t="s">
        <v>3167</v>
      </c>
      <c r="F448">
        <v>5.8652554483518892E-7</v>
      </c>
      <c r="G448">
        <v>2.245115896439747E-13</v>
      </c>
      <c r="H448">
        <v>5.8652493348260087E-7</v>
      </c>
      <c r="I448">
        <v>5.8652607881344223E-7</v>
      </c>
      <c r="J448">
        <v>5.8652557015209961E-7</v>
      </c>
      <c r="K448">
        <v>5.8652517879285977E-7</v>
      </c>
      <c r="L448">
        <v>5.8652589750836995E-7</v>
      </c>
      <c r="P448" t="s">
        <v>3196</v>
      </c>
      <c r="Q448" t="s">
        <v>3197</v>
      </c>
      <c r="R448" t="s">
        <v>2354</v>
      </c>
      <c r="S448" t="s">
        <v>1667</v>
      </c>
      <c r="T448" t="s">
        <v>3167</v>
      </c>
      <c r="U448">
        <v>5.8652552513777983E-7</v>
      </c>
      <c r="V448">
        <v>2.0783277028035304E-13</v>
      </c>
      <c r="W448">
        <v>5.8652483885143531E-7</v>
      </c>
      <c r="X448">
        <v>5.8652599984184454E-7</v>
      </c>
      <c r="Y448">
        <v>5.8652551185080629E-7</v>
      </c>
      <c r="Z448">
        <v>5.8652522372326887E-7</v>
      </c>
      <c r="AA448">
        <v>5.865259184134512E-7</v>
      </c>
    </row>
    <row r="449" spans="1:27">
      <c r="A449" t="s">
        <v>3198</v>
      </c>
      <c r="B449" t="s">
        <v>3199</v>
      </c>
      <c r="C449" t="s">
        <v>2354</v>
      </c>
      <c r="D449" t="s">
        <v>1667</v>
      </c>
      <c r="E449" t="s">
        <v>3167</v>
      </c>
      <c r="F449">
        <v>4.5306496918613064E-4</v>
      </c>
      <c r="G449">
        <v>1.2013485582126058E-9</v>
      </c>
      <c r="H449">
        <v>4.5306169787371524E-4</v>
      </c>
      <c r="I449">
        <v>4.5306782647294312E-4</v>
      </c>
      <c r="J449">
        <v>4.530651046554571E-4</v>
      </c>
      <c r="K449">
        <v>4.5306301051475272E-4</v>
      </c>
      <c r="L449">
        <v>4.5306685631996585E-4</v>
      </c>
      <c r="P449" t="s">
        <v>3198</v>
      </c>
      <c r="Q449" t="s">
        <v>3199</v>
      </c>
      <c r="R449" t="s">
        <v>2354</v>
      </c>
      <c r="S449" t="s">
        <v>1667</v>
      </c>
      <c r="T449" t="s">
        <v>3167</v>
      </c>
      <c r="U449">
        <v>4.5306486378642979E-4</v>
      </c>
      <c r="V449">
        <v>1.1121011584269921E-9</v>
      </c>
      <c r="W449">
        <v>4.5306119150781036E-4</v>
      </c>
      <c r="X449">
        <v>4.5306740390048172E-4</v>
      </c>
      <c r="Y449">
        <v>4.5306479268860148E-4</v>
      </c>
      <c r="Z449">
        <v>4.5306325093477835E-4</v>
      </c>
      <c r="AA449">
        <v>4.5306696818184894E-4</v>
      </c>
    </row>
    <row r="450" spans="1:27">
      <c r="A450" t="s">
        <v>3200</v>
      </c>
      <c r="B450" t="s">
        <v>3201</v>
      </c>
      <c r="C450" t="s">
        <v>2354</v>
      </c>
      <c r="D450" t="s">
        <v>1667</v>
      </c>
      <c r="E450" t="s">
        <v>3167</v>
      </c>
      <c r="F450">
        <v>2.7327397187031117E-11</v>
      </c>
      <c r="G450">
        <v>2.793318160883011E-18</v>
      </c>
      <c r="H450">
        <v>2.7327389580732081E-11</v>
      </c>
      <c r="I450">
        <v>2.7327403830657638E-11</v>
      </c>
      <c r="J450">
        <v>2.7327397502017908E-11</v>
      </c>
      <c r="K450">
        <v>2.7327392632822189E-11</v>
      </c>
      <c r="L450">
        <v>2.7327401574904378E-11</v>
      </c>
      <c r="P450" t="s">
        <v>3200</v>
      </c>
      <c r="Q450" t="s">
        <v>3201</v>
      </c>
      <c r="R450" t="s">
        <v>2354</v>
      </c>
      <c r="S450" t="s">
        <v>1667</v>
      </c>
      <c r="T450" t="s">
        <v>3167</v>
      </c>
      <c r="U450">
        <v>2.7327396941960789E-11</v>
      </c>
      <c r="V450">
        <v>2.5858043792604746E-18</v>
      </c>
      <c r="W450">
        <v>2.7327388403354317E-11</v>
      </c>
      <c r="X450">
        <v>2.732740284811238E-11</v>
      </c>
      <c r="Y450">
        <v>2.7327396776647509E-11</v>
      </c>
      <c r="Z450">
        <v>2.7327393191835319E-11</v>
      </c>
      <c r="AA450">
        <v>2.7327401835000271E-11</v>
      </c>
    </row>
    <row r="451" spans="1:27">
      <c r="A451" t="s">
        <v>3202</v>
      </c>
      <c r="B451" t="s">
        <v>3203</v>
      </c>
      <c r="C451" t="s">
        <v>2354</v>
      </c>
      <c r="D451" t="s">
        <v>1667</v>
      </c>
      <c r="E451" t="s">
        <v>3167</v>
      </c>
      <c r="F451">
        <v>3.1930053569376436E-8</v>
      </c>
      <c r="G451">
        <v>7.1842427587976194E-13</v>
      </c>
      <c r="H451">
        <v>3.1928097275978343E-8</v>
      </c>
      <c r="I451">
        <v>3.1931762269316324E-8</v>
      </c>
      <c r="J451">
        <v>3.1930134582045127E-8</v>
      </c>
      <c r="K451">
        <v>3.1928882254809318E-8</v>
      </c>
      <c r="L451">
        <v>3.1931182103430725E-8</v>
      </c>
      <c r="P451" t="s">
        <v>3202</v>
      </c>
      <c r="Q451" t="s">
        <v>3203</v>
      </c>
      <c r="R451" t="s">
        <v>2354</v>
      </c>
      <c r="S451" t="s">
        <v>1667</v>
      </c>
      <c r="T451" t="s">
        <v>3167</v>
      </c>
      <c r="U451">
        <v>3.1929990538790318E-8</v>
      </c>
      <c r="V451">
        <v>6.6505300562978286E-13</v>
      </c>
      <c r="W451">
        <v>3.1927794461648514E-8</v>
      </c>
      <c r="X451">
        <v>3.1931509564709908E-8</v>
      </c>
      <c r="Y451">
        <v>3.1929948021233249E-8</v>
      </c>
      <c r="Z451">
        <v>3.1929026029554471E-8</v>
      </c>
      <c r="AA451">
        <v>3.1931248998497767E-8</v>
      </c>
    </row>
    <row r="452" spans="1:27">
      <c r="A452" t="s">
        <v>3204</v>
      </c>
      <c r="B452" t="s">
        <v>3205</v>
      </c>
      <c r="C452" t="s">
        <v>2354</v>
      </c>
      <c r="D452" t="s">
        <v>1667</v>
      </c>
      <c r="E452" t="s">
        <v>3167</v>
      </c>
      <c r="F452">
        <v>4.6788873934709661E-6</v>
      </c>
      <c r="G452">
        <v>7.2550147917884804E-11</v>
      </c>
      <c r="H452">
        <v>4.6786898369849618E-6</v>
      </c>
      <c r="I452">
        <v>4.6790599467066347E-6</v>
      </c>
      <c r="J452">
        <v>4.6788955745434797E-6</v>
      </c>
      <c r="K452">
        <v>4.6787691081513353E-6</v>
      </c>
      <c r="L452">
        <v>4.6790013585961956E-6</v>
      </c>
      <c r="P452" t="s">
        <v>3204</v>
      </c>
      <c r="Q452" t="s">
        <v>3205</v>
      </c>
      <c r="R452" t="s">
        <v>2354</v>
      </c>
      <c r="S452" t="s">
        <v>1667</v>
      </c>
      <c r="T452" t="s">
        <v>3167</v>
      </c>
      <c r="U452">
        <v>4.6788810283208718E-6</v>
      </c>
      <c r="V452">
        <v>6.7160444811719859E-11</v>
      </c>
      <c r="W452">
        <v>4.6786592572493408E-6</v>
      </c>
      <c r="X452">
        <v>4.679034427306482E-6</v>
      </c>
      <c r="Y452">
        <v>4.6788767346810864E-6</v>
      </c>
      <c r="Z452">
        <v>4.678783627258467E-6</v>
      </c>
      <c r="AA452">
        <v>4.6790081140012841E-6</v>
      </c>
    </row>
    <row r="453" spans="1:27">
      <c r="A453" t="s">
        <v>3206</v>
      </c>
      <c r="B453" t="s">
        <v>3207</v>
      </c>
      <c r="C453" t="s">
        <v>2354</v>
      </c>
      <c r="D453" t="s">
        <v>1667</v>
      </c>
      <c r="E453" t="s">
        <v>3167</v>
      </c>
      <c r="F453">
        <v>1.2928558872997826E-6</v>
      </c>
      <c r="G453">
        <v>2.770150431316764E-11</v>
      </c>
      <c r="H453">
        <v>1.2927804551744709E-6</v>
      </c>
      <c r="I453">
        <v>1.2929217725438421E-6</v>
      </c>
      <c r="J453">
        <v>1.2928590110427661E-6</v>
      </c>
      <c r="K453">
        <v>1.2928107229357394E-6</v>
      </c>
      <c r="L453">
        <v>1.292899402102973E-6</v>
      </c>
      <c r="P453" t="s">
        <v>3206</v>
      </c>
      <c r="Q453" t="s">
        <v>3207</v>
      </c>
      <c r="R453" t="s">
        <v>2354</v>
      </c>
      <c r="S453" t="s">
        <v>1667</v>
      </c>
      <c r="T453" t="s">
        <v>3167</v>
      </c>
      <c r="U453">
        <v>1.2928534569224802E-6</v>
      </c>
      <c r="V453">
        <v>2.5643577649674957E-11</v>
      </c>
      <c r="W453">
        <v>1.2927687790483354E-6</v>
      </c>
      <c r="X453">
        <v>1.2929120285833725E-6</v>
      </c>
      <c r="Y453">
        <v>1.2928518175008601E-6</v>
      </c>
      <c r="Z453">
        <v>1.2928162667026427E-6</v>
      </c>
      <c r="AA453">
        <v>1.2929019814896262E-6</v>
      </c>
    </row>
    <row r="454" spans="1:27">
      <c r="A454" t="s">
        <v>3208</v>
      </c>
      <c r="B454" t="s">
        <v>3209</v>
      </c>
      <c r="C454" t="s">
        <v>2354</v>
      </c>
      <c r="D454" t="s">
        <v>1667</v>
      </c>
      <c r="E454" t="s">
        <v>3167</v>
      </c>
      <c r="F454">
        <v>1.1116837769154359E-19</v>
      </c>
      <c r="G454">
        <v>1.1272913014012403E-26</v>
      </c>
      <c r="H454">
        <v>1.1116834699502337E-19</v>
      </c>
      <c r="I454">
        <v>1.1116840450303428E-19</v>
      </c>
      <c r="J454">
        <v>1.1116837896272664E-19</v>
      </c>
      <c r="K454">
        <v>1.1116835931225479E-19</v>
      </c>
      <c r="L454">
        <v>1.111683953995563E-19</v>
      </c>
      <c r="P454" t="s">
        <v>3208</v>
      </c>
      <c r="Q454" t="s">
        <v>3209</v>
      </c>
      <c r="R454" t="s">
        <v>2354</v>
      </c>
      <c r="S454" t="s">
        <v>1667</v>
      </c>
      <c r="T454" t="s">
        <v>3167</v>
      </c>
      <c r="U454">
        <v>1.1116837670252033E-19</v>
      </c>
      <c r="V454">
        <v>1.0435455667858893E-26</v>
      </c>
      <c r="W454">
        <v>1.1116834224351411E-19</v>
      </c>
      <c r="X454">
        <v>1.1116840053780489E-19</v>
      </c>
      <c r="Y454">
        <v>1.1116837603537037E-19</v>
      </c>
      <c r="Z454">
        <v>1.1116836156824789E-19</v>
      </c>
      <c r="AA454">
        <v>1.1116839644921778E-19</v>
      </c>
    </row>
    <row r="455" spans="1:27">
      <c r="A455" t="s">
        <v>3210</v>
      </c>
      <c r="B455" t="s">
        <v>3211</v>
      </c>
      <c r="C455" t="s">
        <v>2354</v>
      </c>
      <c r="D455" t="s">
        <v>1667</v>
      </c>
      <c r="E455" t="s">
        <v>3167</v>
      </c>
      <c r="F455">
        <v>2.0540872950290219E-5</v>
      </c>
      <c r="G455">
        <v>2.42054606961144E-11</v>
      </c>
      <c r="H455">
        <v>2.0540807038008927E-5</v>
      </c>
      <c r="I455">
        <v>2.054093052054588E-5</v>
      </c>
      <c r="J455">
        <v>2.0540875679804005E-5</v>
      </c>
      <c r="K455">
        <v>2.0540833485854411E-5</v>
      </c>
      <c r="L455">
        <v>2.0540910973346525E-5</v>
      </c>
      <c r="P455" t="s">
        <v>3210</v>
      </c>
      <c r="Q455" t="s">
        <v>3211</v>
      </c>
      <c r="R455" t="s">
        <v>2354</v>
      </c>
      <c r="S455" t="s">
        <v>1667</v>
      </c>
      <c r="T455" t="s">
        <v>3167</v>
      </c>
      <c r="U455">
        <v>2.0540870826636516E-5</v>
      </c>
      <c r="V455">
        <v>2.2407252829545994E-11</v>
      </c>
      <c r="W455">
        <v>2.0540796835457863E-5</v>
      </c>
      <c r="X455">
        <v>2.054092200631324E-5</v>
      </c>
      <c r="Y455">
        <v>2.0540869394116635E-5</v>
      </c>
      <c r="Z455">
        <v>2.0540838329975165E-5</v>
      </c>
      <c r="AA455">
        <v>2.0540913227203988E-5</v>
      </c>
    </row>
    <row r="456" spans="1:27">
      <c r="A456" t="s">
        <v>3212</v>
      </c>
      <c r="B456" t="s">
        <v>3213</v>
      </c>
      <c r="C456" t="s">
        <v>2354</v>
      </c>
      <c r="D456" t="s">
        <v>1667</v>
      </c>
      <c r="E456" t="s">
        <v>3167</v>
      </c>
      <c r="F456">
        <v>1.9394727381639266E-4</v>
      </c>
      <c r="G456">
        <v>3.3590155245984978E-10</v>
      </c>
      <c r="H456">
        <v>1.9394635914519965E-4</v>
      </c>
      <c r="I456">
        <v>1.9394807272447769E-4</v>
      </c>
      <c r="J456">
        <v>1.9394731169412323E-4</v>
      </c>
      <c r="K456">
        <v>1.9394672616454577E-4</v>
      </c>
      <c r="L456">
        <v>1.939478014660748E-4</v>
      </c>
      <c r="P456" t="s">
        <v>3212</v>
      </c>
      <c r="Q456" t="s">
        <v>3213</v>
      </c>
      <c r="R456" t="s">
        <v>2354</v>
      </c>
      <c r="S456" t="s">
        <v>1667</v>
      </c>
      <c r="T456" t="s">
        <v>3167</v>
      </c>
      <c r="U456">
        <v>1.9394724434624187E-4</v>
      </c>
      <c r="V456">
        <v>3.1094764550546303E-10</v>
      </c>
      <c r="W456">
        <v>1.9394621756339776E-4</v>
      </c>
      <c r="X456">
        <v>1.9394795457163618E-4</v>
      </c>
      <c r="Y456">
        <v>1.9394722446702296E-4</v>
      </c>
      <c r="Z456">
        <v>1.9394679338688461E-4</v>
      </c>
      <c r="AA456">
        <v>1.9394783274307592E-4</v>
      </c>
    </row>
    <row r="457" spans="1:27">
      <c r="A457" t="s">
        <v>3214</v>
      </c>
      <c r="B457" t="s">
        <v>3215</v>
      </c>
      <c r="C457" t="s">
        <v>2354</v>
      </c>
      <c r="D457" t="s">
        <v>1667</v>
      </c>
      <c r="E457" t="s">
        <v>3167</v>
      </c>
      <c r="F457">
        <v>7.8493451090103669E-4</v>
      </c>
      <c r="G457">
        <v>1.1143290662807058E-9</v>
      </c>
      <c r="H457">
        <v>7.8493147654561612E-4</v>
      </c>
      <c r="I457">
        <v>7.8493716122073271E-4</v>
      </c>
      <c r="J457">
        <v>7.8493463655766383E-4</v>
      </c>
      <c r="K457">
        <v>7.8493269410570858E-4</v>
      </c>
      <c r="L457">
        <v>7.8493626134063215E-4</v>
      </c>
      <c r="P457" t="s">
        <v>3214</v>
      </c>
      <c r="Q457" t="s">
        <v>3215</v>
      </c>
      <c r="R457" t="s">
        <v>2354</v>
      </c>
      <c r="S457" t="s">
        <v>1667</v>
      </c>
      <c r="T457" t="s">
        <v>3167</v>
      </c>
      <c r="U457">
        <v>7.8493441313594596E-4</v>
      </c>
      <c r="V457">
        <v>1.0315462877145221E-9</v>
      </c>
      <c r="W457">
        <v>7.8493100685824509E-4</v>
      </c>
      <c r="X457">
        <v>7.8493676925724045E-4</v>
      </c>
      <c r="Y457">
        <v>7.8493434718807781E-4</v>
      </c>
      <c r="Z457">
        <v>7.8493291711094785E-4</v>
      </c>
      <c r="AA457">
        <v>7.8493636509981753E-4</v>
      </c>
    </row>
    <row r="458" spans="1:27">
      <c r="A458" t="s">
        <v>3216</v>
      </c>
      <c r="B458" t="s">
        <v>3217</v>
      </c>
      <c r="C458" t="s">
        <v>2354</v>
      </c>
      <c r="D458" t="s">
        <v>1667</v>
      </c>
      <c r="E458" t="s">
        <v>3167</v>
      </c>
      <c r="F458">
        <v>1.8394820494902868E-3</v>
      </c>
      <c r="G458">
        <v>8.5941611497736635E-9</v>
      </c>
      <c r="H458">
        <v>1.8394586473012414E-3</v>
      </c>
      <c r="I458">
        <v>1.8395024898388854E-3</v>
      </c>
      <c r="J458">
        <v>1.839483018605549E-3</v>
      </c>
      <c r="K458">
        <v>1.8394680376222525E-3</v>
      </c>
      <c r="L458">
        <v>1.8394955495957979E-3</v>
      </c>
      <c r="P458" t="s">
        <v>3216</v>
      </c>
      <c r="Q458" t="s">
        <v>3217</v>
      </c>
      <c r="R458" t="s">
        <v>2354</v>
      </c>
      <c r="S458" t="s">
        <v>1667</v>
      </c>
      <c r="T458" t="s">
        <v>3167</v>
      </c>
      <c r="U458">
        <v>1.8394812954859575E-3</v>
      </c>
      <c r="V458">
        <v>7.9557065308242496E-9</v>
      </c>
      <c r="W458">
        <v>1.8394550248802901E-3</v>
      </c>
      <c r="X458">
        <v>1.8394994668562499E-3</v>
      </c>
      <c r="Y458">
        <v>1.8394807868690455E-3</v>
      </c>
      <c r="Z458">
        <v>1.8394697575297926E-3</v>
      </c>
      <c r="AA458">
        <v>1.8394963498290385E-3</v>
      </c>
    </row>
    <row r="459" spans="1:27">
      <c r="A459" t="s">
        <v>3218</v>
      </c>
      <c r="B459" t="s">
        <v>3219</v>
      </c>
      <c r="C459" t="s">
        <v>2354</v>
      </c>
      <c r="D459" t="s">
        <v>1667</v>
      </c>
      <c r="E459" t="s">
        <v>3167</v>
      </c>
      <c r="F459">
        <v>2.953814707679822E-7</v>
      </c>
      <c r="G459">
        <v>1.9249062180935471E-13</v>
      </c>
      <c r="H459">
        <v>2.9538094660956332E-7</v>
      </c>
      <c r="I459">
        <v>2.9538192858758135E-7</v>
      </c>
      <c r="J459">
        <v>2.9538149247406814E-7</v>
      </c>
      <c r="K459">
        <v>2.9538115693244404E-7</v>
      </c>
      <c r="L459">
        <v>2.9538177314114694E-7</v>
      </c>
      <c r="P459" t="s">
        <v>3218</v>
      </c>
      <c r="Q459" t="s">
        <v>3219</v>
      </c>
      <c r="R459" t="s">
        <v>2354</v>
      </c>
      <c r="S459" t="s">
        <v>1667</v>
      </c>
      <c r="T459" t="s">
        <v>3167</v>
      </c>
      <c r="U459">
        <v>2.9538145387991611E-7</v>
      </c>
      <c r="V459">
        <v>1.7819061923218177E-13</v>
      </c>
      <c r="W459">
        <v>2.9538086547516876E-7</v>
      </c>
      <c r="X459">
        <v>2.9538186087930862E-7</v>
      </c>
      <c r="Y459">
        <v>2.9538144248799736E-7</v>
      </c>
      <c r="Z459">
        <v>2.9538119545465302E-7</v>
      </c>
      <c r="AA459">
        <v>2.9538179106464076E-7</v>
      </c>
    </row>
    <row r="460" spans="1:27">
      <c r="A460" t="s">
        <v>3220</v>
      </c>
      <c r="B460" t="s">
        <v>3221</v>
      </c>
      <c r="C460" t="s">
        <v>2354</v>
      </c>
      <c r="D460" t="s">
        <v>1667</v>
      </c>
      <c r="E460" t="s">
        <v>3167</v>
      </c>
      <c r="F460">
        <v>6.5703796336713839E-8</v>
      </c>
      <c r="G460">
        <v>4.7988378941030005E-13</v>
      </c>
      <c r="H460">
        <v>6.5702489597060702E-8</v>
      </c>
      <c r="I460">
        <v>6.5704937692079547E-8</v>
      </c>
      <c r="J460">
        <v>6.5703850450512263E-8</v>
      </c>
      <c r="K460">
        <v>6.5703013937104138E-8</v>
      </c>
      <c r="L460">
        <v>6.5704550160347917E-8</v>
      </c>
      <c r="P460" t="s">
        <v>3220</v>
      </c>
      <c r="Q460" t="s">
        <v>3221</v>
      </c>
      <c r="R460" t="s">
        <v>2354</v>
      </c>
      <c r="S460" t="s">
        <v>1667</v>
      </c>
      <c r="T460" t="s">
        <v>3167</v>
      </c>
      <c r="U460">
        <v>6.5703754234355221E-8</v>
      </c>
      <c r="V460">
        <v>4.4423353610810594E-13</v>
      </c>
      <c r="W460">
        <v>6.5702287327047055E-8</v>
      </c>
      <c r="X460">
        <v>6.5704768893713168E-8</v>
      </c>
      <c r="Y460">
        <v>6.5703725834025379E-8</v>
      </c>
      <c r="Z460">
        <v>6.5703109973905567E-8</v>
      </c>
      <c r="AA460">
        <v>6.5704594844052729E-8</v>
      </c>
    </row>
    <row r="461" spans="1:27">
      <c r="A461" t="s">
        <v>3222</v>
      </c>
      <c r="B461" t="s">
        <v>3223</v>
      </c>
      <c r="C461" t="s">
        <v>2354</v>
      </c>
      <c r="D461" t="s">
        <v>1667</v>
      </c>
      <c r="E461" t="s">
        <v>3167</v>
      </c>
      <c r="F461">
        <v>3.3151429014549298E-7</v>
      </c>
      <c r="G461">
        <v>8.0431109602701899E-14</v>
      </c>
      <c r="H461">
        <v>3.3151407112888393E-7</v>
      </c>
      <c r="I461">
        <v>3.3151448144280393E-7</v>
      </c>
      <c r="J461">
        <v>3.3151429921525718E-7</v>
      </c>
      <c r="K461">
        <v>3.3151415901110135E-7</v>
      </c>
      <c r="L461">
        <v>3.3151441649039694E-7</v>
      </c>
      <c r="P461" t="s">
        <v>3222</v>
      </c>
      <c r="Q461" t="s">
        <v>3223</v>
      </c>
      <c r="R461" t="s">
        <v>2354</v>
      </c>
      <c r="S461" t="s">
        <v>1667</v>
      </c>
      <c r="T461" t="s">
        <v>3167</v>
      </c>
      <c r="U461">
        <v>3.3151428308891073E-7</v>
      </c>
      <c r="V461">
        <v>7.4455934996899927E-14</v>
      </c>
      <c r="W461">
        <v>3.3151403722733948E-7</v>
      </c>
      <c r="X461">
        <v>3.3151445315128791E-7</v>
      </c>
      <c r="Y461">
        <v>3.3151427832886233E-7</v>
      </c>
      <c r="Z461">
        <v>3.3151417510738688E-7</v>
      </c>
      <c r="AA461">
        <v>3.3151442397962678E-7</v>
      </c>
    </row>
    <row r="462" spans="1:27">
      <c r="A462" t="s">
        <v>3224</v>
      </c>
      <c r="B462" t="s">
        <v>3225</v>
      </c>
      <c r="C462" t="s">
        <v>2354</v>
      </c>
      <c r="D462" t="s">
        <v>1667</v>
      </c>
      <c r="E462" t="s">
        <v>3167</v>
      </c>
      <c r="F462">
        <v>2.4763066997303632E-3</v>
      </c>
      <c r="G462">
        <v>3.9836125471140016E-9</v>
      </c>
      <c r="H462">
        <v>2.4762958522197929E-3</v>
      </c>
      <c r="I462">
        <v>2.4763161743524605E-3</v>
      </c>
      <c r="J462">
        <v>2.4763071489399659E-3</v>
      </c>
      <c r="K462">
        <v>2.4763002048727102E-3</v>
      </c>
      <c r="L462">
        <v>2.4763129573730533E-3</v>
      </c>
      <c r="P462" t="s">
        <v>3224</v>
      </c>
      <c r="Q462" t="s">
        <v>3225</v>
      </c>
      <c r="R462" t="s">
        <v>2354</v>
      </c>
      <c r="S462" t="s">
        <v>1667</v>
      </c>
      <c r="T462" t="s">
        <v>3167</v>
      </c>
      <c r="U462">
        <v>2.4763063502301549E-3</v>
      </c>
      <c r="V462">
        <v>3.6876725727165666E-9</v>
      </c>
      <c r="W462">
        <v>2.4762941731354352E-3</v>
      </c>
      <c r="X462">
        <v>2.4763147731230277E-3</v>
      </c>
      <c r="Y462">
        <v>2.4763061144732644E-3</v>
      </c>
      <c r="Z462">
        <v>2.4763010020936531E-3</v>
      </c>
      <c r="AA462">
        <v>2.4763133283015387E-3</v>
      </c>
    </row>
    <row r="463" spans="1:27">
      <c r="A463" t="s">
        <v>3226</v>
      </c>
      <c r="B463" t="s">
        <v>3227</v>
      </c>
      <c r="C463" t="s">
        <v>2354</v>
      </c>
      <c r="D463" t="s">
        <v>1667</v>
      </c>
      <c r="E463" t="s">
        <v>1029</v>
      </c>
      <c r="F463">
        <v>1.7689546673524892E-5</v>
      </c>
      <c r="G463">
        <v>9.6687404824978197E-11</v>
      </c>
      <c r="H463">
        <v>1.7689283390478798E-5</v>
      </c>
      <c r="I463">
        <v>1.7689776634800361E-5</v>
      </c>
      <c r="J463">
        <v>1.7689557576420232E-5</v>
      </c>
      <c r="K463">
        <v>1.7689389034968492E-5</v>
      </c>
      <c r="L463">
        <v>1.7689698554568763E-5</v>
      </c>
      <c r="P463" t="s">
        <v>3226</v>
      </c>
      <c r="Q463" t="s">
        <v>3227</v>
      </c>
      <c r="R463" t="s">
        <v>2354</v>
      </c>
      <c r="S463" t="s">
        <v>1667</v>
      </c>
      <c r="T463" t="s">
        <v>1029</v>
      </c>
      <c r="U463">
        <v>1.7689538190704926E-5</v>
      </c>
      <c r="V463">
        <v>8.9504560667282099E-11</v>
      </c>
      <c r="W463">
        <v>1.7689242636939867E-5</v>
      </c>
      <c r="X463">
        <v>1.7689742625158145E-5</v>
      </c>
      <c r="Y463">
        <v>1.7689532468581664E-5</v>
      </c>
      <c r="Z463">
        <v>1.7689408384547085E-5</v>
      </c>
      <c r="AA463">
        <v>1.7689707557480613E-5</v>
      </c>
    </row>
    <row r="464" spans="1:27">
      <c r="A464" t="s">
        <v>3228</v>
      </c>
      <c r="B464" t="s">
        <v>3229</v>
      </c>
      <c r="C464" t="s">
        <v>2354</v>
      </c>
      <c r="D464" t="s">
        <v>1667</v>
      </c>
      <c r="E464" t="s">
        <v>1029</v>
      </c>
      <c r="F464">
        <v>2.9800104130459867E-7</v>
      </c>
      <c r="G464">
        <v>4.8886099341389867E-13</v>
      </c>
      <c r="H464">
        <v>2.9799971011971784E-7</v>
      </c>
      <c r="I464">
        <v>2.9800220401134182E-7</v>
      </c>
      <c r="J464">
        <v>2.9800109643070582E-7</v>
      </c>
      <c r="K464">
        <v>2.9800024426861006E-7</v>
      </c>
      <c r="L464">
        <v>2.9800180923003958E-7</v>
      </c>
      <c r="P464" t="s">
        <v>3228</v>
      </c>
      <c r="Q464" t="s">
        <v>3229</v>
      </c>
      <c r="R464" t="s">
        <v>2354</v>
      </c>
      <c r="S464" t="s">
        <v>1667</v>
      </c>
      <c r="T464" t="s">
        <v>1029</v>
      </c>
      <c r="U464">
        <v>2.9800099841462958E-7</v>
      </c>
      <c r="V464">
        <v>4.5254382948822086E-13</v>
      </c>
      <c r="W464">
        <v>2.979995040658315E-7</v>
      </c>
      <c r="X464">
        <v>2.9800203205525805E-7</v>
      </c>
      <c r="Y464">
        <v>2.9800096948301367E-7</v>
      </c>
      <c r="Z464">
        <v>2.9800034210197559E-7</v>
      </c>
      <c r="AA464">
        <v>2.9800185474964411E-7</v>
      </c>
    </row>
    <row r="465" spans="1:27">
      <c r="A465" t="s">
        <v>3230</v>
      </c>
      <c r="B465" t="s">
        <v>3231</v>
      </c>
      <c r="C465" t="s">
        <v>2354</v>
      </c>
      <c r="D465" t="s">
        <v>1667</v>
      </c>
      <c r="E465" t="s">
        <v>1029</v>
      </c>
      <c r="F465">
        <v>7.0756167177264433E-8</v>
      </c>
      <c r="G465">
        <v>4.8933412917946147E-13</v>
      </c>
      <c r="H465">
        <v>7.0754834704019104E-8</v>
      </c>
      <c r="I465">
        <v>7.0757331009313484E-8</v>
      </c>
      <c r="J465">
        <v>7.0756222356724524E-8</v>
      </c>
      <c r="K465">
        <v>7.0755369369878234E-8</v>
      </c>
      <c r="L465">
        <v>7.0756935845928925E-8</v>
      </c>
      <c r="P465" t="s">
        <v>3230</v>
      </c>
      <c r="Q465" t="s">
        <v>3231</v>
      </c>
      <c r="R465" t="s">
        <v>2354</v>
      </c>
      <c r="S465" t="s">
        <v>1667</v>
      </c>
      <c r="T465" t="s">
        <v>1029</v>
      </c>
      <c r="U465">
        <v>7.0756124245785061E-8</v>
      </c>
      <c r="V465">
        <v>4.5298181630867855E-13</v>
      </c>
      <c r="W465">
        <v>7.0754628450707013E-8</v>
      </c>
      <c r="X465">
        <v>7.0757158886805002E-8</v>
      </c>
      <c r="Y465">
        <v>7.0756095286168191E-8</v>
      </c>
      <c r="Z465">
        <v>7.0755467297930049E-8</v>
      </c>
      <c r="AA465">
        <v>7.075698140958883E-8</v>
      </c>
    </row>
    <row r="466" spans="1:27">
      <c r="A466" t="s">
        <v>3232</v>
      </c>
      <c r="B466" t="s">
        <v>3233</v>
      </c>
      <c r="C466" t="s">
        <v>2354</v>
      </c>
      <c r="D466" t="s">
        <v>1667</v>
      </c>
      <c r="E466" t="s">
        <v>1029</v>
      </c>
      <c r="F466">
        <v>3.0353205810054023E-5</v>
      </c>
      <c r="G466">
        <v>2.4397609770894659E-11</v>
      </c>
      <c r="H466">
        <v>3.0353139374544365E-5</v>
      </c>
      <c r="I466">
        <v>3.0353263837316959E-5</v>
      </c>
      <c r="J466">
        <v>3.0353208561235389E-5</v>
      </c>
      <c r="K466">
        <v>3.0353166032339545E-5</v>
      </c>
      <c r="L466">
        <v>3.0353244134946988E-5</v>
      </c>
      <c r="P466" t="s">
        <v>3232</v>
      </c>
      <c r="Q466" t="s">
        <v>3233</v>
      </c>
      <c r="R466" t="s">
        <v>2354</v>
      </c>
      <c r="S466" t="s">
        <v>1667</v>
      </c>
      <c r="T466" t="s">
        <v>1029</v>
      </c>
      <c r="U466">
        <v>3.0353203669542236E-5</v>
      </c>
      <c r="V466">
        <v>2.2585127275271017E-11</v>
      </c>
      <c r="W466">
        <v>3.035312909100287E-5</v>
      </c>
      <c r="X466">
        <v>3.0353255255496186E-5</v>
      </c>
      <c r="Y466">
        <v>3.0353202225650643E-5</v>
      </c>
      <c r="Z466">
        <v>3.0353170914914151E-5</v>
      </c>
      <c r="AA466">
        <v>3.0353246406696143E-5</v>
      </c>
    </row>
    <row r="467" spans="1:27">
      <c r="A467" t="s">
        <v>3234</v>
      </c>
      <c r="B467" t="s">
        <v>3235</v>
      </c>
      <c r="C467" t="s">
        <v>2354</v>
      </c>
      <c r="D467" t="s">
        <v>1667</v>
      </c>
      <c r="E467" t="s">
        <v>1029</v>
      </c>
      <c r="F467">
        <v>4.2329143808440767E-8</v>
      </c>
      <c r="G467">
        <v>2.6453987144718469E-14</v>
      </c>
      <c r="H467">
        <v>4.2329071773346541E-8</v>
      </c>
      <c r="I467">
        <v>4.2329206726590607E-8</v>
      </c>
      <c r="J467">
        <v>4.2329146791508245E-8</v>
      </c>
      <c r="K467">
        <v>4.2329100678021115E-8</v>
      </c>
      <c r="L467">
        <v>4.2329185363586329E-8</v>
      </c>
      <c r="P467" t="s">
        <v>3234</v>
      </c>
      <c r="Q467" t="s">
        <v>3235</v>
      </c>
      <c r="R467" t="s">
        <v>2354</v>
      </c>
      <c r="S467" t="s">
        <v>1667</v>
      </c>
      <c r="T467" t="s">
        <v>1029</v>
      </c>
      <c r="U467">
        <v>4.232914148751374E-8</v>
      </c>
      <c r="V467">
        <v>2.4488737717259199E-14</v>
      </c>
      <c r="W467">
        <v>4.2329060623046282E-8</v>
      </c>
      <c r="X467">
        <v>4.2329197421442336E-8</v>
      </c>
      <c r="Y467">
        <v>4.2329139921922283E-8</v>
      </c>
      <c r="Z467">
        <v>4.2329105972128495E-8</v>
      </c>
      <c r="AA467">
        <v>4.2329187826812178E-8</v>
      </c>
    </row>
    <row r="468" spans="1:27">
      <c r="A468" t="s">
        <v>3236</v>
      </c>
      <c r="B468" t="s">
        <v>3237</v>
      </c>
      <c r="C468" t="s">
        <v>2354</v>
      </c>
      <c r="D468" t="s">
        <v>1667</v>
      </c>
      <c r="E468" t="s">
        <v>1029</v>
      </c>
      <c r="F468">
        <v>2.5070520074178449E-6</v>
      </c>
      <c r="G468">
        <v>2.7598179958660731E-12</v>
      </c>
      <c r="H468">
        <v>2.507044492340882E-6</v>
      </c>
      <c r="I468">
        <v>2.5070585713675914E-6</v>
      </c>
      <c r="J468">
        <v>2.5070523186270125E-6</v>
      </c>
      <c r="K468">
        <v>2.5070475078273805E-6</v>
      </c>
      <c r="L468">
        <v>2.507056342667497E-6</v>
      </c>
      <c r="P468" t="s">
        <v>3236</v>
      </c>
      <c r="Q468" t="s">
        <v>3237</v>
      </c>
      <c r="R468" t="s">
        <v>2354</v>
      </c>
      <c r="S468" t="s">
        <v>1667</v>
      </c>
      <c r="T468" t="s">
        <v>1029</v>
      </c>
      <c r="U468">
        <v>2.5070517652866261E-6</v>
      </c>
      <c r="V468">
        <v>2.5547929193895877E-12</v>
      </c>
      <c r="W468">
        <v>2.5070433290833682E-6</v>
      </c>
      <c r="X468">
        <v>2.5070576006059623E-6</v>
      </c>
      <c r="Y468">
        <v>2.5070516019559544E-6</v>
      </c>
      <c r="Z468">
        <v>2.5070480601362911E-6</v>
      </c>
      <c r="AA468">
        <v>2.5070565996440719E-6</v>
      </c>
    </row>
    <row r="469" spans="1:27">
      <c r="A469" t="s">
        <v>3238</v>
      </c>
      <c r="B469" t="s">
        <v>3239</v>
      </c>
      <c r="C469" t="s">
        <v>2354</v>
      </c>
      <c r="D469" t="s">
        <v>1667</v>
      </c>
      <c r="E469" t="s">
        <v>1029</v>
      </c>
      <c r="F469">
        <v>1.3753700481679672E-6</v>
      </c>
      <c r="G469">
        <v>1.7926540678144645E-12</v>
      </c>
      <c r="H469">
        <v>1.3753651667108176E-6</v>
      </c>
      <c r="I469">
        <v>1.3753743118155092E-6</v>
      </c>
      <c r="J469">
        <v>1.3753702503154934E-6</v>
      </c>
      <c r="K469">
        <v>1.375367125435685E-6</v>
      </c>
      <c r="L469">
        <v>1.3753728641518239E-6</v>
      </c>
      <c r="P469" t="s">
        <v>3238</v>
      </c>
      <c r="Q469" t="s">
        <v>3239</v>
      </c>
      <c r="R469" t="s">
        <v>2354</v>
      </c>
      <c r="S469" t="s">
        <v>1667</v>
      </c>
      <c r="T469" t="s">
        <v>1029</v>
      </c>
      <c r="U469">
        <v>1.375369890890381E-6</v>
      </c>
      <c r="V469">
        <v>1.6594789678925672E-12</v>
      </c>
      <c r="W469">
        <v>1.3753644111108772E-6</v>
      </c>
      <c r="X469">
        <v>1.3753736812522671E-6</v>
      </c>
      <c r="Y469">
        <v>1.3753697847980972E-6</v>
      </c>
      <c r="Z469">
        <v>1.3753674841907973E-6</v>
      </c>
      <c r="AA469">
        <v>1.3753730310722886E-6</v>
      </c>
    </row>
    <row r="470" spans="1:27">
      <c r="A470" t="s">
        <v>3240</v>
      </c>
      <c r="B470" t="s">
        <v>3241</v>
      </c>
      <c r="C470" t="s">
        <v>2354</v>
      </c>
      <c r="D470" t="s">
        <v>1667</v>
      </c>
      <c r="E470" t="s">
        <v>1029</v>
      </c>
      <c r="F470">
        <v>1.3573801309513031E-7</v>
      </c>
      <c r="G470">
        <v>1.3394107206355232E-13</v>
      </c>
      <c r="H470">
        <v>1.3573764836909894E-7</v>
      </c>
      <c r="I470">
        <v>1.3573833166050941E-7</v>
      </c>
      <c r="J470">
        <v>1.3573802819891242E-7</v>
      </c>
      <c r="K470">
        <v>1.357377947184216E-7</v>
      </c>
      <c r="L470">
        <v>1.3573822349595641E-7</v>
      </c>
      <c r="P470" t="s">
        <v>3240</v>
      </c>
      <c r="Q470" t="s">
        <v>3241</v>
      </c>
      <c r="R470" t="s">
        <v>2354</v>
      </c>
      <c r="S470" t="s">
        <v>1667</v>
      </c>
      <c r="T470" t="s">
        <v>1029</v>
      </c>
      <c r="U470">
        <v>1.3573800134387894E-7</v>
      </c>
      <c r="V470">
        <v>1.2399067729564031E-13</v>
      </c>
      <c r="W470">
        <v>1.3573759191321718E-7</v>
      </c>
      <c r="X470">
        <v>1.3573828454694849E-7</v>
      </c>
      <c r="Y470">
        <v>1.35737993417021E-7</v>
      </c>
      <c r="Z470">
        <v>1.3573782152339487E-7</v>
      </c>
      <c r="AA470">
        <v>1.3573823596769112E-7</v>
      </c>
    </row>
    <row r="471" spans="1:27">
      <c r="A471" t="s">
        <v>3242</v>
      </c>
      <c r="B471" t="s">
        <v>3243</v>
      </c>
      <c r="C471" t="s">
        <v>2354</v>
      </c>
      <c r="D471" t="s">
        <v>1667</v>
      </c>
      <c r="E471" t="s">
        <v>1029</v>
      </c>
      <c r="F471">
        <v>8.7814190865626944E-8</v>
      </c>
      <c r="G471">
        <v>1.5180992299101305E-13</v>
      </c>
      <c r="H471">
        <v>8.7813777482115146E-8</v>
      </c>
      <c r="I471">
        <v>8.7814551930272154E-8</v>
      </c>
      <c r="J471">
        <v>8.7814207984378907E-8</v>
      </c>
      <c r="K471">
        <v>8.7813943355652379E-8</v>
      </c>
      <c r="L471">
        <v>8.7814429335669802E-8</v>
      </c>
      <c r="P471" t="s">
        <v>3242</v>
      </c>
      <c r="Q471" t="s">
        <v>3243</v>
      </c>
      <c r="R471" t="s">
        <v>2354</v>
      </c>
      <c r="S471" t="s">
        <v>1667</v>
      </c>
      <c r="T471" t="s">
        <v>1029</v>
      </c>
      <c r="U471">
        <v>8.781417754666105E-8</v>
      </c>
      <c r="V471">
        <v>1.4053206295975055E-13</v>
      </c>
      <c r="W471">
        <v>8.7813713494550085E-8</v>
      </c>
      <c r="X471">
        <v>8.7814498531371073E-8</v>
      </c>
      <c r="Y471">
        <v>8.7814168562294453E-8</v>
      </c>
      <c r="Z471">
        <v>8.7813973736631602E-8</v>
      </c>
      <c r="AA471">
        <v>8.781444347123749E-8</v>
      </c>
    </row>
    <row r="472" spans="1:27">
      <c r="A472" t="s">
        <v>3244</v>
      </c>
      <c r="B472" t="s">
        <v>3245</v>
      </c>
      <c r="C472" t="s">
        <v>2354</v>
      </c>
      <c r="D472" t="s">
        <v>1667</v>
      </c>
      <c r="E472" t="s">
        <v>1029</v>
      </c>
      <c r="F472">
        <v>2.5028811262836522E-5</v>
      </c>
      <c r="G472">
        <v>1.493845226893647E-11</v>
      </c>
      <c r="H472">
        <v>2.5028770584929987E-5</v>
      </c>
      <c r="I472">
        <v>2.502884679244396E-5</v>
      </c>
      <c r="J472">
        <v>2.5028812947361848E-5</v>
      </c>
      <c r="K472">
        <v>2.5028786907274864E-5</v>
      </c>
      <c r="L472">
        <v>2.5028834728847727E-5</v>
      </c>
      <c r="P472" t="s">
        <v>3244</v>
      </c>
      <c r="Q472" t="s">
        <v>3245</v>
      </c>
      <c r="R472" t="s">
        <v>2354</v>
      </c>
      <c r="S472" t="s">
        <v>1667</v>
      </c>
      <c r="T472" t="s">
        <v>1029</v>
      </c>
      <c r="U472">
        <v>2.5028809952219058E-5</v>
      </c>
      <c r="V472">
        <v>1.3828684406116313E-11</v>
      </c>
      <c r="W472">
        <v>2.5028764288403597E-5</v>
      </c>
      <c r="X472">
        <v>2.5028841537866927E-5</v>
      </c>
      <c r="Y472">
        <v>2.5028809068136328E-5</v>
      </c>
      <c r="Z472">
        <v>2.5028789896834429E-5</v>
      </c>
      <c r="AA472">
        <v>2.502883611982072E-5</v>
      </c>
    </row>
    <row r="473" spans="1:27">
      <c r="A473" t="s">
        <v>3246</v>
      </c>
      <c r="B473" t="s">
        <v>3247</v>
      </c>
      <c r="C473" t="s">
        <v>2354</v>
      </c>
      <c r="D473" t="s">
        <v>1667</v>
      </c>
      <c r="E473" t="s">
        <v>1029</v>
      </c>
      <c r="F473">
        <v>3.1922912049221709E-4</v>
      </c>
      <c r="G473">
        <v>3.0508969907182755E-10</v>
      </c>
      <c r="H473">
        <v>3.1922828972273421E-4</v>
      </c>
      <c r="I473">
        <v>3.1922984611740534E-4</v>
      </c>
      <c r="J473">
        <v>3.1922915489546801E-4</v>
      </c>
      <c r="K473">
        <v>3.1922862307582836E-4</v>
      </c>
      <c r="L473">
        <v>3.1922959974121592E-4</v>
      </c>
      <c r="P473" t="s">
        <v>3246</v>
      </c>
      <c r="Q473" t="s">
        <v>3247</v>
      </c>
      <c r="R473" t="s">
        <v>2354</v>
      </c>
      <c r="S473" t="s">
        <v>1667</v>
      </c>
      <c r="T473" t="s">
        <v>1029</v>
      </c>
      <c r="U473">
        <v>3.1922909372532858E-4</v>
      </c>
      <c r="V473">
        <v>2.8242478457851209E-10</v>
      </c>
      <c r="W473">
        <v>3.1922816112806408E-4</v>
      </c>
      <c r="X473">
        <v>3.1922973880258462E-4</v>
      </c>
      <c r="Y473">
        <v>3.1922907566960684E-4</v>
      </c>
      <c r="Z473">
        <v>3.1922868413194138E-4</v>
      </c>
      <c r="AA473">
        <v>3.1922962814921458E-4</v>
      </c>
    </row>
    <row r="474" spans="1:27">
      <c r="A474" t="s">
        <v>3248</v>
      </c>
      <c r="B474" t="s">
        <v>3249</v>
      </c>
      <c r="C474" t="s">
        <v>2354</v>
      </c>
      <c r="D474" t="s">
        <v>1667</v>
      </c>
      <c r="E474" t="s">
        <v>1029</v>
      </c>
      <c r="F474">
        <v>5.7433900507260792E-6</v>
      </c>
      <c r="G474">
        <v>2.1071972428900161E-12</v>
      </c>
      <c r="H474">
        <v>5.7433843127573141E-6</v>
      </c>
      <c r="I474">
        <v>5.7433950624829519E-6</v>
      </c>
      <c r="J474">
        <v>5.7433902883428716E-6</v>
      </c>
      <c r="K474">
        <v>5.7433866151645186E-6</v>
      </c>
      <c r="L474">
        <v>5.7433933608088906E-6</v>
      </c>
      <c r="P474" t="s">
        <v>3248</v>
      </c>
      <c r="Q474" t="s">
        <v>3249</v>
      </c>
      <c r="R474" t="s">
        <v>2354</v>
      </c>
      <c r="S474" t="s">
        <v>1667</v>
      </c>
      <c r="T474" t="s">
        <v>1029</v>
      </c>
      <c r="U474">
        <v>5.7433898658522091E-6</v>
      </c>
      <c r="V474">
        <v>1.9506549359250118E-12</v>
      </c>
      <c r="W474">
        <v>5.743383424578083E-6</v>
      </c>
      <c r="X474">
        <v>5.7433943212796437E-6</v>
      </c>
      <c r="Y474">
        <v>5.7433897411447299E-6</v>
      </c>
      <c r="Z474">
        <v>5.7433870368676217E-6</v>
      </c>
      <c r="AA474">
        <v>5.7433935570176015E-6</v>
      </c>
    </row>
    <row r="475" spans="1:27">
      <c r="A475" t="s">
        <v>3250</v>
      </c>
      <c r="B475" t="s">
        <v>3251</v>
      </c>
      <c r="C475" t="s">
        <v>2354</v>
      </c>
      <c r="D475" t="s">
        <v>1667</v>
      </c>
      <c r="E475" t="s">
        <v>1029</v>
      </c>
      <c r="F475">
        <v>1.9474228796755744E-7</v>
      </c>
      <c r="G475">
        <v>1.4571068814296877E-12</v>
      </c>
      <c r="H475">
        <v>1.9473832021665009E-7</v>
      </c>
      <c r="I475">
        <v>1.9474575354983838E-7</v>
      </c>
      <c r="J475">
        <v>1.9474245227731277E-7</v>
      </c>
      <c r="K475">
        <v>1.9473991230936577E-7</v>
      </c>
      <c r="L475">
        <v>1.9474457685838643E-7</v>
      </c>
      <c r="P475" t="s">
        <v>3250</v>
      </c>
      <c r="Q475" t="s">
        <v>3251</v>
      </c>
      <c r="R475" t="s">
        <v>2354</v>
      </c>
      <c r="S475" t="s">
        <v>1667</v>
      </c>
      <c r="T475" t="s">
        <v>1029</v>
      </c>
      <c r="U475">
        <v>1.9474216012903092E-7</v>
      </c>
      <c r="V475">
        <v>1.3488593628497847E-12</v>
      </c>
      <c r="W475">
        <v>1.9473770604914684E-7</v>
      </c>
      <c r="X475">
        <v>1.9474524101479E-7</v>
      </c>
      <c r="Y475">
        <v>1.9474207389499482E-7</v>
      </c>
      <c r="Z475">
        <v>1.9474020391305673E-7</v>
      </c>
      <c r="AA475">
        <v>1.9474471253484644E-7</v>
      </c>
    </row>
    <row r="476" spans="1:27">
      <c r="A476" t="s">
        <v>3252</v>
      </c>
      <c r="B476" t="s">
        <v>3253</v>
      </c>
      <c r="C476" t="s">
        <v>2354</v>
      </c>
      <c r="D476" t="s">
        <v>1667</v>
      </c>
      <c r="E476" t="s">
        <v>1029</v>
      </c>
      <c r="F476">
        <v>6.8094274614875316E-5</v>
      </c>
      <c r="G476">
        <v>4.9966402499958892E-9</v>
      </c>
      <c r="H476">
        <v>6.8080668595894671E-5</v>
      </c>
      <c r="I476">
        <v>6.810615862155689E-5</v>
      </c>
      <c r="J476">
        <v>6.8094838057919586E-5</v>
      </c>
      <c r="K476">
        <v>6.8086128123020804E-5</v>
      </c>
      <c r="L476">
        <v>6.8102123568297934E-5</v>
      </c>
      <c r="P476" t="s">
        <v>3252</v>
      </c>
      <c r="Q476" t="s">
        <v>3253</v>
      </c>
      <c r="R476" t="s">
        <v>2354</v>
      </c>
      <c r="S476" t="s">
        <v>1667</v>
      </c>
      <c r="T476" t="s">
        <v>1029</v>
      </c>
      <c r="U476">
        <v>6.8093836237200403E-5</v>
      </c>
      <c r="V476">
        <v>4.6254431091420901E-9</v>
      </c>
      <c r="W476">
        <v>6.8078562522478882E-5</v>
      </c>
      <c r="X476">
        <v>6.8104401061226327E-5</v>
      </c>
      <c r="Y476">
        <v>6.8093540527625887E-5</v>
      </c>
      <c r="Z476">
        <v>6.8087128076255561E-5</v>
      </c>
      <c r="AA476">
        <v>6.8102588823434448E-5</v>
      </c>
    </row>
    <row r="477" spans="1:27">
      <c r="A477" t="s">
        <v>3254</v>
      </c>
      <c r="B477" t="s">
        <v>3255</v>
      </c>
      <c r="C477" t="s">
        <v>2354</v>
      </c>
      <c r="D477" t="s">
        <v>1667</v>
      </c>
      <c r="E477" t="s">
        <v>1029</v>
      </c>
      <c r="F477">
        <v>6.6234084900483475E-8</v>
      </c>
      <c r="G477">
        <v>1.0916741791705162E-13</v>
      </c>
      <c r="H477">
        <v>6.6233787633943179E-8</v>
      </c>
      <c r="I477">
        <v>6.6234344544215876E-8</v>
      </c>
      <c r="J477">
        <v>6.6234097210679769E-8</v>
      </c>
      <c r="K477">
        <v>6.6233906914589687E-8</v>
      </c>
      <c r="L477">
        <v>6.623425638570868E-8</v>
      </c>
      <c r="P477" t="s">
        <v>3254</v>
      </c>
      <c r="Q477" t="s">
        <v>3255</v>
      </c>
      <c r="R477" t="s">
        <v>2354</v>
      </c>
      <c r="S477" t="s">
        <v>1667</v>
      </c>
      <c r="T477" t="s">
        <v>1029</v>
      </c>
      <c r="U477">
        <v>6.6234075322735954E-8</v>
      </c>
      <c r="V477">
        <v>1.0105744173697409E-13</v>
      </c>
      <c r="W477">
        <v>6.6233741620104836E-8</v>
      </c>
      <c r="X477">
        <v>6.6234306144748727E-8</v>
      </c>
      <c r="Y477">
        <v>6.6234068862024535E-8</v>
      </c>
      <c r="Z477">
        <v>6.6233928761732428E-8</v>
      </c>
      <c r="AA477">
        <v>6.6234266550679407E-8</v>
      </c>
    </row>
    <row r="478" spans="1:27">
      <c r="A478" t="s">
        <v>3256</v>
      </c>
      <c r="B478" t="s">
        <v>1670</v>
      </c>
      <c r="C478" t="s">
        <v>2354</v>
      </c>
      <c r="D478" t="s">
        <v>1667</v>
      </c>
      <c r="E478" t="s">
        <v>1029</v>
      </c>
      <c r="F478">
        <v>5.8108353050665816E-7</v>
      </c>
      <c r="G478">
        <v>1.0021546905519049E-12</v>
      </c>
      <c r="H478">
        <v>5.8108080160582513E-7</v>
      </c>
      <c r="I478">
        <v>5.8108591403087506E-7</v>
      </c>
      <c r="J478">
        <v>5.8108364351401145E-7</v>
      </c>
      <c r="K478">
        <v>5.8108189659974984E-7</v>
      </c>
      <c r="L478">
        <v>5.810851047375604E-7</v>
      </c>
      <c r="P478" t="s">
        <v>3256</v>
      </c>
      <c r="Q478" t="s">
        <v>1670</v>
      </c>
      <c r="R478" t="s">
        <v>2354</v>
      </c>
      <c r="S478" t="s">
        <v>1667</v>
      </c>
      <c r="T478" t="s">
        <v>1029</v>
      </c>
      <c r="U478">
        <v>5.8108344258312957E-7</v>
      </c>
      <c r="V478">
        <v>9.2770527309222302E-13</v>
      </c>
      <c r="W478">
        <v>5.8108037919971884E-7</v>
      </c>
      <c r="X478">
        <v>5.8108556152454258E-7</v>
      </c>
      <c r="Y478">
        <v>5.8108338327392919E-7</v>
      </c>
      <c r="Z478">
        <v>5.8108209715607852E-7</v>
      </c>
      <c r="AA478">
        <v>5.8108519805178635E-7</v>
      </c>
    </row>
    <row r="479" spans="1:27">
      <c r="A479" t="s">
        <v>3257</v>
      </c>
      <c r="B479" t="s">
        <v>3258</v>
      </c>
      <c r="C479" t="s">
        <v>2354</v>
      </c>
      <c r="D479" t="s">
        <v>1667</v>
      </c>
      <c r="E479" t="s">
        <v>1029</v>
      </c>
      <c r="F479">
        <v>2.1297703656481839E-8</v>
      </c>
      <c r="G479">
        <v>3.2463503163896596E-14</v>
      </c>
      <c r="H479">
        <v>2.1297615257273936E-8</v>
      </c>
      <c r="I479">
        <v>2.1297780867661584E-8</v>
      </c>
      <c r="J479">
        <v>2.1297707317208666E-8</v>
      </c>
      <c r="K479">
        <v>2.1297650728183839E-8</v>
      </c>
      <c r="L479">
        <v>2.1297754651652887E-8</v>
      </c>
      <c r="P479" t="s">
        <v>3257</v>
      </c>
      <c r="Q479" t="s">
        <v>3258</v>
      </c>
      <c r="R479" t="s">
        <v>2354</v>
      </c>
      <c r="S479" t="s">
        <v>1667</v>
      </c>
      <c r="T479" t="s">
        <v>1029</v>
      </c>
      <c r="U479">
        <v>2.1297700808313003E-8</v>
      </c>
      <c r="V479">
        <v>3.0051810715620646E-14</v>
      </c>
      <c r="W479">
        <v>2.1297601573975245E-8</v>
      </c>
      <c r="X479">
        <v>2.1297769448675525E-8</v>
      </c>
      <c r="Y479">
        <v>2.1297698887068273E-8</v>
      </c>
      <c r="Z479">
        <v>2.1297657224946341E-8</v>
      </c>
      <c r="AA479">
        <v>2.1297757674446373E-8</v>
      </c>
    </row>
    <row r="480" spans="1:27">
      <c r="A480" t="s">
        <v>3259</v>
      </c>
      <c r="B480" t="s">
        <v>3260</v>
      </c>
      <c r="C480" t="s">
        <v>2354</v>
      </c>
      <c r="D480" t="s">
        <v>1667</v>
      </c>
      <c r="E480" t="s">
        <v>1029</v>
      </c>
      <c r="F480">
        <v>1.0772205419383218E-9</v>
      </c>
      <c r="G480">
        <v>4.797210519835475E-16</v>
      </c>
      <c r="H480">
        <v>1.0772192356418083E-9</v>
      </c>
      <c r="I480">
        <v>1.077221682906633E-9</v>
      </c>
      <c r="J480">
        <v>1.0772205960337694E-9</v>
      </c>
      <c r="K480">
        <v>1.0772197598040383E-9</v>
      </c>
      <c r="L480">
        <v>1.0772212955063206E-9</v>
      </c>
      <c r="P480" t="s">
        <v>3259</v>
      </c>
      <c r="Q480" t="s">
        <v>3260</v>
      </c>
      <c r="R480" t="s">
        <v>2354</v>
      </c>
      <c r="S480" t="s">
        <v>1667</v>
      </c>
      <c r="T480" t="s">
        <v>1029</v>
      </c>
      <c r="U480">
        <v>1.0772204998502411E-9</v>
      </c>
      <c r="V480">
        <v>4.4408288835387471E-16</v>
      </c>
      <c r="W480">
        <v>1.077219033440388E-9</v>
      </c>
      <c r="X480">
        <v>1.0772215141655093E-9</v>
      </c>
      <c r="Y480">
        <v>1.0772204714595422E-9</v>
      </c>
      <c r="Z480">
        <v>1.0772198558082719E-9</v>
      </c>
      <c r="AA480">
        <v>1.0772213401748725E-9</v>
      </c>
    </row>
    <row r="481" spans="1:27">
      <c r="A481" t="s">
        <v>3261</v>
      </c>
      <c r="B481" t="s">
        <v>3262</v>
      </c>
      <c r="C481" t="s">
        <v>2354</v>
      </c>
      <c r="D481" t="s">
        <v>1667</v>
      </c>
      <c r="E481" t="s">
        <v>1029</v>
      </c>
      <c r="F481">
        <v>2.81665363382277E-6</v>
      </c>
      <c r="G481">
        <v>9.7243711227561089E-13</v>
      </c>
      <c r="H481">
        <v>2.8166509858438994E-6</v>
      </c>
      <c r="I481">
        <v>2.8166559466667137E-6</v>
      </c>
      <c r="J481">
        <v>2.8166537434790392E-6</v>
      </c>
      <c r="K481">
        <v>2.8166520483672203E-6</v>
      </c>
      <c r="L481">
        <v>2.816655161371927E-6</v>
      </c>
      <c r="P481" t="s">
        <v>3261</v>
      </c>
      <c r="Q481" t="s">
        <v>3262</v>
      </c>
      <c r="R481" t="s">
        <v>2354</v>
      </c>
      <c r="S481" t="s">
        <v>1667</v>
      </c>
      <c r="T481" t="s">
        <v>1029</v>
      </c>
      <c r="U481">
        <v>2.8166535485064975E-6</v>
      </c>
      <c r="V481">
        <v>9.0019539431250393E-13</v>
      </c>
      <c r="W481">
        <v>2.8166505759636902E-6</v>
      </c>
      <c r="X481">
        <v>2.8166556046134928E-6</v>
      </c>
      <c r="Y481">
        <v>2.8166534909560339E-6</v>
      </c>
      <c r="Z481">
        <v>2.8166522429763154E-6</v>
      </c>
      <c r="AA481">
        <v>2.8166552519190427E-6</v>
      </c>
    </row>
    <row r="482" spans="1:27">
      <c r="A482" t="s">
        <v>3263</v>
      </c>
      <c r="B482" t="s">
        <v>3264</v>
      </c>
      <c r="C482" t="s">
        <v>2354</v>
      </c>
      <c r="D482" t="s">
        <v>1667</v>
      </c>
      <c r="E482" t="s">
        <v>1029</v>
      </c>
      <c r="F482">
        <v>6.1552573191333095E-6</v>
      </c>
      <c r="G482">
        <v>5.549628212148396E-12</v>
      </c>
      <c r="H482">
        <v>6.1552422073095603E-6</v>
      </c>
      <c r="I482">
        <v>6.1552705183662843E-6</v>
      </c>
      <c r="J482">
        <v>6.1552579449336989E-6</v>
      </c>
      <c r="K482">
        <v>6.1552482710532456E-6</v>
      </c>
      <c r="L482">
        <v>6.155266036745778E-6</v>
      </c>
      <c r="P482" t="s">
        <v>3263</v>
      </c>
      <c r="Q482" t="s">
        <v>3264</v>
      </c>
      <c r="R482" t="s">
        <v>2354</v>
      </c>
      <c r="S482" t="s">
        <v>1667</v>
      </c>
      <c r="T482" t="s">
        <v>1029</v>
      </c>
      <c r="U482">
        <v>6.1552568322395175E-6</v>
      </c>
      <c r="V482">
        <v>5.137349956714879E-12</v>
      </c>
      <c r="W482">
        <v>6.1552398681528752E-6</v>
      </c>
      <c r="X482">
        <v>6.1552685662933087E-6</v>
      </c>
      <c r="Y482">
        <v>6.1552565038031859E-6</v>
      </c>
      <c r="Z482">
        <v>6.1552493816732635E-6</v>
      </c>
      <c r="AA482">
        <v>6.1552665534916123E-6</v>
      </c>
    </row>
    <row r="483" spans="1:27">
      <c r="A483" t="s">
        <v>3265</v>
      </c>
      <c r="B483" t="s">
        <v>3266</v>
      </c>
      <c r="C483" t="s">
        <v>2354</v>
      </c>
      <c r="D483" t="s">
        <v>1667</v>
      </c>
      <c r="E483" t="s">
        <v>1029</v>
      </c>
      <c r="F483">
        <v>1.7051481862033266E-5</v>
      </c>
      <c r="G483">
        <v>1.1825531722417558E-11</v>
      </c>
      <c r="H483">
        <v>1.7051449660713771E-5</v>
      </c>
      <c r="I483">
        <v>1.7051509987872021E-5</v>
      </c>
      <c r="J483">
        <v>1.7051483195532024E-5</v>
      </c>
      <c r="K483">
        <v>1.7051462581758309E-5</v>
      </c>
      <c r="L483">
        <v>1.7051500438125005E-5</v>
      </c>
      <c r="P483" t="s">
        <v>3265</v>
      </c>
      <c r="Q483" t="s">
        <v>3266</v>
      </c>
      <c r="R483" t="s">
        <v>2354</v>
      </c>
      <c r="S483" t="s">
        <v>1667</v>
      </c>
      <c r="T483" t="s">
        <v>1029</v>
      </c>
      <c r="U483">
        <v>1.7051480824526285E-5</v>
      </c>
      <c r="V483">
        <v>1.0947020694224031E-11</v>
      </c>
      <c r="W483">
        <v>1.705144467627688E-5</v>
      </c>
      <c r="X483">
        <v>1.705150582825988E-5</v>
      </c>
      <c r="Y483">
        <v>1.7051480124671432E-5</v>
      </c>
      <c r="Z483">
        <v>1.7051464948344277E-5</v>
      </c>
      <c r="AA483">
        <v>1.7051501539242777E-5</v>
      </c>
    </row>
    <row r="484" spans="1:27">
      <c r="A484" t="s">
        <v>3267</v>
      </c>
      <c r="B484" t="s">
        <v>3268</v>
      </c>
      <c r="C484" t="s">
        <v>2354</v>
      </c>
      <c r="D484" t="s">
        <v>1667</v>
      </c>
      <c r="E484" t="s">
        <v>1029</v>
      </c>
      <c r="F484">
        <v>5.4655613078619627E-13</v>
      </c>
      <c r="G484">
        <v>5.5867208147321235E-20</v>
      </c>
      <c r="H484">
        <v>5.4655597865791459E-13</v>
      </c>
      <c r="I484">
        <v>5.4655626366073615E-13</v>
      </c>
      <c r="J484">
        <v>5.4655613708602724E-13</v>
      </c>
      <c r="K484">
        <v>5.4655603970063999E-13</v>
      </c>
      <c r="L484">
        <v>5.4655621854498854E-13</v>
      </c>
      <c r="P484" t="s">
        <v>3267</v>
      </c>
      <c r="Q484" t="s">
        <v>3268</v>
      </c>
      <c r="R484" t="s">
        <v>2354</v>
      </c>
      <c r="S484" t="s">
        <v>1667</v>
      </c>
      <c r="T484" t="s">
        <v>1029</v>
      </c>
      <c r="U484">
        <v>5.4655612588471503E-13</v>
      </c>
      <c r="V484">
        <v>5.1716869743778197E-20</v>
      </c>
      <c r="W484">
        <v>5.4655595511000328E-13</v>
      </c>
      <c r="X484">
        <v>5.4655624400953377E-13</v>
      </c>
      <c r="Y484">
        <v>5.4655612257839991E-13</v>
      </c>
      <c r="Z484">
        <v>5.4655605088107174E-13</v>
      </c>
      <c r="AA484">
        <v>5.4655622374698524E-13</v>
      </c>
    </row>
    <row r="485" spans="1:27">
      <c r="A485" t="s">
        <v>3269</v>
      </c>
      <c r="B485" t="s">
        <v>3270</v>
      </c>
      <c r="C485" t="s">
        <v>2354</v>
      </c>
      <c r="D485" t="s">
        <v>1667</v>
      </c>
      <c r="E485" t="s">
        <v>1029</v>
      </c>
      <c r="F485">
        <v>4.4274204692477223E-8</v>
      </c>
      <c r="G485">
        <v>2.476328160081808E-13</v>
      </c>
      <c r="H485">
        <v>4.4273530380013992E-8</v>
      </c>
      <c r="I485">
        <v>4.427479366224346E-8</v>
      </c>
      <c r="J485">
        <v>4.4274232616638402E-8</v>
      </c>
      <c r="K485">
        <v>4.427380095344107E-8</v>
      </c>
      <c r="L485">
        <v>4.4274593685548866E-8</v>
      </c>
      <c r="P485" t="s">
        <v>3269</v>
      </c>
      <c r="Q485" t="s">
        <v>3270</v>
      </c>
      <c r="R485" t="s">
        <v>2354</v>
      </c>
      <c r="S485" t="s">
        <v>1667</v>
      </c>
      <c r="T485" t="s">
        <v>1029</v>
      </c>
      <c r="U485">
        <v>4.4274182966538849E-8</v>
      </c>
      <c r="V485">
        <v>2.2923633583630325E-13</v>
      </c>
      <c r="W485">
        <v>4.4273426003299927E-8</v>
      </c>
      <c r="X485">
        <v>4.4274706557790826E-8</v>
      </c>
      <c r="Y485">
        <v>4.4274168311212277E-8</v>
      </c>
      <c r="Z485">
        <v>4.4273850510988344E-8</v>
      </c>
      <c r="AA485">
        <v>4.4274616743530604E-8</v>
      </c>
    </row>
    <row r="486" spans="1:27">
      <c r="A486" t="s">
        <v>3271</v>
      </c>
      <c r="B486" t="s">
        <v>3272</v>
      </c>
      <c r="C486" t="s">
        <v>2354</v>
      </c>
      <c r="D486" t="s">
        <v>1667</v>
      </c>
      <c r="E486" t="s">
        <v>1029</v>
      </c>
      <c r="F486">
        <v>2.7431154351966425E-7</v>
      </c>
      <c r="G486">
        <v>4.1310484978379193E-12</v>
      </c>
      <c r="H486">
        <v>2.743002945360553E-7</v>
      </c>
      <c r="I486">
        <v>2.743213688033536E-7</v>
      </c>
      <c r="J486">
        <v>2.743120093547904E-7</v>
      </c>
      <c r="K486">
        <v>2.7430480828333446E-7</v>
      </c>
      <c r="L486">
        <v>2.7431803276155948E-7</v>
      </c>
      <c r="P486" t="s">
        <v>3271</v>
      </c>
      <c r="Q486" t="s">
        <v>3272</v>
      </c>
      <c r="R486" t="s">
        <v>2354</v>
      </c>
      <c r="S486" t="s">
        <v>1667</v>
      </c>
      <c r="T486" t="s">
        <v>1029</v>
      </c>
      <c r="U486">
        <v>2.7431118108423867E-7</v>
      </c>
      <c r="V486">
        <v>3.8241556029307906E-12</v>
      </c>
      <c r="W486">
        <v>2.7429855330775286E-7</v>
      </c>
      <c r="X486">
        <v>2.7431991571355722E-7</v>
      </c>
      <c r="Y486">
        <v>2.7431093660183992E-7</v>
      </c>
      <c r="Z486">
        <v>2.7430563500991507E-7</v>
      </c>
      <c r="AA486">
        <v>2.7431841741833619E-7</v>
      </c>
    </row>
    <row r="487" spans="1:27">
      <c r="A487" t="s">
        <v>3273</v>
      </c>
      <c r="B487" t="s">
        <v>3274</v>
      </c>
      <c r="C487" t="s">
        <v>2354</v>
      </c>
      <c r="D487" t="s">
        <v>1667</v>
      </c>
      <c r="E487" t="s">
        <v>1029</v>
      </c>
      <c r="F487">
        <v>2.9770406894504771E-8</v>
      </c>
      <c r="G487">
        <v>5.90522983272105E-13</v>
      </c>
      <c r="H487">
        <v>2.9768798880616055E-8</v>
      </c>
      <c r="I487">
        <v>2.9771811394074021E-8</v>
      </c>
      <c r="J487">
        <v>2.9770473484463373E-8</v>
      </c>
      <c r="K487">
        <v>2.9769444109426707E-8</v>
      </c>
      <c r="L487">
        <v>2.9771334515297701E-8</v>
      </c>
      <c r="P487" t="s">
        <v>3273</v>
      </c>
      <c r="Q487" t="s">
        <v>3274</v>
      </c>
      <c r="R487" t="s">
        <v>2354</v>
      </c>
      <c r="S487" t="s">
        <v>1667</v>
      </c>
      <c r="T487" t="s">
        <v>1029</v>
      </c>
      <c r="U487">
        <v>2.9770355085273065E-8</v>
      </c>
      <c r="V487">
        <v>5.4665341651667652E-13</v>
      </c>
      <c r="W487">
        <v>2.9768549976413579E-8</v>
      </c>
      <c r="X487">
        <v>2.9771603678545636E-8</v>
      </c>
      <c r="Y487">
        <v>2.9770320137129645E-8</v>
      </c>
      <c r="Z487">
        <v>2.9769562287910205E-8</v>
      </c>
      <c r="AA487">
        <v>2.9771389501015592E-8</v>
      </c>
    </row>
    <row r="488" spans="1:27">
      <c r="A488" t="s">
        <v>3275</v>
      </c>
      <c r="B488" t="s">
        <v>3276</v>
      </c>
      <c r="C488" t="s">
        <v>2354</v>
      </c>
      <c r="D488" t="s">
        <v>1667</v>
      </c>
      <c r="E488" t="s">
        <v>1029</v>
      </c>
      <c r="F488">
        <v>1.388511352878119E-21</v>
      </c>
      <c r="G488">
        <v>1.408005651874476E-28</v>
      </c>
      <c r="H488">
        <v>1.3885109694734579E-21</v>
      </c>
      <c r="I488">
        <v>1.3885116877581132E-21</v>
      </c>
      <c r="J488">
        <v>1.3885113687554076E-21</v>
      </c>
      <c r="K488">
        <v>1.3885111233177346E-21</v>
      </c>
      <c r="L488">
        <v>1.3885115740541541E-21</v>
      </c>
      <c r="P488" t="s">
        <v>3275</v>
      </c>
      <c r="Q488" t="s">
        <v>3276</v>
      </c>
      <c r="R488" t="s">
        <v>2354</v>
      </c>
      <c r="S488" t="s">
        <v>1667</v>
      </c>
      <c r="T488" t="s">
        <v>1029</v>
      </c>
      <c r="U488">
        <v>1.3885113405250532E-21</v>
      </c>
      <c r="V488">
        <v>1.3034058316221302E-28</v>
      </c>
      <c r="W488">
        <v>1.3885109101263141E-21</v>
      </c>
      <c r="X488">
        <v>1.3885116382317365E-21</v>
      </c>
      <c r="Y488">
        <v>1.3885113321922393E-21</v>
      </c>
      <c r="Z488">
        <v>1.3885111514954647E-21</v>
      </c>
      <c r="AA488">
        <v>1.3885115871646009E-21</v>
      </c>
    </row>
    <row r="489" spans="1:27">
      <c r="A489" t="s">
        <v>3277</v>
      </c>
      <c r="B489" t="s">
        <v>3278</v>
      </c>
      <c r="C489" t="s">
        <v>2354</v>
      </c>
      <c r="D489" t="s">
        <v>1667</v>
      </c>
      <c r="E489" t="s">
        <v>1029</v>
      </c>
      <c r="F489">
        <v>1.2611386506675908E-5</v>
      </c>
      <c r="G489">
        <v>5.7162951948623094E-10</v>
      </c>
      <c r="H489">
        <v>1.2609829940322746E-5</v>
      </c>
      <c r="I489">
        <v>1.2612746070040309E-5</v>
      </c>
      <c r="J489">
        <v>1.2611450966124771E-5</v>
      </c>
      <c r="K489">
        <v>1.2610454525386227E-5</v>
      </c>
      <c r="L489">
        <v>1.2612284448742776E-5</v>
      </c>
      <c r="P489" t="s">
        <v>3277</v>
      </c>
      <c r="Q489" t="s">
        <v>3278</v>
      </c>
      <c r="R489" t="s">
        <v>2354</v>
      </c>
      <c r="S489" t="s">
        <v>1667</v>
      </c>
      <c r="T489" t="s">
        <v>1029</v>
      </c>
      <c r="U489">
        <v>1.26113363550526E-5</v>
      </c>
      <c r="V489">
        <v>5.2916353581634092E-10</v>
      </c>
      <c r="W489">
        <v>1.2609588999675744E-5</v>
      </c>
      <c r="X489">
        <v>1.2612545000258023E-5</v>
      </c>
      <c r="Y489">
        <v>1.2611302525056133E-5</v>
      </c>
      <c r="Z489">
        <v>1.2610568922812995E-5</v>
      </c>
      <c r="AA489">
        <v>1.2612337675222332E-5</v>
      </c>
    </row>
    <row r="490" spans="1:27">
      <c r="A490" t="s">
        <v>3279</v>
      </c>
      <c r="B490" t="s">
        <v>3280</v>
      </c>
      <c r="C490" t="s">
        <v>2354</v>
      </c>
      <c r="D490" t="s">
        <v>1667</v>
      </c>
      <c r="E490" t="s">
        <v>1029</v>
      </c>
      <c r="F490">
        <v>1.1375363716161244E-5</v>
      </c>
      <c r="G490">
        <v>6.758068243841927E-12</v>
      </c>
      <c r="H490">
        <v>1.1375345313714755E-5</v>
      </c>
      <c r="I490">
        <v>1.1375379789547383E-5</v>
      </c>
      <c r="J490">
        <v>1.137536447823062E-5</v>
      </c>
      <c r="K490">
        <v>1.1375352697847902E-5</v>
      </c>
      <c r="L490">
        <v>1.1375374332047158E-5</v>
      </c>
      <c r="P490" t="s">
        <v>3279</v>
      </c>
      <c r="Q490" t="s">
        <v>3280</v>
      </c>
      <c r="R490" t="s">
        <v>2354</v>
      </c>
      <c r="S490" t="s">
        <v>1667</v>
      </c>
      <c r="T490" t="s">
        <v>1029</v>
      </c>
      <c r="U490">
        <v>1.1375363123245584E-5</v>
      </c>
      <c r="V490">
        <v>6.2560157676742238E-12</v>
      </c>
      <c r="W490">
        <v>1.1375342465203123E-5</v>
      </c>
      <c r="X490">
        <v>1.1375377412407533E-5</v>
      </c>
      <c r="Y490">
        <v>1.1375362723291734E-5</v>
      </c>
      <c r="Z490">
        <v>1.1375354050307127E-5</v>
      </c>
      <c r="AA490">
        <v>1.1375374961315187E-5</v>
      </c>
    </row>
    <row r="491" spans="1:27">
      <c r="A491" t="s">
        <v>3281</v>
      </c>
      <c r="B491" t="s">
        <v>3282</v>
      </c>
      <c r="C491" t="s">
        <v>2354</v>
      </c>
      <c r="D491" t="s">
        <v>1667</v>
      </c>
      <c r="E491" t="s">
        <v>1029</v>
      </c>
      <c r="F491">
        <v>2.0956109896747751E-6</v>
      </c>
      <c r="G491">
        <v>2.1821844451788299E-12</v>
      </c>
      <c r="H491">
        <v>2.0956050475133431E-6</v>
      </c>
      <c r="I491">
        <v>2.0956161797811717E-6</v>
      </c>
      <c r="J491">
        <v>2.0956112357474525E-6</v>
      </c>
      <c r="K491">
        <v>2.0956074318545354E-6</v>
      </c>
      <c r="L491">
        <v>2.09561441755095E-6</v>
      </c>
      <c r="P491" t="s">
        <v>3281</v>
      </c>
      <c r="Q491" t="s">
        <v>3282</v>
      </c>
      <c r="R491" t="s">
        <v>2354</v>
      </c>
      <c r="S491" t="s">
        <v>1667</v>
      </c>
      <c r="T491" t="s">
        <v>1029</v>
      </c>
      <c r="U491">
        <v>2.095610798221939E-6</v>
      </c>
      <c r="V491">
        <v>2.0200713879137376E-12</v>
      </c>
      <c r="W491">
        <v>2.0956041277271631E-6</v>
      </c>
      <c r="X491">
        <v>2.0956154122012333E-6</v>
      </c>
      <c r="Y491">
        <v>2.0956106690765933E-6</v>
      </c>
      <c r="Z491">
        <v>2.095607868564462E-6</v>
      </c>
      <c r="AA491">
        <v>2.0956146207419881E-6</v>
      </c>
    </row>
    <row r="492" spans="1:27">
      <c r="A492" t="s">
        <v>3283</v>
      </c>
      <c r="B492" t="s">
        <v>3284</v>
      </c>
      <c r="C492" t="s">
        <v>2354</v>
      </c>
      <c r="D492" t="s">
        <v>1667</v>
      </c>
      <c r="E492" t="s">
        <v>1029</v>
      </c>
      <c r="F492">
        <v>5.7617111311292759E-21</v>
      </c>
      <c r="G492">
        <v>5.8602789113820689E-28</v>
      </c>
      <c r="H492">
        <v>5.7617095353556699E-21</v>
      </c>
      <c r="I492">
        <v>5.7617125249377165E-21</v>
      </c>
      <c r="J492">
        <v>5.7617111972123446E-21</v>
      </c>
      <c r="K492">
        <v>5.7617101756729651E-21</v>
      </c>
      <c r="L492">
        <v>5.7617120516889668E-21</v>
      </c>
      <c r="P492" t="s">
        <v>3283</v>
      </c>
      <c r="Q492" t="s">
        <v>3284</v>
      </c>
      <c r="R492" t="s">
        <v>2354</v>
      </c>
      <c r="S492" t="s">
        <v>1667</v>
      </c>
      <c r="T492" t="s">
        <v>1029</v>
      </c>
      <c r="U492">
        <v>5.7617110797144139E-21</v>
      </c>
      <c r="V492">
        <v>5.4249226184994238E-28</v>
      </c>
      <c r="W492">
        <v>5.7617092883461395E-21</v>
      </c>
      <c r="X492">
        <v>5.7617123188033296E-21</v>
      </c>
      <c r="Y492">
        <v>5.761711045032299E-21</v>
      </c>
      <c r="Z492">
        <v>5.761710292951868E-21</v>
      </c>
      <c r="AA492">
        <v>5.7617121062561301E-21</v>
      </c>
    </row>
    <row r="493" spans="1:27">
      <c r="A493" t="s">
        <v>3285</v>
      </c>
      <c r="B493" t="s">
        <v>3286</v>
      </c>
      <c r="C493" t="s">
        <v>2354</v>
      </c>
      <c r="D493" t="s">
        <v>1667</v>
      </c>
      <c r="E493" t="s">
        <v>1029</v>
      </c>
      <c r="F493">
        <v>6.5226360799920948E-5</v>
      </c>
      <c r="G493">
        <v>1.7039070276653739E-10</v>
      </c>
      <c r="H493">
        <v>6.5225896820322621E-5</v>
      </c>
      <c r="I493">
        <v>6.5226766057083492E-5</v>
      </c>
      <c r="J493">
        <v>6.5226380013923014E-5</v>
      </c>
      <c r="K493">
        <v>6.5226082995956098E-5</v>
      </c>
      <c r="L493">
        <v>6.5226628457511362E-5</v>
      </c>
      <c r="P493" t="s">
        <v>3285</v>
      </c>
      <c r="Q493" t="s">
        <v>3286</v>
      </c>
      <c r="R493" t="s">
        <v>2354</v>
      </c>
      <c r="S493" t="s">
        <v>1667</v>
      </c>
      <c r="T493" t="s">
        <v>1029</v>
      </c>
      <c r="U493">
        <v>6.522634585077982E-5</v>
      </c>
      <c r="V493">
        <v>1.5773248874066238E-10</v>
      </c>
      <c r="W493">
        <v>6.5225825000997747E-5</v>
      </c>
      <c r="X493">
        <v>6.5226706122422417E-5</v>
      </c>
      <c r="Y493">
        <v>6.5226335766771417E-5</v>
      </c>
      <c r="Z493">
        <v>6.5226117095416115E-5</v>
      </c>
      <c r="AA493">
        <v>6.5226644323202243E-5</v>
      </c>
    </row>
    <row r="494" spans="1:27">
      <c r="A494" t="s">
        <v>3287</v>
      </c>
      <c r="B494" t="s">
        <v>3288</v>
      </c>
      <c r="C494" t="s">
        <v>2354</v>
      </c>
      <c r="D494" t="s">
        <v>1667</v>
      </c>
      <c r="E494" t="s">
        <v>1029</v>
      </c>
      <c r="F494">
        <v>1.5931370593943759E-8</v>
      </c>
      <c r="G494">
        <v>2.4682172496674672E-14</v>
      </c>
      <c r="H494">
        <v>1.5931303383560255E-8</v>
      </c>
      <c r="I494">
        <v>1.5931429298010536E-8</v>
      </c>
      <c r="J494">
        <v>1.5931373377213664E-8</v>
      </c>
      <c r="K494">
        <v>1.5931330352279939E-8</v>
      </c>
      <c r="L494">
        <v>1.5931409365841001E-8</v>
      </c>
      <c r="P494" t="s">
        <v>3287</v>
      </c>
      <c r="Q494" t="s">
        <v>3288</v>
      </c>
      <c r="R494" t="s">
        <v>2354</v>
      </c>
      <c r="S494" t="s">
        <v>1667</v>
      </c>
      <c r="T494" t="s">
        <v>1029</v>
      </c>
      <c r="U494">
        <v>1.5931368428465985E-8</v>
      </c>
      <c r="V494">
        <v>2.2848550021669963E-14</v>
      </c>
      <c r="W494">
        <v>1.5931292980076163E-8</v>
      </c>
      <c r="X494">
        <v>1.5931420616095271E-8</v>
      </c>
      <c r="Y494">
        <v>1.5931366967733511E-8</v>
      </c>
      <c r="Z494">
        <v>1.5931335291802695E-8</v>
      </c>
      <c r="AA494">
        <v>1.5931411664086812E-8</v>
      </c>
    </row>
    <row r="495" spans="1:27">
      <c r="A495" t="s">
        <v>3289</v>
      </c>
      <c r="B495" t="s">
        <v>3290</v>
      </c>
      <c r="C495" t="s">
        <v>2354</v>
      </c>
      <c r="D495" t="s">
        <v>1667</v>
      </c>
      <c r="E495" t="s">
        <v>1029</v>
      </c>
      <c r="F495">
        <v>2.2365267279009285E-11</v>
      </c>
      <c r="G495">
        <v>3.5128910720145012E-16</v>
      </c>
      <c r="H495">
        <v>2.2364310706988663E-11</v>
      </c>
      <c r="I495">
        <v>2.2366102784846867E-11</v>
      </c>
      <c r="J495">
        <v>2.2365306891907971E-11</v>
      </c>
      <c r="K495">
        <v>2.2364694539386819E-11</v>
      </c>
      <c r="L495">
        <v>2.2365819100173582E-11</v>
      </c>
      <c r="P495" t="s">
        <v>3289</v>
      </c>
      <c r="Q495" t="s">
        <v>3290</v>
      </c>
      <c r="R495" t="s">
        <v>2354</v>
      </c>
      <c r="S495" t="s">
        <v>1667</v>
      </c>
      <c r="T495" t="s">
        <v>1029</v>
      </c>
      <c r="U495">
        <v>2.2365236458839276E-11</v>
      </c>
      <c r="V495">
        <v>3.2519206885511127E-16</v>
      </c>
      <c r="W495">
        <v>2.2364162639364637E-11</v>
      </c>
      <c r="X495">
        <v>2.2365979219457228E-11</v>
      </c>
      <c r="Y495">
        <v>2.2365215668959023E-11</v>
      </c>
      <c r="Z495">
        <v>2.2364764841161915E-11</v>
      </c>
      <c r="AA495">
        <v>2.2365851809965231E-11</v>
      </c>
    </row>
    <row r="496" spans="1:27">
      <c r="A496" t="s">
        <v>3291</v>
      </c>
      <c r="B496" t="s">
        <v>3292</v>
      </c>
      <c r="C496" t="s">
        <v>2354</v>
      </c>
      <c r="D496" t="s">
        <v>1667</v>
      </c>
      <c r="E496" t="s">
        <v>1029</v>
      </c>
      <c r="F496">
        <v>1.4778760812883463E-5</v>
      </c>
      <c r="G496">
        <v>4.8491740253701452E-11</v>
      </c>
      <c r="H496">
        <v>1.4778628768248411E-5</v>
      </c>
      <c r="I496">
        <v>1.4778876145614328E-5</v>
      </c>
      <c r="J496">
        <v>1.4778766281024531E-5</v>
      </c>
      <c r="K496">
        <v>1.4778681752245271E-5</v>
      </c>
      <c r="L496">
        <v>1.4778836985950083E-5</v>
      </c>
      <c r="P496" t="s">
        <v>3291</v>
      </c>
      <c r="Q496" t="s">
        <v>3292</v>
      </c>
      <c r="R496" t="s">
        <v>2354</v>
      </c>
      <c r="S496" t="s">
        <v>1667</v>
      </c>
      <c r="T496" t="s">
        <v>1029</v>
      </c>
      <c r="U496">
        <v>1.4778756558485456E-5</v>
      </c>
      <c r="V496">
        <v>4.4889320540531842E-11</v>
      </c>
      <c r="W496">
        <v>1.4778608329081305E-5</v>
      </c>
      <c r="X496">
        <v>1.4778859088721144E-5</v>
      </c>
      <c r="Y496">
        <v>1.4778753688662699E-5</v>
      </c>
      <c r="Z496">
        <v>1.4778691456660658E-5</v>
      </c>
      <c r="AA496">
        <v>1.4778841501190346E-5</v>
      </c>
    </row>
    <row r="497" spans="1:27">
      <c r="A497" t="s">
        <v>3293</v>
      </c>
      <c r="B497" t="s">
        <v>3294</v>
      </c>
      <c r="C497" t="s">
        <v>2354</v>
      </c>
      <c r="D497" t="s">
        <v>1667</v>
      </c>
      <c r="E497" t="s">
        <v>1029</v>
      </c>
      <c r="F497">
        <v>1.0747683464171147E-7</v>
      </c>
      <c r="G497">
        <v>1.9828669825100686E-13</v>
      </c>
      <c r="H497">
        <v>1.0747629470038189E-7</v>
      </c>
      <c r="I497">
        <v>1.0747730624669582E-7</v>
      </c>
      <c r="J497">
        <v>1.0747685700138823E-7</v>
      </c>
      <c r="K497">
        <v>1.0747651135628541E-7</v>
      </c>
      <c r="L497">
        <v>1.0747714611962083E-7</v>
      </c>
      <c r="P497" t="s">
        <v>3293</v>
      </c>
      <c r="Q497" t="s">
        <v>3294</v>
      </c>
      <c r="R497" t="s">
        <v>2354</v>
      </c>
      <c r="S497" t="s">
        <v>1667</v>
      </c>
      <c r="T497" t="s">
        <v>1029</v>
      </c>
      <c r="U497">
        <v>1.0747681724512946E-7</v>
      </c>
      <c r="V497">
        <v>1.8355610893977643E-13</v>
      </c>
      <c r="W497">
        <v>1.0747621112295326E-7</v>
      </c>
      <c r="X497">
        <v>1.0747723649966231E-7</v>
      </c>
      <c r="Y497">
        <v>1.0747680551018917E-7</v>
      </c>
      <c r="Z497">
        <v>1.0747655103843488E-7</v>
      </c>
      <c r="AA497">
        <v>1.0747716458280816E-7</v>
      </c>
    </row>
    <row r="498" spans="1:27">
      <c r="A498" t="s">
        <v>3295</v>
      </c>
      <c r="B498" t="s">
        <v>3296</v>
      </c>
      <c r="C498" t="s">
        <v>2354</v>
      </c>
      <c r="D498" t="s">
        <v>1667</v>
      </c>
      <c r="E498" t="s">
        <v>1029</v>
      </c>
      <c r="F498">
        <v>7.3283563989738103E-9</v>
      </c>
      <c r="G498">
        <v>5.0266799572568371E-14</v>
      </c>
      <c r="H498">
        <v>7.3282195207927001E-9</v>
      </c>
      <c r="I498">
        <v>7.3284759535048733E-9</v>
      </c>
      <c r="J498">
        <v>7.3283620672783421E-9</v>
      </c>
      <c r="K498">
        <v>7.328274444289706E-9</v>
      </c>
      <c r="L498">
        <v>7.3284353603856399E-9</v>
      </c>
      <c r="P498" t="s">
        <v>3295</v>
      </c>
      <c r="Q498" t="s">
        <v>3296</v>
      </c>
      <c r="R498" t="s">
        <v>2354</v>
      </c>
      <c r="S498" t="s">
        <v>1667</v>
      </c>
      <c r="T498" t="s">
        <v>1029</v>
      </c>
      <c r="U498">
        <v>7.3283519888418779E-9</v>
      </c>
      <c r="V498">
        <v>4.6532511861695815E-14</v>
      </c>
      <c r="W498">
        <v>7.3281983334418044E-9</v>
      </c>
      <c r="X498">
        <v>7.328458272237371E-9</v>
      </c>
      <c r="Y498">
        <v>7.3283490139681283E-9</v>
      </c>
      <c r="Z498">
        <v>7.3282845039390531E-9</v>
      </c>
      <c r="AA498">
        <v>7.3284400409080575E-9</v>
      </c>
    </row>
    <row r="499" spans="1:27">
      <c r="A499" t="s">
        <v>3297</v>
      </c>
      <c r="B499" t="s">
        <v>3298</v>
      </c>
      <c r="C499" t="s">
        <v>2354</v>
      </c>
      <c r="D499" t="s">
        <v>1667</v>
      </c>
      <c r="E499" t="s">
        <v>1029</v>
      </c>
      <c r="F499">
        <v>1.9411375398240426E-7</v>
      </c>
      <c r="G499">
        <v>6.4016007327579042E-14</v>
      </c>
      <c r="H499">
        <v>1.9411357966466945E-7</v>
      </c>
      <c r="I499">
        <v>1.9411390623804433E-7</v>
      </c>
      <c r="J499">
        <v>1.9411376120112985E-7</v>
      </c>
      <c r="K499">
        <v>1.9411364961109566E-7</v>
      </c>
      <c r="L499">
        <v>1.941138545417072E-7</v>
      </c>
      <c r="P499" t="s">
        <v>3297</v>
      </c>
      <c r="Q499" t="s">
        <v>3298</v>
      </c>
      <c r="R499" t="s">
        <v>2354</v>
      </c>
      <c r="S499" t="s">
        <v>1667</v>
      </c>
      <c r="T499" t="s">
        <v>1029</v>
      </c>
      <c r="U499">
        <v>1.9411374836599277E-7</v>
      </c>
      <c r="V499">
        <v>5.9260299952195901E-14</v>
      </c>
      <c r="W499">
        <v>1.9411355268205624E-7</v>
      </c>
      <c r="X499">
        <v>1.9411388372051469E-7</v>
      </c>
      <c r="Y499">
        <v>1.9411374457741777E-7</v>
      </c>
      <c r="Z499">
        <v>1.9411366242230686E-7</v>
      </c>
      <c r="AA499">
        <v>1.9411386050246776E-7</v>
      </c>
    </row>
    <row r="500" spans="1:27">
      <c r="A500" t="s">
        <v>3299</v>
      </c>
      <c r="B500" t="s">
        <v>3300</v>
      </c>
      <c r="C500" t="s">
        <v>2354</v>
      </c>
      <c r="D500" t="s">
        <v>1667</v>
      </c>
      <c r="E500" t="s">
        <v>1029</v>
      </c>
      <c r="F500">
        <v>9.9656045894482443E-8</v>
      </c>
      <c r="G500">
        <v>6.8920123876635701E-13</v>
      </c>
      <c r="H500">
        <v>9.9654169176394523E-8</v>
      </c>
      <c r="I500">
        <v>9.9657685090365432E-8</v>
      </c>
      <c r="J500">
        <v>9.9656123611833456E-8</v>
      </c>
      <c r="K500">
        <v>9.9654922224977201E-8</v>
      </c>
      <c r="L500">
        <v>9.9657128523639518E-8</v>
      </c>
      <c r="P500" t="s">
        <v>3299</v>
      </c>
      <c r="Q500" t="s">
        <v>3300</v>
      </c>
      <c r="R500" t="s">
        <v>2354</v>
      </c>
      <c r="S500" t="s">
        <v>1667</v>
      </c>
      <c r="T500" t="s">
        <v>1029</v>
      </c>
      <c r="U500">
        <v>9.9655985427764504E-8</v>
      </c>
      <c r="V500">
        <v>6.3800092885723684E-13</v>
      </c>
      <c r="W500">
        <v>9.9653878679513714E-8</v>
      </c>
      <c r="X500">
        <v>9.965744266491625E-8</v>
      </c>
      <c r="Y500">
        <v>9.9655944639675971E-8</v>
      </c>
      <c r="Z500">
        <v>9.9655060151458524E-8</v>
      </c>
      <c r="AA500">
        <v>9.9657192697644511E-8</v>
      </c>
    </row>
    <row r="501" spans="1:27">
      <c r="A501" t="s">
        <v>3301</v>
      </c>
      <c r="B501" t="s">
        <v>3302</v>
      </c>
      <c r="C501" t="s">
        <v>2354</v>
      </c>
      <c r="D501" t="s">
        <v>1667</v>
      </c>
      <c r="E501" t="s">
        <v>1029</v>
      </c>
      <c r="F501">
        <v>4.0614270359759924E-5</v>
      </c>
      <c r="G501">
        <v>8.1107721567735815E-11</v>
      </c>
      <c r="H501">
        <v>4.0614049500713859E-5</v>
      </c>
      <c r="I501">
        <v>4.0614463266324493E-5</v>
      </c>
      <c r="J501">
        <v>4.0614279505821931E-5</v>
      </c>
      <c r="K501">
        <v>4.0614138122224291E-5</v>
      </c>
      <c r="L501">
        <v>4.0614397767517323E-5</v>
      </c>
      <c r="P501" t="s">
        <v>3301</v>
      </c>
      <c r="Q501" t="s">
        <v>3302</v>
      </c>
      <c r="R501" t="s">
        <v>2354</v>
      </c>
      <c r="S501" t="s">
        <v>1667</v>
      </c>
      <c r="T501" t="s">
        <v>1029</v>
      </c>
      <c r="U501">
        <v>4.0614263243815494E-5</v>
      </c>
      <c r="V501">
        <v>7.5082281904318196E-11</v>
      </c>
      <c r="W501">
        <v>4.0614015313978839E-5</v>
      </c>
      <c r="X501">
        <v>4.0614434736811303E-5</v>
      </c>
      <c r="Y501">
        <v>4.0614258443724098E-5</v>
      </c>
      <c r="Z501">
        <v>4.0614154353916883E-5</v>
      </c>
      <c r="AA501">
        <v>4.0614405319748862E-5</v>
      </c>
    </row>
    <row r="502" spans="1:27">
      <c r="A502" t="s">
        <v>3303</v>
      </c>
      <c r="B502" t="s">
        <v>3304</v>
      </c>
      <c r="C502" t="s">
        <v>2354</v>
      </c>
      <c r="D502" t="s">
        <v>1667</v>
      </c>
      <c r="E502" t="s">
        <v>1029</v>
      </c>
      <c r="F502">
        <v>1.0548890035261381E-5</v>
      </c>
      <c r="G502">
        <v>1.1017256839425371E-11</v>
      </c>
      <c r="H502">
        <v>1.0548860034901509E-5</v>
      </c>
      <c r="I502">
        <v>1.0548916238699563E-5</v>
      </c>
      <c r="J502">
        <v>1.0548891277615532E-5</v>
      </c>
      <c r="K502">
        <v>1.0548872072792883E-5</v>
      </c>
      <c r="L502">
        <v>1.0548907341677588E-5</v>
      </c>
      <c r="P502" t="s">
        <v>3303</v>
      </c>
      <c r="Q502" t="s">
        <v>3304</v>
      </c>
      <c r="R502" t="s">
        <v>2354</v>
      </c>
      <c r="S502" t="s">
        <v>1667</v>
      </c>
      <c r="T502" t="s">
        <v>1029</v>
      </c>
      <c r="U502">
        <v>1.0548889068667994E-5</v>
      </c>
      <c r="V502">
        <v>1.019879202426318E-11</v>
      </c>
      <c r="W502">
        <v>1.0548855391150791E-5</v>
      </c>
      <c r="X502">
        <v>1.0548912363396839E-5</v>
      </c>
      <c r="Y502">
        <v>1.0548888416648204E-5</v>
      </c>
      <c r="Z502">
        <v>1.0548874277622742E-5</v>
      </c>
      <c r="AA502">
        <v>1.0548908367533977E-5</v>
      </c>
    </row>
    <row r="503" spans="1:27">
      <c r="A503" t="s">
        <v>3305</v>
      </c>
      <c r="B503" t="s">
        <v>3306</v>
      </c>
      <c r="C503" t="s">
        <v>2354</v>
      </c>
      <c r="D503" t="s">
        <v>1667</v>
      </c>
      <c r="E503" t="s">
        <v>1029</v>
      </c>
      <c r="F503">
        <v>2.5070520074178449E-6</v>
      </c>
      <c r="G503">
        <v>2.7598179958660731E-12</v>
      </c>
      <c r="H503">
        <v>2.507044492340882E-6</v>
      </c>
      <c r="I503">
        <v>2.5070585713675914E-6</v>
      </c>
      <c r="J503">
        <v>2.5070523186270125E-6</v>
      </c>
      <c r="K503">
        <v>2.5070475078273805E-6</v>
      </c>
      <c r="L503">
        <v>2.507056342667497E-6</v>
      </c>
      <c r="P503" t="s">
        <v>3305</v>
      </c>
      <c r="Q503" t="s">
        <v>3306</v>
      </c>
      <c r="R503" t="s">
        <v>2354</v>
      </c>
      <c r="S503" t="s">
        <v>1667</v>
      </c>
      <c r="T503" t="s">
        <v>1029</v>
      </c>
      <c r="U503">
        <v>2.5070517652866261E-6</v>
      </c>
      <c r="V503">
        <v>2.5547929193895877E-12</v>
      </c>
      <c r="W503">
        <v>2.5070433290833682E-6</v>
      </c>
      <c r="X503">
        <v>2.5070576006059623E-6</v>
      </c>
      <c r="Y503">
        <v>2.5070516019559544E-6</v>
      </c>
      <c r="Z503">
        <v>2.5070480601362911E-6</v>
      </c>
      <c r="AA503">
        <v>2.5070565996440719E-6</v>
      </c>
    </row>
    <row r="504" spans="1:27">
      <c r="A504" t="s">
        <v>3307</v>
      </c>
      <c r="B504" t="s">
        <v>3308</v>
      </c>
      <c r="C504" t="s">
        <v>2354</v>
      </c>
      <c r="D504" t="s">
        <v>1667</v>
      </c>
      <c r="E504" t="s">
        <v>1029</v>
      </c>
      <c r="F504">
        <v>1.3753863764825074E-6</v>
      </c>
      <c r="G504">
        <v>1.7926639441214994E-12</v>
      </c>
      <c r="H504">
        <v>1.3753814949984638E-6</v>
      </c>
      <c r="I504">
        <v>1.3753906401535386E-6</v>
      </c>
      <c r="J504">
        <v>1.3753865786311469E-6</v>
      </c>
      <c r="K504">
        <v>1.3753834537341224E-6</v>
      </c>
      <c r="L504">
        <v>1.3753891924818779E-6</v>
      </c>
      <c r="P504" t="s">
        <v>3307</v>
      </c>
      <c r="Q504" t="s">
        <v>3308</v>
      </c>
      <c r="R504" t="s">
        <v>2354</v>
      </c>
      <c r="S504" t="s">
        <v>1667</v>
      </c>
      <c r="T504" t="s">
        <v>1029</v>
      </c>
      <c r="U504">
        <v>1.3753862192040535E-6</v>
      </c>
      <c r="V504">
        <v>1.6594881104978147E-12</v>
      </c>
      <c r="W504">
        <v>1.3753807393943604E-6</v>
      </c>
      <c r="X504">
        <v>1.3753900095868224E-6</v>
      </c>
      <c r="Y504">
        <v>1.3753861131111857E-6</v>
      </c>
      <c r="Z504">
        <v>1.3753838124912113E-6</v>
      </c>
      <c r="AA504">
        <v>1.3753893594032621E-6</v>
      </c>
    </row>
    <row r="505" spans="1:27">
      <c r="A505" t="s">
        <v>3309</v>
      </c>
      <c r="B505" t="s">
        <v>3310</v>
      </c>
      <c r="C505" t="s">
        <v>2354</v>
      </c>
      <c r="D505" t="s">
        <v>1667</v>
      </c>
      <c r="E505" t="s">
        <v>1029</v>
      </c>
      <c r="F505">
        <v>1.3573801309513031E-7</v>
      </c>
      <c r="G505">
        <v>1.3394107206355232E-13</v>
      </c>
      <c r="H505">
        <v>1.3573764836909894E-7</v>
      </c>
      <c r="I505">
        <v>1.3573833166050941E-7</v>
      </c>
      <c r="J505">
        <v>1.3573802819891242E-7</v>
      </c>
      <c r="K505">
        <v>1.357377947184216E-7</v>
      </c>
      <c r="L505">
        <v>1.3573822349595641E-7</v>
      </c>
      <c r="P505" t="s">
        <v>3309</v>
      </c>
      <c r="Q505" t="s">
        <v>3310</v>
      </c>
      <c r="R505" t="s">
        <v>2354</v>
      </c>
      <c r="S505" t="s">
        <v>1667</v>
      </c>
      <c r="T505" t="s">
        <v>1029</v>
      </c>
      <c r="U505">
        <v>1.3573800134387894E-7</v>
      </c>
      <c r="V505">
        <v>1.2399067729564031E-13</v>
      </c>
      <c r="W505">
        <v>1.3573759191321718E-7</v>
      </c>
      <c r="X505">
        <v>1.3573828454694849E-7</v>
      </c>
      <c r="Y505">
        <v>1.35737993417021E-7</v>
      </c>
      <c r="Z505">
        <v>1.3573782152339487E-7</v>
      </c>
      <c r="AA505">
        <v>1.3573823596769112E-7</v>
      </c>
    </row>
    <row r="506" spans="1:27">
      <c r="A506" t="s">
        <v>3311</v>
      </c>
      <c r="B506" t="s">
        <v>3312</v>
      </c>
      <c r="C506" t="s">
        <v>2354</v>
      </c>
      <c r="D506" t="s">
        <v>1667</v>
      </c>
      <c r="E506" t="s">
        <v>1029</v>
      </c>
      <c r="F506">
        <v>8.7814190865626944E-8</v>
      </c>
      <c r="G506">
        <v>1.5180992299101305E-13</v>
      </c>
      <c r="H506">
        <v>8.7813777482115146E-8</v>
      </c>
      <c r="I506">
        <v>8.7814551930272154E-8</v>
      </c>
      <c r="J506">
        <v>8.7814207984378907E-8</v>
      </c>
      <c r="K506">
        <v>8.7813943355652379E-8</v>
      </c>
      <c r="L506">
        <v>8.7814429335669802E-8</v>
      </c>
      <c r="P506" t="s">
        <v>3311</v>
      </c>
      <c r="Q506" t="s">
        <v>3312</v>
      </c>
      <c r="R506" t="s">
        <v>2354</v>
      </c>
      <c r="S506" t="s">
        <v>1667</v>
      </c>
      <c r="T506" t="s">
        <v>1029</v>
      </c>
      <c r="U506">
        <v>8.781417754666105E-8</v>
      </c>
      <c r="V506">
        <v>1.4053206295975055E-13</v>
      </c>
      <c r="W506">
        <v>8.7813713494550085E-8</v>
      </c>
      <c r="X506">
        <v>8.7814498531371073E-8</v>
      </c>
      <c r="Y506">
        <v>8.7814168562294453E-8</v>
      </c>
      <c r="Z506">
        <v>8.7813973736631602E-8</v>
      </c>
      <c r="AA506">
        <v>8.781444347123749E-8</v>
      </c>
    </row>
    <row r="507" spans="1:27">
      <c r="A507" t="s">
        <v>3313</v>
      </c>
      <c r="B507" t="s">
        <v>3314</v>
      </c>
      <c r="C507" t="s">
        <v>2354</v>
      </c>
      <c r="D507" t="s">
        <v>1667</v>
      </c>
      <c r="E507" t="s">
        <v>1029</v>
      </c>
      <c r="F507">
        <v>1.7009004425040632E-6</v>
      </c>
      <c r="G507">
        <v>2.0506446792279319E-12</v>
      </c>
      <c r="H507">
        <v>1.7008948585298255E-6</v>
      </c>
      <c r="I507">
        <v>1.700905319756346E-6</v>
      </c>
      <c r="J507">
        <v>1.7009006737437399E-6</v>
      </c>
      <c r="K507">
        <v>1.7008970991454574E-6</v>
      </c>
      <c r="L507">
        <v>1.7009036637514943E-6</v>
      </c>
      <c r="P507" t="s">
        <v>3313</v>
      </c>
      <c r="Q507" t="s">
        <v>3314</v>
      </c>
      <c r="R507" t="s">
        <v>2354</v>
      </c>
      <c r="S507" t="s">
        <v>1667</v>
      </c>
      <c r="T507" t="s">
        <v>1029</v>
      </c>
      <c r="U507">
        <v>1.7009002625918012E-6</v>
      </c>
      <c r="V507">
        <v>1.8983036252793328E-12</v>
      </c>
      <c r="W507">
        <v>1.7008939941873818E-6</v>
      </c>
      <c r="X507">
        <v>1.700904598445313E-6</v>
      </c>
      <c r="Y507">
        <v>1.7009001412311996E-6</v>
      </c>
      <c r="Z507">
        <v>1.700897509530972E-6</v>
      </c>
      <c r="AA507">
        <v>1.7009038546943924E-6</v>
      </c>
    </row>
    <row r="508" spans="1:27">
      <c r="A508" t="s">
        <v>3315</v>
      </c>
      <c r="B508" t="s">
        <v>3316</v>
      </c>
      <c r="C508" t="s">
        <v>2354</v>
      </c>
      <c r="D508" t="s">
        <v>1667</v>
      </c>
      <c r="E508" t="s">
        <v>1029</v>
      </c>
      <c r="F508">
        <v>3.4136296475224045E-4</v>
      </c>
      <c r="G508">
        <v>3.1737657988991654E-10</v>
      </c>
      <c r="H508">
        <v>3.4136210052516903E-4</v>
      </c>
      <c r="I508">
        <v>3.4136371960053987E-4</v>
      </c>
      <c r="J508">
        <v>3.4136300054101387E-4</v>
      </c>
      <c r="K508">
        <v>3.4136244730339604E-4</v>
      </c>
      <c r="L508">
        <v>3.4136346330203955E-4</v>
      </c>
      <c r="P508" t="s">
        <v>3315</v>
      </c>
      <c r="Q508" t="s">
        <v>3316</v>
      </c>
      <c r="R508" t="s">
        <v>2354</v>
      </c>
      <c r="S508" t="s">
        <v>1667</v>
      </c>
      <c r="T508" t="s">
        <v>1029</v>
      </c>
      <c r="U508">
        <v>3.4136293690736864E-4</v>
      </c>
      <c r="V508">
        <v>2.9379888104970071E-10</v>
      </c>
      <c r="W508">
        <v>3.4136196675160432E-4</v>
      </c>
      <c r="X508">
        <v>3.4136360796382828E-4</v>
      </c>
      <c r="Y508">
        <v>3.4136291812448876E-4</v>
      </c>
      <c r="Z508">
        <v>3.413625108184225E-4</v>
      </c>
      <c r="AA508">
        <v>3.4136349285411377E-4</v>
      </c>
    </row>
    <row r="509" spans="1:27">
      <c r="A509" t="s">
        <v>3317</v>
      </c>
      <c r="B509" t="s">
        <v>3318</v>
      </c>
      <c r="C509" t="s">
        <v>2354</v>
      </c>
      <c r="D509" t="s">
        <v>1667</v>
      </c>
      <c r="E509" t="s">
        <v>1029</v>
      </c>
      <c r="F509">
        <v>6.7882156673647953E-21</v>
      </c>
      <c r="G509">
        <v>6.9043432650495932E-28</v>
      </c>
      <c r="H509">
        <v>6.7882137872889679E-21</v>
      </c>
      <c r="I509">
        <v>6.7882173094934541E-21</v>
      </c>
      <c r="J509">
        <v>6.7882157452211949E-21</v>
      </c>
      <c r="K509">
        <v>6.7882145416848722E-21</v>
      </c>
      <c r="L509">
        <v>6.7882167519309439E-21</v>
      </c>
      <c r="P509" t="s">
        <v>3317</v>
      </c>
      <c r="Q509" t="s">
        <v>3318</v>
      </c>
      <c r="R509" t="s">
        <v>2354</v>
      </c>
      <c r="S509" t="s">
        <v>1667</v>
      </c>
      <c r="T509" t="s">
        <v>1029</v>
      </c>
      <c r="U509">
        <v>6.788215606789896E-21</v>
      </c>
      <c r="V509">
        <v>6.3914241120160178E-28</v>
      </c>
      <c r="W509">
        <v>6.7882134962723438E-21</v>
      </c>
      <c r="X509">
        <v>6.7882170666342674E-21</v>
      </c>
      <c r="Y509">
        <v>6.7882155659288291E-21</v>
      </c>
      <c r="Z509">
        <v>6.7882146798581251E-21</v>
      </c>
      <c r="AA509">
        <v>6.7882168162197659E-21</v>
      </c>
    </row>
    <row r="510" spans="1:27">
      <c r="A510" t="s">
        <v>3319</v>
      </c>
      <c r="B510" t="s">
        <v>3320</v>
      </c>
      <c r="C510" t="s">
        <v>2354</v>
      </c>
      <c r="D510" t="s">
        <v>1667</v>
      </c>
      <c r="E510" t="s">
        <v>1029</v>
      </c>
      <c r="F510">
        <v>5.6613226667205804E-6</v>
      </c>
      <c r="G510">
        <v>6.2399896150949045E-12</v>
      </c>
      <c r="H510">
        <v>5.6613056750195756E-6</v>
      </c>
      <c r="I510">
        <v>5.6613375079087699E-6</v>
      </c>
      <c r="J510">
        <v>5.6613233703691431E-6</v>
      </c>
      <c r="K510">
        <v>5.6613124930794854E-6</v>
      </c>
      <c r="L510">
        <v>5.6613324687846438E-6</v>
      </c>
      <c r="P510" t="s">
        <v>3319</v>
      </c>
      <c r="Q510" t="s">
        <v>3320</v>
      </c>
      <c r="R510" t="s">
        <v>2354</v>
      </c>
      <c r="S510" t="s">
        <v>1667</v>
      </c>
      <c r="T510" t="s">
        <v>1029</v>
      </c>
      <c r="U510">
        <v>5.661322119258283E-6</v>
      </c>
      <c r="V510">
        <v>5.7764248619503293E-12</v>
      </c>
      <c r="W510">
        <v>5.6613030448770026E-6</v>
      </c>
      <c r="X510">
        <v>5.6613353130022607E-6</v>
      </c>
      <c r="Y510">
        <v>5.6613217499652012E-6</v>
      </c>
      <c r="Z510">
        <v>5.6613137418581622E-6</v>
      </c>
      <c r="AA510">
        <v>5.6613330498125098E-6</v>
      </c>
    </row>
    <row r="511" spans="1:27">
      <c r="A511" t="s">
        <v>3321</v>
      </c>
      <c r="B511" t="s">
        <v>3322</v>
      </c>
      <c r="C511" t="s">
        <v>2354</v>
      </c>
      <c r="D511" t="s">
        <v>1667</v>
      </c>
      <c r="E511" t="s">
        <v>1029</v>
      </c>
      <c r="F511">
        <v>5.5862801727216906E-6</v>
      </c>
      <c r="G511">
        <v>1.2136469036042945E-12</v>
      </c>
      <c r="H511">
        <v>5.5862768679204693E-6</v>
      </c>
      <c r="I511">
        <v>5.5862830592588828E-6</v>
      </c>
      <c r="J511">
        <v>5.5862803095778338E-6</v>
      </c>
      <c r="K511">
        <v>5.5862781939991662E-6</v>
      </c>
      <c r="L511">
        <v>5.5862820791743364E-6</v>
      </c>
      <c r="P511" t="s">
        <v>3321</v>
      </c>
      <c r="Q511" t="s">
        <v>3322</v>
      </c>
      <c r="R511" t="s">
        <v>2354</v>
      </c>
      <c r="S511" t="s">
        <v>1667</v>
      </c>
      <c r="T511" t="s">
        <v>1029</v>
      </c>
      <c r="U511">
        <v>5.5862800662430024E-6</v>
      </c>
      <c r="V511">
        <v>1.1234858678207033E-12</v>
      </c>
      <c r="W511">
        <v>5.5862763563708374E-6</v>
      </c>
      <c r="X511">
        <v>5.5862826323604979E-6</v>
      </c>
      <c r="Y511">
        <v>5.5862799944173368E-6</v>
      </c>
      <c r="Z511">
        <v>5.5862784368803996E-6</v>
      </c>
      <c r="AA511">
        <v>5.5862821921813624E-6</v>
      </c>
    </row>
    <row r="512" spans="1:27">
      <c r="A512" t="s">
        <v>3323</v>
      </c>
      <c r="B512" t="s">
        <v>3324</v>
      </c>
      <c r="C512" t="s">
        <v>2354</v>
      </c>
      <c r="D512" t="s">
        <v>1667</v>
      </c>
      <c r="E512" t="s">
        <v>1029</v>
      </c>
      <c r="F512">
        <v>1.8888682939721383E-6</v>
      </c>
      <c r="G512">
        <v>1.5176278275311961E-10</v>
      </c>
      <c r="H512">
        <v>1.8884550388248032E-6</v>
      </c>
      <c r="I512">
        <v>1.8892292464990399E-6</v>
      </c>
      <c r="J512">
        <v>1.8888854074083763E-6</v>
      </c>
      <c r="K512">
        <v>1.888620860854752E-6</v>
      </c>
      <c r="L512">
        <v>1.8891066899649497E-6</v>
      </c>
      <c r="P512" t="s">
        <v>3323</v>
      </c>
      <c r="Q512" t="s">
        <v>3324</v>
      </c>
      <c r="R512" t="s">
        <v>2354</v>
      </c>
      <c r="S512" t="s">
        <v>1667</v>
      </c>
      <c r="T512" t="s">
        <v>1029</v>
      </c>
      <c r="U512">
        <v>1.8888549791420717E-6</v>
      </c>
      <c r="V512">
        <v>1.4048842473904495E-10</v>
      </c>
      <c r="W512">
        <v>1.8883910711292575E-6</v>
      </c>
      <c r="X512">
        <v>1.8891758641794657E-6</v>
      </c>
      <c r="Y512">
        <v>1.8888459975653167E-6</v>
      </c>
      <c r="Z512">
        <v>1.8886512324000178E-6</v>
      </c>
      <c r="AA512">
        <v>1.8891208211432363E-6</v>
      </c>
    </row>
    <row r="513" spans="1:27">
      <c r="A513" t="s">
        <v>3325</v>
      </c>
      <c r="B513" t="s">
        <v>3326</v>
      </c>
      <c r="C513" t="s">
        <v>2354</v>
      </c>
      <c r="D513" t="s">
        <v>1667</v>
      </c>
      <c r="E513" t="s">
        <v>1029</v>
      </c>
      <c r="F513">
        <v>4.3248268259269788E-8</v>
      </c>
      <c r="G513">
        <v>3.4742270877020894E-13</v>
      </c>
      <c r="H513">
        <v>4.324732221558175E-8</v>
      </c>
      <c r="I513">
        <v>4.3249094569267249E-8</v>
      </c>
      <c r="J513">
        <v>4.3248307436176433E-8</v>
      </c>
      <c r="K513">
        <v>4.3247701823399774E-8</v>
      </c>
      <c r="L513">
        <v>4.3248814006916725E-8</v>
      </c>
      <c r="P513" t="s">
        <v>3325</v>
      </c>
      <c r="Q513" t="s">
        <v>3326</v>
      </c>
      <c r="R513" t="s">
        <v>2354</v>
      </c>
      <c r="S513" t="s">
        <v>1667</v>
      </c>
      <c r="T513" t="s">
        <v>1029</v>
      </c>
      <c r="U513">
        <v>4.3248237778316239E-8</v>
      </c>
      <c r="V513">
        <v>3.216129026388673E-13</v>
      </c>
      <c r="W513">
        <v>4.3247175777636573E-8</v>
      </c>
      <c r="X513">
        <v>4.3248972363877158E-8</v>
      </c>
      <c r="Y513">
        <v>4.3248217217255955E-8</v>
      </c>
      <c r="Z513">
        <v>4.3247771351411412E-8</v>
      </c>
      <c r="AA513">
        <v>4.3248846356694113E-8</v>
      </c>
    </row>
    <row r="514" spans="1:27">
      <c r="A514" t="s">
        <v>3327</v>
      </c>
      <c r="B514" t="s">
        <v>3328</v>
      </c>
      <c r="C514" t="s">
        <v>2354</v>
      </c>
      <c r="D514" t="s">
        <v>1667</v>
      </c>
      <c r="E514" t="s">
        <v>1029</v>
      </c>
      <c r="F514">
        <v>2.9739894251188905E-5</v>
      </c>
      <c r="G514">
        <v>4.4437111426585175E-11</v>
      </c>
      <c r="H514">
        <v>2.9739773247444147E-5</v>
      </c>
      <c r="I514">
        <v>2.9739999940392597E-5</v>
      </c>
      <c r="J514">
        <v>2.9739899262112276E-5</v>
      </c>
      <c r="K514">
        <v>2.9739821801192886E-5</v>
      </c>
      <c r="L514">
        <v>2.9739964055057187E-5</v>
      </c>
      <c r="P514" t="s">
        <v>3327</v>
      </c>
      <c r="Q514" t="s">
        <v>3328</v>
      </c>
      <c r="R514" t="s">
        <v>2354</v>
      </c>
      <c r="S514" t="s">
        <v>1667</v>
      </c>
      <c r="T514" t="s">
        <v>1029</v>
      </c>
      <c r="U514">
        <v>2.9739890352521678E-5</v>
      </c>
      <c r="V514">
        <v>4.1135907440751436E-11</v>
      </c>
      <c r="W514">
        <v>2.9739754517294609E-5</v>
      </c>
      <c r="X514">
        <v>2.973998430970871E-5</v>
      </c>
      <c r="Y514">
        <v>2.9739887722658686E-5</v>
      </c>
      <c r="Z514">
        <v>2.9739830694175188E-5</v>
      </c>
      <c r="AA514">
        <v>2.9739968192756383E-5</v>
      </c>
    </row>
    <row r="515" spans="1:27">
      <c r="A515" t="s">
        <v>3329</v>
      </c>
      <c r="B515" t="s">
        <v>3330</v>
      </c>
      <c r="C515" t="s">
        <v>2354</v>
      </c>
      <c r="D515" t="s">
        <v>1667</v>
      </c>
      <c r="E515" t="s">
        <v>1029</v>
      </c>
      <c r="F515">
        <v>5.8652556989170902E-9</v>
      </c>
      <c r="G515">
        <v>2.2451159368134323E-15</v>
      </c>
      <c r="H515">
        <v>5.8652495853910946E-9</v>
      </c>
      <c r="I515">
        <v>5.865261038699714E-9</v>
      </c>
      <c r="J515">
        <v>5.8652559520861971E-9</v>
      </c>
      <c r="K515">
        <v>5.8652520384937283E-9</v>
      </c>
      <c r="L515">
        <v>5.865259225648959E-9</v>
      </c>
      <c r="P515" t="s">
        <v>3329</v>
      </c>
      <c r="Q515" t="s">
        <v>3330</v>
      </c>
      <c r="R515" t="s">
        <v>2354</v>
      </c>
      <c r="S515" t="s">
        <v>1667</v>
      </c>
      <c r="T515" t="s">
        <v>1029</v>
      </c>
      <c r="U515">
        <v>5.8652555019429921E-9</v>
      </c>
      <c r="V515">
        <v>2.0783277401357567E-15</v>
      </c>
      <c r="W515">
        <v>5.8652486390794223E-9</v>
      </c>
      <c r="X515">
        <v>5.8652602489837227E-9</v>
      </c>
      <c r="Y515">
        <v>5.8652553690732532E-9</v>
      </c>
      <c r="Z515">
        <v>5.8652524877978272E-9</v>
      </c>
      <c r="AA515">
        <v>5.8652594346997749E-9</v>
      </c>
    </row>
    <row r="516" spans="1:27">
      <c r="A516" t="s">
        <v>3331</v>
      </c>
      <c r="B516" t="s">
        <v>3332</v>
      </c>
      <c r="C516" t="s">
        <v>2354</v>
      </c>
      <c r="D516" t="s">
        <v>1667</v>
      </c>
      <c r="E516" t="s">
        <v>1029</v>
      </c>
      <c r="F516">
        <v>7.2327424337328039E-5</v>
      </c>
      <c r="G516">
        <v>4.8516156913585617E-9</v>
      </c>
      <c r="H516">
        <v>7.2314213225084466E-5</v>
      </c>
      <c r="I516">
        <v>7.2338963417671579E-5</v>
      </c>
      <c r="J516">
        <v>7.2327971426767722E-5</v>
      </c>
      <c r="K516">
        <v>7.2319514292631319E-5</v>
      </c>
      <c r="L516">
        <v>7.2335045479471688E-5</v>
      </c>
      <c r="P516" t="s">
        <v>3331</v>
      </c>
      <c r="Q516" t="s">
        <v>3332</v>
      </c>
      <c r="R516" t="s">
        <v>2354</v>
      </c>
      <c r="S516" t="s">
        <v>1667</v>
      </c>
      <c r="T516" t="s">
        <v>1029</v>
      </c>
      <c r="U516">
        <v>7.2326998683308575E-5</v>
      </c>
      <c r="V516">
        <v>4.4911923302478125E-9</v>
      </c>
      <c r="W516">
        <v>7.231216827921685E-5</v>
      </c>
      <c r="X516">
        <v>7.2337256869500871E-5</v>
      </c>
      <c r="Y516">
        <v>7.2326711556531346E-5</v>
      </c>
      <c r="Z516">
        <v>7.2320485222808722E-5</v>
      </c>
      <c r="AA516">
        <v>7.2335497230850181E-5</v>
      </c>
    </row>
    <row r="517" spans="1:27">
      <c r="A517" t="s">
        <v>3333</v>
      </c>
      <c r="B517" t="s">
        <v>3334</v>
      </c>
      <c r="C517" t="s">
        <v>2354</v>
      </c>
      <c r="D517" t="s">
        <v>1667</v>
      </c>
      <c r="E517" t="s">
        <v>1029</v>
      </c>
      <c r="F517">
        <v>1.8633198657442286E-7</v>
      </c>
      <c r="G517">
        <v>3.0113277316082221E-13</v>
      </c>
      <c r="H517">
        <v>1.8633116657978198E-7</v>
      </c>
      <c r="I517">
        <v>1.8633270278846052E-7</v>
      </c>
      <c r="J517">
        <v>1.8633202053147357E-7</v>
      </c>
      <c r="K517">
        <v>1.8633149560938216E-7</v>
      </c>
      <c r="L517">
        <v>1.8633245960769969E-7</v>
      </c>
      <c r="P517" t="s">
        <v>3333</v>
      </c>
      <c r="Q517" t="s">
        <v>3334</v>
      </c>
      <c r="R517" t="s">
        <v>2354</v>
      </c>
      <c r="S517" t="s">
        <v>1667</v>
      </c>
      <c r="T517" t="s">
        <v>1029</v>
      </c>
      <c r="U517">
        <v>1.8633196015469319E-7</v>
      </c>
      <c r="V517">
        <v>2.7876181611244021E-13</v>
      </c>
      <c r="W517">
        <v>1.8633103965294788E-7</v>
      </c>
      <c r="X517">
        <v>1.8633259686548233E-7</v>
      </c>
      <c r="Y517">
        <v>1.863319423331491E-7</v>
      </c>
      <c r="Z517">
        <v>1.8633155587361483E-7</v>
      </c>
      <c r="AA517">
        <v>1.8633248764725474E-7</v>
      </c>
    </row>
    <row r="518" spans="1:27">
      <c r="A518" t="s">
        <v>3335</v>
      </c>
      <c r="B518" t="s">
        <v>3336</v>
      </c>
      <c r="C518" t="s">
        <v>2354</v>
      </c>
      <c r="D518" t="s">
        <v>1667</v>
      </c>
      <c r="E518" t="s">
        <v>1029</v>
      </c>
      <c r="F518">
        <v>5.4655613078619627E-13</v>
      </c>
      <c r="G518">
        <v>5.5867208147321235E-20</v>
      </c>
      <c r="H518">
        <v>5.4655597865791459E-13</v>
      </c>
      <c r="I518">
        <v>5.4655626366073615E-13</v>
      </c>
      <c r="J518">
        <v>5.4655613708602724E-13</v>
      </c>
      <c r="K518">
        <v>5.4655603970063999E-13</v>
      </c>
      <c r="L518">
        <v>5.4655621854498854E-13</v>
      </c>
      <c r="P518" t="s">
        <v>3335</v>
      </c>
      <c r="Q518" t="s">
        <v>3336</v>
      </c>
      <c r="R518" t="s">
        <v>2354</v>
      </c>
      <c r="S518" t="s">
        <v>1667</v>
      </c>
      <c r="T518" t="s">
        <v>1029</v>
      </c>
      <c r="U518">
        <v>5.4655612588471503E-13</v>
      </c>
      <c r="V518">
        <v>5.1716869743778197E-20</v>
      </c>
      <c r="W518">
        <v>5.4655595511000328E-13</v>
      </c>
      <c r="X518">
        <v>5.4655624400953377E-13</v>
      </c>
      <c r="Y518">
        <v>5.4655612257839991E-13</v>
      </c>
      <c r="Z518">
        <v>5.4655605088107174E-13</v>
      </c>
      <c r="AA518">
        <v>5.4655622374698524E-13</v>
      </c>
    </row>
    <row r="519" spans="1:27">
      <c r="A519" t="s">
        <v>3337</v>
      </c>
      <c r="B519" t="s">
        <v>3338</v>
      </c>
      <c r="C519" t="s">
        <v>2354</v>
      </c>
      <c r="D519" t="s">
        <v>1667</v>
      </c>
      <c r="E519" t="s">
        <v>1029</v>
      </c>
      <c r="F519">
        <v>1.6152305106169421E-9</v>
      </c>
      <c r="G519">
        <v>3.6075864732602144E-14</v>
      </c>
      <c r="H519">
        <v>1.6151322748273439E-9</v>
      </c>
      <c r="I519">
        <v>1.6153163134356511E-9</v>
      </c>
      <c r="J519">
        <v>1.6152345786894932E-9</v>
      </c>
      <c r="K519">
        <v>1.6151716927466361E-9</v>
      </c>
      <c r="L519">
        <v>1.6152871802524968E-9</v>
      </c>
      <c r="P519" t="s">
        <v>3337</v>
      </c>
      <c r="Q519" t="s">
        <v>3338</v>
      </c>
      <c r="R519" t="s">
        <v>2354</v>
      </c>
      <c r="S519" t="s">
        <v>1667</v>
      </c>
      <c r="T519" t="s">
        <v>1029</v>
      </c>
      <c r="U519">
        <v>1.6152273455194141E-9</v>
      </c>
      <c r="V519">
        <v>3.3395812302856429E-14</v>
      </c>
      <c r="W519">
        <v>1.6151170689258053E-9</v>
      </c>
      <c r="X519">
        <v>1.6153036238071062E-9</v>
      </c>
      <c r="Y519">
        <v>1.6152252104890583E-9</v>
      </c>
      <c r="Z519">
        <v>1.6151789124334319E-9</v>
      </c>
      <c r="AA519">
        <v>1.6152905394059543E-9</v>
      </c>
    </row>
    <row r="520" spans="1:27">
      <c r="A520" t="s">
        <v>3339</v>
      </c>
      <c r="B520" t="s">
        <v>3340</v>
      </c>
      <c r="C520" t="s">
        <v>2354</v>
      </c>
      <c r="D520" t="s">
        <v>1667</v>
      </c>
      <c r="E520" t="s">
        <v>1029</v>
      </c>
      <c r="F520">
        <v>3.1925315794019097E-7</v>
      </c>
      <c r="G520">
        <v>4.9598995664211524E-12</v>
      </c>
      <c r="H520">
        <v>3.1923965196732406E-7</v>
      </c>
      <c r="I520">
        <v>3.192649545628492E-7</v>
      </c>
      <c r="J520">
        <v>3.1925371724019497E-7</v>
      </c>
      <c r="K520">
        <v>3.1924507135012347E-7</v>
      </c>
      <c r="L520">
        <v>3.1926094917965004E-7</v>
      </c>
      <c r="P520" t="s">
        <v>3339</v>
      </c>
      <c r="Q520" t="s">
        <v>3340</v>
      </c>
      <c r="R520" t="s">
        <v>2354</v>
      </c>
      <c r="S520" t="s">
        <v>1667</v>
      </c>
      <c r="T520" t="s">
        <v>1029</v>
      </c>
      <c r="U520">
        <v>3.1925272278594141E-7</v>
      </c>
      <c r="V520">
        <v>4.5914318669542491E-12</v>
      </c>
      <c r="W520">
        <v>3.1923756138002958E-7</v>
      </c>
      <c r="X520">
        <v>3.1926320992599617E-7</v>
      </c>
      <c r="Y520">
        <v>3.1925242925074221E-7</v>
      </c>
      <c r="Z520">
        <v>3.1924606395062451E-7</v>
      </c>
      <c r="AA520">
        <v>3.192614110137294E-7</v>
      </c>
    </row>
    <row r="521" spans="1:27">
      <c r="A521" t="s">
        <v>3341</v>
      </c>
      <c r="B521" t="s">
        <v>3342</v>
      </c>
      <c r="C521" t="s">
        <v>2354</v>
      </c>
      <c r="D521" t="s">
        <v>1667</v>
      </c>
      <c r="E521" t="s">
        <v>1029</v>
      </c>
      <c r="F521">
        <v>2.9770406894504771E-8</v>
      </c>
      <c r="G521">
        <v>5.90522983272105E-13</v>
      </c>
      <c r="H521">
        <v>2.9768798880616055E-8</v>
      </c>
      <c r="I521">
        <v>2.9771811394074021E-8</v>
      </c>
      <c r="J521">
        <v>2.9770473484463373E-8</v>
      </c>
      <c r="K521">
        <v>2.9769444109426707E-8</v>
      </c>
      <c r="L521">
        <v>2.9771334515297701E-8</v>
      </c>
      <c r="P521" t="s">
        <v>3341</v>
      </c>
      <c r="Q521" t="s">
        <v>3342</v>
      </c>
      <c r="R521" t="s">
        <v>2354</v>
      </c>
      <c r="S521" t="s">
        <v>1667</v>
      </c>
      <c r="T521" t="s">
        <v>1029</v>
      </c>
      <c r="U521">
        <v>2.9770355085273065E-8</v>
      </c>
      <c r="V521">
        <v>5.4665341651667652E-13</v>
      </c>
      <c r="W521">
        <v>2.9768549976413579E-8</v>
      </c>
      <c r="X521">
        <v>2.9771603678545636E-8</v>
      </c>
      <c r="Y521">
        <v>2.9770320137129645E-8</v>
      </c>
      <c r="Z521">
        <v>2.9769562287910205E-8</v>
      </c>
      <c r="AA521">
        <v>2.9771389501015592E-8</v>
      </c>
    </row>
    <row r="522" spans="1:27">
      <c r="A522" t="s">
        <v>3343</v>
      </c>
      <c r="B522" t="s">
        <v>3344</v>
      </c>
      <c r="C522" t="s">
        <v>2354</v>
      </c>
      <c r="D522" t="s">
        <v>1667</v>
      </c>
      <c r="E522" t="s">
        <v>1029</v>
      </c>
      <c r="F522">
        <v>1.388511352878119E-21</v>
      </c>
      <c r="G522">
        <v>1.408005651874476E-28</v>
      </c>
      <c r="H522">
        <v>1.3885109694734579E-21</v>
      </c>
      <c r="I522">
        <v>1.3885116877581132E-21</v>
      </c>
      <c r="J522">
        <v>1.3885113687554076E-21</v>
      </c>
      <c r="K522">
        <v>1.3885111233177346E-21</v>
      </c>
      <c r="L522">
        <v>1.3885115740541541E-21</v>
      </c>
      <c r="P522" t="s">
        <v>3343</v>
      </c>
      <c r="Q522" t="s">
        <v>3344</v>
      </c>
      <c r="R522" t="s">
        <v>2354</v>
      </c>
      <c r="S522" t="s">
        <v>1667</v>
      </c>
      <c r="T522" t="s">
        <v>1029</v>
      </c>
      <c r="U522">
        <v>1.3885113405250532E-21</v>
      </c>
      <c r="V522">
        <v>1.3034058316221302E-28</v>
      </c>
      <c r="W522">
        <v>1.3885109101263141E-21</v>
      </c>
      <c r="X522">
        <v>1.3885116382317365E-21</v>
      </c>
      <c r="Y522">
        <v>1.3885113321922393E-21</v>
      </c>
      <c r="Z522">
        <v>1.3885111514954647E-21</v>
      </c>
      <c r="AA522">
        <v>1.3885115871646009E-21</v>
      </c>
    </row>
    <row r="523" spans="1:27">
      <c r="A523" t="s">
        <v>3345</v>
      </c>
      <c r="B523" t="s">
        <v>3346</v>
      </c>
      <c r="C523" t="s">
        <v>2354</v>
      </c>
      <c r="D523" t="s">
        <v>1667</v>
      </c>
      <c r="E523" t="s">
        <v>1029</v>
      </c>
      <c r="F523">
        <v>6.7882156673647953E-21</v>
      </c>
      <c r="G523">
        <v>6.9043432650495932E-28</v>
      </c>
      <c r="H523">
        <v>6.7882137872889679E-21</v>
      </c>
      <c r="I523">
        <v>6.7882173094934541E-21</v>
      </c>
      <c r="J523">
        <v>6.7882157452211949E-21</v>
      </c>
      <c r="K523">
        <v>6.7882145416848722E-21</v>
      </c>
      <c r="L523">
        <v>6.7882167519309439E-21</v>
      </c>
      <c r="P523" t="s">
        <v>3345</v>
      </c>
      <c r="Q523" t="s">
        <v>3346</v>
      </c>
      <c r="R523" t="s">
        <v>2354</v>
      </c>
      <c r="S523" t="s">
        <v>1667</v>
      </c>
      <c r="T523" t="s">
        <v>1029</v>
      </c>
      <c r="U523">
        <v>6.788215606789896E-21</v>
      </c>
      <c r="V523">
        <v>6.3914241120160178E-28</v>
      </c>
      <c r="W523">
        <v>6.7882134962723438E-21</v>
      </c>
      <c r="X523">
        <v>6.7882170666342674E-21</v>
      </c>
      <c r="Y523">
        <v>6.7882155659288291E-21</v>
      </c>
      <c r="Z523">
        <v>6.7882146798581251E-21</v>
      </c>
      <c r="AA523">
        <v>6.7882168162197659E-21</v>
      </c>
    </row>
    <row r="524" spans="1:27">
      <c r="A524" t="s">
        <v>3347</v>
      </c>
      <c r="B524" t="s">
        <v>3348</v>
      </c>
      <c r="C524" t="s">
        <v>2354</v>
      </c>
      <c r="D524" t="s">
        <v>1667</v>
      </c>
      <c r="E524" t="s">
        <v>1029</v>
      </c>
      <c r="F524">
        <v>1.0772205419383218E-9</v>
      </c>
      <c r="G524">
        <v>4.797210519835475E-16</v>
      </c>
      <c r="H524">
        <v>1.0772192356418083E-9</v>
      </c>
      <c r="I524">
        <v>1.077221682906633E-9</v>
      </c>
      <c r="J524">
        <v>1.0772205960337694E-9</v>
      </c>
      <c r="K524">
        <v>1.0772197598040383E-9</v>
      </c>
      <c r="L524">
        <v>1.0772212955063206E-9</v>
      </c>
      <c r="P524" t="s">
        <v>3347</v>
      </c>
      <c r="Q524" t="s">
        <v>3348</v>
      </c>
      <c r="R524" t="s">
        <v>2354</v>
      </c>
      <c r="S524" t="s">
        <v>1667</v>
      </c>
      <c r="T524" t="s">
        <v>1029</v>
      </c>
      <c r="U524">
        <v>1.0772204998502411E-9</v>
      </c>
      <c r="V524">
        <v>4.4408288835387471E-16</v>
      </c>
      <c r="W524">
        <v>1.077219033440388E-9</v>
      </c>
      <c r="X524">
        <v>1.0772215141655093E-9</v>
      </c>
      <c r="Y524">
        <v>1.0772204714595422E-9</v>
      </c>
      <c r="Z524">
        <v>1.0772198558082719E-9</v>
      </c>
      <c r="AA524">
        <v>1.0772213401748725E-9</v>
      </c>
    </row>
    <row r="525" spans="1:27">
      <c r="A525" t="s">
        <v>3349</v>
      </c>
      <c r="B525" t="s">
        <v>3350</v>
      </c>
      <c r="C525" t="s">
        <v>2354</v>
      </c>
      <c r="D525" t="s">
        <v>1667</v>
      </c>
      <c r="E525" t="s">
        <v>1029</v>
      </c>
      <c r="F525">
        <v>1.2568138353260923E-5</v>
      </c>
      <c r="G525">
        <v>5.7128211520374071E-10</v>
      </c>
      <c r="H525">
        <v>1.2566582732901263E-5</v>
      </c>
      <c r="I525">
        <v>1.2569497090359143E-5</v>
      </c>
      <c r="J525">
        <v>1.2568202773534946E-5</v>
      </c>
      <c r="K525">
        <v>1.256720693837706E-5</v>
      </c>
      <c r="L525">
        <v>1.256903574960908E-5</v>
      </c>
      <c r="P525" t="s">
        <v>3349</v>
      </c>
      <c r="Q525" t="s">
        <v>3350</v>
      </c>
      <c r="R525" t="s">
        <v>2354</v>
      </c>
      <c r="S525" t="s">
        <v>1667</v>
      </c>
      <c r="T525" t="s">
        <v>1029</v>
      </c>
      <c r="U525">
        <v>1.2568088232116941E-5</v>
      </c>
      <c r="V525">
        <v>5.2884193997124872E-10</v>
      </c>
      <c r="W525">
        <v>1.2566341938684439E-5</v>
      </c>
      <c r="X525">
        <v>1.2569296142775764E-5</v>
      </c>
      <c r="Y525">
        <v>1.2568054422680447E-5</v>
      </c>
      <c r="Z525">
        <v>1.2567321266279506E-5</v>
      </c>
      <c r="AA525">
        <v>1.2569088943740576E-5</v>
      </c>
    </row>
    <row r="526" spans="1:27">
      <c r="A526" t="s">
        <v>3351</v>
      </c>
      <c r="B526" t="s">
        <v>3352</v>
      </c>
      <c r="C526" t="s">
        <v>2354</v>
      </c>
      <c r="D526" t="s">
        <v>1667</v>
      </c>
      <c r="E526" t="s">
        <v>1029</v>
      </c>
      <c r="F526">
        <v>4.1059743335858335E-6</v>
      </c>
      <c r="G526">
        <v>4.8382234134704035E-12</v>
      </c>
      <c r="H526">
        <v>4.1059611589412112E-6</v>
      </c>
      <c r="I526">
        <v>4.1059858408139898E-6</v>
      </c>
      <c r="J526">
        <v>4.1059748791651013E-6</v>
      </c>
      <c r="K526">
        <v>4.1059664453758254E-6</v>
      </c>
      <c r="L526">
        <v>4.1059819336907678E-6</v>
      </c>
      <c r="P526" t="s">
        <v>3351</v>
      </c>
      <c r="Q526" t="s">
        <v>3352</v>
      </c>
      <c r="R526" t="s">
        <v>2354</v>
      </c>
      <c r="S526" t="s">
        <v>1667</v>
      </c>
      <c r="T526" t="s">
        <v>1029</v>
      </c>
      <c r="U526">
        <v>4.1059739091067781E-6</v>
      </c>
      <c r="V526">
        <v>4.4787949559587645E-12</v>
      </c>
      <c r="W526">
        <v>4.105959119640161E-6</v>
      </c>
      <c r="X526">
        <v>4.1059841389765316E-6</v>
      </c>
      <c r="Y526">
        <v>4.1059736227725783E-6</v>
      </c>
      <c r="Z526">
        <v>4.1059674136258705E-6</v>
      </c>
      <c r="AA526">
        <v>4.1059823841951435E-6</v>
      </c>
    </row>
    <row r="527" spans="1:27">
      <c r="A527" t="s">
        <v>3353</v>
      </c>
      <c r="B527" t="s">
        <v>3354</v>
      </c>
      <c r="C527" t="s">
        <v>2354</v>
      </c>
      <c r="D527" t="s">
        <v>1667</v>
      </c>
      <c r="E527" t="s">
        <v>1029</v>
      </c>
      <c r="F527">
        <v>4.4860848840309553E-7</v>
      </c>
      <c r="G527">
        <v>7.7695488326789825E-13</v>
      </c>
      <c r="H527">
        <v>4.4860637272889039E-7</v>
      </c>
      <c r="I527">
        <v>4.4861033631220278E-7</v>
      </c>
      <c r="J527">
        <v>4.4860857601593186E-7</v>
      </c>
      <c r="K527">
        <v>4.4860722166058228E-7</v>
      </c>
      <c r="L527">
        <v>4.486097088797328E-7</v>
      </c>
      <c r="P527" t="s">
        <v>3353</v>
      </c>
      <c r="Q527" t="s">
        <v>3354</v>
      </c>
      <c r="R527" t="s">
        <v>2354</v>
      </c>
      <c r="S527" t="s">
        <v>1667</v>
      </c>
      <c r="T527" t="s">
        <v>1029</v>
      </c>
      <c r="U527">
        <v>4.486084202373564E-7</v>
      </c>
      <c r="V527">
        <v>7.1923541242177231E-13</v>
      </c>
      <c r="W527">
        <v>4.4860604524403198E-7</v>
      </c>
      <c r="X527">
        <v>4.4861006301954752E-7</v>
      </c>
      <c r="Y527">
        <v>4.4860837425585961E-7</v>
      </c>
      <c r="Z527">
        <v>4.4860737714877234E-7</v>
      </c>
      <c r="AA527">
        <v>4.4860978122479512E-7</v>
      </c>
    </row>
    <row r="528" spans="1:27">
      <c r="A528" t="s">
        <v>3355</v>
      </c>
      <c r="B528" t="s">
        <v>3356</v>
      </c>
      <c r="C528" t="s">
        <v>2354</v>
      </c>
      <c r="D528" t="s">
        <v>1667</v>
      </c>
      <c r="E528" t="s">
        <v>1029</v>
      </c>
      <c r="F528">
        <v>4.428923004967648E-6</v>
      </c>
      <c r="G528">
        <v>4.8472213376023155E-12</v>
      </c>
      <c r="H528">
        <v>4.4289098058213763E-6</v>
      </c>
      <c r="I528">
        <v>4.4289345335964618E-6</v>
      </c>
      <c r="J528">
        <v>4.4289235515615605E-6</v>
      </c>
      <c r="K528">
        <v>4.4289151020874782E-6</v>
      </c>
      <c r="L528">
        <v>4.4289306192069372E-6</v>
      </c>
      <c r="P528" t="s">
        <v>3355</v>
      </c>
      <c r="Q528" t="s">
        <v>3356</v>
      </c>
      <c r="R528" t="s">
        <v>2354</v>
      </c>
      <c r="S528" t="s">
        <v>1667</v>
      </c>
      <c r="T528" t="s">
        <v>1029</v>
      </c>
      <c r="U528">
        <v>4.4289225796991646E-6</v>
      </c>
      <c r="V528">
        <v>4.4871244301417576E-12</v>
      </c>
      <c r="W528">
        <v>4.4289077627277191E-6</v>
      </c>
      <c r="X528">
        <v>4.4289328285939981E-6</v>
      </c>
      <c r="Y528">
        <v>4.4289222928324522E-6</v>
      </c>
      <c r="Z528">
        <v>4.4289160721382349E-6</v>
      </c>
      <c r="AA528">
        <v>4.4289310705491411E-6</v>
      </c>
    </row>
    <row r="529" spans="1:109">
      <c r="A529" t="s">
        <v>3357</v>
      </c>
      <c r="B529" t="s">
        <v>3358</v>
      </c>
      <c r="C529" t="s">
        <v>2354</v>
      </c>
      <c r="D529" t="s">
        <v>1667</v>
      </c>
      <c r="E529" t="s">
        <v>1029</v>
      </c>
      <c r="F529">
        <v>7.7055241648147544E-6</v>
      </c>
      <c r="G529">
        <v>7.6048083352406752E-11</v>
      </c>
      <c r="H529">
        <v>7.7053170833332532E-6</v>
      </c>
      <c r="I529">
        <v>7.7057050375383235E-6</v>
      </c>
      <c r="J529">
        <v>7.7055327403297981E-6</v>
      </c>
      <c r="K529">
        <v>7.705400176482485E-6</v>
      </c>
      <c r="L529">
        <v>7.7056436246586268E-6</v>
      </c>
      <c r="P529" t="s">
        <v>3357</v>
      </c>
      <c r="Q529" t="s">
        <v>3358</v>
      </c>
      <c r="R529" t="s">
        <v>2354</v>
      </c>
      <c r="S529" t="s">
        <v>1667</v>
      </c>
      <c r="T529" t="s">
        <v>1029</v>
      </c>
      <c r="U529">
        <v>7.7055174927750924E-6</v>
      </c>
      <c r="V529">
        <v>7.0398520907466914E-11</v>
      </c>
      <c r="W529">
        <v>7.7052850292251604E-6</v>
      </c>
      <c r="X529">
        <v>7.705678287744898E-6</v>
      </c>
      <c r="Y529">
        <v>7.7055129921216042E-6</v>
      </c>
      <c r="Z529">
        <v>7.7054153956143699E-6</v>
      </c>
      <c r="AA529">
        <v>7.7056507057690576E-6</v>
      </c>
    </row>
    <row r="530" spans="1:109">
      <c r="A530" t="s">
        <v>3359</v>
      </c>
      <c r="B530" t="s">
        <v>3360</v>
      </c>
      <c r="C530" t="s">
        <v>2354</v>
      </c>
      <c r="D530" t="s">
        <v>1667</v>
      </c>
      <c r="E530" t="s">
        <v>1029</v>
      </c>
      <c r="F530">
        <v>5.2082767508928493E-6</v>
      </c>
      <c r="G530">
        <v>1.6570355466280296E-12</v>
      </c>
      <c r="H530">
        <v>5.2082722387294818E-6</v>
      </c>
      <c r="I530">
        <v>5.2082806919853688E-6</v>
      </c>
      <c r="J530">
        <v>5.2082769377474374E-6</v>
      </c>
      <c r="K530">
        <v>5.2082740492721796E-6</v>
      </c>
      <c r="L530">
        <v>5.2082793538408663E-6</v>
      </c>
      <c r="P530" t="s">
        <v>3359</v>
      </c>
      <c r="Q530" t="s">
        <v>3360</v>
      </c>
      <c r="R530" t="s">
        <v>2354</v>
      </c>
      <c r="S530" t="s">
        <v>1667</v>
      </c>
      <c r="T530" t="s">
        <v>1029</v>
      </c>
      <c r="U530">
        <v>5.2082766055136877E-6</v>
      </c>
      <c r="V530">
        <v>1.5339354581224195E-12</v>
      </c>
      <c r="W530">
        <v>5.2082715402924647E-6</v>
      </c>
      <c r="X530">
        <v>5.208280109125728E-6</v>
      </c>
      <c r="Y530">
        <v>5.2082765074475343E-6</v>
      </c>
      <c r="Z530">
        <v>5.2082743808866186E-6</v>
      </c>
      <c r="AA530">
        <v>5.208279508133403E-6</v>
      </c>
    </row>
    <row r="531" spans="1:109">
      <c r="A531" t="s">
        <v>3361</v>
      </c>
      <c r="B531" t="s">
        <v>3362</v>
      </c>
      <c r="C531" t="s">
        <v>2354</v>
      </c>
      <c r="D531" t="s">
        <v>1667</v>
      </c>
      <c r="E531" t="s">
        <v>1029</v>
      </c>
      <c r="F531">
        <v>1.3642926997997122E-9</v>
      </c>
      <c r="G531">
        <v>9.6976724304606475E-15</v>
      </c>
      <c r="H531">
        <v>1.364266292712438E-9</v>
      </c>
      <c r="I531">
        <v>1.3643157647389897E-9</v>
      </c>
      <c r="J531">
        <v>1.3642937933517395E-9</v>
      </c>
      <c r="K531">
        <v>1.3642768887736003E-9</v>
      </c>
      <c r="L531">
        <v>1.3643079333517401E-9</v>
      </c>
      <c r="P531" t="s">
        <v>3361</v>
      </c>
      <c r="Q531" t="s">
        <v>3362</v>
      </c>
      <c r="R531" t="s">
        <v>2354</v>
      </c>
      <c r="S531" t="s">
        <v>1667</v>
      </c>
      <c r="T531" t="s">
        <v>1029</v>
      </c>
      <c r="U531">
        <v>1.3642918489793849E-9</v>
      </c>
      <c r="V531">
        <v>8.9772386791615862E-15</v>
      </c>
      <c r="W531">
        <v>1.3642622051637896E-9</v>
      </c>
      <c r="X531">
        <v>1.3643123535980011E-9</v>
      </c>
      <c r="Y531">
        <v>1.3642912750548183E-9</v>
      </c>
      <c r="Z531">
        <v>1.3642788295214691E-9</v>
      </c>
      <c r="AA531">
        <v>1.3643088363368828E-9</v>
      </c>
    </row>
    <row r="532" spans="1:109">
      <c r="A532" t="s">
        <v>3363</v>
      </c>
      <c r="B532" t="s">
        <v>3364</v>
      </c>
      <c r="C532" t="s">
        <v>2354</v>
      </c>
      <c r="D532" t="s">
        <v>1667</v>
      </c>
      <c r="E532" t="s">
        <v>1029</v>
      </c>
      <c r="F532">
        <v>4.4201906107442668E-9</v>
      </c>
      <c r="G532">
        <v>1.0724147677937727E-15</v>
      </c>
      <c r="H532">
        <v>4.4201876905228862E-9</v>
      </c>
      <c r="I532">
        <v>4.4201931613750151E-9</v>
      </c>
      <c r="J532">
        <v>4.4201907316744534E-9</v>
      </c>
      <c r="K532">
        <v>4.4201888622857553E-9</v>
      </c>
      <c r="L532">
        <v>4.4201922953429443E-9</v>
      </c>
      <c r="P532" t="s">
        <v>3363</v>
      </c>
      <c r="Q532" t="s">
        <v>3364</v>
      </c>
      <c r="R532" t="s">
        <v>2354</v>
      </c>
      <c r="S532" t="s">
        <v>1667</v>
      </c>
      <c r="T532" t="s">
        <v>1029</v>
      </c>
      <c r="U532">
        <v>4.4201905166565054E-9</v>
      </c>
      <c r="V532">
        <v>9.9274577512301081E-16</v>
      </c>
      <c r="W532">
        <v>4.4201872385023038E-9</v>
      </c>
      <c r="X532">
        <v>4.4201927841548114E-9</v>
      </c>
      <c r="Y532">
        <v>4.4201904531891952E-9</v>
      </c>
      <c r="Z532">
        <v>4.4201890769028905E-9</v>
      </c>
      <c r="AA532">
        <v>4.4201923951993392E-9</v>
      </c>
    </row>
    <row r="533" spans="1:109">
      <c r="A533" t="s">
        <v>3365</v>
      </c>
      <c r="B533" t="s">
        <v>3366</v>
      </c>
      <c r="C533" t="s">
        <v>2354</v>
      </c>
      <c r="D533" t="s">
        <v>1667</v>
      </c>
      <c r="E533" t="s">
        <v>1029</v>
      </c>
      <c r="F533">
        <v>2.5462717290801755E-5</v>
      </c>
      <c r="G533">
        <v>3.5750678522296046E-11</v>
      </c>
      <c r="H533">
        <v>2.5462619940505121E-5</v>
      </c>
      <c r="I533">
        <v>2.5462802320197748E-5</v>
      </c>
      <c r="J533">
        <v>2.5462721322204889E-5</v>
      </c>
      <c r="K533">
        <v>2.5462659003113074E-5</v>
      </c>
      <c r="L533">
        <v>2.5462773449619789E-5</v>
      </c>
      <c r="P533" t="s">
        <v>3365</v>
      </c>
      <c r="Q533" t="s">
        <v>3366</v>
      </c>
      <c r="R533" t="s">
        <v>2354</v>
      </c>
      <c r="S533" t="s">
        <v>1667</v>
      </c>
      <c r="T533" t="s">
        <v>1029</v>
      </c>
      <c r="U533">
        <v>2.5462714154234265E-5</v>
      </c>
      <c r="V533">
        <v>3.3094783963454864E-11</v>
      </c>
      <c r="W533">
        <v>2.5462604871668887E-5</v>
      </c>
      <c r="X533">
        <v>2.546278974495294E-5</v>
      </c>
      <c r="Y533">
        <v>2.5462712038448989E-5</v>
      </c>
      <c r="Z533">
        <v>2.5462666157721939E-5</v>
      </c>
      <c r="AA533">
        <v>2.5462776778493986E-5</v>
      </c>
    </row>
    <row r="534" spans="1:109">
      <c r="A534" t="s">
        <v>3367</v>
      </c>
      <c r="B534" t="s">
        <v>3368</v>
      </c>
      <c r="C534" t="s">
        <v>2354</v>
      </c>
      <c r="D534" t="s">
        <v>1667</v>
      </c>
      <c r="E534" t="s">
        <v>1029</v>
      </c>
      <c r="F534">
        <v>2.1496013618031451E-20</v>
      </c>
      <c r="G534">
        <v>2.1863753067276289E-27</v>
      </c>
      <c r="H534">
        <v>2.1496007664458164E-20</v>
      </c>
      <c r="I534">
        <v>2.1496018818105393E-20</v>
      </c>
      <c r="J534">
        <v>2.149601386457671E-20</v>
      </c>
      <c r="K534">
        <v>2.1496010053378459E-20</v>
      </c>
      <c r="L534">
        <v>2.1496017052490829E-20</v>
      </c>
      <c r="P534" t="s">
        <v>3367</v>
      </c>
      <c r="Q534" t="s">
        <v>3368</v>
      </c>
      <c r="R534" t="s">
        <v>2354</v>
      </c>
      <c r="S534" t="s">
        <v>1667</v>
      </c>
      <c r="T534" t="s">
        <v>1029</v>
      </c>
      <c r="U534">
        <v>2.1496013426210926E-20</v>
      </c>
      <c r="V534">
        <v>2.0239509129916704E-27</v>
      </c>
      <c r="W534">
        <v>2.1496006742905546E-20</v>
      </c>
      <c r="X534">
        <v>2.1496018049051326E-20</v>
      </c>
      <c r="Y534">
        <v>2.1496013296817567E-20</v>
      </c>
      <c r="Z534">
        <v>2.1496010490927083E-20</v>
      </c>
      <c r="AA534">
        <v>2.1496017256072091E-20</v>
      </c>
    </row>
    <row r="537" spans="1:109" ht="15" thickBot="1">
      <c r="A537" s="44" t="s">
        <v>3369</v>
      </c>
      <c r="P537" s="44" t="s">
        <v>3369</v>
      </c>
    </row>
    <row r="538" spans="1:109">
      <c r="A538" s="76" t="s">
        <v>3370</v>
      </c>
      <c r="B538" s="76" t="s">
        <v>903</v>
      </c>
      <c r="C538" s="76" t="s">
        <v>3371</v>
      </c>
      <c r="D538" s="76" t="s">
        <v>2345</v>
      </c>
      <c r="E538" s="76" t="s">
        <v>2346</v>
      </c>
      <c r="F538" s="76" t="s">
        <v>2347</v>
      </c>
      <c r="G538" s="76" t="s">
        <v>2348</v>
      </c>
      <c r="H538" s="76" t="s">
        <v>2349</v>
      </c>
      <c r="I538" s="76" t="s">
        <v>2350</v>
      </c>
      <c r="J538" s="76" t="s">
        <v>2351</v>
      </c>
      <c r="K538" s="76"/>
      <c r="L538" s="76"/>
      <c r="M538" s="76"/>
      <c r="N538" s="76"/>
      <c r="O538" s="76"/>
      <c r="P538" s="76" t="s">
        <v>3370</v>
      </c>
      <c r="Q538" s="76" t="s">
        <v>903</v>
      </c>
      <c r="R538" s="76" t="s">
        <v>3371</v>
      </c>
      <c r="S538" s="76" t="s">
        <v>2345</v>
      </c>
      <c r="T538" s="76" t="s">
        <v>2346</v>
      </c>
      <c r="U538" s="76" t="s">
        <v>2347</v>
      </c>
      <c r="V538" s="76" t="s">
        <v>2348</v>
      </c>
      <c r="W538" s="76" t="s">
        <v>2349</v>
      </c>
      <c r="X538" s="76" t="s">
        <v>2350</v>
      </c>
      <c r="Y538" s="76" t="s">
        <v>2351</v>
      </c>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c r="BL538" s="76"/>
      <c r="BM538" s="76"/>
      <c r="BN538" s="76"/>
      <c r="BO538" s="76"/>
      <c r="BP538" s="76"/>
      <c r="BQ538" s="76"/>
      <c r="BR538" s="76"/>
      <c r="BS538" s="76"/>
      <c r="BT538" s="76"/>
      <c r="BU538" s="76"/>
      <c r="BV538" s="76"/>
      <c r="BW538" s="76"/>
      <c r="BX538" s="76"/>
      <c r="BY538" s="76"/>
      <c r="BZ538" s="76"/>
      <c r="CA538" s="76"/>
      <c r="CB538" s="76"/>
      <c r="CC538" s="76"/>
      <c r="CD538" s="76"/>
      <c r="CE538" s="76"/>
      <c r="CF538" s="76"/>
      <c r="CG538" s="76"/>
      <c r="CH538" s="76"/>
      <c r="CI538" s="76"/>
      <c r="CJ538" s="76"/>
      <c r="CK538" s="76"/>
      <c r="CL538" s="76"/>
      <c r="CM538" s="76"/>
      <c r="CN538" s="76"/>
      <c r="CO538" s="76"/>
      <c r="CP538" s="76"/>
      <c r="CQ538" s="76"/>
      <c r="CR538" s="76"/>
      <c r="CS538" s="76"/>
      <c r="CT538" s="76"/>
      <c r="CU538" s="76"/>
      <c r="CV538" s="76"/>
      <c r="CW538" s="76"/>
      <c r="CX538" s="76"/>
      <c r="CY538" s="76"/>
      <c r="CZ538" s="76"/>
      <c r="DA538" s="76"/>
      <c r="DB538" s="76"/>
      <c r="DC538" s="76"/>
      <c r="DD538" s="76"/>
      <c r="DE538" s="76"/>
    </row>
    <row r="539" spans="1:109">
      <c r="A539" t="s">
        <v>3372</v>
      </c>
      <c r="B539" t="s">
        <v>1045</v>
      </c>
      <c r="C539" t="s">
        <v>1046</v>
      </c>
      <c r="D539">
        <v>2.4127717467249169E-3</v>
      </c>
      <c r="E539">
        <v>3.7342286077192431E-6</v>
      </c>
      <c r="F539">
        <v>2.4041595274406184E-3</v>
      </c>
      <c r="G539">
        <v>2.4261853049060964E-3</v>
      </c>
      <c r="H539">
        <v>2.4124149074396372E-3</v>
      </c>
      <c r="I539">
        <v>2.4068436876371556E-3</v>
      </c>
      <c r="J539">
        <v>2.4189862966802235E-3</v>
      </c>
      <c r="P539" t="s">
        <v>3373</v>
      </c>
      <c r="Q539" t="s">
        <v>1037</v>
      </c>
      <c r="R539" t="s">
        <v>923</v>
      </c>
      <c r="S539">
        <v>0.47038151371558656</v>
      </c>
      <c r="T539">
        <v>4.7362086228189276E-7</v>
      </c>
      <c r="U539">
        <v>0.47037994976812875</v>
      </c>
      <c r="V539">
        <v>0.47038259549755629</v>
      </c>
      <c r="W539">
        <v>0.47038148343656055</v>
      </c>
      <c r="X539">
        <v>0.47038082683540788</v>
      </c>
      <c r="Y539">
        <v>0.47038240993401248</v>
      </c>
    </row>
    <row r="540" spans="1:109">
      <c r="A540" t="s">
        <v>3374</v>
      </c>
      <c r="B540" t="s">
        <v>1067</v>
      </c>
      <c r="C540" t="s">
        <v>1068</v>
      </c>
      <c r="D540">
        <v>0.22435279074692652</v>
      </c>
      <c r="E540">
        <v>4.9783377711667496E-6</v>
      </c>
      <c r="F540">
        <v>0.22433923456620952</v>
      </c>
      <c r="G540">
        <v>0.22436463122300154</v>
      </c>
      <c r="H540">
        <v>0.22435335212610302</v>
      </c>
      <c r="I540">
        <v>0.22434467409532205</v>
      </c>
      <c r="J540">
        <v>0.22436061094996951</v>
      </c>
    </row>
    <row r="541" spans="1:109">
      <c r="A541" t="s">
        <v>3375</v>
      </c>
      <c r="B541" t="s">
        <v>1056</v>
      </c>
      <c r="C541" t="s">
        <v>1055</v>
      </c>
      <c r="D541">
        <v>2.8242534691232474E-2</v>
      </c>
      <c r="E541">
        <v>4.8393339269473977E-8</v>
      </c>
      <c r="F541">
        <v>2.8242445715583001E-2</v>
      </c>
      <c r="G541">
        <v>2.8242654411208202E-2</v>
      </c>
      <c r="H541">
        <v>2.8242522684620849E-2</v>
      </c>
      <c r="I541">
        <v>2.8242470454577069E-2</v>
      </c>
      <c r="J541">
        <v>2.8242626993271798E-2</v>
      </c>
    </row>
    <row r="542" spans="1:109">
      <c r="A542" t="s">
        <v>3376</v>
      </c>
      <c r="B542" t="s">
        <v>1050</v>
      </c>
      <c r="C542" t="s">
        <v>1051</v>
      </c>
      <c r="D542">
        <v>2.2413226011116044E-4</v>
      </c>
      <c r="E542">
        <v>2.6621379104662298E-10</v>
      </c>
      <c r="F542">
        <v>2.2413153520207902E-4</v>
      </c>
      <c r="G542">
        <v>2.2413289327390847E-4</v>
      </c>
      <c r="H542">
        <v>2.241322901305938E-4</v>
      </c>
      <c r="I542">
        <v>2.2413182607781572E-4</v>
      </c>
      <c r="J542">
        <v>2.2413267829208639E-4</v>
      </c>
    </row>
    <row r="543" spans="1:109">
      <c r="A543" t="s">
        <v>3377</v>
      </c>
      <c r="B543" t="s">
        <v>1035</v>
      </c>
      <c r="C543" t="s">
        <v>1036</v>
      </c>
      <c r="D543">
        <v>0.65035147094930879</v>
      </c>
      <c r="E543">
        <v>8.0335262074065225E-4</v>
      </c>
      <c r="F543">
        <v>0.6486395380669594</v>
      </c>
      <c r="G543">
        <v>0.65239542543734197</v>
      </c>
      <c r="H543">
        <v>0.65035522589878025</v>
      </c>
      <c r="I543">
        <v>0.64891919872346615</v>
      </c>
      <c r="J543">
        <v>0.65159031658636013</v>
      </c>
    </row>
    <row r="544" spans="1:109">
      <c r="A544" t="s">
        <v>3378</v>
      </c>
      <c r="B544" t="s">
        <v>1059</v>
      </c>
      <c r="C544" t="s">
        <v>1055</v>
      </c>
      <c r="D544">
        <v>3.7462518725896822E-2</v>
      </c>
      <c r="E544">
        <v>2.1280901255055038E-6</v>
      </c>
      <c r="F544">
        <v>3.7459272344382268E-2</v>
      </c>
      <c r="G544">
        <v>3.7470739059811388E-2</v>
      </c>
      <c r="H544">
        <v>3.7461953214682299E-2</v>
      </c>
      <c r="I544">
        <v>3.7459972949530435E-2</v>
      </c>
      <c r="J544">
        <v>3.7466426476238796E-2</v>
      </c>
    </row>
    <row r="545" spans="1:10">
      <c r="A545" t="s">
        <v>3379</v>
      </c>
      <c r="B545" t="s">
        <v>1060</v>
      </c>
      <c r="C545" t="s">
        <v>1055</v>
      </c>
      <c r="D545">
        <v>0.85494652364053259</v>
      </c>
      <c r="E545">
        <v>5.8107900951643075E-5</v>
      </c>
      <c r="F545">
        <v>0.85483161748273706</v>
      </c>
      <c r="G545">
        <v>0.8551079510643651</v>
      </c>
      <c r="H545">
        <v>0.85493953129967815</v>
      </c>
      <c r="I545">
        <v>0.85485168646872001</v>
      </c>
      <c r="J545">
        <v>0.85505902370287712</v>
      </c>
    </row>
    <row r="546" spans="1:10">
      <c r="A546" t="s">
        <v>3380</v>
      </c>
      <c r="B546" t="s">
        <v>1041</v>
      </c>
      <c r="C546" t="s">
        <v>1042</v>
      </c>
      <c r="D546">
        <v>1.2668097757118288</v>
      </c>
      <c r="E546">
        <v>1.8873038264471469E-7</v>
      </c>
      <c r="F546">
        <v>1.266809261792667</v>
      </c>
      <c r="G546">
        <v>1.2668102245880766</v>
      </c>
      <c r="H546">
        <v>1.2668097969938936</v>
      </c>
      <c r="I546">
        <v>1.2668094680069615</v>
      </c>
      <c r="J546">
        <v>1.2668100721782356</v>
      </c>
    </row>
    <row r="547" spans="1:10">
      <c r="A547" t="s">
        <v>3381</v>
      </c>
      <c r="B547" t="s">
        <v>1061</v>
      </c>
      <c r="C547" t="s">
        <v>1062</v>
      </c>
      <c r="D547">
        <v>1.1105866621054618E-2</v>
      </c>
      <c r="E547">
        <v>2.4856479124267742E-8</v>
      </c>
      <c r="F547">
        <v>1.1105798936028312E-2</v>
      </c>
      <c r="G547">
        <v>1.1105925739692189E-2</v>
      </c>
      <c r="H547">
        <v>1.1105869423980097E-2</v>
      </c>
      <c r="I547">
        <v>1.110582609520233E-2</v>
      </c>
      <c r="J547">
        <v>1.110590566676076E-2</v>
      </c>
    </row>
    <row r="548" spans="1:10">
      <c r="A548" t="s">
        <v>3382</v>
      </c>
      <c r="B548" t="s">
        <v>1057</v>
      </c>
      <c r="C548" t="s">
        <v>1055</v>
      </c>
      <c r="D548">
        <v>3.812237609526764E-2</v>
      </c>
      <c r="E548">
        <v>2.4255800274263779E-6</v>
      </c>
      <c r="F548">
        <v>3.8118121717340782E-2</v>
      </c>
      <c r="G548">
        <v>3.812969972131109E-2</v>
      </c>
      <c r="H548">
        <v>3.812233197360123E-2</v>
      </c>
      <c r="I548">
        <v>3.8118813886553617E-2</v>
      </c>
      <c r="J548">
        <v>3.8127007160291507E-2</v>
      </c>
    </row>
    <row r="549" spans="1:10">
      <c r="A549" t="s">
        <v>3383</v>
      </c>
      <c r="B549" t="s">
        <v>1052</v>
      </c>
      <c r="C549" t="s">
        <v>1053</v>
      </c>
      <c r="D549">
        <v>6.7895257226905316E-5</v>
      </c>
      <c r="E549">
        <v>7.6557512596238691E-11</v>
      </c>
      <c r="F549">
        <v>6.7895048758230946E-5</v>
      </c>
      <c r="G549">
        <v>6.7895439311255166E-5</v>
      </c>
      <c r="H549">
        <v>6.789526585986586E-5</v>
      </c>
      <c r="I549">
        <v>6.7895132408002747E-5</v>
      </c>
      <c r="J549">
        <v>6.7895377486984216E-5</v>
      </c>
    </row>
    <row r="550" spans="1:10">
      <c r="A550" t="s">
        <v>3384</v>
      </c>
      <c r="B550" t="s">
        <v>1064</v>
      </c>
      <c r="C550" t="s">
        <v>1065</v>
      </c>
      <c r="D550">
        <v>4.5771897639293275E-3</v>
      </c>
      <c r="E550">
        <v>3.7851029095720201E-9</v>
      </c>
      <c r="F550">
        <v>4.5771794569671601E-3</v>
      </c>
      <c r="G550">
        <v>4.5771987664162033E-3</v>
      </c>
      <c r="H550">
        <v>4.577190190754114E-3</v>
      </c>
      <c r="I550">
        <v>4.5771835927205795E-3</v>
      </c>
      <c r="J550">
        <v>4.5771957097439069E-3</v>
      </c>
    </row>
    <row r="551" spans="1:10">
      <c r="A551" t="s">
        <v>3385</v>
      </c>
      <c r="B551" t="s">
        <v>1043</v>
      </c>
      <c r="C551" t="s">
        <v>1044</v>
      </c>
      <c r="D551">
        <v>2.5282918161773139E-3</v>
      </c>
      <c r="E551">
        <v>2.1872762358434322E-5</v>
      </c>
      <c r="F551">
        <v>2.4670899632127049E-3</v>
      </c>
      <c r="G551">
        <v>2.5792967474971644E-3</v>
      </c>
      <c r="H551">
        <v>2.5285206312538203E-3</v>
      </c>
      <c r="I551">
        <v>2.4875135498993164E-3</v>
      </c>
      <c r="J551">
        <v>2.5619488239586822E-3</v>
      </c>
    </row>
    <row r="552" spans="1:10">
      <c r="A552" t="s">
        <v>3386</v>
      </c>
      <c r="B552" t="s">
        <v>1047</v>
      </c>
      <c r="C552" t="s">
        <v>1044</v>
      </c>
      <c r="D552">
        <v>2.5792718638408844E-3</v>
      </c>
      <c r="E552">
        <v>2.1875478642473692E-5</v>
      </c>
      <c r="F552">
        <v>2.517933781390235E-3</v>
      </c>
      <c r="G552">
        <v>2.6302077358350542E-3</v>
      </c>
      <c r="H552">
        <v>2.5794868113998936E-3</v>
      </c>
      <c r="I552">
        <v>2.5384925630939255E-3</v>
      </c>
      <c r="J552">
        <v>2.6128663910394384E-3</v>
      </c>
    </row>
    <row r="553" spans="1:10">
      <c r="A553" t="s">
        <v>3387</v>
      </c>
      <c r="B553" t="s">
        <v>1038</v>
      </c>
      <c r="C553" t="s">
        <v>1039</v>
      </c>
      <c r="D553">
        <v>5.2701448949772157E-7</v>
      </c>
      <c r="E553">
        <v>3.6305595251094867E-12</v>
      </c>
      <c r="F553">
        <v>5.2700460336237103E-7</v>
      </c>
      <c r="G553">
        <v>5.2702312441868745E-7</v>
      </c>
      <c r="H553">
        <v>5.2701489889551842E-7</v>
      </c>
      <c r="I553">
        <v>5.2700857025556695E-7</v>
      </c>
      <c r="J553">
        <v>5.2702019254840849E-7</v>
      </c>
    </row>
    <row r="554" spans="1:10">
      <c r="A554" t="s">
        <v>3388</v>
      </c>
      <c r="B554" t="s">
        <v>1048</v>
      </c>
      <c r="C554" t="s">
        <v>1049</v>
      </c>
      <c r="D554">
        <v>6.9834563413319287E-3</v>
      </c>
      <c r="E554">
        <v>7.8698243312215439E-6</v>
      </c>
      <c r="F554">
        <v>6.9616101673137063E-3</v>
      </c>
      <c r="G554">
        <v>7.0018353848916902E-3</v>
      </c>
      <c r="H554">
        <v>6.9835274700342344E-3</v>
      </c>
      <c r="I554">
        <v>6.9689613245887969E-3</v>
      </c>
      <c r="J554">
        <v>6.9954276701813967E-3</v>
      </c>
    </row>
    <row r="555" spans="1:10">
      <c r="A555" t="s">
        <v>3389</v>
      </c>
      <c r="B555" t="s">
        <v>1054</v>
      </c>
      <c r="C555" t="s">
        <v>1055</v>
      </c>
      <c r="D555">
        <v>2.2578737849917805</v>
      </c>
      <c r="E555">
        <v>5.5488814228987007E-3</v>
      </c>
      <c r="F555">
        <v>2.2485702767179903</v>
      </c>
      <c r="G555">
        <v>2.2759016058063</v>
      </c>
      <c r="H555">
        <v>2.2570217298577506</v>
      </c>
      <c r="I555">
        <v>2.2496844423296145</v>
      </c>
      <c r="J555">
        <v>2.2686090027562407</v>
      </c>
    </row>
    <row r="556" spans="1:10">
      <c r="A556" t="s">
        <v>3390</v>
      </c>
      <c r="B556" t="s">
        <v>1071</v>
      </c>
      <c r="C556" t="s">
        <v>923</v>
      </c>
      <c r="D556">
        <v>1.3477408213346292E-2</v>
      </c>
      <c r="E556">
        <v>2.4508032434062319E-8</v>
      </c>
      <c r="F556">
        <v>1.3477341477154842E-2</v>
      </c>
      <c r="G556">
        <v>1.3477466503229016E-2</v>
      </c>
      <c r="H556">
        <v>1.3477410976968812E-2</v>
      </c>
      <c r="I556">
        <v>1.3477368255600541E-2</v>
      </c>
      <c r="J556">
        <v>1.3477446711695075E-2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EB002-26CE-4284-91F7-62F1233102B3}">
  <dimension ref="A2:Q114"/>
  <sheetViews>
    <sheetView workbookViewId="0">
      <selection activeCell="H66" sqref="H66"/>
    </sheetView>
  </sheetViews>
  <sheetFormatPr defaultRowHeight="14.4"/>
  <cols>
    <col min="1" max="5" width="20" customWidth="1"/>
    <col min="6" max="6" width="21.6640625" customWidth="1"/>
    <col min="8" max="8" width="17.44140625" customWidth="1"/>
    <col min="12" max="12" width="18.33203125" customWidth="1"/>
    <col min="13" max="14" width="20.44140625" customWidth="1"/>
    <col min="15" max="17" width="13.6640625" customWidth="1"/>
  </cols>
  <sheetData>
    <row r="2" spans="1:17" ht="20.399999999999999" thickBot="1">
      <c r="A2" s="33" t="s">
        <v>380</v>
      </c>
    </row>
    <row r="3" spans="1:17" ht="15" thickTop="1"/>
    <row r="4" spans="1:17" ht="18" thickBot="1">
      <c r="A4" s="43" t="s">
        <v>3391</v>
      </c>
    </row>
    <row r="5" spans="1:17" ht="15" thickTop="1"/>
    <row r="6" spans="1:17">
      <c r="A6" s="98" t="s">
        <v>3392</v>
      </c>
      <c r="B6" s="48"/>
      <c r="C6" s="48"/>
      <c r="D6" s="48"/>
      <c r="E6" s="48"/>
      <c r="H6" s="97" t="s">
        <v>3393</v>
      </c>
      <c r="I6" s="91"/>
      <c r="J6" s="91"/>
      <c r="K6" s="91"/>
      <c r="L6" s="91"/>
      <c r="M6" s="91"/>
      <c r="N6" s="91"/>
      <c r="O6" s="91"/>
      <c r="P6" s="91"/>
      <c r="Q6" s="91"/>
    </row>
    <row r="7" spans="1:17" ht="15" thickBot="1">
      <c r="A7" s="48"/>
      <c r="B7" s="48"/>
      <c r="C7" s="48"/>
      <c r="D7" s="48"/>
      <c r="E7" s="48"/>
      <c r="H7" s="96"/>
      <c r="I7" s="91"/>
      <c r="J7" s="91"/>
      <c r="K7" s="91"/>
      <c r="L7" s="91"/>
      <c r="M7" s="91"/>
      <c r="N7" s="91"/>
      <c r="O7" s="91"/>
      <c r="P7" s="91"/>
      <c r="Q7" s="91"/>
    </row>
    <row r="8" spans="1:17" ht="28.2" thickBot="1">
      <c r="A8" s="81" t="s">
        <v>3394</v>
      </c>
      <c r="B8" s="81" t="s">
        <v>3395</v>
      </c>
      <c r="C8" s="81" t="s">
        <v>3396</v>
      </c>
      <c r="D8" s="81" t="s">
        <v>3397</v>
      </c>
      <c r="E8" s="81" t="s">
        <v>3398</v>
      </c>
      <c r="H8" s="92" t="s">
        <v>3399</v>
      </c>
      <c r="I8" s="93" t="s">
        <v>3400</v>
      </c>
      <c r="J8" s="93" t="s">
        <v>3401</v>
      </c>
      <c r="K8" s="93" t="s">
        <v>1858</v>
      </c>
      <c r="L8" s="93" t="s">
        <v>3402</v>
      </c>
      <c r="M8" s="93" t="s">
        <v>3403</v>
      </c>
      <c r="N8" s="93" t="s">
        <v>3404</v>
      </c>
      <c r="O8" s="93" t="s">
        <v>3405</v>
      </c>
      <c r="P8" s="93" t="s">
        <v>3406</v>
      </c>
      <c r="Q8" s="93" t="s">
        <v>3407</v>
      </c>
    </row>
    <row r="9" spans="1:17" ht="27.6">
      <c r="A9" s="710" t="s">
        <v>3408</v>
      </c>
      <c r="B9" s="710" t="s">
        <v>68</v>
      </c>
      <c r="C9" s="710"/>
      <c r="D9" s="710"/>
      <c r="E9" s="710"/>
      <c r="H9" s="94" t="s">
        <v>1843</v>
      </c>
      <c r="I9" s="94">
        <v>87.51</v>
      </c>
      <c r="J9" s="94">
        <v>49.11</v>
      </c>
      <c r="K9" s="94" t="s">
        <v>3409</v>
      </c>
      <c r="L9" s="94" t="s">
        <v>3410</v>
      </c>
      <c r="M9" s="94" t="s">
        <v>3411</v>
      </c>
      <c r="N9" s="94" t="s">
        <v>3412</v>
      </c>
      <c r="O9" s="94">
        <v>5.3760000000000003</v>
      </c>
      <c r="P9" s="94">
        <v>4.5999999999999999E-2</v>
      </c>
      <c r="Q9" s="94">
        <v>3.266</v>
      </c>
    </row>
    <row r="10" spans="1:17" ht="72" customHeight="1">
      <c r="A10" s="678"/>
      <c r="B10" s="678" t="s">
        <v>3413</v>
      </c>
      <c r="C10" s="83" t="s">
        <v>3414</v>
      </c>
      <c r="D10" s="83" t="s">
        <v>3415</v>
      </c>
      <c r="E10" s="83" t="s">
        <v>3416</v>
      </c>
      <c r="H10" s="94" t="s">
        <v>3417</v>
      </c>
      <c r="I10" s="94">
        <v>891</v>
      </c>
      <c r="J10" s="94">
        <v>34.81</v>
      </c>
      <c r="K10" s="94" t="s">
        <v>3418</v>
      </c>
      <c r="L10" s="94" t="s">
        <v>3419</v>
      </c>
      <c r="M10" s="94" t="s">
        <v>3420</v>
      </c>
      <c r="N10" s="94" t="s">
        <v>3421</v>
      </c>
      <c r="O10" s="94" t="s">
        <v>3422</v>
      </c>
      <c r="P10" s="94" t="s">
        <v>3423</v>
      </c>
      <c r="Q10" s="94" t="s">
        <v>3424</v>
      </c>
    </row>
    <row r="11" spans="1:17" ht="27.6">
      <c r="A11" s="678"/>
      <c r="B11" s="678"/>
      <c r="C11" s="83" t="s">
        <v>3425</v>
      </c>
      <c r="D11" s="83" t="s">
        <v>3426</v>
      </c>
      <c r="E11" s="83" t="s">
        <v>3427</v>
      </c>
      <c r="H11" s="717" t="s">
        <v>3428</v>
      </c>
      <c r="I11" s="717" t="s">
        <v>3429</v>
      </c>
      <c r="J11" s="717" t="s">
        <v>3429</v>
      </c>
      <c r="K11" s="94">
        <v>0.44600000000000001</v>
      </c>
      <c r="L11" s="717">
        <v>5.7599999999999998E-2</v>
      </c>
      <c r="M11" s="717">
        <v>21.86</v>
      </c>
      <c r="N11" s="717">
        <v>7.9459999999999997</v>
      </c>
      <c r="O11" s="717">
        <v>5.2560000000000002</v>
      </c>
      <c r="P11" s="717">
        <v>3.5999999999999997E-2</v>
      </c>
      <c r="Q11" s="717">
        <v>2.8559999999999999</v>
      </c>
    </row>
    <row r="12" spans="1:17" ht="27.6">
      <c r="A12" s="678"/>
      <c r="B12" s="678" t="s">
        <v>991</v>
      </c>
      <c r="C12" s="678"/>
      <c r="D12" s="678"/>
      <c r="E12" s="678"/>
      <c r="H12" s="717"/>
      <c r="I12" s="717"/>
      <c r="J12" s="717"/>
      <c r="K12" s="94" t="s">
        <v>3430</v>
      </c>
      <c r="L12" s="717"/>
      <c r="M12" s="717"/>
      <c r="N12" s="717"/>
      <c r="O12" s="717"/>
      <c r="P12" s="717"/>
      <c r="Q12" s="717"/>
    </row>
    <row r="13" spans="1:17">
      <c r="A13" s="678"/>
      <c r="B13" s="678" t="s">
        <v>3431</v>
      </c>
      <c r="C13" s="83" t="s">
        <v>3432</v>
      </c>
      <c r="D13" s="83" t="s">
        <v>3416</v>
      </c>
      <c r="E13" s="83" t="s">
        <v>3433</v>
      </c>
      <c r="H13" s="717" t="s">
        <v>3434</v>
      </c>
      <c r="I13" s="717" t="s">
        <v>3435</v>
      </c>
      <c r="J13" s="717" t="s">
        <v>3436</v>
      </c>
      <c r="K13" s="94">
        <v>7.4870000000000001</v>
      </c>
      <c r="L13" s="94">
        <v>3.3370000000000002</v>
      </c>
      <c r="M13" s="94">
        <v>56.67</v>
      </c>
      <c r="N13" s="94">
        <v>37.32</v>
      </c>
      <c r="O13" s="94">
        <v>58.12</v>
      </c>
      <c r="P13" s="94">
        <v>1.452</v>
      </c>
      <c r="Q13" s="717" t="s">
        <v>3437</v>
      </c>
    </row>
    <row r="14" spans="1:17" ht="55.2">
      <c r="A14" s="678"/>
      <c r="B14" s="678"/>
      <c r="C14" s="83" t="s">
        <v>3438</v>
      </c>
      <c r="D14" s="83" t="s">
        <v>3439</v>
      </c>
      <c r="E14" s="83" t="s">
        <v>3440</v>
      </c>
      <c r="H14" s="717"/>
      <c r="I14" s="717"/>
      <c r="J14" s="717"/>
      <c r="K14" s="94" t="s">
        <v>3441</v>
      </c>
      <c r="L14" s="94" t="s">
        <v>3442</v>
      </c>
      <c r="M14" s="94" t="s">
        <v>3443</v>
      </c>
      <c r="N14" s="94">
        <v>1.1459999999999999</v>
      </c>
      <c r="O14" s="94">
        <v>83.37</v>
      </c>
      <c r="P14" s="94">
        <v>9.5869999999999997</v>
      </c>
      <c r="Q14" s="717"/>
    </row>
    <row r="15" spans="1:17">
      <c r="A15" s="678"/>
      <c r="B15" s="678"/>
      <c r="C15" s="83" t="s">
        <v>3444</v>
      </c>
      <c r="D15" s="83"/>
      <c r="E15" s="83"/>
      <c r="H15" s="717"/>
      <c r="I15" s="717"/>
      <c r="J15" s="717"/>
      <c r="K15" s="94"/>
      <c r="L15" s="94"/>
      <c r="M15" s="94"/>
      <c r="N15" s="94" t="s">
        <v>3445</v>
      </c>
      <c r="O15" s="94" t="s">
        <v>3446</v>
      </c>
      <c r="P15" s="94" t="s">
        <v>3447</v>
      </c>
      <c r="Q15" s="717"/>
    </row>
    <row r="16" spans="1:17" ht="27.6">
      <c r="A16" s="678"/>
      <c r="B16" s="678"/>
      <c r="C16" s="678"/>
      <c r="D16" s="678"/>
      <c r="E16" s="678"/>
      <c r="H16" s="94" t="s">
        <v>3448</v>
      </c>
      <c r="I16" s="94">
        <v>853</v>
      </c>
      <c r="J16" s="94">
        <v>803</v>
      </c>
      <c r="K16" s="94">
        <v>23.43</v>
      </c>
      <c r="L16" s="94">
        <v>1.0129999999999999</v>
      </c>
      <c r="M16" s="94">
        <v>40003</v>
      </c>
      <c r="N16" s="94">
        <v>1393</v>
      </c>
      <c r="O16" s="94">
        <v>1833</v>
      </c>
      <c r="P16" s="94">
        <v>2.653</v>
      </c>
      <c r="Q16" s="94">
        <v>40.130000000000003</v>
      </c>
    </row>
    <row r="17" spans="1:17">
      <c r="A17" s="678" t="s">
        <v>3449</v>
      </c>
      <c r="B17" s="678" t="s">
        <v>68</v>
      </c>
      <c r="C17" s="678"/>
      <c r="D17" s="678"/>
      <c r="E17" s="678"/>
      <c r="H17" s="94" t="s">
        <v>2140</v>
      </c>
      <c r="I17" s="94">
        <v>904</v>
      </c>
      <c r="J17" s="94" t="s">
        <v>3450</v>
      </c>
      <c r="K17" s="94">
        <v>0.88439999999999996</v>
      </c>
      <c r="L17" s="94">
        <v>1.034</v>
      </c>
      <c r="M17" s="94">
        <v>18.04</v>
      </c>
      <c r="N17" s="94" t="s">
        <v>3451</v>
      </c>
      <c r="O17" s="94">
        <v>15.84</v>
      </c>
      <c r="P17" s="94">
        <v>0.34739999999999999</v>
      </c>
      <c r="Q17" s="94" t="s">
        <v>3429</v>
      </c>
    </row>
    <row r="18" spans="1:17" ht="72" customHeight="1">
      <c r="A18" s="678"/>
      <c r="B18" s="678" t="s">
        <v>3452</v>
      </c>
      <c r="C18" s="83" t="s">
        <v>3453</v>
      </c>
      <c r="D18" s="83" t="s">
        <v>3454</v>
      </c>
      <c r="E18" s="83" t="s">
        <v>3416</v>
      </c>
      <c r="H18" s="94" t="s">
        <v>3455</v>
      </c>
      <c r="I18" s="94">
        <v>96</v>
      </c>
      <c r="J18" s="94">
        <v>55</v>
      </c>
      <c r="K18" s="94">
        <v>14.7</v>
      </c>
      <c r="L18" s="94">
        <v>0.9</v>
      </c>
      <c r="M18" s="94">
        <v>260.5</v>
      </c>
      <c r="N18" s="94">
        <v>40.6</v>
      </c>
      <c r="O18" s="94">
        <v>217.1</v>
      </c>
      <c r="P18" s="94">
        <v>0.3</v>
      </c>
      <c r="Q18" s="94">
        <v>4.8</v>
      </c>
    </row>
    <row r="19" spans="1:17" ht="27.6">
      <c r="A19" s="678"/>
      <c r="B19" s="678"/>
      <c r="C19" s="83" t="s">
        <v>3425</v>
      </c>
      <c r="D19" s="83" t="s">
        <v>3426</v>
      </c>
      <c r="E19" s="83" t="s">
        <v>3427</v>
      </c>
      <c r="H19" s="94" t="s">
        <v>3456</v>
      </c>
      <c r="I19" s="94">
        <v>96</v>
      </c>
      <c r="J19" s="94">
        <v>55</v>
      </c>
      <c r="K19" s="94">
        <v>245.1</v>
      </c>
      <c r="L19" s="94">
        <v>19.8</v>
      </c>
      <c r="M19" s="94">
        <v>1407.5</v>
      </c>
      <c r="N19" s="94">
        <v>42.2</v>
      </c>
      <c r="O19" s="94">
        <v>4181.3</v>
      </c>
      <c r="P19" s="94">
        <v>3.3</v>
      </c>
      <c r="Q19" s="94">
        <v>1.9</v>
      </c>
    </row>
    <row r="20" spans="1:17">
      <c r="A20" s="678"/>
      <c r="B20" s="678" t="s">
        <v>991</v>
      </c>
      <c r="C20" s="678"/>
      <c r="D20" s="678"/>
      <c r="E20" s="678"/>
      <c r="H20" s="94" t="s">
        <v>3457</v>
      </c>
      <c r="I20" s="94">
        <v>96</v>
      </c>
      <c r="J20" s="94">
        <v>55</v>
      </c>
      <c r="K20" s="94">
        <v>96.1</v>
      </c>
      <c r="L20" s="94">
        <v>8.9</v>
      </c>
      <c r="M20" s="94">
        <v>1143</v>
      </c>
      <c r="N20" s="94">
        <v>105.3</v>
      </c>
      <c r="O20" s="94">
        <v>1516.2</v>
      </c>
      <c r="P20" s="94">
        <v>3.9</v>
      </c>
      <c r="Q20" s="94">
        <v>5.4</v>
      </c>
    </row>
    <row r="21" spans="1:17">
      <c r="A21" s="678"/>
      <c r="B21" s="678" t="s">
        <v>3458</v>
      </c>
      <c r="C21" s="83" t="s">
        <v>3432</v>
      </c>
      <c r="D21" s="83" t="s">
        <v>3416</v>
      </c>
      <c r="E21" s="83" t="s">
        <v>3459</v>
      </c>
      <c r="H21" s="94" t="s">
        <v>3460</v>
      </c>
      <c r="I21" s="94">
        <v>96</v>
      </c>
      <c r="J21" s="94">
        <v>55</v>
      </c>
      <c r="K21" s="94">
        <v>196.3</v>
      </c>
      <c r="L21" s="94">
        <v>15.9</v>
      </c>
      <c r="M21" s="94">
        <v>1165</v>
      </c>
      <c r="N21" s="94">
        <v>49.2</v>
      </c>
      <c r="O21" s="94">
        <v>3338.3</v>
      </c>
      <c r="P21" s="94">
        <v>3.2</v>
      </c>
      <c r="Q21" s="94">
        <v>1.7</v>
      </c>
    </row>
    <row r="22" spans="1:17" ht="15" thickBot="1">
      <c r="A22" s="678"/>
      <c r="B22" s="678"/>
      <c r="C22" s="83" t="s">
        <v>3461</v>
      </c>
      <c r="D22" s="83" t="s">
        <v>3462</v>
      </c>
      <c r="E22" s="83" t="s">
        <v>3463</v>
      </c>
      <c r="H22" s="95" t="s">
        <v>3464</v>
      </c>
      <c r="I22" s="95">
        <v>96</v>
      </c>
      <c r="J22" s="95">
        <v>55</v>
      </c>
      <c r="K22" s="95">
        <v>78.099999999999994</v>
      </c>
      <c r="L22" s="95">
        <v>7.2</v>
      </c>
      <c r="M22" s="95">
        <v>915.9</v>
      </c>
      <c r="N22" s="95">
        <v>85.3</v>
      </c>
      <c r="O22" s="95">
        <v>1225.5999999999999</v>
      </c>
      <c r="P22" s="95">
        <v>3.3</v>
      </c>
      <c r="Q22" s="95">
        <v>4.3</v>
      </c>
    </row>
    <row r="23" spans="1:17" ht="14.7" customHeight="1">
      <c r="A23" s="678"/>
      <c r="B23" s="678"/>
      <c r="C23" s="83" t="s">
        <v>3465</v>
      </c>
      <c r="D23" s="83"/>
      <c r="E23" s="83"/>
      <c r="H23" s="719" t="s">
        <v>3466</v>
      </c>
      <c r="I23" s="719"/>
      <c r="J23" s="719"/>
      <c r="K23" s="719"/>
      <c r="L23" s="719"/>
      <c r="M23" s="719"/>
      <c r="N23" s="719"/>
      <c r="O23" s="719"/>
      <c r="P23" s="719"/>
      <c r="Q23" s="719"/>
    </row>
    <row r="24" spans="1:17">
      <c r="A24" s="678"/>
      <c r="B24" s="678"/>
      <c r="C24" s="678"/>
      <c r="D24" s="678"/>
      <c r="E24" s="678"/>
      <c r="H24" s="720"/>
      <c r="I24" s="720"/>
      <c r="J24" s="720"/>
      <c r="K24" s="720"/>
      <c r="L24" s="720"/>
      <c r="M24" s="720"/>
      <c r="N24" s="720"/>
      <c r="O24" s="720"/>
      <c r="P24" s="720"/>
      <c r="Q24" s="720"/>
    </row>
    <row r="25" spans="1:17">
      <c r="A25" s="678" t="s">
        <v>3467</v>
      </c>
      <c r="B25" s="678" t="s">
        <v>68</v>
      </c>
      <c r="C25" s="678"/>
      <c r="D25" s="678"/>
      <c r="E25" s="678"/>
      <c r="H25" s="720"/>
      <c r="I25" s="720"/>
      <c r="J25" s="720"/>
      <c r="K25" s="720"/>
      <c r="L25" s="720"/>
      <c r="M25" s="720"/>
      <c r="N25" s="720"/>
      <c r="O25" s="720"/>
      <c r="P25" s="720"/>
      <c r="Q25" s="720"/>
    </row>
    <row r="26" spans="1:17" ht="90" customHeight="1">
      <c r="A26" s="678"/>
      <c r="B26" s="678" t="s">
        <v>3468</v>
      </c>
      <c r="C26" s="83" t="s">
        <v>3469</v>
      </c>
      <c r="D26" s="83" t="s">
        <v>3470</v>
      </c>
      <c r="E26" s="83" t="s">
        <v>3416</v>
      </c>
      <c r="H26" s="720"/>
      <c r="I26" s="720"/>
      <c r="J26" s="720"/>
      <c r="K26" s="720"/>
      <c r="L26" s="720"/>
      <c r="M26" s="720"/>
      <c r="N26" s="720"/>
      <c r="O26" s="720"/>
      <c r="P26" s="720"/>
      <c r="Q26" s="720"/>
    </row>
    <row r="27" spans="1:17" ht="27.6">
      <c r="A27" s="678"/>
      <c r="B27" s="678"/>
      <c r="C27" s="83" t="s">
        <v>3425</v>
      </c>
      <c r="D27" s="83" t="s">
        <v>3471</v>
      </c>
      <c r="E27" s="83" t="s">
        <v>3427</v>
      </c>
    </row>
    <row r="28" spans="1:17">
      <c r="A28" s="678"/>
      <c r="B28" s="678" t="s">
        <v>991</v>
      </c>
      <c r="C28" s="678"/>
      <c r="D28" s="678"/>
      <c r="E28" s="678"/>
    </row>
    <row r="29" spans="1:17">
      <c r="A29" s="678"/>
      <c r="B29" s="678" t="s">
        <v>3472</v>
      </c>
      <c r="C29" s="83" t="s">
        <v>3432</v>
      </c>
      <c r="D29" s="83" t="s">
        <v>3416</v>
      </c>
      <c r="E29" s="83" t="s">
        <v>3433</v>
      </c>
    </row>
    <row r="30" spans="1:17">
      <c r="A30" s="678"/>
      <c r="B30" s="678"/>
      <c r="C30" s="83" t="s">
        <v>3473</v>
      </c>
      <c r="D30" s="83" t="s">
        <v>3439</v>
      </c>
      <c r="E30" s="83" t="s">
        <v>3440</v>
      </c>
    </row>
    <row r="31" spans="1:17">
      <c r="A31" s="678"/>
      <c r="B31" s="678"/>
      <c r="C31" s="83" t="s">
        <v>3474</v>
      </c>
      <c r="D31" s="83"/>
      <c r="E31" s="83"/>
    </row>
    <row r="32" spans="1:17">
      <c r="A32" s="678"/>
      <c r="B32" s="678"/>
      <c r="C32" s="678"/>
      <c r="D32" s="678"/>
      <c r="E32" s="678"/>
    </row>
    <row r="33" spans="1:5">
      <c r="A33" s="678" t="s">
        <v>3475</v>
      </c>
      <c r="B33" s="678" t="s">
        <v>68</v>
      </c>
      <c r="C33" s="678"/>
      <c r="D33" s="678"/>
      <c r="E33" s="678"/>
    </row>
    <row r="34" spans="1:5" ht="41.4">
      <c r="A34" s="678"/>
      <c r="B34" s="83" t="s">
        <v>3476</v>
      </c>
      <c r="C34" s="83" t="s">
        <v>3477</v>
      </c>
      <c r="D34" s="83" t="s">
        <v>3478</v>
      </c>
      <c r="E34" s="83" t="s">
        <v>3416</v>
      </c>
    </row>
    <row r="35" spans="1:5" ht="55.2">
      <c r="A35" s="678"/>
      <c r="B35" s="83" t="s">
        <v>3479</v>
      </c>
      <c r="C35" s="83" t="s">
        <v>3425</v>
      </c>
      <c r="D35" s="83" t="s">
        <v>3471</v>
      </c>
      <c r="E35" s="83" t="s">
        <v>3427</v>
      </c>
    </row>
    <row r="36" spans="1:5">
      <c r="A36" s="678"/>
      <c r="B36" s="678" t="s">
        <v>991</v>
      </c>
      <c r="C36" s="678"/>
      <c r="D36" s="678"/>
      <c r="E36" s="678"/>
    </row>
    <row r="37" spans="1:5">
      <c r="A37" s="678"/>
      <c r="B37" s="83" t="s">
        <v>3480</v>
      </c>
      <c r="C37" s="83" t="s">
        <v>3432</v>
      </c>
      <c r="D37" s="83" t="s">
        <v>3416</v>
      </c>
      <c r="E37" s="83" t="s">
        <v>3459</v>
      </c>
    </row>
    <row r="38" spans="1:5">
      <c r="A38" s="678"/>
      <c r="B38" s="83" t="s">
        <v>3481</v>
      </c>
      <c r="C38" s="83" t="s">
        <v>3482</v>
      </c>
      <c r="D38" s="83" t="s">
        <v>3483</v>
      </c>
      <c r="E38" s="83" t="s">
        <v>3463</v>
      </c>
    </row>
    <row r="39" spans="1:5">
      <c r="A39" s="678"/>
      <c r="B39" s="83" t="s">
        <v>3484</v>
      </c>
      <c r="C39" s="83" t="s">
        <v>3485</v>
      </c>
      <c r="D39" s="83"/>
      <c r="E39" s="83"/>
    </row>
    <row r="40" spans="1:5">
      <c r="A40" s="678"/>
      <c r="B40" s="678"/>
      <c r="C40" s="678"/>
      <c r="D40" s="678"/>
      <c r="E40" s="678"/>
    </row>
    <row r="41" spans="1:5">
      <c r="A41" s="678" t="s">
        <v>3486</v>
      </c>
      <c r="B41" s="678" t="s">
        <v>68</v>
      </c>
      <c r="C41" s="678"/>
      <c r="D41" s="678"/>
      <c r="E41" s="678"/>
    </row>
    <row r="42" spans="1:5" ht="96.6">
      <c r="A42" s="678"/>
      <c r="B42" s="83" t="s">
        <v>3487</v>
      </c>
      <c r="C42" s="83" t="s">
        <v>3488</v>
      </c>
      <c r="D42" s="83" t="s">
        <v>3470</v>
      </c>
      <c r="E42" s="83" t="s">
        <v>3416</v>
      </c>
    </row>
    <row r="43" spans="1:5" ht="27.6">
      <c r="A43" s="678"/>
      <c r="B43" s="83" t="s">
        <v>3489</v>
      </c>
      <c r="C43" s="83" t="s">
        <v>3425</v>
      </c>
      <c r="D43" s="83" t="s">
        <v>3426</v>
      </c>
      <c r="E43" s="83" t="s">
        <v>3427</v>
      </c>
    </row>
    <row r="44" spans="1:5">
      <c r="A44" s="678"/>
      <c r="B44" s="678" t="s">
        <v>991</v>
      </c>
      <c r="C44" s="678"/>
      <c r="D44" s="678"/>
      <c r="E44" s="678"/>
    </row>
    <row r="45" spans="1:5" ht="26.7" customHeight="1">
      <c r="A45" s="678"/>
      <c r="B45" s="678" t="s">
        <v>3490</v>
      </c>
      <c r="C45" s="83" t="s">
        <v>3432</v>
      </c>
      <c r="D45" s="83" t="s">
        <v>3416</v>
      </c>
      <c r="E45" s="83" t="s">
        <v>3433</v>
      </c>
    </row>
    <row r="46" spans="1:5" ht="15" thickBot="1">
      <c r="A46" s="709"/>
      <c r="B46" s="709"/>
      <c r="C46" s="85" t="s">
        <v>3491</v>
      </c>
      <c r="D46" s="85" t="s">
        <v>3492</v>
      </c>
      <c r="E46" s="85" t="s">
        <v>3440</v>
      </c>
    </row>
    <row r="47" spans="1:5" ht="44.7" customHeight="1">
      <c r="A47" s="718" t="s">
        <v>3493</v>
      </c>
      <c r="B47" s="718"/>
      <c r="C47" s="718"/>
      <c r="D47" s="718"/>
      <c r="E47" s="718"/>
    </row>
    <row r="48" spans="1:5">
      <c r="A48" s="48"/>
      <c r="B48" s="48"/>
      <c r="C48" s="48"/>
      <c r="D48" s="48"/>
      <c r="E48" s="48"/>
    </row>
    <row r="51" spans="1:14" ht="18" thickBot="1">
      <c r="A51" s="43" t="s">
        <v>3494</v>
      </c>
    </row>
    <row r="52" spans="1:14" ht="15" thickTop="1"/>
    <row r="53" spans="1:14" ht="40.5" customHeight="1" thickBot="1">
      <c r="A53" s="707" t="s">
        <v>3495</v>
      </c>
      <c r="B53" s="707"/>
      <c r="C53" s="707"/>
      <c r="D53" s="707"/>
      <c r="E53" s="707"/>
      <c r="F53" s="707"/>
      <c r="I53" s="708" t="s">
        <v>3496</v>
      </c>
      <c r="J53" s="708"/>
      <c r="K53" s="708"/>
      <c r="L53" s="708"/>
      <c r="M53" s="708"/>
      <c r="N53" s="708"/>
    </row>
    <row r="54" spans="1:14" ht="28.2" thickBot="1">
      <c r="A54" s="100" t="s">
        <v>3399</v>
      </c>
      <c r="B54" s="81" t="s">
        <v>2118</v>
      </c>
      <c r="C54" s="81" t="s">
        <v>767</v>
      </c>
      <c r="D54" s="81" t="s">
        <v>1786</v>
      </c>
      <c r="E54" s="81" t="s">
        <v>3497</v>
      </c>
      <c r="F54" s="81" t="s">
        <v>3498</v>
      </c>
      <c r="I54" s="100" t="s">
        <v>3399</v>
      </c>
      <c r="J54" s="81" t="s">
        <v>2118</v>
      </c>
      <c r="K54" s="81" t="s">
        <v>767</v>
      </c>
      <c r="L54" s="81" t="s">
        <v>1786</v>
      </c>
      <c r="M54" s="81" t="s">
        <v>3497</v>
      </c>
      <c r="N54" s="81" t="s">
        <v>3498</v>
      </c>
    </row>
    <row r="55" spans="1:14" ht="55.2">
      <c r="A55" s="710" t="s">
        <v>1351</v>
      </c>
      <c r="B55" s="83" t="s">
        <v>3499</v>
      </c>
      <c r="C55" s="83" t="s">
        <v>3500</v>
      </c>
      <c r="D55" t="s">
        <v>3501</v>
      </c>
      <c r="E55" s="83" t="s">
        <v>3502</v>
      </c>
      <c r="F55" s="83" t="s">
        <v>3503</v>
      </c>
      <c r="I55" s="710" t="s">
        <v>1351</v>
      </c>
      <c r="J55" s="83" t="s">
        <v>3504</v>
      </c>
      <c r="K55" s="83" t="s">
        <v>3505</v>
      </c>
      <c r="L55" s="83" t="s">
        <v>1129</v>
      </c>
      <c r="M55" s="83" t="s">
        <v>1129</v>
      </c>
      <c r="N55" s="83" t="s">
        <v>3506</v>
      </c>
    </row>
    <row r="56" spans="1:14" ht="96.6">
      <c r="A56" s="678"/>
      <c r="B56" s="83" t="s">
        <v>3507</v>
      </c>
      <c r="C56" s="83" t="s">
        <v>3508</v>
      </c>
      <c r="D56" t="s">
        <v>3509</v>
      </c>
      <c r="E56" s="83" t="s">
        <v>3510</v>
      </c>
      <c r="F56" s="83" t="s">
        <v>3511</v>
      </c>
      <c r="I56" s="678"/>
      <c r="J56" s="83" t="s">
        <v>3499</v>
      </c>
      <c r="K56" s="83" t="s">
        <v>3512</v>
      </c>
      <c r="L56" t="s">
        <v>3513</v>
      </c>
      <c r="M56" s="83" t="s">
        <v>3514</v>
      </c>
      <c r="N56" s="83" t="s">
        <v>3503</v>
      </c>
    </row>
    <row r="57" spans="1:14" ht="110.4">
      <c r="A57" s="678"/>
      <c r="B57" s="83" t="s">
        <v>3515</v>
      </c>
      <c r="C57" s="83" t="s">
        <v>3516</v>
      </c>
      <c r="D57" s="83" t="s">
        <v>3517</v>
      </c>
      <c r="E57" s="83" t="s">
        <v>3518</v>
      </c>
      <c r="F57" s="83" t="s">
        <v>3519</v>
      </c>
      <c r="I57" s="678"/>
      <c r="J57" s="83" t="s">
        <v>3520</v>
      </c>
      <c r="K57" s="83" t="s">
        <v>3521</v>
      </c>
      <c r="L57" t="s">
        <v>3513</v>
      </c>
      <c r="M57" s="83" t="s">
        <v>1129</v>
      </c>
      <c r="N57" s="83" t="s">
        <v>3522</v>
      </c>
    </row>
    <row r="58" spans="1:14" ht="42" thickBot="1">
      <c r="A58" s="84" t="s">
        <v>1747</v>
      </c>
      <c r="B58" s="85" t="s">
        <v>3523</v>
      </c>
      <c r="C58" s="85" t="s">
        <v>3524</v>
      </c>
      <c r="D58" s="85" t="s">
        <v>1129</v>
      </c>
      <c r="E58" s="85" t="s">
        <v>3525</v>
      </c>
      <c r="F58" s="85" t="s">
        <v>1129</v>
      </c>
      <c r="I58" s="678"/>
      <c r="J58" s="83" t="s">
        <v>3520</v>
      </c>
      <c r="K58" s="83" t="s">
        <v>3521</v>
      </c>
      <c r="L58" t="s">
        <v>3513</v>
      </c>
      <c r="M58" s="83" t="s">
        <v>1129</v>
      </c>
      <c r="N58" s="83" t="s">
        <v>3526</v>
      </c>
    </row>
    <row r="59" spans="1:14" ht="15" thickBot="1">
      <c r="A59" s="711" t="s">
        <v>3527</v>
      </c>
      <c r="B59" s="711"/>
      <c r="C59" s="711"/>
      <c r="D59" s="711"/>
      <c r="E59" s="711"/>
      <c r="F59" s="711"/>
      <c r="I59" s="678" t="s">
        <v>1747</v>
      </c>
      <c r="J59" s="83" t="s">
        <v>1129</v>
      </c>
      <c r="K59" s="83" t="s">
        <v>1129</v>
      </c>
      <c r="L59" s="83" t="s">
        <v>1129</v>
      </c>
      <c r="M59" s="83" t="s">
        <v>1129</v>
      </c>
      <c r="N59" s="83" t="s">
        <v>1129</v>
      </c>
    </row>
    <row r="60" spans="1:14" ht="15" thickBot="1">
      <c r="A60" s="102"/>
      <c r="B60" s="103"/>
      <c r="C60" s="103"/>
      <c r="D60" s="103"/>
      <c r="E60" s="103"/>
      <c r="F60" s="103"/>
      <c r="I60" s="678"/>
      <c r="J60" s="83" t="s">
        <v>3528</v>
      </c>
      <c r="K60" s="83" t="s">
        <v>3529</v>
      </c>
      <c r="L60" t="s">
        <v>3513</v>
      </c>
      <c r="M60" s="83"/>
      <c r="N60" s="83" t="s">
        <v>1129</v>
      </c>
    </row>
    <row r="61" spans="1:14" ht="28.2" thickBot="1">
      <c r="A61" s="99"/>
      <c r="B61" s="48"/>
      <c r="C61" s="48"/>
      <c r="D61" s="48"/>
      <c r="E61" s="48"/>
      <c r="F61" s="48"/>
      <c r="I61" s="709"/>
      <c r="J61" s="85" t="s">
        <v>3530</v>
      </c>
      <c r="K61" s="85" t="s">
        <v>3531</v>
      </c>
      <c r="L61" t="s">
        <v>3513</v>
      </c>
      <c r="M61" s="85"/>
      <c r="N61" s="85" t="s">
        <v>1129</v>
      </c>
    </row>
    <row r="62" spans="1:14" ht="37.950000000000003" customHeight="1" thickBot="1">
      <c r="A62" s="707" t="s">
        <v>3532</v>
      </c>
      <c r="B62" s="707"/>
      <c r="C62" s="707"/>
      <c r="D62" s="707"/>
      <c r="E62" s="707"/>
      <c r="F62" s="707"/>
      <c r="I62" s="713" t="s">
        <v>3533</v>
      </c>
      <c r="J62" s="713"/>
      <c r="K62" s="713"/>
      <c r="L62" s="713"/>
      <c r="M62" s="713"/>
      <c r="N62" s="713"/>
    </row>
    <row r="63" spans="1:14" ht="15" thickBot="1">
      <c r="A63" s="100" t="s">
        <v>3399</v>
      </c>
      <c r="B63" s="81" t="s">
        <v>2118</v>
      </c>
      <c r="C63" s="81" t="s">
        <v>767</v>
      </c>
      <c r="D63" s="81" t="s">
        <v>1786</v>
      </c>
      <c r="E63" s="81" t="s">
        <v>3497</v>
      </c>
      <c r="F63" s="81" t="s">
        <v>3498</v>
      </c>
      <c r="J63" s="48"/>
      <c r="K63" s="48"/>
      <c r="L63" s="48"/>
      <c r="M63" s="48"/>
      <c r="N63" s="48"/>
    </row>
    <row r="64" spans="1:14" ht="15" thickBot="1">
      <c r="A64" s="710" t="s">
        <v>1351</v>
      </c>
      <c r="B64" s="83" t="s">
        <v>3523</v>
      </c>
      <c r="C64" s="83" t="s">
        <v>3524</v>
      </c>
      <c r="D64" s="83" t="s">
        <v>1129</v>
      </c>
      <c r="E64" s="83" t="s">
        <v>1129</v>
      </c>
      <c r="F64" s="83" t="s">
        <v>3506</v>
      </c>
      <c r="I64" s="99"/>
      <c r="J64" s="48"/>
      <c r="K64" s="48"/>
      <c r="L64" s="48"/>
      <c r="M64" s="48"/>
      <c r="N64" s="48"/>
    </row>
    <row r="65" spans="1:14" ht="42" thickBot="1">
      <c r="A65" s="678"/>
      <c r="B65" s="83" t="s">
        <v>3499</v>
      </c>
      <c r="C65" s="83" t="s">
        <v>3534</v>
      </c>
      <c r="D65" t="s">
        <v>3501</v>
      </c>
      <c r="E65" s="83" t="s">
        <v>3535</v>
      </c>
      <c r="F65" s="83" t="s">
        <v>3503</v>
      </c>
      <c r="I65" s="708" t="s">
        <v>3536</v>
      </c>
      <c r="J65" s="708"/>
      <c r="K65" s="708"/>
      <c r="L65" s="708"/>
      <c r="M65" s="708"/>
      <c r="N65" s="708"/>
    </row>
    <row r="66" spans="1:14" ht="28.2" thickBot="1">
      <c r="A66" s="678" t="s">
        <v>1747</v>
      </c>
      <c r="B66" s="83" t="s">
        <v>3537</v>
      </c>
      <c r="C66" s="83" t="s">
        <v>3538</v>
      </c>
      <c r="D66" t="s">
        <v>3509</v>
      </c>
      <c r="E66" s="83" t="s">
        <v>3539</v>
      </c>
      <c r="F66" s="83" t="s">
        <v>3540</v>
      </c>
      <c r="I66" s="100" t="s">
        <v>3399</v>
      </c>
      <c r="J66" s="81" t="s">
        <v>2118</v>
      </c>
      <c r="K66" s="81" t="s">
        <v>767</v>
      </c>
      <c r="L66" s="81" t="s">
        <v>1786</v>
      </c>
      <c r="M66" s="81" t="s">
        <v>3497</v>
      </c>
      <c r="N66" s="81" t="s">
        <v>3498</v>
      </c>
    </row>
    <row r="67" spans="1:14" ht="27.6">
      <c r="A67" s="678"/>
      <c r="B67" s="83" t="s">
        <v>3541</v>
      </c>
      <c r="C67" s="83" t="s">
        <v>3542</v>
      </c>
      <c r="D67" s="83" t="s">
        <v>1129</v>
      </c>
      <c r="E67" s="83" t="s">
        <v>3543</v>
      </c>
      <c r="F67" s="83" t="s">
        <v>3544</v>
      </c>
      <c r="I67" s="715" t="s">
        <v>3545</v>
      </c>
      <c r="J67" s="715"/>
      <c r="K67" s="715"/>
      <c r="L67" s="715"/>
      <c r="M67" s="715"/>
      <c r="N67" s="715"/>
    </row>
    <row r="68" spans="1:14" ht="55.8" thickBot="1">
      <c r="A68" s="709"/>
      <c r="B68" s="85" t="s">
        <v>3546</v>
      </c>
      <c r="C68" s="85" t="s">
        <v>3547</v>
      </c>
      <c r="D68" s="85" t="s">
        <v>3548</v>
      </c>
      <c r="E68" s="85" t="s">
        <v>3549</v>
      </c>
      <c r="F68" s="85" t="s">
        <v>1129</v>
      </c>
      <c r="I68" s="678" t="s">
        <v>1351</v>
      </c>
      <c r="J68" s="83" t="s">
        <v>3528</v>
      </c>
      <c r="K68" s="83" t="s">
        <v>3529</v>
      </c>
      <c r="L68" s="83" t="s">
        <v>1129</v>
      </c>
      <c r="M68" s="83" t="s">
        <v>1129</v>
      </c>
      <c r="N68" s="83" t="s">
        <v>3506</v>
      </c>
    </row>
    <row r="69" spans="1:14" ht="55.8" thickBot="1">
      <c r="A69" s="714" t="s">
        <v>3550</v>
      </c>
      <c r="B69" s="714"/>
      <c r="C69" s="714"/>
      <c r="D69" s="714"/>
      <c r="E69" s="714"/>
      <c r="F69" s="714"/>
      <c r="I69" s="678"/>
      <c r="J69" s="83" t="s">
        <v>3551</v>
      </c>
      <c r="K69" s="83" t="s">
        <v>3552</v>
      </c>
      <c r="L69" t="s">
        <v>3513</v>
      </c>
      <c r="M69" s="83" t="s">
        <v>1129</v>
      </c>
      <c r="N69" s="83" t="s">
        <v>3553</v>
      </c>
    </row>
    <row r="70" spans="1:14" ht="28.2" thickBot="1">
      <c r="A70" s="101"/>
      <c r="B70" s="5"/>
      <c r="C70" s="5"/>
      <c r="D70" s="5"/>
      <c r="E70" s="5"/>
      <c r="F70" s="5"/>
      <c r="I70" s="83" t="s">
        <v>1747</v>
      </c>
      <c r="J70" s="83" t="s">
        <v>3554</v>
      </c>
      <c r="K70" s="83" t="s">
        <v>3529</v>
      </c>
      <c r="L70" t="s">
        <v>3513</v>
      </c>
      <c r="M70" s="83" t="s">
        <v>1129</v>
      </c>
      <c r="N70" s="83" t="s">
        <v>3540</v>
      </c>
    </row>
    <row r="71" spans="1:14" ht="15" thickBot="1">
      <c r="A71" s="99"/>
      <c r="B71" s="48"/>
      <c r="C71" s="48"/>
      <c r="D71" s="48"/>
      <c r="E71" s="48"/>
      <c r="F71" s="48"/>
      <c r="I71" s="716" t="s">
        <v>3555</v>
      </c>
      <c r="J71" s="716"/>
      <c r="K71" s="716"/>
      <c r="L71" s="716"/>
      <c r="M71" s="716"/>
      <c r="N71" s="716"/>
    </row>
    <row r="72" spans="1:14" ht="35.700000000000003" customHeight="1" thickBot="1">
      <c r="A72" s="708" t="s">
        <v>3556</v>
      </c>
      <c r="B72" s="708"/>
      <c r="C72" s="708"/>
      <c r="D72" s="708"/>
      <c r="E72" s="708"/>
      <c r="F72" s="708"/>
      <c r="I72" s="678" t="s">
        <v>1351</v>
      </c>
      <c r="J72" s="83" t="s">
        <v>3504</v>
      </c>
      <c r="K72" s="83" t="s">
        <v>3531</v>
      </c>
      <c r="L72" s="83" t="s">
        <v>1129</v>
      </c>
      <c r="M72" s="83" t="s">
        <v>1129</v>
      </c>
      <c r="N72" s="83" t="s">
        <v>3506</v>
      </c>
    </row>
    <row r="73" spans="1:14" ht="28.2" thickBot="1">
      <c r="A73" s="100" t="s">
        <v>3399</v>
      </c>
      <c r="B73" s="81" t="s">
        <v>2118</v>
      </c>
      <c r="C73" s="81" t="s">
        <v>767</v>
      </c>
      <c r="D73" s="81" t="s">
        <v>1786</v>
      </c>
      <c r="E73" s="81" t="s">
        <v>3497</v>
      </c>
      <c r="F73" s="81" t="s">
        <v>3498</v>
      </c>
      <c r="I73" s="678"/>
      <c r="J73" s="83" t="s">
        <v>3499</v>
      </c>
      <c r="K73" s="83" t="s">
        <v>3557</v>
      </c>
      <c r="L73" t="s">
        <v>3501</v>
      </c>
      <c r="M73" s="83" t="s">
        <v>3558</v>
      </c>
      <c r="N73" s="83" t="s">
        <v>3503</v>
      </c>
    </row>
    <row r="74" spans="1:14" ht="82.8">
      <c r="A74" s="710" t="s">
        <v>1351</v>
      </c>
      <c r="B74" s="83" t="s">
        <v>3546</v>
      </c>
      <c r="C74" s="83" t="s">
        <v>3547</v>
      </c>
      <c r="D74" s="83" t="s">
        <v>1129</v>
      </c>
      <c r="E74" s="83" t="s">
        <v>1129</v>
      </c>
      <c r="F74" s="83" t="s">
        <v>3506</v>
      </c>
      <c r="I74" s="678"/>
      <c r="J74" s="83" t="s">
        <v>3559</v>
      </c>
      <c r="K74" s="83" t="s">
        <v>3560</v>
      </c>
      <c r="L74" s="83" t="s">
        <v>3561</v>
      </c>
      <c r="M74" s="83" t="s">
        <v>3562</v>
      </c>
      <c r="N74" s="83" t="s">
        <v>3519</v>
      </c>
    </row>
    <row r="75" spans="1:14" ht="41.4">
      <c r="A75" s="678"/>
      <c r="B75" s="83" t="s">
        <v>3563</v>
      </c>
      <c r="C75" s="83" t="s">
        <v>3505</v>
      </c>
      <c r="D75" t="s">
        <v>3513</v>
      </c>
      <c r="E75" s="83" t="s">
        <v>3564</v>
      </c>
      <c r="F75" s="83" t="s">
        <v>3565</v>
      </c>
      <c r="I75" s="83" t="s">
        <v>1747</v>
      </c>
      <c r="J75" s="83" t="s">
        <v>3504</v>
      </c>
      <c r="K75" s="83" t="s">
        <v>3531</v>
      </c>
      <c r="L75" s="83" t="s">
        <v>1129</v>
      </c>
      <c r="M75" s="83" t="s">
        <v>1129</v>
      </c>
      <c r="N75" s="83" t="s">
        <v>1129</v>
      </c>
    </row>
    <row r="76" spans="1:14" ht="55.2">
      <c r="A76" s="678"/>
      <c r="B76" s="83" t="s">
        <v>3566</v>
      </c>
      <c r="C76" s="83" t="s">
        <v>3567</v>
      </c>
      <c r="D76" t="s">
        <v>3513</v>
      </c>
      <c r="E76" s="83" t="s">
        <v>3568</v>
      </c>
      <c r="F76" s="83" t="s">
        <v>3569</v>
      </c>
      <c r="I76" s="678" t="s">
        <v>3570</v>
      </c>
      <c r="J76" s="678"/>
      <c r="K76" s="678"/>
      <c r="L76" s="678"/>
      <c r="M76" s="678"/>
      <c r="N76" s="678"/>
    </row>
    <row r="77" spans="1:14" ht="41.4">
      <c r="A77" s="678"/>
      <c r="B77" s="83" t="s">
        <v>3571</v>
      </c>
      <c r="C77" s="83" t="s">
        <v>3572</v>
      </c>
      <c r="D77" s="83" t="s">
        <v>1129</v>
      </c>
      <c r="E77" s="83" t="s">
        <v>3573</v>
      </c>
      <c r="F77" s="83" t="s">
        <v>3574</v>
      </c>
      <c r="I77" s="678" t="s">
        <v>1351</v>
      </c>
      <c r="J77" s="83" t="s">
        <v>3504</v>
      </c>
      <c r="K77" s="83" t="s">
        <v>3531</v>
      </c>
      <c r="L77" s="83" t="s">
        <v>1129</v>
      </c>
      <c r="M77" s="83" t="s">
        <v>1129</v>
      </c>
      <c r="N77" s="83" t="s">
        <v>3506</v>
      </c>
    </row>
    <row r="78" spans="1:14" ht="27.6">
      <c r="A78" s="678"/>
      <c r="B78" s="83" t="s">
        <v>331</v>
      </c>
      <c r="C78" s="83" t="s">
        <v>1129</v>
      </c>
      <c r="D78" s="83" t="s">
        <v>1129</v>
      </c>
      <c r="E78" s="83" t="s">
        <v>1129</v>
      </c>
      <c r="F78" s="83" t="s">
        <v>3511</v>
      </c>
      <c r="I78" s="678"/>
      <c r="J78" s="83" t="s">
        <v>3499</v>
      </c>
      <c r="K78" s="83" t="s">
        <v>3575</v>
      </c>
      <c r="L78" t="s">
        <v>3513</v>
      </c>
      <c r="M78" s="83" t="s">
        <v>1129</v>
      </c>
      <c r="N78" s="83" t="s">
        <v>3503</v>
      </c>
    </row>
    <row r="79" spans="1:14" ht="55.2">
      <c r="A79" s="678"/>
      <c r="B79" s="83" t="s">
        <v>3576</v>
      </c>
      <c r="C79" s="83" t="s">
        <v>3577</v>
      </c>
      <c r="D79" t="s">
        <v>3513</v>
      </c>
      <c r="E79" s="83" t="s">
        <v>3578</v>
      </c>
      <c r="F79" s="83" t="s">
        <v>3579</v>
      </c>
      <c r="I79" s="678" t="s">
        <v>1747</v>
      </c>
      <c r="J79" s="83" t="s">
        <v>3580</v>
      </c>
      <c r="K79" s="83" t="s">
        <v>3581</v>
      </c>
      <c r="L79" t="s">
        <v>3513</v>
      </c>
      <c r="M79" s="83" t="s">
        <v>1129</v>
      </c>
      <c r="N79" s="83" t="s">
        <v>3544</v>
      </c>
    </row>
    <row r="80" spans="1:14" ht="55.8" thickBot="1">
      <c r="A80" s="678"/>
      <c r="B80" s="83" t="s">
        <v>3499</v>
      </c>
      <c r="C80" s="83" t="s">
        <v>3582</v>
      </c>
      <c r="D80" t="s">
        <v>3513</v>
      </c>
      <c r="E80" s="83" t="s">
        <v>3583</v>
      </c>
      <c r="F80" s="83" t="s">
        <v>3503</v>
      </c>
      <c r="I80" s="709"/>
      <c r="J80" s="85" t="s">
        <v>3584</v>
      </c>
      <c r="K80" s="85" t="s">
        <v>3585</v>
      </c>
      <c r="L80" t="s">
        <v>3513</v>
      </c>
      <c r="M80" s="85" t="s">
        <v>1129</v>
      </c>
      <c r="N80" s="85" t="s">
        <v>1129</v>
      </c>
    </row>
    <row r="81" spans="1:14" ht="27.6">
      <c r="A81" s="678" t="s">
        <v>1747</v>
      </c>
      <c r="B81" s="83" t="s">
        <v>92</v>
      </c>
      <c r="C81" s="83" t="s">
        <v>3586</v>
      </c>
      <c r="D81" s="83" t="s">
        <v>3587</v>
      </c>
      <c r="E81" s="83" t="s">
        <v>3588</v>
      </c>
      <c r="F81" s="83" t="s">
        <v>3589</v>
      </c>
      <c r="I81" s="712" t="s">
        <v>3590</v>
      </c>
      <c r="J81" s="712"/>
      <c r="K81" s="712"/>
      <c r="L81" s="712"/>
      <c r="M81" s="712"/>
      <c r="N81" s="712"/>
    </row>
    <row r="82" spans="1:14" ht="15" thickBot="1">
      <c r="A82" s="709"/>
      <c r="B82" s="85" t="s">
        <v>3504</v>
      </c>
      <c r="C82" s="85" t="s">
        <v>3505</v>
      </c>
      <c r="D82" s="85" t="s">
        <v>1129</v>
      </c>
      <c r="E82" s="85" t="s">
        <v>1129</v>
      </c>
      <c r="F82" s="85" t="s">
        <v>1129</v>
      </c>
    </row>
    <row r="83" spans="1:14">
      <c r="A83" s="714" t="s">
        <v>3591</v>
      </c>
      <c r="B83" s="714"/>
      <c r="C83" s="714"/>
      <c r="D83" s="714"/>
      <c r="E83" s="714"/>
      <c r="F83" s="714"/>
    </row>
    <row r="84" spans="1:14" ht="15" thickBot="1">
      <c r="B84" s="48"/>
      <c r="C84" s="48"/>
      <c r="D84" s="48"/>
      <c r="E84" s="48"/>
      <c r="F84" s="48"/>
    </row>
    <row r="85" spans="1:14" ht="15" thickBot="1">
      <c r="A85" s="99"/>
      <c r="B85" s="48"/>
      <c r="C85" s="48"/>
      <c r="D85" s="48"/>
      <c r="E85" s="48"/>
      <c r="F85" s="48"/>
    </row>
    <row r="114" ht="37.950000000000003" customHeight="1"/>
  </sheetData>
  <mergeCells count="65">
    <mergeCell ref="A16:E16"/>
    <mergeCell ref="A9:A15"/>
    <mergeCell ref="B9:E9"/>
    <mergeCell ref="B10:B11"/>
    <mergeCell ref="B12:E12"/>
    <mergeCell ref="B13:B15"/>
    <mergeCell ref="B26:B27"/>
    <mergeCell ref="B28:E28"/>
    <mergeCell ref="B29:B31"/>
    <mergeCell ref="A32:E32"/>
    <mergeCell ref="A17:A23"/>
    <mergeCell ref="B17:E17"/>
    <mergeCell ref="B18:B19"/>
    <mergeCell ref="B20:E20"/>
    <mergeCell ref="B21:B23"/>
    <mergeCell ref="A24:E24"/>
    <mergeCell ref="A47:E47"/>
    <mergeCell ref="H11:H12"/>
    <mergeCell ref="I11:I12"/>
    <mergeCell ref="J11:J12"/>
    <mergeCell ref="L11:L12"/>
    <mergeCell ref="H23:Q26"/>
    <mergeCell ref="A33:A39"/>
    <mergeCell ref="B33:E33"/>
    <mergeCell ref="B36:E36"/>
    <mergeCell ref="A40:E40"/>
    <mergeCell ref="A41:A46"/>
    <mergeCell ref="B41:E41"/>
    <mergeCell ref="B44:E44"/>
    <mergeCell ref="B45:B46"/>
    <mergeCell ref="A25:A31"/>
    <mergeCell ref="B25:E25"/>
    <mergeCell ref="N11:N12"/>
    <mergeCell ref="O11:O12"/>
    <mergeCell ref="P11:P12"/>
    <mergeCell ref="Q11:Q12"/>
    <mergeCell ref="H13:H15"/>
    <mergeCell ref="I13:I15"/>
    <mergeCell ref="J13:J15"/>
    <mergeCell ref="Q13:Q15"/>
    <mergeCell ref="M11:M12"/>
    <mergeCell ref="I79:I80"/>
    <mergeCell ref="I81:N81"/>
    <mergeCell ref="I62:N62"/>
    <mergeCell ref="A83:F83"/>
    <mergeCell ref="A69:F69"/>
    <mergeCell ref="A62:F62"/>
    <mergeCell ref="I67:N67"/>
    <mergeCell ref="I68:I69"/>
    <mergeCell ref="I71:N71"/>
    <mergeCell ref="I72:I74"/>
    <mergeCell ref="I76:N76"/>
    <mergeCell ref="A64:A65"/>
    <mergeCell ref="A66:A68"/>
    <mergeCell ref="A74:A80"/>
    <mergeCell ref="A81:A82"/>
    <mergeCell ref="A53:F53"/>
    <mergeCell ref="I53:N53"/>
    <mergeCell ref="I65:N65"/>
    <mergeCell ref="A72:F72"/>
    <mergeCell ref="I77:I78"/>
    <mergeCell ref="I59:I61"/>
    <mergeCell ref="A55:A57"/>
    <mergeCell ref="I55:I58"/>
    <mergeCell ref="A59:F5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FC57-1B57-4B1D-A2DE-7123CD7B0D01}">
  <dimension ref="A1"/>
  <sheetViews>
    <sheetView workbookViewId="0">
      <selection activeCell="D13" sqref="D13"/>
    </sheetView>
  </sheetViews>
  <sheetFormatPr defaultRowHeight="14.4"/>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3E711-4C32-48CF-AEFD-53224D3A5FDA}">
  <dimension ref="A1:AJ18"/>
  <sheetViews>
    <sheetView topLeftCell="B1" workbookViewId="0">
      <selection activeCell="D13" sqref="D13"/>
    </sheetView>
  </sheetViews>
  <sheetFormatPr defaultRowHeight="15" customHeight="1"/>
  <cols>
    <col min="2" max="2" width="23.44140625" customWidth="1"/>
    <col min="3" max="3" width="14.6640625" customWidth="1"/>
    <col min="5" max="6" width="14.6640625" customWidth="1"/>
    <col min="7" max="7" width="21.33203125" customWidth="1"/>
    <col min="8" max="8" width="20.5546875" customWidth="1"/>
    <col min="9" max="10" width="18.33203125" customWidth="1"/>
    <col min="11" max="11" width="20.5546875" customWidth="1"/>
    <col min="12" max="12" width="19" customWidth="1"/>
    <col min="13" max="13" width="16.6640625" customWidth="1"/>
    <col min="18" max="19" width="12.5546875" customWidth="1"/>
    <col min="20" max="20" width="15.6640625" customWidth="1"/>
    <col min="21" max="29" width="9.5546875" customWidth="1"/>
  </cols>
  <sheetData>
    <row r="1" spans="1:36" ht="14.4">
      <c r="J1" s="74"/>
    </row>
    <row r="2" spans="1:36" ht="21">
      <c r="A2" s="2" t="s">
        <v>3592</v>
      </c>
    </row>
    <row r="3" spans="1:36" ht="43.2">
      <c r="E3" s="274" t="s">
        <v>3593</v>
      </c>
      <c r="F3" s="272" t="s">
        <v>3594</v>
      </c>
      <c r="G3" s="274" t="s">
        <v>3595</v>
      </c>
      <c r="H3" s="272" t="s">
        <v>3596</v>
      </c>
      <c r="I3" s="721" t="s">
        <v>3597</v>
      </c>
      <c r="J3" s="721"/>
      <c r="K3" s="272"/>
      <c r="L3" s="721" t="s">
        <v>3598</v>
      </c>
      <c r="M3" s="721"/>
      <c r="N3" s="721"/>
      <c r="O3" s="721"/>
      <c r="P3" s="721"/>
      <c r="Q3" s="721"/>
      <c r="R3" s="721"/>
      <c r="S3" s="721"/>
      <c r="T3" s="721"/>
      <c r="U3" s="722" t="s">
        <v>3599</v>
      </c>
      <c r="V3" s="722"/>
      <c r="W3" s="722"/>
      <c r="X3" s="722"/>
      <c r="Y3" s="722"/>
      <c r="Z3" s="722"/>
      <c r="AA3" s="722"/>
      <c r="AB3" s="722"/>
      <c r="AC3" s="722"/>
      <c r="AD3" s="722"/>
      <c r="AE3" s="722"/>
      <c r="AF3" s="722"/>
      <c r="AG3" s="722"/>
      <c r="AH3" s="722"/>
      <c r="AI3" s="239" t="s">
        <v>3600</v>
      </c>
      <c r="AJ3" s="239" t="s">
        <v>3601</v>
      </c>
    </row>
    <row r="4" spans="1:36" ht="57.6">
      <c r="A4" s="207" t="s">
        <v>3602</v>
      </c>
      <c r="B4" s="208"/>
      <c r="C4" s="208"/>
      <c r="D4" s="209"/>
      <c r="E4" s="281" t="s">
        <v>3603</v>
      </c>
      <c r="F4" s="281" t="s">
        <v>3604</v>
      </c>
      <c r="G4" s="281" t="s">
        <v>3605</v>
      </c>
      <c r="H4" s="281" t="s">
        <v>3606</v>
      </c>
      <c r="I4" s="210" t="s">
        <v>3607</v>
      </c>
      <c r="J4" s="210" t="s">
        <v>3608</v>
      </c>
      <c r="K4" s="281" t="s">
        <v>3609</v>
      </c>
      <c r="L4" s="211" t="s">
        <v>3610</v>
      </c>
      <c r="M4" s="212"/>
      <c r="N4" s="211" t="s">
        <v>69</v>
      </c>
      <c r="O4" s="213"/>
      <c r="P4" s="214" t="s">
        <v>70</v>
      </c>
      <c r="Q4" s="213"/>
      <c r="R4" s="213"/>
      <c r="S4" s="213"/>
      <c r="T4" s="215" t="s">
        <v>71</v>
      </c>
      <c r="U4" s="243" t="s">
        <v>68</v>
      </c>
      <c r="V4" s="244"/>
      <c r="W4" s="243" t="s">
        <v>69</v>
      </c>
      <c r="X4" s="245"/>
      <c r="Y4" s="14" t="s">
        <v>70</v>
      </c>
      <c r="Z4" s="245"/>
      <c r="AA4" s="245"/>
      <c r="AB4" s="245"/>
      <c r="AC4" s="14" t="s">
        <v>71</v>
      </c>
      <c r="AD4" s="14" t="s">
        <v>73</v>
      </c>
      <c r="AE4" s="246"/>
      <c r="AF4" s="246"/>
      <c r="AG4" s="247"/>
      <c r="AH4" s="247"/>
      <c r="AI4" s="248"/>
      <c r="AJ4" s="248"/>
    </row>
    <row r="5" spans="1:36" ht="72">
      <c r="A5" s="216" t="s">
        <v>13</v>
      </c>
      <c r="B5" s="217" t="s">
        <v>103</v>
      </c>
      <c r="C5" s="217" t="s">
        <v>3611</v>
      </c>
      <c r="D5" s="218"/>
      <c r="E5" s="273" t="s">
        <v>3612</v>
      </c>
      <c r="F5" s="273" t="s">
        <v>3613</v>
      </c>
      <c r="G5" s="273" t="s">
        <v>480</v>
      </c>
      <c r="H5" s="273" t="s">
        <v>480</v>
      </c>
      <c r="I5" s="273" t="s">
        <v>480</v>
      </c>
      <c r="J5" s="273" t="s">
        <v>480</v>
      </c>
      <c r="K5" s="273" t="s">
        <v>480</v>
      </c>
      <c r="L5" s="220" t="s">
        <v>3614</v>
      </c>
      <c r="M5" s="23" t="s">
        <v>3615</v>
      </c>
      <c r="N5" s="220" t="s">
        <v>78</v>
      </c>
      <c r="O5" s="23" t="s">
        <v>79</v>
      </c>
      <c r="P5" s="220" t="s">
        <v>80</v>
      </c>
      <c r="Q5" s="23" t="s">
        <v>81</v>
      </c>
      <c r="R5" s="23" t="s">
        <v>82</v>
      </c>
      <c r="S5" s="23" t="s">
        <v>3616</v>
      </c>
      <c r="T5" s="221" t="s">
        <v>84</v>
      </c>
      <c r="U5" s="23" t="s">
        <v>3617</v>
      </c>
      <c r="V5" s="23" t="s">
        <v>77</v>
      </c>
      <c r="W5" s="23" t="s">
        <v>3618</v>
      </c>
      <c r="X5" s="23" t="s">
        <v>3619</v>
      </c>
      <c r="Y5" s="23" t="s">
        <v>80</v>
      </c>
      <c r="Z5" s="23" t="s">
        <v>81</v>
      </c>
      <c r="AA5" s="23" t="s">
        <v>82</v>
      </c>
      <c r="AB5" s="23" t="s">
        <v>3616</v>
      </c>
      <c r="AC5" s="23" t="s">
        <v>84</v>
      </c>
      <c r="AD5" s="23" t="s">
        <v>85</v>
      </c>
      <c r="AE5" s="252" t="s">
        <v>3620</v>
      </c>
      <c r="AF5" s="252" t="s">
        <v>87</v>
      </c>
      <c r="AG5" s="253" t="s">
        <v>88</v>
      </c>
      <c r="AH5" s="253" t="s">
        <v>89</v>
      </c>
      <c r="AI5" s="23" t="s">
        <v>90</v>
      </c>
      <c r="AJ5" s="23" t="s">
        <v>91</v>
      </c>
    </row>
    <row r="6" spans="1:36" ht="14.4">
      <c r="A6" s="1" t="s">
        <v>32</v>
      </c>
      <c r="B6" s="1" t="s">
        <v>33</v>
      </c>
      <c r="C6" s="1" t="s">
        <v>34</v>
      </c>
      <c r="E6" s="282">
        <f>0.95*F6</f>
        <v>4.6360000000000001</v>
      </c>
      <c r="F6" s="282">
        <f>'Inputs - Cultured Meat'!L23</f>
        <v>4.88</v>
      </c>
      <c r="G6" s="289" t="e">
        <f>I6+L6+M6+N6+O6+P6+R6+S6</f>
        <v>#REF!</v>
      </c>
      <c r="H6" s="286" t="e">
        <f>SUM(I6:T6)</f>
        <v>#REF!</v>
      </c>
      <c r="I6" s="56">
        <f>'Novel foods CO2'!F6*CF_CO2+'Novel foods CH4'!G6*CF_CH4_foss+'Novel foods N2O'!G6*CF_N2O</f>
        <v>0.56017847540348287</v>
      </c>
      <c r="J6" s="176">
        <f>'Novel foods CO2'!G6*CF_CO2+'Novel foods CH4'!H6*CF_CH4_foss+'Novel foods N2O'!H6*CF_N2O</f>
        <v>0</v>
      </c>
      <c r="K6" s="56">
        <f>'Novel foods CO2'!H6*CF_CO2+'Novel foods CH4'!I6*CF_CH4_foss+'Novel foods N2O'!I6*CF_N2O</f>
        <v>0.10549338879041592</v>
      </c>
      <c r="L6" t="e">
        <f>'Novel foods CO2'!I6*CF_CO2+'Novel foods CH4'!J6*CF_CH4_foss+'Novel foods N2O'!J6*CF_N2O</f>
        <v>#REF!</v>
      </c>
      <c r="M6" t="e">
        <f>'Novel foods CO2'!J6*CF_CO2+'Novel foods CH4'!K6*CF_CH4_foss+'Novel foods N2O'!K6*CF_N2O</f>
        <v>#REF!</v>
      </c>
      <c r="N6" t="e">
        <f>'Novel foods CO2'!K6*CF_CO2+'Novel foods CH4'!L6*CF_CH4_foss+'Novel foods N2O'!L6*CF_N2O</f>
        <v>#REF!</v>
      </c>
      <c r="O6" t="e">
        <f>'Novel foods CO2'!L6*CF_CO2+'Novel foods CH4'!M6*CF_CH4_foss+'Novel foods N2O'!M6*CF_N2O</f>
        <v>#REF!</v>
      </c>
      <c r="P6" t="e">
        <f>'Novel foods CO2'!M6*CF_CO2+'Novel foods CH4'!N6*CF_CH4_foss+'Novel foods N2O'!N6*CF_N2O</f>
        <v>#REF!</v>
      </c>
      <c r="Q6" t="e">
        <f>'Novel foods CO2'!N6*CF_CO2+'Novel foods CH4'!O6*CF_CH4_foss+'Novel foods N2O'!O6*CF_N2O</f>
        <v>#REF!</v>
      </c>
      <c r="R6" t="e">
        <f>'Novel foods CO2'!O6*CF_CO2+'Novel foods CH4'!P6*CF_CH4_foss+'Novel foods N2O'!P6*CF_N2O</f>
        <v>#REF!</v>
      </c>
      <c r="S6" t="e">
        <f>'Novel foods CO2'!P6*CF_CO2+'Novel foods CH4'!Q6*CF_CH4_foss+'Novel foods N2O'!Q6*CF_N2O</f>
        <v>#REF!</v>
      </c>
      <c r="T6" t="e">
        <f>'Novel foods CO2'!Q6*CF_CO2+'Novel foods CH4'!R6*CF_CH4_foss+'Novel foods N2O'!R6*CF_N2O</f>
        <v>#REF!</v>
      </c>
    </row>
    <row r="7" spans="1:36" ht="14.4">
      <c r="A7" s="1" t="s">
        <v>43</v>
      </c>
      <c r="B7" s="1" t="s">
        <v>44</v>
      </c>
      <c r="C7" s="1" t="s">
        <v>34</v>
      </c>
      <c r="E7" s="283">
        <f>'Inputs - Microbial Milk'!J25</f>
        <v>0.25</v>
      </c>
      <c r="F7" s="283">
        <f>'Inputs - Microbial Milk'!J26</f>
        <v>1.0900000000000001</v>
      </c>
      <c r="G7" s="289" t="e">
        <f t="shared" ref="G7:G11" si="0">SUM(I7:AJ7)</f>
        <v>#REF!</v>
      </c>
      <c r="H7" s="286" t="e">
        <f t="shared" ref="H7:H12" si="1">G7+E7</f>
        <v>#REF!</v>
      </c>
      <c r="I7" s="56">
        <f>'Novel foods CO2'!F7*CF_CO2+'Novel foods CH4'!G7*CF_CH4_foss+'Novel foods N2O'!G7*CF_N2O</f>
        <v>0.12944977505923777</v>
      </c>
      <c r="J7" s="56">
        <f>'Novel foods CO2'!G7*CF_CO2+'Novel foods CH4'!H7*CF_CH4_foss+'Novel foods N2O'!H7*CF_N2O</f>
        <v>0</v>
      </c>
      <c r="K7" s="56">
        <f>'Novel foods CO2'!H7*CF_CO2+'Novel foods CH4'!I7*CF_CH4_foss+'Novel foods N2O'!I7*CF_N2O</f>
        <v>0</v>
      </c>
      <c r="L7" t="e">
        <f>'Novel foods CO2'!I7*CF_CO2+'Novel foods CH4'!J7*CF_CH4_foss+'Novel foods N2O'!J7*CF_N2O</f>
        <v>#REF!</v>
      </c>
      <c r="M7" t="e">
        <f>'Novel foods CO2'!J7*CF_CO2+'Novel foods CH4'!K7*CF_CH4_foss+'Novel foods N2O'!K7*CF_N2O</f>
        <v>#REF!</v>
      </c>
      <c r="N7" t="e">
        <f>'Novel foods CO2'!K7*CF_CO2+'Novel foods CH4'!L7*CF_CH4_foss+'Novel foods N2O'!L7*CF_N2O</f>
        <v>#REF!</v>
      </c>
      <c r="O7" t="e">
        <f>'Novel foods CO2'!L7*CF_CO2+'Novel foods CH4'!M7*CF_CH4_foss+'Novel foods N2O'!M7*CF_N2O</f>
        <v>#REF!</v>
      </c>
      <c r="P7" t="e">
        <f>'Novel foods CO2'!M7*CF_CO2+'Novel foods CH4'!N7*CF_CH4_foss+'Novel foods N2O'!N7*CF_N2O</f>
        <v>#REF!</v>
      </c>
      <c r="Q7" t="e">
        <f>'Novel foods CO2'!N7*CF_CO2+'Novel foods CH4'!O7*CF_CH4_foss+'Novel foods N2O'!O7*CF_N2O</f>
        <v>#REF!</v>
      </c>
      <c r="R7" t="e">
        <f>'Novel foods CO2'!O7*CF_CO2+'Novel foods CH4'!P7*CF_CH4_foss+'Novel foods N2O'!P7*CF_N2O</f>
        <v>#REF!</v>
      </c>
      <c r="S7" t="e">
        <f>'Novel foods CO2'!P7*CF_CO2+'Novel foods CH4'!Q7*CF_CH4_foss+'Novel foods N2O'!Q7*CF_N2O</f>
        <v>#REF!</v>
      </c>
      <c r="T7" t="e">
        <f>'Novel foods CO2'!Q7*CF_CO2+'Novel foods CH4'!R7*CF_CH4_foss+'Novel foods N2O'!R7*CF_N2O</f>
        <v>#REF!</v>
      </c>
    </row>
    <row r="8" spans="1:36" ht="14.4">
      <c r="A8" s="1" t="s">
        <v>51</v>
      </c>
      <c r="B8" s="1" t="s">
        <v>52</v>
      </c>
      <c r="C8" s="1" t="s">
        <v>34</v>
      </c>
      <c r="E8" s="283">
        <f>'Input - Microbial Ovalbumin'!J28</f>
        <v>2.3997628682535646</v>
      </c>
      <c r="F8" s="283">
        <f>'Input - Microbial Ovalbumin'!J29</f>
        <v>9.5708442999999992</v>
      </c>
      <c r="G8" s="289" t="e">
        <f t="shared" si="0"/>
        <v>#REF!</v>
      </c>
      <c r="H8" s="286" t="e">
        <f t="shared" si="1"/>
        <v>#REF!</v>
      </c>
      <c r="I8" s="56">
        <f>'Novel foods CO2'!F8*CF_CO2+'Novel foods CH4'!G8*CF_CH4_foss+'Novel foods N2O'!G8*CF_N2O</f>
        <v>0.58024151335660057</v>
      </c>
      <c r="J8" s="56">
        <f>'Novel foods CO2'!G8*CF_CO2+'Novel foods CH4'!H8*CF_CH4_foss+'Novel foods N2O'!H8*CF_N2O</f>
        <v>0</v>
      </c>
      <c r="K8" s="56">
        <f>'Novel foods CO2'!H8*CF_CO2+'Novel foods CH4'!I8*CF_CH4_foss+'Novel foods N2O'!I8*CF_N2O</f>
        <v>0</v>
      </c>
      <c r="L8" t="e">
        <f>'Novel foods CO2'!I8*CF_CO2+'Novel foods CH4'!J8*CF_CH4_foss+'Novel foods N2O'!J8*CF_N2O</f>
        <v>#REF!</v>
      </c>
      <c r="M8" t="e">
        <f>'Novel foods CO2'!J8*CF_CO2+'Novel foods CH4'!K8*CF_CH4_foss+'Novel foods N2O'!K8*CF_N2O</f>
        <v>#REF!</v>
      </c>
      <c r="N8" t="e">
        <f>'Novel foods CO2'!K8*CF_CO2+'Novel foods CH4'!L8*CF_CH4_foss+'Novel foods N2O'!L8*CF_N2O</f>
        <v>#REF!</v>
      </c>
      <c r="O8" t="e">
        <f>'Novel foods CO2'!L8*CF_CO2+'Novel foods CH4'!M8*CF_CH4_foss+'Novel foods N2O'!M8*CF_N2O</f>
        <v>#REF!</v>
      </c>
      <c r="P8" t="e">
        <f>'Novel foods CO2'!M8*CF_CO2+'Novel foods CH4'!N8*CF_CH4_foss+'Novel foods N2O'!N8*CF_N2O</f>
        <v>#REF!</v>
      </c>
      <c r="Q8" t="e">
        <f>'Novel foods CO2'!N8*CF_CO2+'Novel foods CH4'!O8*CF_CH4_foss+'Novel foods N2O'!O8*CF_N2O</f>
        <v>#REF!</v>
      </c>
      <c r="R8" t="e">
        <f>'Novel foods CO2'!O8*CF_CO2+'Novel foods CH4'!P8*CF_CH4_foss+'Novel foods N2O'!P8*CF_N2O</f>
        <v>#REF!</v>
      </c>
      <c r="S8" t="e">
        <f>'Novel foods CO2'!P8*CF_CO2+'Novel foods CH4'!Q8*CF_CH4_foss+'Novel foods N2O'!Q8*CF_N2O</f>
        <v>#REF!</v>
      </c>
      <c r="T8" t="e">
        <f>'Novel foods CO2'!Q8*CF_CO2+'Novel foods CH4'!R8*CF_CH4_foss+'Novel foods N2O'!R8*CF_N2O</f>
        <v>#REF!</v>
      </c>
    </row>
    <row r="9" spans="1:36" ht="14.4">
      <c r="A9" s="1" t="s">
        <v>53</v>
      </c>
      <c r="B9" s="1" t="s">
        <v>54</v>
      </c>
      <c r="C9" s="1" t="s">
        <v>34</v>
      </c>
      <c r="E9" s="283">
        <f>'Input - Microbial Protein'!J36</f>
        <v>0.4280804748</v>
      </c>
      <c r="F9" s="283">
        <f>'Input - Microbial Protein'!J37</f>
        <v>8.3937348000000007</v>
      </c>
      <c r="G9" s="289">
        <f>SUM(I9:AJ9)</f>
        <v>1.6924239096600366</v>
      </c>
      <c r="H9" s="286">
        <f t="shared" si="1"/>
        <v>2.1205043844600366</v>
      </c>
      <c r="I9" s="56">
        <f>'Novel foods CO2'!F9*CF_CO2+'Novel foods CH4'!G9*CF_CH4_foss+'Novel foods N2O'!G9*CF_N2O</f>
        <v>1.6924239096600366</v>
      </c>
      <c r="J9" s="56">
        <f>'Novel foods CO2'!G9*CF_CO2+'Novel foods CH4'!H9*CF_CH4_foss+'Novel foods N2O'!H9*CF_N2O</f>
        <v>0</v>
      </c>
      <c r="K9" s="56">
        <f>'Novel foods CO2'!H9*CF_CO2+'Novel foods CH4'!I9*CF_CH4_foss+'Novel foods N2O'!I9*CF_N2O</f>
        <v>0</v>
      </c>
      <c r="L9">
        <f>'Novel foods CO2'!I9*CF_CO2+'Novel foods CH4'!J9*CF_CH4_foss+'Novel foods N2O'!J9*CF_N2O</f>
        <v>0</v>
      </c>
      <c r="M9">
        <f>'Novel foods CO2'!J9*CF_CO2+'Novel foods CH4'!K9*CF_CH4_foss+'Novel foods N2O'!K9*CF_N2O</f>
        <v>0</v>
      </c>
      <c r="N9">
        <f>'Novel foods CO2'!K9*CF_CO2+'Novel foods CH4'!L9*CF_CH4_foss+'Novel foods N2O'!L9*CF_N2O</f>
        <v>0</v>
      </c>
      <c r="O9">
        <f>'Novel foods CO2'!L9*CF_CO2+'Novel foods CH4'!M9*CF_CH4_foss+'Novel foods N2O'!M9*CF_N2O</f>
        <v>0</v>
      </c>
      <c r="P9">
        <f>'Novel foods CO2'!M9*CF_CO2+'Novel foods CH4'!N9*CF_CH4_foss+'Novel foods N2O'!N9*CF_N2O</f>
        <v>0</v>
      </c>
      <c r="Q9">
        <f>'Novel foods CO2'!N9*CF_CO2+'Novel foods CH4'!O9*CF_CH4_foss+'Novel foods N2O'!O9*CF_N2O</f>
        <v>0</v>
      </c>
      <c r="R9">
        <f>'Novel foods CO2'!O9*CF_CO2+'Novel foods CH4'!P9*CF_CH4_foss+'Novel foods N2O'!P9*CF_N2O</f>
        <v>0</v>
      </c>
      <c r="S9">
        <f>'Novel foods CO2'!P9*CF_CO2+'Novel foods CH4'!Q9*CF_CH4_foss+'Novel foods N2O'!Q9*CF_N2O</f>
        <v>0</v>
      </c>
      <c r="T9">
        <f>'Novel foods CO2'!Q9*CF_CO2+'Novel foods CH4'!R9*CF_CH4_foss+'Novel foods N2O'!R9*CF_N2O</f>
        <v>0</v>
      </c>
    </row>
    <row r="10" spans="1:36" ht="14.4">
      <c r="A10" s="1" t="s">
        <v>57</v>
      </c>
      <c r="B10" s="1" t="s">
        <v>58</v>
      </c>
      <c r="C10" s="1" t="s">
        <v>34</v>
      </c>
      <c r="E10" s="283">
        <f>'Input - Mycoprotein'!J20</f>
        <v>0.12</v>
      </c>
      <c r="F10" s="283">
        <f>'Input - Mycoprotein'!J21</f>
        <v>6</v>
      </c>
      <c r="G10" s="289" t="e">
        <f t="shared" si="0"/>
        <v>#REF!</v>
      </c>
      <c r="H10" s="286" t="e">
        <f t="shared" si="1"/>
        <v>#REF!</v>
      </c>
      <c r="I10" s="56">
        <f>'Novel foods CO2'!F10*CF_CO2+'Novel foods CH4'!G10*CF_CH4_foss+'Novel foods N2O'!G10*CF_N2O</f>
        <v>0.55437984939898144</v>
      </c>
      <c r="J10" s="56">
        <f>'Novel foods CO2'!G10*CF_CO2+'Novel foods CH4'!H10*CF_CH4_foss+'Novel foods N2O'!H10*CF_N2O</f>
        <v>0</v>
      </c>
      <c r="K10" s="56">
        <f>'Novel foods CO2'!H10*CF_CO2+'Novel foods CH4'!I10*CF_CH4_foss+'Novel foods N2O'!I10*CF_N2O</f>
        <v>0</v>
      </c>
      <c r="L10" t="e">
        <f>'Novel foods CO2'!I10*CF_CO2+'Novel foods CH4'!J10*CF_CH4_foss+'Novel foods N2O'!J10*CF_N2O</f>
        <v>#REF!</v>
      </c>
      <c r="M10" t="e">
        <f>'Novel foods CO2'!J10*CF_CO2+'Novel foods CH4'!K10*CF_CH4_foss+'Novel foods N2O'!K10*CF_N2O</f>
        <v>#REF!</v>
      </c>
      <c r="N10" t="e">
        <f>'Novel foods CO2'!K10*CF_CO2+'Novel foods CH4'!L10*CF_CH4_foss+'Novel foods N2O'!L10*CF_N2O</f>
        <v>#REF!</v>
      </c>
      <c r="O10" t="e">
        <f>'Novel foods CO2'!L10*CF_CO2+'Novel foods CH4'!M10*CF_CH4_foss+'Novel foods N2O'!M10*CF_N2O</f>
        <v>#REF!</v>
      </c>
      <c r="P10" t="e">
        <f>'Novel foods CO2'!M10*CF_CO2+'Novel foods CH4'!N10*CF_CH4_foss+'Novel foods N2O'!N10*CF_N2O</f>
        <v>#REF!</v>
      </c>
      <c r="Q10" t="e">
        <f>'Novel foods CO2'!N10*CF_CO2+'Novel foods CH4'!O10*CF_CH4_foss+'Novel foods N2O'!O10*CF_N2O</f>
        <v>#REF!</v>
      </c>
      <c r="R10" t="e">
        <f>'Novel foods CO2'!O10*CF_CO2+'Novel foods CH4'!P10*CF_CH4_foss+'Novel foods N2O'!P10*CF_N2O</f>
        <v>#REF!</v>
      </c>
      <c r="S10" t="e">
        <f>'Novel foods CO2'!P10*CF_CO2+'Novel foods CH4'!Q10*CF_CH4_foss+'Novel foods N2O'!Q10*CF_N2O</f>
        <v>#REF!</v>
      </c>
      <c r="T10" t="e">
        <f>'Novel foods CO2'!Q10*CF_CO2+'Novel foods CH4'!R10*CF_CH4_foss+'Novel foods N2O'!R10*CF_N2O</f>
        <v>#REF!</v>
      </c>
      <c r="U10" t="e">
        <f>'Novel foods CO2'!R10*CF_CO2+'Novel foods CH4'!S10*CF_CH4_foss+'Novel foods N2O'!S10*CF_N2O</f>
        <v>#REF!</v>
      </c>
      <c r="V10" t="e">
        <f>'Novel foods CO2'!S10*CF_CO2+'Novel foods CH4'!T10*CF_CH4_foss+'Novel foods N2O'!T10*CF_N2O</f>
        <v>#REF!</v>
      </c>
      <c r="W10" t="e">
        <f>'Novel foods CO2'!T10*CF_CO2+'Novel foods CH4'!U10*CF_CH4_foss+'Novel foods N2O'!U10*CF_N2O</f>
        <v>#REF!</v>
      </c>
      <c r="X10" t="e">
        <f>'Novel foods CO2'!U10*CF_CO2+'Novel foods CH4'!V10*CF_CH4_foss+'Novel foods N2O'!V10*CF_N2O</f>
        <v>#REF!</v>
      </c>
      <c r="Y10" t="e">
        <f>'Novel foods CO2'!V10*CF_CO2+'Novel foods CH4'!W10*CF_CH4_foss+'Novel foods N2O'!W10*CF_N2O</f>
        <v>#REF!</v>
      </c>
      <c r="Z10" t="e">
        <f>'Novel foods CO2'!W10*CF_CO2+'Novel foods CH4'!X10*CF_CH4_foss+'Novel foods N2O'!X10*CF_N2O</f>
        <v>#REF!</v>
      </c>
      <c r="AA10" t="e">
        <f>'Novel foods CO2'!X10*CF_CO2+'Novel foods CH4'!Y10*CF_CH4_foss+'Novel foods N2O'!Y10*CF_N2O</f>
        <v>#REF!</v>
      </c>
      <c r="AB10" t="e">
        <f>'Novel foods CO2'!Y10*CF_CO2+'Novel foods CH4'!Z10*CF_CH4_foss+'Novel foods N2O'!Z10*CF_N2O</f>
        <v>#REF!</v>
      </c>
      <c r="AC10" t="e">
        <f>'Novel foods CO2'!Z10*CF_CO2+'Novel foods CH4'!AA10*CF_CH4_foss+'Novel foods N2O'!AA10*CF_N2O</f>
        <v>#REF!</v>
      </c>
      <c r="AD10" t="e">
        <f>'Novel foods CO2'!AA10*CF_CO2+'Novel foods CH4'!AB10*CF_CH4_foss+'Novel foods N2O'!AB10*CF_N2O</f>
        <v>#REF!</v>
      </c>
      <c r="AE10" t="e">
        <f>'Novel foods CO2'!AB10*CF_CO2+'Novel foods CH4'!AC10*CF_CH4_foss+'Novel foods N2O'!AC10*CF_N2O</f>
        <v>#REF!</v>
      </c>
      <c r="AF10" t="e">
        <f>'Novel foods CO2'!AC10*CF_CO2+'Novel foods CH4'!AD10*CF_CH4_foss+'Novel foods N2O'!AD10*CF_N2O</f>
        <v>#REF!</v>
      </c>
      <c r="AG10" t="e">
        <f>'Novel foods CO2'!AD10*CF_CO2+'Novel foods CH4'!AE10*CF_CH4_foss+'Novel foods N2O'!AE10*CF_N2O</f>
        <v>#REF!</v>
      </c>
      <c r="AH10" t="e">
        <f>'Novel foods CO2'!AE10*CF_CO2+'Novel foods CH4'!AF10*CF_CH4_foss+'Novel foods N2O'!AF10*CF_N2O</f>
        <v>#REF!</v>
      </c>
      <c r="AI10" t="e">
        <f>'Novel foods CO2'!AF10*CF_CO2+'Novel foods CH4'!AG10*CF_CH4_foss+'Novel foods N2O'!AG10*CF_N2O</f>
        <v>#REF!</v>
      </c>
      <c r="AJ10" t="e">
        <f>'Novel foods CO2'!AG10*CF_CO2+'Novel foods CH4'!AH10*CF_CH4_foss+'Novel foods N2O'!AH10*CF_N2O</f>
        <v>#REF!</v>
      </c>
    </row>
    <row r="11" spans="1:36" ht="14.4">
      <c r="A11" s="73" t="s">
        <v>61</v>
      </c>
      <c r="B11" s="73" t="s">
        <v>62</v>
      </c>
      <c r="C11" s="73" t="s">
        <v>34</v>
      </c>
      <c r="E11" s="282"/>
      <c r="F11" s="282"/>
      <c r="G11" s="289">
        <f t="shared" si="0"/>
        <v>1.1802778197072946E-2</v>
      </c>
      <c r="H11" s="286">
        <f t="shared" si="1"/>
        <v>1.1802778197072946E-2</v>
      </c>
      <c r="I11" s="56">
        <f>'Novel foods CO2'!F11*CF_CO2+'Novel foods CH4'!G11*CF_CH4_foss+'Novel foods N2O'!G11*CF_N2O</f>
        <v>1.1802778197072946E-2</v>
      </c>
      <c r="J11" s="56">
        <f>'Novel foods CO2'!G11*CF_CO2+'Novel foods CH4'!H11*CF_CH4_foss+'Novel foods N2O'!H11*CF_N2O</f>
        <v>0</v>
      </c>
      <c r="K11" s="56">
        <f>'Novel foods CO2'!H11*CF_CO2+'Novel foods CH4'!I11*CF_CH4_foss+'Novel foods N2O'!I11*CF_N2O</f>
        <v>0</v>
      </c>
      <c r="L11">
        <f>'Novel foods CO2'!I11*CF_CO2+'Novel foods CH4'!J11*CF_CH4_foss+'Novel foods N2O'!J11*CF_N2O</f>
        <v>0</v>
      </c>
      <c r="M11">
        <f>'Novel foods CO2'!J11*CF_CO2+'Novel foods CH4'!K11*CF_CH4_foss+'Novel foods N2O'!K11*CF_N2O</f>
        <v>0</v>
      </c>
      <c r="N11">
        <f>'Novel foods CO2'!K11*CF_CO2+'Novel foods CH4'!L11*CF_CH4_foss+'Novel foods N2O'!L11*CF_N2O</f>
        <v>0</v>
      </c>
      <c r="O11">
        <f>'Novel foods CO2'!L11*CF_CO2+'Novel foods CH4'!M11*CF_CH4_foss+'Novel foods N2O'!M11*CF_N2O</f>
        <v>0</v>
      </c>
      <c r="P11">
        <f>'Novel foods CO2'!M11*CF_CO2+'Novel foods CH4'!N11*CF_CH4_foss+'Novel foods N2O'!N11*CF_N2O</f>
        <v>0</v>
      </c>
      <c r="Q11">
        <f>'Novel foods CO2'!N11*CF_CO2+'Novel foods CH4'!O11*CF_CH4_foss+'Novel foods N2O'!O11*CF_N2O</f>
        <v>0</v>
      </c>
      <c r="R11">
        <f>'Novel foods CO2'!O11*CF_CO2+'Novel foods CH4'!P11*CF_CH4_foss+'Novel foods N2O'!P11*CF_N2O</f>
        <v>0</v>
      </c>
      <c r="S11">
        <f>'Novel foods CO2'!P1*CF_CO2+'Novel foods CH4'!Q11*CF_CH4_foss+'Novel foods N2O'!Q11*CF_N2O</f>
        <v>0</v>
      </c>
      <c r="T11">
        <f>'Novel foods CO2'!Q1*CF_CO2+'Novel foods CH4'!R11*CF_CH4_foss+'Novel foods N2O'!R11*CF_N2O</f>
        <v>0</v>
      </c>
    </row>
    <row r="12" spans="1:36" ht="14.4">
      <c r="A12" s="142" t="s">
        <v>63</v>
      </c>
      <c r="B12" s="142" t="s">
        <v>64</v>
      </c>
      <c r="C12" s="313" t="s">
        <v>34</v>
      </c>
      <c r="E12" s="56">
        <f>'Input - Algae Microb. Fat'!J27</f>
        <v>0.28881299999999999</v>
      </c>
      <c r="F12" s="56">
        <f>'Input - Algae Microb. Fat'!J28</f>
        <v>5.6630000000000003</v>
      </c>
      <c r="G12" s="289" t="e">
        <f>SUM(I12:AJ12)</f>
        <v>#REF!</v>
      </c>
      <c r="H12" s="286" t="e">
        <f t="shared" si="1"/>
        <v>#REF!</v>
      </c>
      <c r="I12" s="56">
        <f>'Novel foods CO2'!F12*CF_CO2+'Novel foods CH4'!G12*CF_CH4_foss+'Novel foods N2O'!G12*CF_N2O</f>
        <v>0.29669208914817141</v>
      </c>
      <c r="J12" s="56">
        <f>'Novel foods CO2'!G12*CF_CO2+'Novel foods CH4'!H12*CF_CH4_foss+'Novel foods N2O'!H12*CF_N2O</f>
        <v>0</v>
      </c>
      <c r="K12" s="56">
        <f>'Novel foods CO2'!H12*CF_CO2+'Novel foods CH4'!I12*CF_CH4_foss+'Novel foods N2O'!I12*CF_N2O</f>
        <v>0</v>
      </c>
      <c r="L12" t="e">
        <f>'Novel foods CO2'!I12*CF_CO2+'Novel foods CH4'!J12*CF_CH4_foss+'Novel foods N2O'!J12*CF_N2O</f>
        <v>#REF!</v>
      </c>
      <c r="M12" t="e">
        <f>'Novel foods CO2'!J12*CF_CO2+'Novel foods CH4'!K12*CF_CH4_foss+'Novel foods N2O'!K12*CF_N2O</f>
        <v>#REF!</v>
      </c>
      <c r="N12" t="e">
        <f>'Novel foods CO2'!K12*CF_CO2+'Novel foods CH4'!L12*CF_CH4_foss+'Novel foods N2O'!L12*CF_N2O</f>
        <v>#REF!</v>
      </c>
      <c r="O12" t="e">
        <f>'Novel foods CO2'!L12*CF_CO2+'Novel foods CH4'!M12*CF_CH4_foss+'Novel foods N2O'!M12*CF_N2O</f>
        <v>#REF!</v>
      </c>
      <c r="P12" t="e">
        <f>'Novel foods CO2'!M12*CF_CO2+'Novel foods CH4'!N12*CF_CH4_foss+'Novel foods N2O'!N12*CF_N2O</f>
        <v>#REF!</v>
      </c>
      <c r="Q12" t="e">
        <f>'Novel foods CO2'!N12*CF_CO2+'Novel foods CH4'!O12*CF_CH4_foss+'Novel foods N2O'!O12*CF_N2O</f>
        <v>#REF!</v>
      </c>
      <c r="R12" t="e">
        <f>'Novel foods CO2'!O12*CF_CO2+'Novel foods CH4'!P12*CF_CH4_foss+'Novel foods N2O'!P12*CF_N2O</f>
        <v>#REF!</v>
      </c>
      <c r="S12" t="e">
        <f>'Novel foods CO2'!P2*CF_CO2+'Novel foods CH4'!Q12*CF_CH4_foss+'Novel foods N2O'!Q12*CF_N2O</f>
        <v>#REF!</v>
      </c>
      <c r="T12" t="e">
        <f>'Novel foods CO2'!Q2*CF_CO2+'Novel foods CH4'!R12*CF_CH4_foss+'Novel foods N2O'!R12*CF_N2O</f>
        <v>#REF!</v>
      </c>
    </row>
    <row r="13" spans="1:36" ht="14.4">
      <c r="G13" s="56"/>
      <c r="H13" s="56"/>
      <c r="I13" s="56"/>
      <c r="J13" s="56"/>
      <c r="K13" s="56"/>
    </row>
    <row r="14" spans="1:36" ht="14.4">
      <c r="A14" s="1" t="s">
        <v>3621</v>
      </c>
      <c r="B14" s="1" t="s">
        <v>2222</v>
      </c>
      <c r="C14" s="1" t="s">
        <v>34</v>
      </c>
      <c r="E14" s="282">
        <v>0</v>
      </c>
      <c r="F14" s="282">
        <f>'Input - Insect'!J17</f>
        <v>8.23</v>
      </c>
      <c r="G14" s="289" t="e">
        <f>SUM(I14:AJ14)</f>
        <v>#REF!</v>
      </c>
      <c r="H14" s="286" t="e">
        <f>G14+E14</f>
        <v>#REF!</v>
      </c>
      <c r="I14" s="56" t="e">
        <f>'Novel foods CO2'!F14*CF_CO2+'Novel foods CH4'!G14*CF_CH4_foss+'Novel foods N2O'!G14*CF_N2O</f>
        <v>#REF!</v>
      </c>
      <c r="J14" s="56" t="e">
        <f>'Novel foods CO2'!G14*CF_CO2+'Novel foods CH4'!H14*CF_CH4_foss+'Novel foods N2O'!H14*CF_N2O</f>
        <v>#REF!</v>
      </c>
      <c r="K14" s="56"/>
      <c r="L14" t="e">
        <f>'Novel foods CO2'!I14*CF_CO2+'Novel foods CH4'!J14*CF_CH4_foss+'Novel foods N2O'!J14*CF_N2O</f>
        <v>#REF!</v>
      </c>
      <c r="M14" t="e">
        <f>'Novel foods CO2'!J14*CF_CO2+'Novel foods CH4'!K14*CF_CH4_foss+'Novel foods N2O'!K14*CF_N2O</f>
        <v>#REF!</v>
      </c>
      <c r="N14" t="e">
        <f>'Novel foods CO2'!K14*CF_CO2+'Novel foods CH4'!L14*CF_CH4_foss+'Novel foods N2O'!L14*CF_N2O</f>
        <v>#REF!</v>
      </c>
      <c r="O14" t="e">
        <f>'Novel foods CO2'!L14*CF_CO2+'Novel foods CH4'!M14*CF_CH4_foss+'Novel foods N2O'!M14*CF_N2O</f>
        <v>#REF!</v>
      </c>
      <c r="P14" t="e">
        <f>'Novel foods CO2'!M14*CF_CO2+'Novel foods CH4'!N14*CF_CH4_foss+'Novel foods N2O'!N14*CF_N2O</f>
        <v>#REF!</v>
      </c>
      <c r="Q14" t="e">
        <f>'Novel foods CO2'!N14*CF_CO2+'Novel foods CH4'!O14*CF_CH4_foss+'Novel foods N2O'!O14*CF_N2O</f>
        <v>#REF!</v>
      </c>
      <c r="R14" t="e">
        <f>'Novel foods CO2'!O14*CF_CO2+'Novel foods CH4'!P14*CF_CH4_foss+'Novel foods N2O'!P14*CF_N2O</f>
        <v>#REF!</v>
      </c>
      <c r="S14" t="e">
        <f>'Novel foods CO2'!P14*CF_CO2+'Novel foods CH4'!Q14*CF_CH4_foss+'Novel foods N2O'!Q14*CF_N2O</f>
        <v>#REF!</v>
      </c>
      <c r="T14" t="e">
        <f>'Novel foods CO2'!Q14*CF_CO2+'Novel foods CH4'!R14*CF_CH4_foss+'Novel foods N2O'!R14*CF_N2O</f>
        <v>#REF!</v>
      </c>
    </row>
    <row r="15" spans="1:36" ht="14.4"/>
    <row r="16" spans="1:36" ht="14.4"/>
    <row r="18" spans="10:10" ht="15" customHeight="1">
      <c r="J18" s="176"/>
    </row>
  </sheetData>
  <mergeCells count="3">
    <mergeCell ref="I3:J3"/>
    <mergeCell ref="L3:T3"/>
    <mergeCell ref="U3:AH3"/>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3DB78-300B-40DC-8F4E-B51120297700}">
  <dimension ref="A2:AG15"/>
  <sheetViews>
    <sheetView workbookViewId="0">
      <selection activeCell="D13" sqref="D13"/>
    </sheetView>
  </sheetViews>
  <sheetFormatPr defaultRowHeight="15" customHeight="1"/>
  <cols>
    <col min="2" max="2" width="23.5546875" customWidth="1"/>
    <col min="5" max="5" width="17.6640625" customWidth="1"/>
    <col min="6" max="7" width="18.33203125" customWidth="1"/>
    <col min="8" max="8" width="13" customWidth="1"/>
    <col min="9" max="9" width="19" customWidth="1"/>
    <col min="10" max="10" width="11.44140625" customWidth="1"/>
    <col min="11" max="12" width="11.5546875" bestFit="1" customWidth="1"/>
    <col min="17" max="17" width="12.5546875" customWidth="1"/>
    <col min="18" max="26" width="7.6640625" customWidth="1"/>
  </cols>
  <sheetData>
    <row r="2" spans="1:33" ht="21">
      <c r="A2" s="2" t="s">
        <v>3622</v>
      </c>
    </row>
    <row r="3" spans="1:33" ht="14.4">
      <c r="E3" s="272" t="s">
        <v>3623</v>
      </c>
      <c r="F3" s="721" t="s">
        <v>3597</v>
      </c>
      <c r="G3" s="721"/>
      <c r="H3" s="272"/>
      <c r="I3" s="723" t="s">
        <v>3598</v>
      </c>
      <c r="J3" s="723"/>
      <c r="K3" s="723"/>
      <c r="L3" s="723"/>
      <c r="M3" s="723"/>
      <c r="N3" s="723"/>
      <c r="O3" s="723"/>
      <c r="P3" s="723"/>
      <c r="Q3" s="723"/>
      <c r="R3" s="722" t="s">
        <v>3599</v>
      </c>
      <c r="S3" s="722"/>
      <c r="T3" s="722"/>
      <c r="U3" s="722"/>
      <c r="V3" s="722"/>
      <c r="W3" s="722"/>
      <c r="X3" s="722"/>
      <c r="Y3" s="722"/>
      <c r="Z3" s="722"/>
      <c r="AA3" s="722"/>
      <c r="AB3" s="722"/>
      <c r="AC3" s="722"/>
      <c r="AD3" s="722"/>
      <c r="AE3" s="722"/>
      <c r="AF3" s="239" t="s">
        <v>3600</v>
      </c>
      <c r="AG3" s="239" t="s">
        <v>3601</v>
      </c>
    </row>
    <row r="4" spans="1:33" s="345" customFormat="1" ht="28.8">
      <c r="A4" s="334" t="s">
        <v>3602</v>
      </c>
      <c r="B4" s="335"/>
      <c r="C4" s="335"/>
      <c r="D4" s="336"/>
      <c r="E4" s="210" t="s">
        <v>3624</v>
      </c>
      <c r="F4" s="210" t="s">
        <v>3607</v>
      </c>
      <c r="G4" s="210" t="s">
        <v>3608</v>
      </c>
      <c r="H4" s="281" t="s">
        <v>3609</v>
      </c>
      <c r="I4" s="211" t="s">
        <v>68</v>
      </c>
      <c r="J4" s="212"/>
      <c r="K4" s="211" t="s">
        <v>69</v>
      </c>
      <c r="L4" s="337"/>
      <c r="M4" s="338" t="s">
        <v>70</v>
      </c>
      <c r="N4" s="337"/>
      <c r="O4" s="337"/>
      <c r="P4" s="337"/>
      <c r="Q4" s="339" t="s">
        <v>71</v>
      </c>
      <c r="R4" s="243" t="s">
        <v>68</v>
      </c>
      <c r="S4" s="244"/>
      <c r="T4" s="243" t="s">
        <v>69</v>
      </c>
      <c r="U4" s="340"/>
      <c r="V4" s="341" t="s">
        <v>70</v>
      </c>
      <c r="W4" s="340"/>
      <c r="X4" s="340"/>
      <c r="Y4" s="340"/>
      <c r="Z4" s="341" t="s">
        <v>71</v>
      </c>
      <c r="AA4" s="341" t="s">
        <v>73</v>
      </c>
      <c r="AB4" s="342"/>
      <c r="AC4" s="342"/>
      <c r="AD4" s="343"/>
      <c r="AE4" s="343"/>
      <c r="AF4" s="344"/>
      <c r="AG4" s="344"/>
    </row>
    <row r="5" spans="1:33" ht="72">
      <c r="A5" s="216" t="s">
        <v>13</v>
      </c>
      <c r="B5" s="217" t="s">
        <v>103</v>
      </c>
      <c r="C5" s="217" t="s">
        <v>3611</v>
      </c>
      <c r="D5" s="218"/>
      <c r="E5" s="273" t="s">
        <v>3625</v>
      </c>
      <c r="F5" s="273" t="s">
        <v>3625</v>
      </c>
      <c r="G5" s="273" t="s">
        <v>3625</v>
      </c>
      <c r="H5" s="273" t="s">
        <v>3626</v>
      </c>
      <c r="I5" s="220" t="s">
        <v>3627</v>
      </c>
      <c r="J5" s="23" t="s">
        <v>3628</v>
      </c>
      <c r="K5" s="220" t="s">
        <v>78</v>
      </c>
      <c r="L5" s="23" t="s">
        <v>79</v>
      </c>
      <c r="M5" s="220" t="s">
        <v>80</v>
      </c>
      <c r="N5" s="23" t="s">
        <v>81</v>
      </c>
      <c r="O5" s="23" t="s">
        <v>82</v>
      </c>
      <c r="P5" s="23" t="s">
        <v>3616</v>
      </c>
      <c r="Q5" s="221" t="s">
        <v>84</v>
      </c>
      <c r="R5" s="23" t="s">
        <v>3617</v>
      </c>
      <c r="S5" s="23" t="s">
        <v>77</v>
      </c>
      <c r="T5" s="23" t="s">
        <v>3618</v>
      </c>
      <c r="U5" s="23" t="s">
        <v>3619</v>
      </c>
      <c r="V5" s="23" t="s">
        <v>80</v>
      </c>
      <c r="W5" s="23" t="s">
        <v>81</v>
      </c>
      <c r="X5" s="23" t="s">
        <v>82</v>
      </c>
      <c r="Y5" s="23" t="s">
        <v>3616</v>
      </c>
      <c r="Z5" s="23" t="s">
        <v>84</v>
      </c>
      <c r="AA5" s="23" t="s">
        <v>85</v>
      </c>
      <c r="AB5" s="252" t="s">
        <v>3620</v>
      </c>
      <c r="AC5" s="252" t="s">
        <v>87</v>
      </c>
      <c r="AD5" s="253" t="s">
        <v>88</v>
      </c>
      <c r="AE5" s="253" t="s">
        <v>89</v>
      </c>
      <c r="AF5" s="23" t="s">
        <v>90</v>
      </c>
      <c r="AG5" s="23" t="s">
        <v>91</v>
      </c>
    </row>
    <row r="6" spans="1:33" ht="14.4">
      <c r="A6" s="1" t="s">
        <v>32</v>
      </c>
      <c r="B6" s="1" t="s">
        <v>33</v>
      </c>
      <c r="C6" s="1" t="s">
        <v>34</v>
      </c>
      <c r="E6" t="e">
        <f>SUM(F6:AG6)</f>
        <v>#REF!</v>
      </c>
      <c r="F6">
        <f>'Novel foods, input data'!D6*'Emission factors'!$B$11</f>
        <v>0.52930157465839278</v>
      </c>
      <c r="H6">
        <f>'Novel foods, input data'!F6*'Emission factors'!$B$11</f>
        <v>9.9678618966211746E-2</v>
      </c>
      <c r="I6" s="56" t="e">
        <f>'Novel foods, input data'!$AB$6*'Agri ing'!#REF!</f>
        <v>#REF!</v>
      </c>
      <c r="J6" s="56" t="e">
        <f>'Novel foods, input data'!$AB$6*'Agri ing'!#REF!</f>
        <v>#REF!</v>
      </c>
      <c r="K6" s="4" t="e">
        <f>'Novel foods, input data'!$AB$6*'Agri ing'!#REF!</f>
        <v>#REF!</v>
      </c>
      <c r="L6" s="4" t="e">
        <f>'Novel foods, input data'!$AB$6*'Agri ing'!#REF!</f>
        <v>#REF!</v>
      </c>
      <c r="M6" s="56" t="e">
        <f>'Novel foods, input data'!$AB$6*'Agri ing'!#REF!</f>
        <v>#REF!</v>
      </c>
      <c r="N6" s="4" t="e">
        <f>'Novel foods, input data'!$AB$6*'Agri ing'!#REF!</f>
        <v>#REF!</v>
      </c>
      <c r="O6" s="4" t="e">
        <f>'Novel foods, input data'!$AB$6*'Agri ing'!#REF!</f>
        <v>#REF!</v>
      </c>
      <c r="P6" s="56" t="e">
        <f>'Novel foods, input data'!$AB$6*'Agri ing'!#REF!</f>
        <v>#REF!</v>
      </c>
      <c r="Q6" t="e">
        <f>'Novel foods, input data'!$AB$6*'Agri ing'!#REF!</f>
        <v>#REF!</v>
      </c>
    </row>
    <row r="7" spans="1:33" ht="14.4">
      <c r="A7" s="1" t="s">
        <v>43</v>
      </c>
      <c r="B7" s="1" t="s">
        <v>44</v>
      </c>
      <c r="C7" s="1" t="s">
        <v>34</v>
      </c>
      <c r="E7" t="e">
        <f t="shared" ref="E7:E12" si="0">SUM(F7:AG7)</f>
        <v>#REF!</v>
      </c>
      <c r="F7">
        <f>'Novel foods, input data'!D7*'Emission factors'!$B$11</f>
        <v>0.12231453507505348</v>
      </c>
      <c r="H7">
        <f>'Novel foods, input data'!F7*'Emission factors'!$B$11</f>
        <v>0</v>
      </c>
      <c r="I7" s="56" t="e">
        <f>'Novel foods, input data'!$AB$7*'Agri ing'!#REF!</f>
        <v>#REF!</v>
      </c>
      <c r="J7" s="56" t="e">
        <f>'Novel foods, input data'!$AB$7*'Agri ing'!#REF!</f>
        <v>#REF!</v>
      </c>
      <c r="K7" s="4" t="e">
        <f>'Novel foods, input data'!$AB$7*'Agri ing'!#REF!</f>
        <v>#REF!</v>
      </c>
      <c r="L7" s="4" t="e">
        <f>'Novel foods, input data'!$AB$7*'Agri ing'!#REF!</f>
        <v>#REF!</v>
      </c>
      <c r="M7" s="56" t="e">
        <f>'Novel foods, input data'!$AB$7*'Agri ing'!#REF!</f>
        <v>#REF!</v>
      </c>
      <c r="N7" s="4" t="e">
        <f>'Novel foods, input data'!$AB$7*'Agri ing'!#REF!</f>
        <v>#REF!</v>
      </c>
      <c r="O7" s="4" t="e">
        <f>'Novel foods, input data'!$AB$7*'Agri ing'!#REF!</f>
        <v>#REF!</v>
      </c>
      <c r="P7" s="56" t="e">
        <f>'Novel foods, input data'!$AB$7*'Agri ing'!#REF!</f>
        <v>#REF!</v>
      </c>
      <c r="Q7" t="e">
        <f>'Novel foods, input data'!$AB$7*'Agri ing'!#REF!</f>
        <v>#REF!</v>
      </c>
    </row>
    <row r="8" spans="1:33" ht="14.4">
      <c r="A8" s="1" t="s">
        <v>51</v>
      </c>
      <c r="B8" s="1" t="s">
        <v>52</v>
      </c>
      <c r="C8" s="1" t="s">
        <v>34</v>
      </c>
      <c r="E8" t="e">
        <f t="shared" si="0"/>
        <v>#REF!</v>
      </c>
      <c r="F8">
        <f>'Novel foods, input data'!D8*'Emission factors'!$B$11</f>
        <v>0.5482587428597725</v>
      </c>
      <c r="H8">
        <f>'Novel foods, input data'!F8*'Emission factors'!$B$11</f>
        <v>0</v>
      </c>
      <c r="I8" s="56" t="e">
        <f>'Novel foods, input data'!$AB$8*'Agri ing'!#REF!</f>
        <v>#REF!</v>
      </c>
      <c r="J8" s="56" t="e">
        <f>'Novel foods, input data'!$AB$8*'Agri ing'!#REF!</f>
        <v>#REF!</v>
      </c>
      <c r="K8" s="4" t="e">
        <f>'Novel foods, input data'!$AB$8*'Agri ing'!#REF!</f>
        <v>#REF!</v>
      </c>
      <c r="L8" s="4" t="e">
        <f>'Novel foods, input data'!$AB$8*'Agri ing'!#REF!</f>
        <v>#REF!</v>
      </c>
      <c r="M8" s="56" t="e">
        <f>'Novel foods, input data'!$AB$8*'Agri ing'!#REF!</f>
        <v>#REF!</v>
      </c>
      <c r="N8" s="4" t="e">
        <f>'Novel foods, input data'!$AB$8*'Agri ing'!#REF!</f>
        <v>#REF!</v>
      </c>
      <c r="O8" s="4" t="e">
        <f>'Novel foods, input data'!$AB$8*'Agri ing'!#REF!</f>
        <v>#REF!</v>
      </c>
      <c r="P8" s="56" t="e">
        <f>'Novel foods, input data'!$AB$8*'Agri ing'!#REF!</f>
        <v>#REF!</v>
      </c>
      <c r="Q8" t="e">
        <f>'Novel foods, input data'!$AB$8*'Agri ing'!#REF!</f>
        <v>#REF!</v>
      </c>
    </row>
    <row r="9" spans="1:33" ht="14.4">
      <c r="A9" s="1" t="s">
        <v>53</v>
      </c>
      <c r="B9" s="1" t="s">
        <v>54</v>
      </c>
      <c r="C9" s="1" t="s">
        <v>34</v>
      </c>
      <c r="E9">
        <f t="shared" si="0"/>
        <v>1.5991379171206928</v>
      </c>
      <c r="F9">
        <f>'Novel foods, input data'!D9*'Emission factors'!$B$11</f>
        <v>1.5991379171206928</v>
      </c>
      <c r="H9">
        <f>'Novel foods, input data'!F9*'Emission factors'!$B$11</f>
        <v>0</v>
      </c>
      <c r="I9" s="4">
        <v>0</v>
      </c>
      <c r="J9" s="4">
        <v>0</v>
      </c>
      <c r="K9" s="4">
        <v>0</v>
      </c>
      <c r="L9" s="4">
        <v>0</v>
      </c>
      <c r="M9" s="56">
        <v>0</v>
      </c>
      <c r="N9" s="4">
        <v>0</v>
      </c>
      <c r="O9" s="4">
        <v>0</v>
      </c>
      <c r="P9" s="56">
        <v>0</v>
      </c>
      <c r="Q9">
        <v>0</v>
      </c>
    </row>
    <row r="10" spans="1:33" ht="14.4">
      <c r="A10" s="1" t="s">
        <v>57</v>
      </c>
      <c r="B10" s="1" t="s">
        <v>58</v>
      </c>
      <c r="C10" s="1" t="s">
        <v>34</v>
      </c>
      <c r="E10" t="e">
        <f t="shared" si="0"/>
        <v>#REF!</v>
      </c>
      <c r="F10">
        <f>'Novel foods, input data'!D10*'Emission factors'!$B$11</f>
        <v>0.52382256750299094</v>
      </c>
      <c r="H10">
        <f>'Novel foods, input data'!F10*'Emission factors'!$B$11</f>
        <v>0</v>
      </c>
      <c r="I10" s="56" t="e">
        <f>'Novel foods, input data'!$AC$10*'Agri ing'!#REF!</f>
        <v>#REF!</v>
      </c>
      <c r="J10" s="56" t="e">
        <f>'Novel foods, input data'!$AC$10*'Agri ing'!#REF!</f>
        <v>#REF!</v>
      </c>
      <c r="K10" s="4" t="e">
        <f>'Novel foods, input data'!$AC$10*'Agri ing'!#REF!</f>
        <v>#REF!</v>
      </c>
      <c r="L10" s="4" t="e">
        <f>'Novel foods, input data'!$AC$10*'Agri ing'!#REF!</f>
        <v>#REF!</v>
      </c>
      <c r="M10" s="56" t="e">
        <f>'Novel foods, input data'!$AC$10*'Agri ing'!#REF!</f>
        <v>#REF!</v>
      </c>
      <c r="N10" s="4" t="e">
        <f>'Novel foods, input data'!$AC$10*'Agri ing'!#REF!</f>
        <v>#REF!</v>
      </c>
      <c r="O10" s="4" t="e">
        <f>'Novel foods, input data'!$AC$10*'Agri ing'!#REF!</f>
        <v>#REF!</v>
      </c>
      <c r="P10" s="56" t="e">
        <f>'Novel foods, input data'!$AC$10*'Agri ing'!#REF!</f>
        <v>#REF!</v>
      </c>
      <c r="Q10" t="e">
        <f>'Novel foods, input data'!$AC$10*'Agri ing'!#REF!</f>
        <v>#REF!</v>
      </c>
      <c r="R10" t="e">
        <f>'Novel foods, input data'!$AE$10*#REF!</f>
        <v>#REF!</v>
      </c>
      <c r="S10" t="e">
        <f>'Novel foods, input data'!$AE$10*#REF!</f>
        <v>#REF!</v>
      </c>
      <c r="T10" t="e">
        <f>'Novel foods, input data'!$AE$10*#REF!</f>
        <v>#REF!</v>
      </c>
      <c r="U10" t="e">
        <f>'Novel foods, input data'!$AE$10*#REF!</f>
        <v>#REF!</v>
      </c>
      <c r="V10" t="e">
        <f>'Novel foods, input data'!$AE$10*#REF!</f>
        <v>#REF!</v>
      </c>
      <c r="W10" t="e">
        <f>'Novel foods, input data'!$AE$10*#REF!</f>
        <v>#REF!</v>
      </c>
      <c r="X10" t="e">
        <f>'Novel foods, input data'!$AE$10*#REF!</f>
        <v>#REF!</v>
      </c>
      <c r="Y10" t="e">
        <f>'Novel foods, input data'!$AE$10*#REF!</f>
        <v>#REF!</v>
      </c>
      <c r="Z10" t="e">
        <f>'Novel foods, input data'!$AE$10*#REF!</f>
        <v>#REF!</v>
      </c>
      <c r="AA10" t="e">
        <f>'Novel foods, input data'!$AE$10*#REF!</f>
        <v>#REF!</v>
      </c>
      <c r="AB10" t="e">
        <f>'Novel foods, input data'!$AE$10*#REF!</f>
        <v>#REF!</v>
      </c>
      <c r="AC10" t="e">
        <f>'Novel foods, input data'!$AE$10*#REF!</f>
        <v>#REF!</v>
      </c>
      <c r="AD10" t="e">
        <f>'Novel foods, input data'!$AE$10*#REF!</f>
        <v>#REF!</v>
      </c>
      <c r="AE10" t="e">
        <f>'Novel foods, input data'!$AE$10*#REF!</f>
        <v>#REF!</v>
      </c>
      <c r="AF10" t="e">
        <f>'Novel foods, input data'!$AE$10*#REF!</f>
        <v>#REF!</v>
      </c>
      <c r="AG10" t="e">
        <f>'Novel foods, input data'!$AE$10*#REF!</f>
        <v>#REF!</v>
      </c>
    </row>
    <row r="11" spans="1:33" ht="14.4">
      <c r="A11" s="73" t="s">
        <v>61</v>
      </c>
      <c r="B11" s="73" t="s">
        <v>62</v>
      </c>
      <c r="C11" s="73" t="s">
        <v>34</v>
      </c>
      <c r="E11">
        <f t="shared" si="0"/>
        <v>1.1152211945585253E-2</v>
      </c>
      <c r="F11">
        <f>'Novel foods, input data'!D11*'Emission factors'!$B$11</f>
        <v>1.1152211945585253E-2</v>
      </c>
      <c r="G11">
        <f>'Novel foods, input data'!E11*'Emission factors'!$B$17</f>
        <v>0</v>
      </c>
      <c r="H11">
        <f>'Novel foods, input data'!F11*'Emission factors'!$B$11</f>
        <v>0</v>
      </c>
      <c r="I11" s="56"/>
      <c r="J11" s="56"/>
      <c r="K11" s="4"/>
      <c r="L11" s="4"/>
      <c r="M11" s="56"/>
      <c r="N11" s="4"/>
      <c r="O11" s="4"/>
      <c r="P11" s="56"/>
    </row>
    <row r="12" spans="1:33" ht="15" customHeight="1">
      <c r="A12" s="142" t="s">
        <v>63</v>
      </c>
      <c r="B12" s="142" t="s">
        <v>64</v>
      </c>
      <c r="C12" s="313" t="s">
        <v>34</v>
      </c>
      <c r="E12" t="e">
        <f t="shared" si="0"/>
        <v>#REF!</v>
      </c>
      <c r="F12">
        <f>'Novel foods, input data'!D12*'Emission factors'!$B$11</f>
        <v>0.28033849365901392</v>
      </c>
      <c r="G12">
        <f>'Novel foods, input data'!E12*'Emission factors'!$B$17</f>
        <v>0</v>
      </c>
      <c r="H12">
        <f>'Novel foods, input data'!F12*'Emission factors'!$B$11</f>
        <v>0</v>
      </c>
      <c r="I12" s="56" t="e">
        <f>'Novel foods, input data'!$AB$12*'Agri ing'!#REF!</f>
        <v>#REF!</v>
      </c>
      <c r="J12" s="56" t="e">
        <f>'Novel foods, input data'!$AB$12*'Agri ing'!#REF!</f>
        <v>#REF!</v>
      </c>
      <c r="K12" s="4" t="e">
        <f>'Novel foods, input data'!$AB$12*'Agri ing'!#REF!</f>
        <v>#REF!</v>
      </c>
      <c r="L12" s="4">
        <f>'Novel foods, input data'!$AB$12*'Agri ing'!I3</f>
        <v>0</v>
      </c>
      <c r="M12" s="56">
        <f>'Novel foods, input data'!$AB$12*'Agri ing'!J3</f>
        <v>0</v>
      </c>
      <c r="N12" s="4">
        <f>'Novel foods, input data'!$AB$12*'Agri ing'!K3</f>
        <v>0</v>
      </c>
      <c r="O12" s="4">
        <f>'Novel foods, input data'!$AB$12*'Agri ing'!L3</f>
        <v>0</v>
      </c>
      <c r="P12" s="56">
        <f>'Novel foods, input data'!$AB$12*'Agri ing'!M3</f>
        <v>0</v>
      </c>
      <c r="Q12">
        <f>'Novel foods, input data'!$AB$12*'Agri ing'!N3</f>
        <v>0</v>
      </c>
    </row>
    <row r="13" spans="1:33" ht="15" customHeight="1">
      <c r="I13" s="56"/>
      <c r="J13" s="56"/>
      <c r="K13" s="4"/>
      <c r="L13" s="4"/>
      <c r="M13" s="56"/>
      <c r="N13" s="4"/>
      <c r="O13" s="4"/>
      <c r="P13" s="56"/>
    </row>
    <row r="14" spans="1:33" ht="14.4">
      <c r="A14" s="1" t="s">
        <v>3621</v>
      </c>
      <c r="B14" s="1" t="s">
        <v>2222</v>
      </c>
      <c r="C14" s="1" t="s">
        <v>34</v>
      </c>
      <c r="E14" t="e">
        <f>SUM(F14:AG14)</f>
        <v>#REF!</v>
      </c>
      <c r="F14" t="e">
        <f>'Novel foods, input data'!#REF!*'Emission factors'!$B$11</f>
        <v>#REF!</v>
      </c>
      <c r="G14" t="e">
        <f>'Novel foods, input data'!#REF!*'Emission factors'!$B$17</f>
        <v>#REF!</v>
      </c>
      <c r="I14" s="56" t="e">
        <f>'Novel foods, input data'!#REF!*'Agri ing'!#REF!+'Novel foods, input data'!#REF!*'Agri ing'!#REF!+'Novel foods, input data'!#REF!*'Agri ing'!#REF!</f>
        <v>#REF!</v>
      </c>
      <c r="J14" s="56" t="e">
        <f>'Novel foods, input data'!#REF!*'Agri ing'!#REF!+'Novel foods, input data'!#REF!*'Agri ing'!#REF!+'Novel foods, input data'!#REF!*'Agri ing'!#REF!</f>
        <v>#REF!</v>
      </c>
      <c r="K14" s="4" t="e">
        <f>'Novel foods, input data'!#REF!*'Agri ing'!#REF!+'Novel foods, input data'!#REF!*'Agri ing'!#REF!+'Novel foods, input data'!#REF!*'Agri ing'!#REF!</f>
        <v>#REF!</v>
      </c>
      <c r="L14" s="4" t="e">
        <f>'Novel foods, input data'!#REF!*'Agri ing'!#REF!+'Novel foods, input data'!#REF!*'Agri ing'!#REF!+'Novel foods, input data'!#REF!*'Agri ing'!#REF!</f>
        <v>#REF!</v>
      </c>
      <c r="M14" s="56" t="e">
        <f>'Novel foods, input data'!#REF!*'Agri ing'!#REF!+'Novel foods, input data'!#REF!*'Agri ing'!#REF!+'Novel foods, input data'!#REF!*'Agri ing'!#REF!</f>
        <v>#REF!</v>
      </c>
      <c r="N14" s="4" t="e">
        <f>'Novel foods, input data'!#REF!*'Agri ing'!#REF!+'Novel foods, input data'!#REF!*'Agri ing'!#REF!+'Novel foods, input data'!#REF!*'Agri ing'!#REF!</f>
        <v>#REF!</v>
      </c>
      <c r="O14" s="4" t="e">
        <f>'Novel foods, input data'!#REF!*'Agri ing'!#REF!+'Novel foods, input data'!#REF!*'Agri ing'!#REF!+'Novel foods, input data'!#REF!*'Agri ing'!#REF!</f>
        <v>#REF!</v>
      </c>
      <c r="P14" s="56" t="e">
        <f>'Novel foods, input data'!#REF!*'Agri ing'!#REF!+'Novel foods, input data'!#REF!*'Agri ing'!#REF!+'Novel foods, input data'!#REF!*'Agri ing'!#REF!</f>
        <v>#REF!</v>
      </c>
      <c r="Q14" t="e">
        <f>'Novel foods, input data'!#REF!*'Agri ing'!#REF!+'Novel foods, input data'!#REF!*'Agri ing'!#REF!+'Novel foods, input data'!#REF!*'Agri ing'!#REF!</f>
        <v>#REF!</v>
      </c>
    </row>
    <row r="15" spans="1:33" ht="14.4"/>
  </sheetData>
  <mergeCells count="3">
    <mergeCell ref="I3:Q3"/>
    <mergeCell ref="F3:G3"/>
    <mergeCell ref="R3:AE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497D-BA9E-48A5-9894-B9701D3F3B21}">
  <dimension ref="A2:AH15"/>
  <sheetViews>
    <sheetView workbookViewId="0">
      <selection activeCell="D13" sqref="D13"/>
    </sheetView>
  </sheetViews>
  <sheetFormatPr defaultRowHeight="15" customHeight="1"/>
  <cols>
    <col min="2" max="2" width="23.5546875" customWidth="1"/>
    <col min="6" max="6" width="20.5546875" customWidth="1"/>
    <col min="7" max="8" width="18.33203125" customWidth="1"/>
    <col min="9" max="9" width="12.33203125" customWidth="1"/>
    <col min="10" max="10" width="19" customWidth="1"/>
    <col min="11" max="11" width="23.33203125" customWidth="1"/>
  </cols>
  <sheetData>
    <row r="2" spans="1:34" ht="21">
      <c r="A2" s="2" t="s">
        <v>3629</v>
      </c>
    </row>
    <row r="3" spans="1:34" ht="14.4">
      <c r="F3" s="272" t="s">
        <v>3623</v>
      </c>
      <c r="G3" s="721" t="s">
        <v>3597</v>
      </c>
      <c r="H3" s="721"/>
      <c r="I3" s="272"/>
      <c r="J3" s="721" t="s">
        <v>3598</v>
      </c>
      <c r="K3" s="721"/>
      <c r="L3" s="721"/>
      <c r="M3" s="721"/>
      <c r="N3" s="721"/>
      <c r="O3" s="721"/>
      <c r="P3" s="721"/>
      <c r="Q3" s="721"/>
      <c r="R3" s="721"/>
      <c r="S3" s="722" t="s">
        <v>3599</v>
      </c>
      <c r="T3" s="722"/>
      <c r="U3" s="722"/>
      <c r="V3" s="722"/>
      <c r="W3" s="722"/>
      <c r="X3" s="722"/>
      <c r="Y3" s="722"/>
      <c r="Z3" s="722"/>
      <c r="AA3" s="722"/>
      <c r="AB3" s="722"/>
      <c r="AC3" s="722"/>
      <c r="AD3" s="722"/>
      <c r="AE3" s="722"/>
      <c r="AF3" s="722"/>
      <c r="AG3" s="239" t="s">
        <v>3600</v>
      </c>
      <c r="AH3" s="239" t="s">
        <v>3601</v>
      </c>
    </row>
    <row r="4" spans="1:34" ht="28.8">
      <c r="A4" s="207" t="s">
        <v>3602</v>
      </c>
      <c r="B4" s="208"/>
      <c r="C4" s="208"/>
      <c r="D4" s="209"/>
      <c r="E4" s="210" t="s">
        <v>67</v>
      </c>
      <c r="F4" s="210" t="s">
        <v>3624</v>
      </c>
      <c r="G4" s="210" t="s">
        <v>3607</v>
      </c>
      <c r="H4" s="210" t="s">
        <v>3608</v>
      </c>
      <c r="I4" s="281" t="s">
        <v>3609</v>
      </c>
      <c r="J4" s="211" t="s">
        <v>68</v>
      </c>
      <c r="K4" s="212"/>
      <c r="L4" s="211" t="s">
        <v>69</v>
      </c>
      <c r="M4" s="213"/>
      <c r="N4" s="214" t="s">
        <v>70</v>
      </c>
      <c r="O4" s="213"/>
      <c r="P4" s="213"/>
      <c r="Q4" s="213"/>
      <c r="R4" s="215" t="s">
        <v>71</v>
      </c>
      <c r="S4" s="243" t="s">
        <v>68</v>
      </c>
      <c r="T4" s="244"/>
      <c r="U4" s="243" t="s">
        <v>69</v>
      </c>
      <c r="V4" s="245"/>
      <c r="W4" s="14" t="s">
        <v>70</v>
      </c>
      <c r="X4" s="245"/>
      <c r="Y4" s="245"/>
      <c r="Z4" s="245"/>
      <c r="AA4" s="14" t="s">
        <v>71</v>
      </c>
      <c r="AB4" s="14" t="s">
        <v>73</v>
      </c>
      <c r="AC4" s="246"/>
      <c r="AD4" s="246"/>
      <c r="AE4" s="247"/>
      <c r="AF4" s="247"/>
      <c r="AG4" s="248"/>
      <c r="AH4" s="248"/>
    </row>
    <row r="5" spans="1:34" ht="72">
      <c r="A5" s="216" t="s">
        <v>13</v>
      </c>
      <c r="B5" s="217" t="s">
        <v>103</v>
      </c>
      <c r="C5" s="217" t="s">
        <v>3611</v>
      </c>
      <c r="D5" s="218"/>
      <c r="E5" s="219"/>
      <c r="F5" s="273" t="s">
        <v>3630</v>
      </c>
      <c r="G5" s="273" t="s">
        <v>3630</v>
      </c>
      <c r="H5" s="273" t="s">
        <v>3630</v>
      </c>
      <c r="I5" s="273" t="s">
        <v>3630</v>
      </c>
      <c r="J5" s="220" t="s">
        <v>3627</v>
      </c>
      <c r="K5" s="23" t="s">
        <v>3631</v>
      </c>
      <c r="L5" s="220" t="s">
        <v>78</v>
      </c>
      <c r="M5" s="23" t="s">
        <v>79</v>
      </c>
      <c r="N5" s="220" t="s">
        <v>80</v>
      </c>
      <c r="O5" s="23" t="s">
        <v>81</v>
      </c>
      <c r="P5" s="23" t="s">
        <v>82</v>
      </c>
      <c r="Q5" s="23" t="s">
        <v>3616</v>
      </c>
      <c r="R5" s="221" t="s">
        <v>84</v>
      </c>
      <c r="S5" s="23" t="s">
        <v>3617</v>
      </c>
      <c r="T5" s="23" t="s">
        <v>77</v>
      </c>
      <c r="U5" s="23" t="s">
        <v>3618</v>
      </c>
      <c r="V5" s="23" t="s">
        <v>3619</v>
      </c>
      <c r="W5" s="23" t="s">
        <v>80</v>
      </c>
      <c r="X5" s="23" t="s">
        <v>81</v>
      </c>
      <c r="Y5" s="23" t="s">
        <v>82</v>
      </c>
      <c r="Z5" s="23" t="s">
        <v>3616</v>
      </c>
      <c r="AA5" s="23" t="s">
        <v>84</v>
      </c>
      <c r="AB5" s="23" t="s">
        <v>85</v>
      </c>
      <c r="AC5" s="252" t="s">
        <v>3620</v>
      </c>
      <c r="AD5" s="252" t="s">
        <v>87</v>
      </c>
      <c r="AE5" s="253" t="s">
        <v>88</v>
      </c>
      <c r="AF5" s="253" t="s">
        <v>89</v>
      </c>
      <c r="AG5" s="23" t="s">
        <v>90</v>
      </c>
      <c r="AH5" s="23" t="s">
        <v>91</v>
      </c>
    </row>
    <row r="6" spans="1:34" ht="14.4">
      <c r="A6" s="1" t="s">
        <v>32</v>
      </c>
      <c r="B6" s="1" t="s">
        <v>33</v>
      </c>
      <c r="C6" s="1" t="s">
        <v>34</v>
      </c>
      <c r="F6" t="e">
        <f>SUM(G6:AH6)</f>
        <v>#REF!</v>
      </c>
      <c r="G6">
        <f>'Novel foods, input data'!D6*'Emission factors'!$C$11</f>
        <v>5.8811521491525416E-4</v>
      </c>
      <c r="I6">
        <f>'Novel foods, input data'!F6*'Emission factors'!$C$11</f>
        <v>1.1075446441587459E-4</v>
      </c>
      <c r="J6" t="e">
        <f>'Novel foods, input data'!$AB$6*'Agri ing'!#REF!</f>
        <v>#REF!</v>
      </c>
      <c r="K6" t="e">
        <f>'Novel foods, input data'!$AB$6*'Agri ing'!#REF!</f>
        <v>#REF!</v>
      </c>
      <c r="L6" t="e">
        <f>'Novel foods, input data'!$AB$6*'Agri ing'!#REF!</f>
        <v>#REF!</v>
      </c>
      <c r="M6" t="e">
        <f>'Novel foods, input data'!$AB$6*'Agri ing'!#REF!</f>
        <v>#REF!</v>
      </c>
      <c r="N6" t="e">
        <f>'Novel foods, input data'!$AB$6*'Agri ing'!#REF!</f>
        <v>#REF!</v>
      </c>
      <c r="O6" t="e">
        <f>'Novel foods, input data'!$AB$6*'Agri ing'!#REF!</f>
        <v>#REF!</v>
      </c>
      <c r="P6" t="e">
        <f>'Novel foods, input data'!$AB$6*'Agri ing'!#REF!</f>
        <v>#REF!</v>
      </c>
      <c r="Q6" t="e">
        <f>'Novel foods, input data'!$AB$6*'Agri ing'!#REF!</f>
        <v>#REF!</v>
      </c>
      <c r="R6" t="e">
        <f>'Novel foods, input data'!$AB$6*'Agri ing'!#REF!</f>
        <v>#REF!</v>
      </c>
    </row>
    <row r="7" spans="1:34" ht="14.4">
      <c r="A7" s="1" t="s">
        <v>43</v>
      </c>
      <c r="B7" s="1" t="s">
        <v>44</v>
      </c>
      <c r="C7" s="1" t="s">
        <v>34</v>
      </c>
      <c r="F7" t="e">
        <f t="shared" ref="F7:F11" si="0">SUM(G7:AH7)</f>
        <v>#REF!</v>
      </c>
      <c r="G7">
        <f>'Novel foods, input data'!D7*'Emission factors'!$C$11</f>
        <v>1.3590558299274058E-4</v>
      </c>
      <c r="I7">
        <f>'Novel foods, input data'!F7*'Emission factors'!$C$11</f>
        <v>0</v>
      </c>
      <c r="J7" t="e">
        <f>'Novel foods, input data'!$AB$7*'Agri ing'!#REF!</f>
        <v>#REF!</v>
      </c>
      <c r="K7" t="e">
        <f>'Novel foods, input data'!$AB$7*'Agri ing'!#REF!</f>
        <v>#REF!</v>
      </c>
      <c r="L7" t="e">
        <f>'Novel foods, input data'!$AB$7*'Agri ing'!#REF!</f>
        <v>#REF!</v>
      </c>
      <c r="M7" t="e">
        <f>'Novel foods, input data'!$AB$7*'Agri ing'!#REF!</f>
        <v>#REF!</v>
      </c>
      <c r="N7" t="e">
        <f>'Novel foods, input data'!$AB$7*'Agri ing'!#REF!</f>
        <v>#REF!</v>
      </c>
      <c r="O7" t="e">
        <f>'Novel foods, input data'!$AB$7*'Agri ing'!#REF!</f>
        <v>#REF!</v>
      </c>
      <c r="P7" t="e">
        <f>'Novel foods, input data'!$AB$7*'Agri ing'!#REF!</f>
        <v>#REF!</v>
      </c>
      <c r="Q7" t="e">
        <f>'Novel foods, input data'!$AB$7*'Agri ing'!#REF!</f>
        <v>#REF!</v>
      </c>
      <c r="R7" t="e">
        <f>'Novel foods, input data'!$AB$7*'Agri ing'!#REF!</f>
        <v>#REF!</v>
      </c>
    </row>
    <row r="8" spans="1:34" ht="14.4">
      <c r="A8" s="1" t="s">
        <v>51</v>
      </c>
      <c r="B8" s="1" t="s">
        <v>52</v>
      </c>
      <c r="C8" s="1" t="s">
        <v>34</v>
      </c>
      <c r="F8" t="e">
        <f t="shared" si="0"/>
        <v>#REF!</v>
      </c>
      <c r="G8">
        <f>'Novel foods, input data'!D8*'Emission factors'!$C$11</f>
        <v>6.0917881945513216E-4</v>
      </c>
      <c r="I8">
        <f>'Novel foods, input data'!F8*'Emission factors'!$C$11</f>
        <v>0</v>
      </c>
      <c r="J8" t="e">
        <f>'Novel foods, input data'!$AB$8*'Agri ing'!#REF!</f>
        <v>#REF!</v>
      </c>
      <c r="K8" t="e">
        <f>'Novel foods, input data'!$AB$8*'Agri ing'!#REF!</f>
        <v>#REF!</v>
      </c>
      <c r="L8" t="e">
        <f>'Novel foods, input data'!$AB$8*'Agri ing'!#REF!</f>
        <v>#REF!</v>
      </c>
      <c r="M8" t="e">
        <f>'Novel foods, input data'!$AB$8*'Agri ing'!#REF!</f>
        <v>#REF!</v>
      </c>
      <c r="N8" t="e">
        <f>'Novel foods, input data'!$AB$8*'Agri ing'!#REF!</f>
        <v>#REF!</v>
      </c>
      <c r="O8" t="e">
        <f>'Novel foods, input data'!$AB$8*'Agri ing'!#REF!</f>
        <v>#REF!</v>
      </c>
      <c r="P8" t="e">
        <f>'Novel foods, input data'!$AB$8*'Agri ing'!#REF!</f>
        <v>#REF!</v>
      </c>
      <c r="Q8" t="e">
        <f>'Novel foods, input data'!$AB$8*'Agri ing'!#REF!</f>
        <v>#REF!</v>
      </c>
      <c r="R8" t="e">
        <f>'Novel foods, input data'!$AB$8*'Agri ing'!#REF!</f>
        <v>#REF!</v>
      </c>
    </row>
    <row r="9" spans="1:34" ht="14.4">
      <c r="A9" s="1" t="s">
        <v>53</v>
      </c>
      <c r="B9" s="1" t="s">
        <v>54</v>
      </c>
      <c r="C9" s="1" t="s">
        <v>34</v>
      </c>
      <c r="F9">
        <f t="shared" si="0"/>
        <v>1.7768270204250669E-3</v>
      </c>
      <c r="G9">
        <f>'Novel foods, input data'!D9*'Emission factors'!$C$11</f>
        <v>1.7768270204250669E-3</v>
      </c>
      <c r="I9">
        <f>'Novel foods, input data'!F9*'Emission factors'!$C$11</f>
        <v>0</v>
      </c>
      <c r="J9">
        <v>0</v>
      </c>
      <c r="K9">
        <v>0</v>
      </c>
      <c r="L9">
        <v>0</v>
      </c>
      <c r="M9">
        <v>0</v>
      </c>
      <c r="N9">
        <v>0</v>
      </c>
      <c r="O9">
        <v>0</v>
      </c>
      <c r="P9">
        <v>0</v>
      </c>
      <c r="Q9">
        <v>0</v>
      </c>
      <c r="R9">
        <v>0</v>
      </c>
    </row>
    <row r="10" spans="1:34" ht="14.4">
      <c r="A10" s="1" t="s">
        <v>57</v>
      </c>
      <c r="B10" s="1" t="s">
        <v>58</v>
      </c>
      <c r="C10" s="1" t="s">
        <v>34</v>
      </c>
      <c r="F10" t="e">
        <f t="shared" si="0"/>
        <v>#REF!</v>
      </c>
      <c r="G10">
        <f>'Novel foods, input data'!D10*'Emission factors'!$C$11</f>
        <v>5.8202740481795568E-4</v>
      </c>
      <c r="I10">
        <f>'Novel foods, input data'!F10*'Emission factors'!$C$11</f>
        <v>0</v>
      </c>
      <c r="J10" t="e">
        <f>'Novel foods, input data'!$AC$10*'Agri ing'!#REF!</f>
        <v>#REF!</v>
      </c>
      <c r="K10" t="e">
        <f>'Novel foods, input data'!$AC$10*'Agri ing'!#REF!</f>
        <v>#REF!</v>
      </c>
      <c r="L10" t="e">
        <f>'Novel foods, input data'!$AC$10*'Agri ing'!#REF!</f>
        <v>#REF!</v>
      </c>
      <c r="M10" t="e">
        <f>'Novel foods, input data'!$AC$10*'Agri ing'!#REF!</f>
        <v>#REF!</v>
      </c>
      <c r="N10" t="e">
        <f>'Novel foods, input data'!$AC$10*'Agri ing'!#REF!</f>
        <v>#REF!</v>
      </c>
      <c r="O10" t="e">
        <f>'Novel foods, input data'!$AC$10*'Agri ing'!#REF!</f>
        <v>#REF!</v>
      </c>
      <c r="P10" t="e">
        <f>'Novel foods, input data'!$AC$10*'Agri ing'!#REF!</f>
        <v>#REF!</v>
      </c>
      <c r="Q10" t="e">
        <f>'Novel foods, input data'!$AC$10*'Agri ing'!#REF!</f>
        <v>#REF!</v>
      </c>
      <c r="R10" t="e">
        <f>'Novel foods, input data'!$AC$10*'Agri ing'!#REF!</f>
        <v>#REF!</v>
      </c>
      <c r="S10" t="e">
        <f>'Novel foods, input data'!$AE$10*#REF!</f>
        <v>#REF!</v>
      </c>
      <c r="T10" t="e">
        <f>'Novel foods, input data'!$AE$10*#REF!</f>
        <v>#REF!</v>
      </c>
      <c r="U10" t="e">
        <f>'Novel foods, input data'!$AE$10*#REF!</f>
        <v>#REF!</v>
      </c>
      <c r="V10" t="e">
        <f>'Novel foods, input data'!$AE$10*#REF!</f>
        <v>#REF!</v>
      </c>
      <c r="W10" t="e">
        <f>'Novel foods, input data'!$AE$10*#REF!</f>
        <v>#REF!</v>
      </c>
      <c r="X10" t="e">
        <f>'Novel foods, input data'!$AE$10*#REF!</f>
        <v>#REF!</v>
      </c>
      <c r="Y10" t="e">
        <f>'Novel foods, input data'!$AE$10*#REF!</f>
        <v>#REF!</v>
      </c>
      <c r="Z10" t="e">
        <f>'Novel foods, input data'!$AE$10*#REF!</f>
        <v>#REF!</v>
      </c>
      <c r="AA10" t="e">
        <f>'Novel foods, input data'!$AE$10*#REF!</f>
        <v>#REF!</v>
      </c>
      <c r="AB10" t="e">
        <f>'Novel foods, input data'!$AE$10*#REF!</f>
        <v>#REF!</v>
      </c>
      <c r="AC10" t="e">
        <f>'Novel foods, input data'!$AE$10*#REF!</f>
        <v>#REF!</v>
      </c>
      <c r="AD10" t="e">
        <f>'Novel foods, input data'!$AE$10*#REF!</f>
        <v>#REF!</v>
      </c>
      <c r="AE10" t="e">
        <f>'Novel foods, input data'!$AE$10*#REF!</f>
        <v>#REF!</v>
      </c>
      <c r="AF10" t="e">
        <f>'Novel foods, input data'!$AE$10*#REF!</f>
        <v>#REF!</v>
      </c>
      <c r="AG10" t="e">
        <f>'Novel foods, input data'!$AE$10*#REF!</f>
        <v>#REF!</v>
      </c>
      <c r="AH10" t="e">
        <f>'Novel foods, input data'!$AE$10*#REF!</f>
        <v>#REF!</v>
      </c>
    </row>
    <row r="11" spans="1:34" ht="14.4">
      <c r="A11" s="73" t="s">
        <v>61</v>
      </c>
      <c r="B11" s="73" t="s">
        <v>62</v>
      </c>
      <c r="C11" s="73" t="s">
        <v>34</v>
      </c>
      <c r="F11">
        <f t="shared" si="0"/>
        <v>1.2391396208090495E-5</v>
      </c>
      <c r="G11">
        <f>'Novel foods, input data'!D11*'Emission factors'!$C$11</f>
        <v>1.2391396208090495E-5</v>
      </c>
      <c r="H11">
        <f>'Novel foods, input data'!E11*'Emission factors'!$C$17</f>
        <v>0</v>
      </c>
      <c r="I11">
        <f>'Novel foods, input data'!F11*'Emission factors'!$C$11</f>
        <v>0</v>
      </c>
      <c r="J11">
        <v>0</v>
      </c>
      <c r="K11">
        <v>0</v>
      </c>
      <c r="L11">
        <v>0</v>
      </c>
      <c r="M11">
        <v>0</v>
      </c>
      <c r="N11">
        <v>0</v>
      </c>
      <c r="O11">
        <v>0</v>
      </c>
      <c r="P11">
        <v>0</v>
      </c>
      <c r="Q11">
        <v>0</v>
      </c>
      <c r="R11">
        <v>0</v>
      </c>
    </row>
    <row r="12" spans="1:34" ht="15" customHeight="1">
      <c r="A12" s="142" t="s">
        <v>63</v>
      </c>
      <c r="B12" s="142" t="s">
        <v>64</v>
      </c>
      <c r="C12" s="313" t="s">
        <v>34</v>
      </c>
      <c r="F12" t="e">
        <f>SUM(G12:AH12)</f>
        <v>#REF!</v>
      </c>
      <c r="G12">
        <f>'Novel foods, input data'!D12*'Emission factors'!$C$11</f>
        <v>3.1148846204301643E-4</v>
      </c>
      <c r="I12">
        <f>'Novel foods, input data'!F12*'Emission factors'!$C$11</f>
        <v>0</v>
      </c>
      <c r="J12" t="e">
        <f>'Novel foods, input data'!$AB$12*'Agri ing'!#REF!</f>
        <v>#REF!</v>
      </c>
      <c r="K12" t="e">
        <f>'Novel foods, input data'!$AB$12*'Agri ing'!#REF!</f>
        <v>#REF!</v>
      </c>
      <c r="L12" t="e">
        <f>'Novel foods, input data'!$AB$12*'Agri ing'!#REF!</f>
        <v>#REF!</v>
      </c>
      <c r="M12" t="e">
        <f>'Novel foods, input data'!$AB$12*'Agri ing'!#REF!</f>
        <v>#REF!</v>
      </c>
      <c r="N12">
        <f>'Novel foods, input data'!$AB$12*'Agri ing'!J3</f>
        <v>0</v>
      </c>
      <c r="O12">
        <f>'Novel foods, input data'!$AB$12*'Agri ing'!K3</f>
        <v>0</v>
      </c>
      <c r="P12">
        <f>'Novel foods, input data'!$AB$12*'Agri ing'!L3</f>
        <v>0</v>
      </c>
      <c r="Q12">
        <f>'Novel foods, input data'!$AB$12*'Agri ing'!M3</f>
        <v>0</v>
      </c>
      <c r="R12">
        <f>'Novel foods, input data'!$AB$12*'Agri ing'!N3</f>
        <v>0</v>
      </c>
    </row>
    <row r="13" spans="1:34" ht="15" customHeight="1">
      <c r="A13" s="140"/>
      <c r="B13" s="140"/>
      <c r="C13" s="73"/>
    </row>
    <row r="14" spans="1:34" ht="14.4">
      <c r="A14" s="1" t="s">
        <v>3621</v>
      </c>
      <c r="B14" s="1" t="s">
        <v>2222</v>
      </c>
      <c r="C14" s="1" t="s">
        <v>34</v>
      </c>
      <c r="F14" t="e">
        <f>SUM(G14:AH14)</f>
        <v>#REF!</v>
      </c>
      <c r="G14" t="e">
        <f>'Novel foods, input data'!#REF!*'Emission factors'!$C$11</f>
        <v>#REF!</v>
      </c>
      <c r="H14" t="e">
        <f>'Novel foods, input data'!#REF!*'Emission factors'!$C$17</f>
        <v>#REF!</v>
      </c>
      <c r="J14" t="e">
        <f>'Novel foods, input data'!#REF!*'Agri ing'!#REF!+'Novel foods, input data'!#REF!*'Agri ing'!#REF!+'Novel foods, input data'!#REF!*'Agri ing'!#REF!</f>
        <v>#REF!</v>
      </c>
      <c r="K14" t="e">
        <f>'Novel foods, input data'!#REF!*'Agri ing'!#REF!+'Novel foods, input data'!#REF!*'Agri ing'!#REF!+'Novel foods, input data'!#REF!*'Agri ing'!#REF!</f>
        <v>#REF!</v>
      </c>
      <c r="L14" t="e">
        <f>'Novel foods, input data'!#REF!*'Agri ing'!#REF!+'Novel foods, input data'!#REF!*'Agri ing'!#REF!+'Novel foods, input data'!#REF!*'Agri ing'!#REF!</f>
        <v>#REF!</v>
      </c>
      <c r="M14" t="e">
        <f>'Novel foods, input data'!#REF!*'Agri ing'!#REF!+'Novel foods, input data'!#REF!*'Agri ing'!#REF!+'Novel foods, input data'!#REF!*'Agri ing'!#REF!</f>
        <v>#REF!</v>
      </c>
      <c r="N14" t="e">
        <f>'Novel foods, input data'!#REF!*'Agri ing'!#REF!+'Novel foods, input data'!#REF!*'Agri ing'!#REF!+'Novel foods, input data'!#REF!*'Agri ing'!#REF!</f>
        <v>#REF!</v>
      </c>
      <c r="O14" t="e">
        <f>'Novel foods, input data'!#REF!*'Agri ing'!#REF!+'Novel foods, input data'!#REF!*'Agri ing'!#REF!+'Novel foods, input data'!#REF!*'Agri ing'!#REF!</f>
        <v>#REF!</v>
      </c>
      <c r="P14" t="e">
        <f>'Novel foods, input data'!#REF!*'Agri ing'!#REF!+'Novel foods, input data'!#REF!*'Agri ing'!#REF!+'Novel foods, input data'!#REF!*'Agri ing'!#REF!</f>
        <v>#REF!</v>
      </c>
      <c r="Q14" t="e">
        <f>'Novel foods, input data'!#REF!*'Agri ing'!#REF!+'Novel foods, input data'!#REF!*'Agri ing'!#REF!+'Novel foods, input data'!#REF!*'Agri ing'!#REF!</f>
        <v>#REF!</v>
      </c>
      <c r="R14" t="e">
        <f>'Novel foods, input data'!#REF!*'Agri ing'!#REF!+'Novel foods, input data'!#REF!*'Agri ing'!#REF!+'Novel foods, input data'!#REF!*'Agri ing'!#REF!</f>
        <v>#REF!</v>
      </c>
    </row>
    <row r="15" spans="1:34" ht="14.4"/>
  </sheetData>
  <mergeCells count="3">
    <mergeCell ref="G3:H3"/>
    <mergeCell ref="J3:R3"/>
    <mergeCell ref="S3:AF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5336-FACC-4358-AD55-45D385F6F7E5}">
  <dimension ref="A2:AH15"/>
  <sheetViews>
    <sheetView workbookViewId="0">
      <selection activeCell="D13" sqref="D13"/>
    </sheetView>
  </sheetViews>
  <sheetFormatPr defaultRowHeight="15" customHeight="1"/>
  <cols>
    <col min="2" max="2" width="23.5546875" customWidth="1"/>
    <col min="6" max="6" width="21.33203125" customWidth="1"/>
    <col min="7" max="8" width="18.33203125" customWidth="1"/>
    <col min="9" max="9" width="12.6640625" customWidth="1"/>
    <col min="10" max="10" width="19" customWidth="1"/>
    <col min="11" max="11" width="23.33203125" customWidth="1"/>
  </cols>
  <sheetData>
    <row r="2" spans="1:34" ht="21">
      <c r="A2" s="2" t="s">
        <v>3629</v>
      </c>
    </row>
    <row r="3" spans="1:34" ht="14.4">
      <c r="F3" s="272" t="s">
        <v>3623</v>
      </c>
      <c r="G3" s="721" t="s">
        <v>3597</v>
      </c>
      <c r="H3" s="721"/>
      <c r="I3" s="272"/>
      <c r="J3" s="721" t="s">
        <v>3598</v>
      </c>
      <c r="K3" s="721"/>
      <c r="L3" s="721"/>
      <c r="M3" s="721"/>
      <c r="N3" s="721"/>
      <c r="O3" s="721"/>
      <c r="P3" s="721"/>
      <c r="Q3" s="721"/>
      <c r="R3" s="721"/>
      <c r="S3" s="722" t="s">
        <v>3599</v>
      </c>
      <c r="T3" s="722"/>
      <c r="U3" s="722"/>
      <c r="V3" s="722"/>
      <c r="W3" s="722"/>
      <c r="X3" s="722"/>
      <c r="Y3" s="722"/>
      <c r="Z3" s="722"/>
      <c r="AA3" s="722"/>
      <c r="AB3" s="722"/>
      <c r="AC3" s="722"/>
      <c r="AD3" s="722"/>
      <c r="AE3" s="722"/>
      <c r="AF3" s="722"/>
      <c r="AG3" s="239" t="s">
        <v>3600</v>
      </c>
      <c r="AH3" s="239" t="s">
        <v>3601</v>
      </c>
    </row>
    <row r="4" spans="1:34" ht="28.8">
      <c r="A4" s="207" t="s">
        <v>3602</v>
      </c>
      <c r="B4" s="208"/>
      <c r="C4" s="208"/>
      <c r="D4" s="209"/>
      <c r="E4" s="210" t="s">
        <v>67</v>
      </c>
      <c r="F4" s="210" t="s">
        <v>3624</v>
      </c>
      <c r="G4" s="210" t="s">
        <v>3607</v>
      </c>
      <c r="H4" s="210" t="s">
        <v>3608</v>
      </c>
      <c r="I4" s="281" t="s">
        <v>3609</v>
      </c>
      <c r="J4" s="211" t="s">
        <v>68</v>
      </c>
      <c r="K4" s="212"/>
      <c r="L4" s="211" t="s">
        <v>69</v>
      </c>
      <c r="M4" s="213"/>
      <c r="N4" s="214" t="s">
        <v>70</v>
      </c>
      <c r="O4" s="213"/>
      <c r="P4" s="213"/>
      <c r="Q4" s="213"/>
      <c r="R4" s="215" t="s">
        <v>71</v>
      </c>
      <c r="S4" s="243" t="s">
        <v>68</v>
      </c>
      <c r="T4" s="244"/>
      <c r="U4" s="243" t="s">
        <v>69</v>
      </c>
      <c r="V4" s="245"/>
      <c r="W4" s="14" t="s">
        <v>70</v>
      </c>
      <c r="X4" s="245"/>
      <c r="Y4" s="245"/>
      <c r="Z4" s="245"/>
      <c r="AA4" s="14" t="s">
        <v>71</v>
      </c>
      <c r="AB4" s="14" t="s">
        <v>73</v>
      </c>
      <c r="AC4" s="246"/>
      <c r="AD4" s="246"/>
      <c r="AE4" s="247"/>
      <c r="AF4" s="247"/>
      <c r="AG4" s="248"/>
      <c r="AH4" s="248"/>
    </row>
    <row r="5" spans="1:34" ht="72">
      <c r="A5" s="216" t="s">
        <v>13</v>
      </c>
      <c r="B5" s="217" t="s">
        <v>103</v>
      </c>
      <c r="C5" s="217" t="s">
        <v>3611</v>
      </c>
      <c r="D5" s="218"/>
      <c r="E5" s="219"/>
      <c r="F5" s="273" t="s">
        <v>3632</v>
      </c>
      <c r="G5" s="273" t="s">
        <v>3632</v>
      </c>
      <c r="H5" s="273" t="s">
        <v>3632</v>
      </c>
      <c r="I5" s="273" t="s">
        <v>3632</v>
      </c>
      <c r="J5" s="220" t="s">
        <v>3627</v>
      </c>
      <c r="K5" s="23" t="s">
        <v>3631</v>
      </c>
      <c r="L5" s="220" t="s">
        <v>78</v>
      </c>
      <c r="M5" s="23" t="s">
        <v>79</v>
      </c>
      <c r="N5" s="220" t="s">
        <v>80</v>
      </c>
      <c r="O5" s="23" t="s">
        <v>81</v>
      </c>
      <c r="P5" s="23" t="s">
        <v>82</v>
      </c>
      <c r="Q5" s="23" t="s">
        <v>3616</v>
      </c>
      <c r="R5" s="221" t="s">
        <v>84</v>
      </c>
      <c r="S5" s="23" t="s">
        <v>3617</v>
      </c>
      <c r="T5" s="23" t="s">
        <v>77</v>
      </c>
      <c r="U5" s="23" t="s">
        <v>3618</v>
      </c>
      <c r="V5" s="23" t="s">
        <v>3619</v>
      </c>
      <c r="W5" s="23" t="s">
        <v>80</v>
      </c>
      <c r="X5" s="23" t="s">
        <v>81</v>
      </c>
      <c r="Y5" s="23" t="s">
        <v>82</v>
      </c>
      <c r="Z5" s="23" t="s">
        <v>3616</v>
      </c>
      <c r="AA5" s="23" t="s">
        <v>84</v>
      </c>
      <c r="AB5" s="23" t="s">
        <v>85</v>
      </c>
      <c r="AC5" s="252" t="s">
        <v>3620</v>
      </c>
      <c r="AD5" s="252" t="s">
        <v>87</v>
      </c>
      <c r="AE5" s="253" t="s">
        <v>88</v>
      </c>
      <c r="AF5" s="253" t="s">
        <v>89</v>
      </c>
      <c r="AG5" s="23" t="s">
        <v>90</v>
      </c>
      <c r="AH5" s="23" t="s">
        <v>91</v>
      </c>
    </row>
    <row r="6" spans="1:34" ht="14.4">
      <c r="A6" s="1" t="s">
        <v>32</v>
      </c>
      <c r="B6" s="1" t="s">
        <v>33</v>
      </c>
      <c r="C6" s="1" t="s">
        <v>34</v>
      </c>
      <c r="F6" t="e">
        <f>SUM(G6:AH6)</f>
        <v>#REF!</v>
      </c>
      <c r="G6">
        <f>'Novel foods, input data'!D6*'Emission factors'!$D$11</f>
        <v>4.8905008573683322E-5</v>
      </c>
      <c r="I6">
        <f>'Novel foods, input data'!F6*'Emission factors'!$D$11</f>
        <v>9.2098417018722219E-6</v>
      </c>
      <c r="J6" t="e">
        <f>'Novel foods, input data'!$AB$6*'Agri ing'!#REF!</f>
        <v>#REF!</v>
      </c>
      <c r="K6" t="e">
        <f>'Novel foods, input data'!$AB$6*'Agri ing'!#REF!</f>
        <v>#REF!</v>
      </c>
      <c r="L6" t="e">
        <f>'Novel foods, input data'!$AB$6*'Agri ing'!#REF!</f>
        <v>#REF!</v>
      </c>
      <c r="M6" t="e">
        <f>'Novel foods, input data'!$AB$6*'Agri ing'!#REF!</f>
        <v>#REF!</v>
      </c>
      <c r="N6" t="e">
        <f>'Novel foods, input data'!$AB$6*'Agri ing'!#REF!</f>
        <v>#REF!</v>
      </c>
      <c r="O6" t="e">
        <f>'Novel foods, input data'!$AB$6*'Agri ing'!#REF!</f>
        <v>#REF!</v>
      </c>
      <c r="P6" t="e">
        <f>'Novel foods, input data'!$AB$6*'Agri ing'!#REF!</f>
        <v>#REF!</v>
      </c>
      <c r="Q6" t="e">
        <f>'Novel foods, input data'!$AB$6*'Agri ing'!#REF!</f>
        <v>#REF!</v>
      </c>
      <c r="R6" t="e">
        <f>'Novel foods, input data'!$AB$6*'Agri ing'!#REF!</f>
        <v>#REF!</v>
      </c>
    </row>
    <row r="7" spans="1:34" ht="14.4">
      <c r="A7" s="1" t="s">
        <v>43</v>
      </c>
      <c r="B7" s="1" t="s">
        <v>44</v>
      </c>
      <c r="C7" s="1" t="s">
        <v>34</v>
      </c>
      <c r="F7" t="e">
        <f t="shared" ref="F7:F12" si="0">SUM(G7:AH7)</f>
        <v>#REF!</v>
      </c>
      <c r="G7">
        <f>'Novel foods, input data'!D7*'Emission factors'!$D$11</f>
        <v>1.1301295278390556E-5</v>
      </c>
      <c r="I7">
        <f>'Novel foods, input data'!F7*'Emission factors'!$D$11</f>
        <v>0</v>
      </c>
      <c r="J7" t="e">
        <f>'Novel foods, input data'!$AB$7*'Agri ing'!#REF!</f>
        <v>#REF!</v>
      </c>
      <c r="K7" t="e">
        <f>'Novel foods, input data'!$AB$7*'Agri ing'!#REF!</f>
        <v>#REF!</v>
      </c>
      <c r="L7" t="e">
        <f>'Novel foods, input data'!$AB$7*'Agri ing'!#REF!</f>
        <v>#REF!</v>
      </c>
      <c r="M7" t="e">
        <f>'Novel foods, input data'!$AB$7*'Agri ing'!#REF!</f>
        <v>#REF!</v>
      </c>
      <c r="N7" t="e">
        <f>'Novel foods, input data'!$AB$7*'Agri ing'!#REF!</f>
        <v>#REF!</v>
      </c>
      <c r="O7" t="e">
        <f>'Novel foods, input data'!$AB$7*'Agri ing'!#REF!</f>
        <v>#REF!</v>
      </c>
      <c r="P7" t="e">
        <f>'Novel foods, input data'!$AB$7*'Agri ing'!#REF!</f>
        <v>#REF!</v>
      </c>
      <c r="Q7" t="e">
        <f>'Novel foods, input data'!$AB$7*'Agri ing'!#REF!</f>
        <v>#REF!</v>
      </c>
      <c r="R7" t="e">
        <f>'Novel foods, input data'!$AB$7*'Agri ing'!#REF!</f>
        <v>#REF!</v>
      </c>
    </row>
    <row r="8" spans="1:34" ht="14.4">
      <c r="A8" s="1" t="s">
        <v>51</v>
      </c>
      <c r="B8" s="1" t="s">
        <v>52</v>
      </c>
      <c r="C8" s="1" t="s">
        <v>34</v>
      </c>
      <c r="F8" t="e">
        <f t="shared" si="0"/>
        <v>#REF!</v>
      </c>
      <c r="G8">
        <f>'Novel foods, input data'!D8*'Emission factors'!$D$11</f>
        <v>5.0656562919652499E-5</v>
      </c>
      <c r="I8">
        <f>'Novel foods, input data'!F8*'Emission factors'!$D$11</f>
        <v>0</v>
      </c>
      <c r="J8" t="e">
        <f>'Novel foods, input data'!$AB$8*'Agri ing'!#REF!</f>
        <v>#REF!</v>
      </c>
      <c r="K8" t="e">
        <f>'Novel foods, input data'!$AB$8*'Agri ing'!#REF!</f>
        <v>#REF!</v>
      </c>
      <c r="L8" t="e">
        <f>'Novel foods, input data'!$AB$8*'Agri ing'!#REF!</f>
        <v>#REF!</v>
      </c>
      <c r="M8" t="e">
        <f>'Novel foods, input data'!$AB$8*'Agri ing'!#REF!</f>
        <v>#REF!</v>
      </c>
      <c r="N8" t="e">
        <f>'Novel foods, input data'!$AB$8*'Agri ing'!#REF!</f>
        <v>#REF!</v>
      </c>
      <c r="O8" t="e">
        <f>'Novel foods, input data'!$AB$8*'Agri ing'!#REF!</f>
        <v>#REF!</v>
      </c>
      <c r="P8" t="e">
        <f>'Novel foods, input data'!$AB$8*'Agri ing'!#REF!</f>
        <v>#REF!</v>
      </c>
      <c r="Q8" t="e">
        <f>'Novel foods, input data'!$AB$8*'Agri ing'!#REF!</f>
        <v>#REF!</v>
      </c>
      <c r="R8" t="e">
        <f>'Novel foods, input data'!$AB$8*'Agri ing'!#REF!</f>
        <v>#REF!</v>
      </c>
    </row>
    <row r="9" spans="1:34" ht="14.4">
      <c r="A9" s="1" t="s">
        <v>53</v>
      </c>
      <c r="B9" s="1" t="s">
        <v>54</v>
      </c>
      <c r="C9" s="1" t="s">
        <v>34</v>
      </c>
      <c r="F9">
        <f t="shared" si="0"/>
        <v>1.4775292062519E-4</v>
      </c>
      <c r="G9">
        <f>'Novel foods, input data'!D9*'Emission factors'!$D$11</f>
        <v>1.4775292062519E-4</v>
      </c>
      <c r="I9">
        <f>'Novel foods, input data'!F9*'Emission factors'!$D$11</f>
        <v>0</v>
      </c>
      <c r="J9">
        <v>0</v>
      </c>
      <c r="K9">
        <v>0</v>
      </c>
      <c r="L9">
        <v>0</v>
      </c>
      <c r="M9">
        <v>0</v>
      </c>
      <c r="N9">
        <v>0</v>
      </c>
      <c r="O9">
        <v>0</v>
      </c>
      <c r="P9">
        <v>0</v>
      </c>
      <c r="Q9">
        <v>0</v>
      </c>
      <c r="R9">
        <v>0</v>
      </c>
    </row>
    <row r="10" spans="1:34" ht="14.4">
      <c r="A10" s="1" t="s">
        <v>57</v>
      </c>
      <c r="B10" s="1" t="s">
        <v>58</v>
      </c>
      <c r="C10" s="1" t="s">
        <v>34</v>
      </c>
      <c r="F10" t="e">
        <f t="shared" si="0"/>
        <v>#REF!</v>
      </c>
      <c r="G10">
        <f>'Novel foods, input data'!D10*'Emission factors'!$D$11</f>
        <v>4.8398773745111107E-5</v>
      </c>
      <c r="I10">
        <f>'Novel foods, input data'!F10*'Emission factors'!$D$11</f>
        <v>0</v>
      </c>
      <c r="J10" t="e">
        <f>'Novel foods, input data'!$AC$10*'Agri ing'!#REF!</f>
        <v>#REF!</v>
      </c>
      <c r="K10" t="e">
        <f>'Novel foods, input data'!$AC$10*'Agri ing'!#REF!</f>
        <v>#REF!</v>
      </c>
      <c r="L10" t="e">
        <f>'Novel foods, input data'!$AC$10*'Agri ing'!#REF!</f>
        <v>#REF!</v>
      </c>
      <c r="M10" t="e">
        <f>'Novel foods, input data'!$AC$10*'Agri ing'!#REF!</f>
        <v>#REF!</v>
      </c>
      <c r="N10" t="e">
        <f>'Novel foods, input data'!$AC$10*'Agri ing'!#REF!</f>
        <v>#REF!</v>
      </c>
      <c r="O10" t="e">
        <f>'Novel foods, input data'!$AC$10*'Agri ing'!#REF!</f>
        <v>#REF!</v>
      </c>
      <c r="P10" t="e">
        <f>'Novel foods, input data'!$AC$10*'Agri ing'!#REF!</f>
        <v>#REF!</v>
      </c>
      <c r="Q10" t="e">
        <f>'Novel foods, input data'!$AC$10*'Agri ing'!#REF!</f>
        <v>#REF!</v>
      </c>
      <c r="R10" t="e">
        <f>'Novel foods, input data'!$AC$10*'Agri ing'!#REF!</f>
        <v>#REF!</v>
      </c>
      <c r="S10" t="e">
        <f>'Novel foods, input data'!$AE$10*#REF!</f>
        <v>#REF!</v>
      </c>
      <c r="T10" t="e">
        <f>'Novel foods, input data'!$AE$10*#REF!</f>
        <v>#REF!</v>
      </c>
      <c r="U10" t="e">
        <f>'Novel foods, input data'!$AE$10*#REF!</f>
        <v>#REF!</v>
      </c>
      <c r="V10" t="e">
        <f>'Novel foods, input data'!$AE$10*#REF!</f>
        <v>#REF!</v>
      </c>
      <c r="W10" t="e">
        <f>'Novel foods, input data'!$AE$10*#REF!</f>
        <v>#REF!</v>
      </c>
      <c r="X10" t="e">
        <f>'Novel foods, input data'!$AE$10*#REF!</f>
        <v>#REF!</v>
      </c>
      <c r="Y10" t="e">
        <f>'Novel foods, input data'!$AE$10*#REF!</f>
        <v>#REF!</v>
      </c>
      <c r="Z10" t="e">
        <f>'Novel foods, input data'!$AE$10*#REF!</f>
        <v>#REF!</v>
      </c>
      <c r="AA10" t="e">
        <f>'Novel foods, input data'!$AE$10*#REF!</f>
        <v>#REF!</v>
      </c>
      <c r="AB10" t="e">
        <f>'Novel foods, input data'!$AE$10*#REF!</f>
        <v>#REF!</v>
      </c>
      <c r="AC10" t="e">
        <f>'Novel foods, input data'!$AE$10*#REF!</f>
        <v>#REF!</v>
      </c>
      <c r="AD10" t="e">
        <f>'Novel foods, input data'!$AE$10*#REF!</f>
        <v>#REF!</v>
      </c>
      <c r="AE10" t="e">
        <f>'Novel foods, input data'!$AE$10*#REF!</f>
        <v>#REF!</v>
      </c>
      <c r="AF10" t="e">
        <f>'Novel foods, input data'!$AE$10*#REF!</f>
        <v>#REF!</v>
      </c>
      <c r="AG10" t="e">
        <f>'Novel foods, input data'!$AE$10*#REF!</f>
        <v>#REF!</v>
      </c>
      <c r="AH10" t="e">
        <f>'Novel foods, input data'!$AE$10*#REF!</f>
        <v>#REF!</v>
      </c>
    </row>
    <row r="11" spans="1:34" ht="14.4">
      <c r="A11" s="73" t="s">
        <v>61</v>
      </c>
      <c r="B11" s="73" t="s">
        <v>62</v>
      </c>
      <c r="C11" s="73" t="s">
        <v>34</v>
      </c>
      <c r="F11">
        <f t="shared" si="0"/>
        <v>1.0304126171670222E-6</v>
      </c>
      <c r="G11">
        <f>'Novel foods, input data'!D11*'Emission factors'!$D$11</f>
        <v>1.0304126171670222E-6</v>
      </c>
      <c r="H11">
        <f>'Novel foods, input data'!E11*'Emission factors'!$D$17</f>
        <v>0</v>
      </c>
      <c r="I11">
        <f>'Novel foods, input data'!F11*'Emission factors'!$D$11</f>
        <v>0</v>
      </c>
      <c r="J11">
        <v>0</v>
      </c>
      <c r="K11">
        <v>0</v>
      </c>
      <c r="L11">
        <v>0</v>
      </c>
      <c r="M11">
        <v>0</v>
      </c>
      <c r="N11">
        <v>0</v>
      </c>
      <c r="O11">
        <v>0</v>
      </c>
      <c r="P11">
        <v>0</v>
      </c>
      <c r="Q11">
        <v>0</v>
      </c>
      <c r="R11">
        <v>0</v>
      </c>
    </row>
    <row r="12" spans="1:34" ht="15" customHeight="1">
      <c r="A12" s="142" t="s">
        <v>63</v>
      </c>
      <c r="B12" s="142" t="s">
        <v>64</v>
      </c>
      <c r="C12" s="313" t="s">
        <v>34</v>
      </c>
      <c r="F12" t="e">
        <f t="shared" si="0"/>
        <v>#REF!</v>
      </c>
      <c r="G12">
        <f>'Novel foods, input data'!D12*'Emission factors'!$D$11</f>
        <v>2.590197553214507E-5</v>
      </c>
      <c r="I12">
        <f>'Novel foods, input data'!F12*'Emission factors'!$D$11</f>
        <v>0</v>
      </c>
      <c r="J12" t="e">
        <f>'Novel foods, input data'!$AB$12*'Agri ing'!#REF!</f>
        <v>#REF!</v>
      </c>
      <c r="K12" t="e">
        <f>'Novel foods, input data'!$AB$12*'Agri ing'!#REF!</f>
        <v>#REF!</v>
      </c>
      <c r="L12" t="e">
        <f>'Novel foods, input data'!$AB$12*'Agri ing'!#REF!</f>
        <v>#REF!</v>
      </c>
      <c r="M12" t="e">
        <f>'Novel foods, input data'!$AB$12*'Agri ing'!#REF!</f>
        <v>#REF!</v>
      </c>
      <c r="N12" t="e">
        <f>'Novel foods, input data'!$AB$12*'Agri ing'!#REF!</f>
        <v>#REF!</v>
      </c>
      <c r="O12" t="e">
        <f>'Novel foods, input data'!$AB$12*'Agri ing'!#REF!</f>
        <v>#REF!</v>
      </c>
      <c r="P12" t="e">
        <f>'Novel foods, input data'!$AB$12*'Agri ing'!#REF!</f>
        <v>#REF!</v>
      </c>
      <c r="Q12" t="e">
        <f>'Novel foods, input data'!$AB$12*'Agri ing'!#REF!</f>
        <v>#REF!</v>
      </c>
      <c r="R12" t="e">
        <f>'Novel foods, input data'!$AB$12*'Agri ing'!#REF!</f>
        <v>#REF!</v>
      </c>
    </row>
    <row r="14" spans="1:34" ht="14.4">
      <c r="A14" s="1" t="s">
        <v>3621</v>
      </c>
      <c r="B14" s="1" t="s">
        <v>2222</v>
      </c>
      <c r="C14" s="1" t="s">
        <v>34</v>
      </c>
      <c r="F14" t="e">
        <f>SUM(G14:AH14)</f>
        <v>#REF!</v>
      </c>
      <c r="G14" t="e">
        <f>'Novel foods, input data'!#REF!*'Emission factors'!$D$11</f>
        <v>#REF!</v>
      </c>
      <c r="H14" t="e">
        <f>'Novel foods, input data'!#REF!*'Emission factors'!$D$17</f>
        <v>#REF!</v>
      </c>
      <c r="J14" t="e">
        <f>'Novel foods, input data'!#REF!*'Agri ing'!#REF!+'Novel foods, input data'!#REF!*'Agri ing'!#REF!+'Novel foods, input data'!#REF!*'Agri ing'!#REF!</f>
        <v>#REF!</v>
      </c>
      <c r="K14" t="e">
        <f>'Novel foods, input data'!#REF!*'Agri ing'!#REF!+'Novel foods, input data'!#REF!*'Agri ing'!#REF!+'Novel foods, input data'!#REF!*'Agri ing'!#REF!</f>
        <v>#REF!</v>
      </c>
      <c r="L14" t="e">
        <f>'Novel foods, input data'!#REF!*'Agri ing'!#REF!+'Novel foods, input data'!#REF!*'Agri ing'!#REF!+'Novel foods, input data'!#REF!*'Agri ing'!#REF!</f>
        <v>#REF!</v>
      </c>
      <c r="M14" t="e">
        <f>'Novel foods, input data'!#REF!*'Agri ing'!#REF!+'Novel foods, input data'!#REF!*'Agri ing'!#REF!+'Novel foods, input data'!#REF!*'Agri ing'!#REF!</f>
        <v>#REF!</v>
      </c>
      <c r="N14" t="e">
        <f>'Novel foods, input data'!#REF!*'Agri ing'!#REF!+'Novel foods, input data'!#REF!*'Agri ing'!#REF!+'Novel foods, input data'!#REF!*'Agri ing'!#REF!</f>
        <v>#REF!</v>
      </c>
      <c r="O14" t="e">
        <f>'Novel foods, input data'!#REF!*'Agri ing'!#REF!+'Novel foods, input data'!#REF!*'Agri ing'!#REF!+'Novel foods, input data'!#REF!*'Agri ing'!#REF!</f>
        <v>#REF!</v>
      </c>
      <c r="P14" t="e">
        <f>'Novel foods, input data'!#REF!*'Agri ing'!#REF!+'Novel foods, input data'!#REF!*'Agri ing'!#REF!+'Novel foods, input data'!#REF!*'Agri ing'!#REF!</f>
        <v>#REF!</v>
      </c>
      <c r="Q14" t="e">
        <f>'Novel foods, input data'!#REF!*'Agri ing'!#REF!+'Novel foods, input data'!#REF!*'Agri ing'!#REF!+'Novel foods, input data'!#REF!*'Agri ing'!#REF!</f>
        <v>#REF!</v>
      </c>
      <c r="R14" t="e">
        <f>'Novel foods, input data'!#REF!*'Agri ing'!#REF!+'Novel foods, input data'!#REF!*'Agri ing'!#REF!+'Novel foods, input data'!#REF!*'Agri ing'!#REF!</f>
        <v>#REF!</v>
      </c>
    </row>
    <row r="15" spans="1:34" ht="14.4"/>
  </sheetData>
  <mergeCells count="3">
    <mergeCell ref="G3:H3"/>
    <mergeCell ref="J3:R3"/>
    <mergeCell ref="S3:A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1175F7-2CA9-4B80-92F6-FCF191EA6E3F}">
  <ds:schemaRefs>
    <ds:schemaRef ds:uri="http://schemas.microsoft.com/sharepoint/v3/contenttype/forms"/>
  </ds:schemaRefs>
</ds:datastoreItem>
</file>

<file path=customXml/itemProps2.xml><?xml version="1.0" encoding="utf-8"?>
<ds:datastoreItem xmlns:ds="http://schemas.openxmlformats.org/officeDocument/2006/customXml" ds:itemID="{517C2B94-9FFD-41FC-8772-98DE929B123F}">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EC7AC8AD-70EC-4052-9E16-16A4A72EB9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Footprints, results per kg</vt:lpstr>
      <vt:lpstr>GHG detailed, results per kg</vt:lpstr>
      <vt:lpstr>Novel foods, input data</vt:lpstr>
      <vt:lpstr>Agri ing</vt:lpstr>
      <vt:lpstr>Emission factors</vt:lpstr>
      <vt:lpstr>CF climate</vt:lpstr>
      <vt:lpstr>Types of NFs table</vt:lpstr>
      <vt:lpstr>Inputs - Cultured Meat</vt:lpstr>
      <vt:lpstr>Inputs - Microbial Milk</vt:lpstr>
      <vt:lpstr>Input - Microbial Ovalbumin</vt:lpstr>
      <vt:lpstr>Input - Mycoprotein</vt:lpstr>
      <vt:lpstr>Input - Yeast Microb. Fat</vt:lpstr>
      <vt:lpstr>Input - Algae Microb. Fat</vt:lpstr>
      <vt:lpstr>Input - Microbial Protein</vt:lpstr>
      <vt:lpstr>Input - Insect</vt:lpstr>
      <vt:lpstr>Input - Fats, CellAg</vt:lpstr>
      <vt:lpstr>OLD_Footprints, results per kg</vt:lpstr>
      <vt:lpstr>Example Calculations</vt:lpstr>
      <vt:lpstr>NOT THIS ONE - Microbial Fat</vt:lpstr>
      <vt:lpstr>Bkgrd - Kelp</vt:lpstr>
      <vt:lpstr>Bkgrd - Microalgae</vt:lpstr>
      <vt:lpstr>OLD, NOT USED---&gt;</vt:lpstr>
      <vt:lpstr>Novel foods CO2e</vt:lpstr>
      <vt:lpstr>Novel foods CO2</vt:lpstr>
      <vt:lpstr>Novel foods CH4</vt:lpstr>
      <vt:lpstr>Novel foods N2O</vt:lpstr>
      <vt:lpstr>_Ref32411070</vt:lpstr>
      <vt:lpstr>_Ref45878722</vt:lpstr>
      <vt:lpstr>_Ref45878756</vt:lpstr>
      <vt:lpstr>_Toc62923992</vt:lpstr>
      <vt:lpstr>'Input - Microbial Protein'!_Toc62924001</vt:lpstr>
      <vt:lpstr>CF_CH4_bio</vt:lpstr>
      <vt:lpstr>CF_CH4_foss</vt:lpstr>
      <vt:lpstr>CF_CO2</vt:lpstr>
      <vt:lpstr>CF_N2O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2023-03-30T16:42:58Z</dcterms:created>
  <dcterms:modified xsi:type="dcterms:W3CDTF">2024-06-11T09:32:20Z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